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 sheetId="1" r:id="rId4"/>
    <sheet state="visible" name="Sheet15" sheetId="2" r:id="rId5"/>
    <sheet state="visible" name="Changelog" sheetId="3" r:id="rId6"/>
    <sheet state="visible" name="Credits" sheetId="4" r:id="rId7"/>
    <sheet state="visible" name="Genetic Apex" sheetId="5" r:id="rId8"/>
    <sheet state="visible" name="Mythical Island" sheetId="6" r:id="rId9"/>
    <sheet state="visible" name="Space-Time Smackdown" sheetId="7" r:id="rId10"/>
    <sheet state="visible" name="Triumphant Light" sheetId="8" r:id="rId11"/>
    <sheet state="visible" name="Shining Revelry" sheetId="9" r:id="rId12"/>
    <sheet state="visible" name="PROMO-A" sheetId="10" r:id="rId13"/>
    <sheet state="visible" name="Deck Builder" sheetId="11" r:id="rId14"/>
    <sheet state="visible" name="PointerTest" sheetId="12" r:id="rId15"/>
    <sheet state="visible" name="language&amp;DataTest" sheetId="13" r:id="rId16"/>
    <sheet state="visible" name="RegularFormula" sheetId="14" r:id="rId17"/>
    <sheet state="visible" name="Probabilities&amp;Misc" sheetId="15" r:id="rId18"/>
    <sheet state="visible" name="Mew REGEX Dev" sheetId="16" r:id="rId19"/>
  </sheets>
  <definedNames>
    <definedName name="Probabilities13">'Probabilities&amp;Misc'!$B$25:$B$32</definedName>
    <definedName name="CardCategoriesWithShiny">'Probabilities&amp;Misc'!$A$62:$A$71</definedName>
    <definedName name="PackPokemons">'Probabilities&amp;Misc'!$F$3:$AA$3</definedName>
    <definedName name="RarePackProbability">'Probabilities&amp;Misc'!$B$12</definedName>
    <definedName name="Probabilities4Shiny">'Probabilities&amp;Misc'!$C$62:$C$71</definedName>
    <definedName name="RegularPackProbability">'Probabilities&amp;Misc'!$B$1</definedName>
    <definedName name="Probabilities5">'Probabilities&amp;Misc'!$D$25:$D$32</definedName>
    <definedName name="Probabilities4">'Probabilities&amp;Misc'!$C$25:$C$32</definedName>
    <definedName name="Probabilities13Shiny">'Probabilities&amp;Misc'!$B$62:$B$71</definedName>
    <definedName name="Probabilities5Shiny">'Probabilities&amp;Misc'!$D$62:$D$71</definedName>
    <definedName name="CardCategories">'Probabilities&amp;Misc'!$A$25:$A$32</definedName>
    <definedName name="Packs">'Probabilities&amp;Misc'!$F$2:$AA$2</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J1">
      <text>
        <t xml:space="preserve">You do not need this column for any of the calculations to work. Feel free to delete it or move it somewhere else, it shouldn't mess with any calculations!</t>
      </text>
    </comment>
    <comment authorId="0" ref="K1">
      <text>
        <t xml:space="preserve">The current version of the spreadsheet. For a spreadsheet version X.Y.Z, X is a major update, Y is a significant tweak/bug fix, and Z is a minor change</t>
      </text>
    </comment>
    <comment authorId="0" ref="L1">
      <text>
        <t xml:space="preserve">The date of the most recent change to the spreadsheet</t>
      </text>
    </comment>
    <comment authorId="0" ref="L51">
      <text>
        <t xml:space="preserve">Can be improved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J1">
      <text>
        <t xml:space="preserve">You do not need this column for any of the calculations to work. Feel free to delete it or move it somewhere else, it shouldn't mess with any calculations!</t>
      </text>
    </comment>
    <comment authorId="0" ref="K1">
      <text>
        <t xml:space="preserve">The current version of the spreadsheet. For a spreadsheet version X.Y.Z, X is a major update, Y is a significant tweak/bug fix, and Z is a minor change</t>
      </text>
    </comment>
    <comment authorId="0" ref="L1">
      <text>
        <t xml:space="preserve">The date of the most recent change to the spreadsheet</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J1">
      <text>
        <t xml:space="preserve">You do not need this column for any of the calculations to work. Feel free to delete it or move it somewhere else, it shouldn't mess with any calculations!</t>
      </text>
    </comment>
    <comment authorId="0" ref="K1">
      <text>
        <t xml:space="preserve">The current version of the spreadsheet. For a spreadsheet version X.Y.Z, X is a major update, Y is a significant tweak/bug fix, and Z is a minor change</t>
      </text>
    </comment>
    <comment authorId="0" ref="L1">
      <text>
        <t xml:space="preserve">The date of the most recent change to the spreadsheet</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J1">
      <text>
        <t xml:space="preserve">You do not need this column for any of the calculations to work. Feel free to delete it or move it somewhere else, it shouldn't mess with any calculations!</t>
      </text>
    </comment>
    <comment authorId="0" ref="K1">
      <text>
        <t xml:space="preserve">The current version of the spreadsheet. For a spreadsheet version X.Y.Z, X is a major update, Y is a significant tweak/bug fix, and Z is a minor change</t>
      </text>
    </comment>
    <comment authorId="0" ref="L1">
      <text>
        <t xml:space="preserve">The date of the most recent change to the spreadsheet</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J1">
      <text>
        <t xml:space="preserve">You do not need this column for any of the calculations to work. Feel free to delete it or move it somewhere else, it shouldn't mess with any calculations!</t>
      </text>
    </comment>
    <comment authorId="0" ref="K1">
      <text>
        <t xml:space="preserve">The current version of the spreadsheet. For a spreadsheet version X.Y.Z, X is a major update, Y is a significant tweak/bug fix, and Z is a minor change</t>
      </text>
    </comment>
    <comment authorId="0" ref="L1">
      <text>
        <t xml:space="preserve">The date of the most recent change to the spreadsheet</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You do not need this column for any of the calculations to work. Feel free to delete it or move it somewhere else, it shouldn't mess with any calculations!</t>
      </text>
    </comment>
  </commentList>
</comments>
</file>

<file path=xl/sharedStrings.xml><?xml version="1.0" encoding="utf-8"?>
<sst xmlns="http://schemas.openxmlformats.org/spreadsheetml/2006/main" count="15331" uniqueCount="6218">
  <si>
    <t>POKEMON POCKET TCG CARD TRACKER</t>
  </si>
  <si>
    <r>
      <rPr>
        <rFont val="Arial"/>
        <b/>
        <color theme="1"/>
      </rPr>
      <t xml:space="preserve">What is this sheet ?
</t>
    </r>
    <r>
      <rPr>
        <rFont val="Arial"/>
        <color theme="1"/>
      </rPr>
      <t xml:space="preserve">This sheet is a card collection tracker for Pokémon pocket TCG to quickly visualize your progress and see which pack to prioritize for maximum efficiency.
Here on this home page you can :
    - Select your preferred language, which will localize the Pokémon names in their respective sheets.
    - Set if you would rather have owning 2 cards rather than 1 to count towards being obtained. </t>
    </r>
    <r>
      <rPr>
        <rFont val="Arial"/>
        <b/>
        <color rgb="FFFF0000"/>
      </rPr>
      <t>Most useful in automated version, if in manual version, don't forget to check boxes accordingly.</t>
    </r>
    <r>
      <rPr>
        <rFont val="Arial"/>
        <color theme="1"/>
      </rPr>
      <t xml:space="preserve">
You can find more information on calculations in the Genetic Apex page, as well as instructions to create your own duplicate pages if needed.
</t>
    </r>
    <r>
      <rPr>
        <rFont val="Arial"/>
        <b/>
        <color theme="1"/>
      </rPr>
      <t>This is the manual version: to set a card to possessed, just check the corresponding box in column A.
You can then add the number of cards you own manually in column J.
This is the automated version: to set a card to obtained, change the number of owned cards for each card in the corresponding cell in column J, and column A will update itself automatically.</t>
    </r>
  </si>
  <si>
    <t>Dev Team</t>
  </si>
  <si>
    <t>Creator</t>
  </si>
  <si>
    <t>Maxwell1755</t>
  </si>
  <si>
    <t>Development</t>
  </si>
  <si>
    <t>Raiskader</t>
  </si>
  <si>
    <r>
      <rPr>
        <rFont val="Arial"/>
        <b/>
        <color theme="1"/>
      </rPr>
      <t>Missing Translations</t>
    </r>
    <r>
      <rPr>
        <rFont val="Arial"/>
        <b val="0"/>
        <color theme="1"/>
      </rPr>
      <t xml:space="preserve">
</t>
    </r>
    <r>
      <rPr>
        <rFont val="Arial"/>
        <b/>
        <color theme="1"/>
      </rPr>
      <t xml:space="preserve">Japanese, Romaji
</t>
    </r>
    <r>
      <rPr>
        <rFont val="Arial"/>
        <b val="0"/>
        <color theme="1"/>
      </rPr>
      <t xml:space="preserve">- Celestic Town Elder
</t>
    </r>
    <r>
      <rPr>
        <rFont val="Arial"/>
        <b/>
        <color theme="1"/>
      </rPr>
      <t xml:space="preserve">PTBR
</t>
    </r>
    <r>
      <rPr>
        <rFont val="Arial"/>
        <b val="0"/>
        <color theme="1"/>
      </rPr>
      <t xml:space="preserve">- Iono
- Pokemon Center Lady
- Red
- Team Rocket Grunt
</t>
    </r>
    <r>
      <rPr>
        <rFont val="Arial"/>
        <b/>
        <color theme="1"/>
      </rPr>
      <t xml:space="preserve">Probable mistranlations :
Italian, PTBR
</t>
    </r>
    <r>
      <rPr>
        <rFont val="Arial"/>
        <b val="0"/>
        <color theme="1"/>
      </rPr>
      <t xml:space="preserve">- Paldean
</t>
    </r>
    <r>
      <rPr>
        <rFont val="Arial"/>
        <b/>
        <color theme="1"/>
      </rPr>
      <t xml:space="preserve">Known Issues
</t>
    </r>
    <r>
      <rPr>
        <rFont val="Arial"/>
        <b val="0"/>
        <color theme="1"/>
      </rPr>
      <t>- 2 card base mode &amp; playset mode not synergising properly</t>
    </r>
  </si>
  <si>
    <t>Language</t>
  </si>
  <si>
    <t>Best extension to get at least 1 new card across all 5 cards</t>
  </si>
  <si>
    <t>Best pack to open In extension</t>
  </si>
  <si>
    <t>English</t>
  </si>
  <si>
    <t>Use 2 cards as minimum</t>
  </si>
  <si>
    <t>Ordered extension by best pack</t>
  </si>
  <si>
    <t>Extension</t>
  </si>
  <si>
    <t>Best Pack</t>
  </si>
  <si>
    <t>Percentage</t>
  </si>
  <si>
    <t>PROMO-PACK</t>
  </si>
  <si>
    <t>GENETIC APEX</t>
  </si>
  <si>
    <t>TRIUMPHANT LIGHT</t>
  </si>
  <si>
    <t>Arceus</t>
  </si>
  <si>
    <t>MYTHICAL ISLAND</t>
  </si>
  <si>
    <t>A1a 031</t>
  </si>
  <si>
    <t>SPACE-TIME SMACKDOWN</t>
  </si>
  <si>
    <t>Palkia ex</t>
  </si>
  <si>
    <t>Charizard</t>
  </si>
  <si>
    <t>A2a 070</t>
  </si>
  <si>
    <t>Mew</t>
  </si>
  <si>
    <t>SHINING REVELRY</t>
  </si>
  <si>
    <t>A2b 043</t>
  </si>
  <si>
    <t>5.1.0</t>
  </si>
  <si>
    <t>Minor</t>
  </si>
  <si>
    <r>
      <rPr>
        <rFont val="Arial"/>
        <b/>
        <color theme="1"/>
      </rPr>
      <t xml:space="preserve">Additions
</t>
    </r>
    <r>
      <rPr>
        <rFont val="Arial"/>
        <b val="0"/>
        <color theme="1"/>
      </rPr>
      <t>- Added red coloring in deck builder if you have too many cards in the planned deck
- Added support for Shining Revelry extention</t>
    </r>
  </si>
  <si>
    <t>5.0.0</t>
  </si>
  <si>
    <t>Major</t>
  </si>
  <si>
    <r>
      <rPr>
        <rFont val="Arial"/>
        <b/>
        <color theme="1"/>
      </rPr>
      <t xml:space="preserve">Additions
</t>
    </r>
    <r>
      <rPr>
        <rFont val="Arial"/>
        <b val="0"/>
        <color theme="1"/>
      </rPr>
      <t>- Added cards up to Manaphy wonder pick event</t>
    </r>
    <r>
      <rPr>
        <rFont val="Arial"/>
        <b/>
        <color theme="1"/>
      </rPr>
      <t xml:space="preserve">
</t>
    </r>
    <r>
      <rPr>
        <rFont val="Arial"/>
        <b val="0"/>
        <color theme="1"/>
      </rPr>
      <t>- Added a card builder module, based on _rydek's own implemenation</t>
    </r>
    <r>
      <rPr>
        <rFont val="Arial"/>
        <b/>
        <color theme="1"/>
      </rPr>
      <t xml:space="preserve">
Fixes
</t>
    </r>
    <r>
      <rPr>
        <rFont val="Arial"/>
        <b val="0"/>
        <color theme="1"/>
      </rPr>
      <t>- Brazilian Portuguese language is now fully written
- Celestic Town Elder is now properly writen in all languages</t>
    </r>
  </si>
  <si>
    <t>4.3.0</t>
  </si>
  <si>
    <r>
      <rPr>
        <rFont val="Arial"/>
        <b/>
        <color theme="1"/>
      </rPr>
      <t xml:space="preserve">Additions
</t>
    </r>
    <r>
      <rPr>
        <rFont val="Arial"/>
        <b val="0"/>
        <color theme="1"/>
      </rPr>
      <t>- Added 2 Brazilian Portuguese languages since the 2 provided had minor differences, differences in the front note
- Added the best pack to open in the best extension in the home page, as well as an ordered table of the best packs in each extension</t>
    </r>
    <r>
      <rPr>
        <rFont val="Arial"/>
        <b/>
        <color theme="1"/>
      </rPr>
      <t xml:space="preserve">
NOTE : Headers are currenly untranslated
Fixes
</t>
    </r>
    <r>
      <rPr>
        <rFont val="Arial"/>
        <b val="0"/>
        <color theme="1"/>
      </rPr>
      <t xml:space="preserve">
- Team Galactic Grunt is now properly writen in Italian</t>
    </r>
  </si>
  <si>
    <t>4.2.0</t>
  </si>
  <si>
    <r>
      <rPr>
        <rFont val="Arial"/>
        <b/>
        <color theme="1"/>
      </rPr>
      <t xml:space="preserve">Additions
</t>
    </r>
    <r>
      <rPr>
        <rFont val="Arial"/>
        <b val="0"/>
        <color theme="1"/>
      </rPr>
      <t xml:space="preserve">- Added Promo-A cards all the way to P-A 041 Togepi
- Credit Page to thank everyone who has been helping the development, be it through proposing modules, reporting bugs or fixing translations
</t>
    </r>
    <r>
      <rPr>
        <rFont val="Arial"/>
        <b/>
        <color theme="1"/>
      </rPr>
      <t xml:space="preserve">
Fixes
</t>
    </r>
    <r>
      <rPr>
        <rFont val="Arial"/>
        <b val="0"/>
        <color theme="1"/>
      </rPr>
      <t>- Free mission, Premium mission, Shop, Wonder Pick, Promo pack, Developer's gift are now properly writen in German
- X Speed is now properly written in Italian
- Collection summary and % values in column F,G,H now works in all languages
- Fixed Registeel, crown Dialga and crown Palkia's packs in Space-Time Smackdown
- Changed Palkia's pack color to better differenciate with Dialga's
- Fixed calculation formulas, curtesy of tatufdez</t>
    </r>
  </si>
  <si>
    <t>4.1.2</t>
  </si>
  <si>
    <t>Hotfix</t>
  </si>
  <si>
    <r>
      <rPr>
        <rFont val="Arial"/>
        <b/>
        <color theme="1"/>
      </rPr>
      <t xml:space="preserve">Fixes
</t>
    </r>
    <r>
      <rPr>
        <rFont val="Arial"/>
        <b val="0"/>
        <color theme="1"/>
      </rPr>
      <t>- Free mission, shop, Wonder Pick, Promo pack, Team Galactic Grunts are now properly written in spanish
- Wonder Pick is now properly written in Italian
- Mythical Slab, Budding Expeditioner, Giant Cape are now filled in Italian</t>
    </r>
  </si>
  <si>
    <t>4.1.1</t>
  </si>
  <si>
    <r>
      <rPr>
        <rFont val="Arial"/>
        <b/>
        <color theme="1"/>
      </rPr>
      <t xml:space="preserve">Fixes
</t>
    </r>
    <r>
      <rPr>
        <rFont val="Arial"/>
        <b val="0"/>
        <color theme="1"/>
      </rPr>
      <t>- Auguste is now properly written in french
- Lickilicky is now properly marked as EX
- Inverted Wash and Frost Rotoms in the database</t>
    </r>
  </si>
  <si>
    <t>4.1.0</t>
  </si>
  <si>
    <r>
      <rPr>
        <rFont val="Arial"/>
        <b/>
        <color theme="1"/>
        <sz val="10.0"/>
      </rPr>
      <t xml:space="preserve">Additions
</t>
    </r>
    <r>
      <rPr>
        <rFont val="Arial"/>
        <b val="0"/>
        <color theme="1"/>
        <sz val="10.0"/>
      </rPr>
      <t xml:space="preserve">- Added Promo-A 034 Piplup mission card
</t>
    </r>
    <r>
      <rPr>
        <rFont val="Arial"/>
        <b/>
        <color theme="1"/>
        <sz val="10.0"/>
      </rPr>
      <t>-</t>
    </r>
    <r>
      <rPr>
        <rFont val="Arial"/>
        <b val="0"/>
        <color theme="1"/>
        <sz val="10.0"/>
      </rPr>
      <t xml:space="preserve"> Added Premium Mission source to differenciate with premium missions
</t>
    </r>
    <r>
      <rPr>
        <rFont val="Arial"/>
        <b/>
        <color theme="1"/>
        <sz val="10.0"/>
      </rPr>
      <t xml:space="preserve">Fixes
</t>
    </r>
    <r>
      <rPr>
        <rFont val="Arial"/>
        <b val="0"/>
        <color theme="1"/>
        <sz val="10.0"/>
      </rPr>
      <t>- A1 056 Blastoise EX is now properly filled in pointers tab
- A1 096 Pikachu EX is now properly filled in pointers tab
- P-A 014 Lapras EX is now properly filled in pointers tab
- Developer' gift is now properly written
- Changed Promo-A automated ownership formula to now use the home page's checkbox like all other pages</t>
    </r>
  </si>
  <si>
    <t>4.0.0</t>
  </si>
  <si>
    <r>
      <rPr>
        <rFont val="Arial"/>
        <b/>
        <color theme="1"/>
      </rPr>
      <t xml:space="preserve">Additions
</t>
    </r>
    <r>
      <rPr>
        <rFont val="Arial"/>
        <color theme="1"/>
      </rPr>
      <t xml:space="preserve">- Added dynamic localization system wich supports :
    - English
    - French
    - German
    - Spanish
    - Italian
    - Japanese
    - Romaji
- Added sheets and cards up to Space-Time Smackdown's release
- Added manual and automated versions
</t>
    </r>
    <r>
      <rPr>
        <rFont val="Arial"/>
        <b/>
        <color theme="1"/>
      </rPr>
      <t xml:space="preserve">Fixes
</t>
    </r>
    <r>
      <rPr>
        <rFont val="Arial"/>
        <color theme="1"/>
      </rPr>
      <t>- Modified Mew's Regex  to properly count cards, especially regarding ones with the samee staring name, or ones with special characters not handled by google sheets i.e: both Nidorans</t>
    </r>
  </si>
  <si>
    <r>
      <rPr>
        <rFont val="Arial"/>
        <b/>
        <color theme="1"/>
      </rPr>
      <t xml:space="preserve">Translations
- Italian
</t>
    </r>
    <r>
      <rPr>
        <rFont val="Arial"/>
        <b val="0"/>
        <color theme="1"/>
      </rPr>
      <t xml:space="preserve">    - marcoship
    - Impossible-Leave-484
    - RayRJJackson
    - smitchis
    - rminafra</t>
    </r>
    <r>
      <rPr>
        <rFont val="Arial"/>
        <b/>
        <color theme="1"/>
      </rPr>
      <t xml:space="preserve">
- German
</t>
    </r>
    <r>
      <rPr>
        <rFont val="Arial"/>
        <b val="0"/>
        <color theme="1"/>
      </rPr>
      <t xml:space="preserve">    - patri82
    - _DeeKay_
    - RehGras
    - KuraikoDesu</t>
    </r>
    <r>
      <rPr>
        <rFont val="Arial"/>
        <b/>
        <color theme="1"/>
      </rPr>
      <t xml:space="preserve">
- Spanish
</t>
    </r>
    <r>
      <rPr>
        <rFont val="Arial"/>
        <b val="0"/>
        <color theme="1"/>
      </rPr>
      <t xml:space="preserve">    - puerta06
</t>
    </r>
    <r>
      <rPr>
        <rFont val="Arial"/>
        <b/>
        <color theme="1"/>
      </rPr>
      <t xml:space="preserve">- Brazilian Portugese
</t>
    </r>
    <r>
      <rPr>
        <rFont val="Arial"/>
        <b val="0"/>
        <color theme="1"/>
      </rPr>
      <t xml:space="preserve">    - Lucas_Yuki
    - SquareProgress6059
    - Kikwang0000
    - Grac0s</t>
    </r>
  </si>
  <si>
    <r>
      <rPr>
        <rFont val="Arial"/>
        <b/>
        <color theme="1"/>
      </rPr>
      <t xml:space="preserve">Bug reports
</t>
    </r>
    <r>
      <rPr>
        <rFont val="Arial"/>
        <b val="0"/>
        <color theme="1"/>
      </rPr>
      <t>- Rhino_aus
- Ashe_24
- Grub3r
- ZVAARI
- CoolDudeJosh
- MysteriousMorning34
- NirtuavLuap
- Piinak69
- Soggy_Shame_3331
- meafk2444
- Hotshot0247</t>
    </r>
  </si>
  <si>
    <r>
      <rPr>
        <rFont val="Arial"/>
        <b/>
        <color theme="1"/>
      </rPr>
      <t xml:space="preserve">Fixes
</t>
    </r>
    <r>
      <rPr>
        <rFont val="Arial"/>
        <b val="0"/>
        <color theme="1"/>
      </rPr>
      <t>- tatufdez : Probability calculations</t>
    </r>
  </si>
  <si>
    <r>
      <rPr>
        <rFont val="Arial"/>
        <b/>
        <color theme="1"/>
      </rPr>
      <t xml:space="preserve">Modules
</t>
    </r>
    <r>
      <rPr>
        <rFont val="Arial"/>
        <b val="0"/>
        <color theme="1"/>
      </rPr>
      <t>- _rydek : Card Builder</t>
    </r>
  </si>
  <si>
    <t>Ver 4</t>
  </si>
  <si>
    <t>Card ID</t>
  </si>
  <si>
    <t>Card</t>
  </si>
  <si>
    <t>Pack</t>
  </si>
  <si>
    <t>Rarity</t>
  </si>
  <si>
    <t>First-third cards</t>
  </si>
  <si>
    <t>Fourth card</t>
  </si>
  <si>
    <t>Fifth card</t>
  </si>
  <si>
    <t>Notes</t>
  </si>
  <si>
    <t># of cards</t>
  </si>
  <si>
    <t>Ver 4.3.0</t>
  </si>
  <si>
    <t>Description</t>
  </si>
  <si>
    <t>Missing cards</t>
  </si>
  <si>
    <t>Mew card?</t>
  </si>
  <si>
    <t>A1 001</t>
  </si>
  <si>
    <t>Rate by rarity</t>
  </si>
  <si>
    <t>This is the odds for you to pull a card of a specific rarity across the 1st through 3rd cards, 4th card, and 5th card. The liklyhood to pull a specific card in columns G, H, and I pull from these rates, so they can be easily configured for future expansions.
Note that the 4th card is not necissarily the 4th card you draw, it can show up as the first, second or third card in a pack. The important thing is that you only get one</t>
  </si>
  <si>
    <t>A1 002</t>
  </si>
  <si>
    <t>♢</t>
  </si>
  <si>
    <t>A1 003</t>
  </si>
  <si>
    <t>♢♢</t>
  </si>
  <si>
    <t>A1 004</t>
  </si>
  <si>
    <t>♢♢♢</t>
  </si>
  <si>
    <t>A1 005</t>
  </si>
  <si>
    <t>♢♢♢♢</t>
  </si>
  <si>
    <t>A1 006</t>
  </si>
  <si>
    <t>☆</t>
  </si>
  <si>
    <t>A1 007</t>
  </si>
  <si>
    <t>☆☆</t>
  </si>
  <si>
    <t>A1 008</t>
  </si>
  <si>
    <t>☆☆☆</t>
  </si>
  <si>
    <t>A1 009</t>
  </si>
  <si>
    <t>♛</t>
  </si>
  <si>
    <t>A1 010</t>
  </si>
  <si>
    <t>Collection Summary</t>
  </si>
  <si>
    <r>
      <rPr>
        <rFont val="Arial"/>
        <color theme="1"/>
        <sz val="10.0"/>
      </rPr>
      <t xml:space="preserve">This is a summary fo your collection as defined by pack. Basically, this shows you how many of a packs </t>
    </r>
    <r>
      <rPr>
        <rFont val="Arial"/>
        <i/>
        <color theme="1"/>
        <sz val="10.0"/>
      </rPr>
      <t>potential</t>
    </r>
    <r>
      <rPr>
        <rFont val="Arial"/>
        <color theme="1"/>
        <sz val="10.0"/>
      </rPr>
      <t xml:space="preserve"> cards you own. For example, the </t>
    </r>
    <r>
      <rPr>
        <rFont val="Arial"/>
        <b/>
        <color rgb="FFB4A7D6"/>
        <sz val="10.0"/>
      </rPr>
      <t>Mewtwo</t>
    </r>
    <r>
      <rPr>
        <rFont val="Arial"/>
        <b/>
        <color theme="1"/>
        <sz val="10.0"/>
      </rPr>
      <t xml:space="preserve"> </t>
    </r>
    <r>
      <rPr>
        <rFont val="Arial"/>
        <color theme="1"/>
        <sz val="10.0"/>
      </rPr>
      <t xml:space="preserve">row is taking into account all of the cards that are </t>
    </r>
    <r>
      <rPr>
        <rFont val="Arial"/>
        <i/>
        <color theme="1"/>
        <sz val="10.0"/>
      </rPr>
      <t>exclusive</t>
    </r>
    <r>
      <rPr>
        <rFont val="Arial"/>
        <color theme="1"/>
        <sz val="10.0"/>
      </rPr>
      <t xml:space="preserve"> to the </t>
    </r>
    <r>
      <rPr>
        <rFont val="Arial"/>
        <b/>
        <color rgb="FFB4A7D6"/>
        <sz val="10.0"/>
      </rPr>
      <t xml:space="preserve">Mewtwo </t>
    </r>
    <r>
      <rPr>
        <rFont val="Arial"/>
        <color theme="1"/>
        <sz val="10.0"/>
      </rPr>
      <t xml:space="preserve">pack, and the cards that can be found in </t>
    </r>
    <r>
      <rPr>
        <rFont val="Arial"/>
        <i/>
        <color theme="1"/>
        <sz val="10.0"/>
      </rPr>
      <t>all</t>
    </r>
    <r>
      <rPr>
        <rFont val="Arial"/>
        <color theme="1"/>
        <sz val="10.0"/>
      </rPr>
      <t xml:space="preserve"> packs. The </t>
    </r>
    <r>
      <rPr>
        <rFont val="Arial"/>
        <i/>
        <color theme="1"/>
        <sz val="10.0"/>
      </rPr>
      <t>Pack with the most missing cards</t>
    </r>
    <r>
      <rPr>
        <rFont val="Arial"/>
        <color theme="1"/>
        <sz val="10.0"/>
      </rPr>
      <t xml:space="preserve"> section can be used to decide what pack to open if you want a quick, simple answer. For a more accurate result, see </t>
    </r>
    <r>
      <rPr>
        <rFont val="Arial"/>
        <b/>
        <color rgb="FF1155CC"/>
        <sz val="10.0"/>
      </rPr>
      <t>Chance to get a new card</t>
    </r>
  </si>
  <si>
    <t>A1 011</t>
  </si>
  <si>
    <t>A1 012</t>
  </si>
  <si>
    <t>*These totals includes cards found across all packs</t>
  </si>
  <si>
    <t>% Owned</t>
  </si>
  <si>
    <t>% Missing</t>
  </si>
  <si>
    <t>Fraction</t>
  </si>
  <si>
    <t>A1 013</t>
  </si>
  <si>
    <t>Total</t>
  </si>
  <si>
    <t>A1 014</t>
  </si>
  <si>
    <t>A1 015</t>
  </si>
  <si>
    <t>A1 016</t>
  </si>
  <si>
    <t>A1 017</t>
  </si>
  <si>
    <t>Pack with most missing cards</t>
  </si>
  <si>
    <t>A1 018</t>
  </si>
  <si>
    <t>A1 019</t>
  </si>
  <si>
    <t>Advanced Filtering</t>
  </si>
  <si>
    <r>
      <rPr>
        <rFont val="Arial"/>
        <color theme="1"/>
        <sz val="10.0"/>
      </rPr>
      <t xml:space="preserve">This is the </t>
    </r>
    <r>
      <rPr>
        <rFont val="Arial"/>
        <b/>
        <color rgb="FF1155CC"/>
        <sz val="10.0"/>
      </rPr>
      <t>Advanced Filtering</t>
    </r>
    <r>
      <rPr>
        <rFont val="Arial"/>
        <color theme="1"/>
        <sz val="10.0"/>
      </rPr>
      <t xml:space="preserve"> section. Here you can select what rarities the calculations will take into account. For example, if you only want to hunt rare cards, you can exclude the ♢ cards. Note that this only effects calculations in the </t>
    </r>
    <r>
      <rPr>
        <rFont val="Arial"/>
        <b/>
        <color rgb="FF1155CC"/>
        <sz val="10.0"/>
      </rPr>
      <t>dark blue</t>
    </r>
    <r>
      <rPr>
        <rFont val="Arial"/>
        <color theme="1"/>
        <sz val="10.0"/>
      </rPr>
      <t xml:space="preserve"> box</t>
    </r>
  </si>
  <si>
    <t>A1 020</t>
  </si>
  <si>
    <t>A1 021</t>
  </si>
  <si>
    <t>A1 022</t>
  </si>
  <si>
    <t>A1 023</t>
  </si>
  <si>
    <t>A1 024</t>
  </si>
  <si>
    <t>A1 025</t>
  </si>
  <si>
    <t>Playset mode</t>
  </si>
  <si>
    <t>Use # of cards</t>
  </si>
  <si>
    <t>A1 026</t>
  </si>
  <si>
    <t>Card Count</t>
  </si>
  <si>
    <r>
      <rPr>
        <rFont val="Arial"/>
        <color theme="1"/>
        <sz val="10.0"/>
      </rPr>
      <t xml:space="preserve">This section is very simmilar to the </t>
    </r>
    <r>
      <rPr>
        <rFont val="Arial"/>
        <b/>
        <color theme="1"/>
        <sz val="10.0"/>
      </rPr>
      <t>Collection Summary</t>
    </r>
    <r>
      <rPr>
        <rFont val="Arial"/>
        <color theme="1"/>
        <sz val="10.0"/>
      </rPr>
      <t xml:space="preserve">, with the key difference being that pack calculations do not include cards found acoss all packs, and that it is effected by </t>
    </r>
    <r>
      <rPr>
        <rFont val="Arial"/>
        <b/>
        <color rgb="FF1155CC"/>
        <sz val="10.0"/>
      </rPr>
      <t>Advanced Filtering</t>
    </r>
  </si>
  <si>
    <t>A1 027</t>
  </si>
  <si>
    <r>
      <rPr>
        <rFont val="Arial"/>
        <color theme="1"/>
        <sz val="5.0"/>
      </rPr>
      <t xml:space="preserve">*These totals </t>
    </r>
    <r>
      <rPr>
        <rFont val="Arial"/>
        <b/>
        <color theme="1"/>
        <sz val="5.0"/>
      </rPr>
      <t xml:space="preserve">DON'T </t>
    </r>
    <r>
      <rPr>
        <rFont val="Arial"/>
        <color theme="1"/>
        <sz val="5.0"/>
      </rPr>
      <t>include cards found across all packs</t>
    </r>
  </si>
  <si>
    <t>A1 028</t>
  </si>
  <si>
    <t>A1 029</t>
  </si>
  <si>
    <t>A1 030</t>
  </si>
  <si>
    <t>A1 031</t>
  </si>
  <si>
    <t>A1 032</t>
  </si>
  <si>
    <t>A1 033</t>
  </si>
  <si>
    <t>A1 034</t>
  </si>
  <si>
    <t>A1 035</t>
  </si>
  <si>
    <t>Chance to get a new card</t>
  </si>
  <si>
    <r>
      <rPr>
        <rFont val="Arial"/>
        <color theme="1"/>
        <sz val="10.0"/>
      </rPr>
      <t xml:space="preserve">The </t>
    </r>
    <r>
      <rPr>
        <rFont val="Arial"/>
        <b/>
        <color rgb="FF1155CC"/>
        <sz val="10.0"/>
      </rPr>
      <t>Chance to get a new card</t>
    </r>
    <r>
      <rPr>
        <rFont val="Arial"/>
        <color theme="1"/>
        <sz val="10.0"/>
      </rPr>
      <t xml:space="preserve"> section sums the odds of every card you do not own and displays them by card number. For example, if you are missing 3 ♢ cards in the </t>
    </r>
    <r>
      <rPr>
        <rFont val="Arial"/>
        <b/>
        <color rgb="FFB4A7D6"/>
        <sz val="10.0"/>
      </rPr>
      <t>Mewtwo</t>
    </r>
    <r>
      <rPr>
        <rFont val="Arial"/>
        <color rgb="FFB4A7D6"/>
        <sz val="10.0"/>
      </rPr>
      <t xml:space="preserve"> </t>
    </r>
    <r>
      <rPr>
        <rFont val="Arial"/>
        <color theme="1"/>
        <sz val="10.0"/>
      </rPr>
      <t xml:space="preserve">collection, and each one has 2% chance to be pulled, then you would have a 6% chance to get one of them. Like Collection Summary, these calculations include cards found across all packs. </t>
    </r>
  </si>
  <si>
    <t>A1 036</t>
  </si>
  <si>
    <t>A1 037</t>
  </si>
  <si>
    <t>A1 038</t>
  </si>
  <si>
    <t>A1 039</t>
  </si>
  <si>
    <t>A1 040</t>
  </si>
  <si>
    <t>Best pack to open (% chance)</t>
  </si>
  <si>
    <t>A1 041</t>
  </si>
  <si>
    <t>A1 042</t>
  </si>
  <si>
    <t>Chance to get at least 1 new card across all 5 cards</t>
  </si>
  <si>
    <t>This section calculates the odds for you to get at least 1 new card out of each pack, and tells you which pack has the highest chance to get you new cards. This is probably the pack you should always pick</t>
  </si>
  <si>
    <t>A1 043</t>
  </si>
  <si>
    <t>Best pack to open (% chance, all cards)</t>
  </si>
  <si>
    <t>A1 044</t>
  </si>
  <si>
    <t>A1 045</t>
  </si>
  <si>
    <t>A1 046</t>
  </si>
  <si>
    <t>Mew Tracker</t>
  </si>
  <si>
    <r>
      <rPr>
        <rFont val="Arial"/>
        <color theme="1"/>
      </rPr>
      <t xml:space="preserve">This section is simmilar to </t>
    </r>
    <r>
      <rPr>
        <rFont val="Arial"/>
        <b/>
        <color rgb="FF1155CC"/>
      </rPr>
      <t>Card Count</t>
    </r>
    <r>
      <rPr>
        <rFont val="Arial"/>
        <color theme="1"/>
      </rPr>
      <t xml:space="preserve"> except it only considers cards who's name matches one of the names in the </t>
    </r>
    <r>
      <rPr>
        <rFont val="Arial"/>
        <b/>
        <color theme="1"/>
      </rPr>
      <t>M48</t>
    </r>
    <r>
      <rPr>
        <rFont val="Arial"/>
        <color theme="1"/>
      </rPr>
      <t xml:space="preserve"> cell, so it only considers the first 150 Pokemon. By doing it this way, it can be easily configured into a Celebi tracker or something simmilar for future expansions
The formulas are incredibly scuffed, but they work. I encourage you to try and improve them, but be warned, you should do extensive testing before deciding what you have made works</t>
    </r>
  </si>
  <si>
    <t>A1 047</t>
  </si>
  <si>
    <t>A1 048</t>
  </si>
  <si>
    <t>*There are cards in multiple packs. The totals won't add up</t>
  </si>
  <si>
    <t>A1 049</t>
  </si>
  <si>
    <t>A1 050</t>
  </si>
  <si>
    <t>A1 051</t>
  </si>
  <si>
    <t>A1 052</t>
  </si>
  <si>
    <t>A1 053</t>
  </si>
  <si>
    <t>A1 054</t>
  </si>
  <si>
    <t>A1 055</t>
  </si>
  <si>
    <t>A1 056</t>
  </si>
  <si>
    <t>Chance to get a new Mew card</t>
  </si>
  <si>
    <r>
      <rPr>
        <sz val="10.0"/>
      </rPr>
      <t xml:space="preserve">Simmilar to </t>
    </r>
    <r>
      <rPr>
        <b/>
        <color rgb="FF1155CC"/>
        <sz val="10.0"/>
      </rPr>
      <t>Chance to get a new card</t>
    </r>
    <r>
      <rPr>
        <sz val="10.0"/>
      </rPr>
      <t xml:space="preserve">, but only counting Mew cards in the same way that </t>
    </r>
    <r>
      <rPr>
        <b/>
        <color rgb="FFFF00FF"/>
        <sz val="10.0"/>
      </rPr>
      <t>Mew Tracker</t>
    </r>
    <r>
      <rPr>
        <sz val="10.0"/>
      </rPr>
      <t xml:space="preserve"> does. Not very helpful, but necessary for the next section
This used to be broken beyond repair, but the incredibly intiligent </t>
    </r>
    <r>
      <rPr>
        <color rgb="FF1155CC"/>
        <sz val="10.0"/>
        <u/>
      </rPr>
      <t>u/ratufdez</t>
    </r>
    <r>
      <rPr>
        <sz val="10.0"/>
      </rPr>
      <t xml:space="preserve"> solved it</t>
    </r>
  </si>
  <si>
    <t>A1 057</t>
  </si>
  <si>
    <t>A1 058</t>
  </si>
  <si>
    <t>A1 059</t>
  </si>
  <si>
    <t>A1 060</t>
  </si>
  <si>
    <t>A1 061</t>
  </si>
  <si>
    <t>A1 062</t>
  </si>
  <si>
    <t>A1 063</t>
  </si>
  <si>
    <t>Chance to get at least 1 Mew card across all 5 cards</t>
  </si>
  <si>
    <t>If you are going for unlocking Mew, this should be the pack you pick</t>
  </si>
  <si>
    <t>A1 064</t>
  </si>
  <si>
    <t>Best pack to open to unlock Mew</t>
  </si>
  <si>
    <t>A1 065</t>
  </si>
  <si>
    <t>A1 066</t>
  </si>
  <si>
    <t>A1 067</t>
  </si>
  <si>
    <t>Instructions for on how to adapt this spreadsheet for future expansions</t>
  </si>
  <si>
    <t>A1 068</t>
  </si>
  <si>
    <t>A1 069</t>
  </si>
  <si>
    <t>One of the key points I had when making this spreadsheet was making sure it was as easy as possible to adapt for future expansions. I intend to keep updating this for a while, but there will come a time when my interest in the game has waned and someone else will have to pick up the slack</t>
  </si>
  <si>
    <t>A1 070</t>
  </si>
  <si>
    <t>A1 071</t>
  </si>
  <si>
    <t>A1 072</t>
  </si>
  <si>
    <t>A1 073</t>
  </si>
  <si>
    <t>A1 074</t>
  </si>
  <si>
    <t>A1 075</t>
  </si>
  <si>
    <r>
      <rPr>
        <rFont val="Arial"/>
        <color theme="1"/>
        <sz val="10.0"/>
      </rPr>
      <t xml:space="preserve">With that in mind, I crafted this spreadsheet so that there is as little manual labor required to update it as possible. Unless I forgot something, there should only be 2 steps: </t>
    </r>
    <r>
      <rPr>
        <rFont val="Arial"/>
        <b/>
        <color theme="1"/>
        <sz val="10.0"/>
      </rPr>
      <t>Conditioanl formatting</t>
    </r>
    <r>
      <rPr>
        <rFont val="Arial"/>
        <color theme="1"/>
        <sz val="10.0"/>
      </rPr>
      <t xml:space="preserve"> and </t>
    </r>
    <r>
      <rPr>
        <rFont val="Arial"/>
        <b/>
        <color theme="1"/>
        <sz val="10.0"/>
      </rPr>
      <t>Data entry</t>
    </r>
  </si>
  <si>
    <t>A1 076</t>
  </si>
  <si>
    <t>A1 077</t>
  </si>
  <si>
    <t>A1 078</t>
  </si>
  <si>
    <t>A1 079</t>
  </si>
  <si>
    <t>Step 0: Purging</t>
  </si>
  <si>
    <t>A1 080</t>
  </si>
  <si>
    <t>A1 081</t>
  </si>
  <si>
    <t>Right off the bat I've broken my two step rule. Don't worry though, this one is easy. All you have to do is click the little arrow by the expansion name (Genetic Apex) and click duplicate. The we just have to delete everything in columns C, D, E, and F. Now just rename the new sheet with the same arrow as before, and you're done!</t>
  </si>
  <si>
    <t>A1 082</t>
  </si>
  <si>
    <t>A1 083</t>
  </si>
  <si>
    <t>A1 084</t>
  </si>
  <si>
    <t>A1 085</t>
  </si>
  <si>
    <t>A1 086</t>
  </si>
  <si>
    <t>A1 087</t>
  </si>
  <si>
    <t>A1 088</t>
  </si>
  <si>
    <t>Step 1: Conditional Formatting</t>
  </si>
  <si>
    <t>A1 089</t>
  </si>
  <si>
    <t>A1 090</t>
  </si>
  <si>
    <r>
      <rPr>
        <rFont val="Arial"/>
        <color theme="1"/>
        <sz val="10.0"/>
      </rPr>
      <t xml:space="preserve">You probably noticed that when you deleted the data, all of the rows turned white. This is because of </t>
    </r>
    <r>
      <rPr>
        <rFont val="Arial"/>
        <b/>
        <color theme="1"/>
        <sz val="10.0"/>
      </rPr>
      <t>Conditional Formatting</t>
    </r>
    <r>
      <rPr>
        <rFont val="Arial"/>
        <color theme="1"/>
        <sz val="10.0"/>
      </rPr>
      <t>, and it's the same thing that makes the boxes for number of cards turn green when you have 2 or more. We will be using this to automatically color code our whole spreadsheet</t>
    </r>
  </si>
  <si>
    <t>A1 091</t>
  </si>
  <si>
    <t>A1 092</t>
  </si>
  <si>
    <t>A1 093</t>
  </si>
  <si>
    <t>A1 094</t>
  </si>
  <si>
    <t>A1 095</t>
  </si>
  <si>
    <t>A1 096</t>
  </si>
  <si>
    <r>
      <rPr>
        <rFont val="Arial"/>
        <color theme="1"/>
        <sz val="10.0"/>
      </rPr>
      <t xml:space="preserve">The first thing we have to do is replace the remaining pack names still left on the spreadsheet with whatever the new packs are. For this example let's say the new packs are </t>
    </r>
    <r>
      <rPr>
        <rFont val="Arial"/>
        <b/>
        <color theme="1"/>
        <sz val="10.0"/>
      </rPr>
      <t>Mewthree</t>
    </r>
    <r>
      <rPr>
        <rFont val="Arial"/>
        <color theme="1"/>
        <sz val="10.0"/>
      </rPr>
      <t xml:space="preserve">, </t>
    </r>
    <r>
      <rPr>
        <rFont val="Arial"/>
        <b/>
        <color theme="1"/>
        <sz val="10.0"/>
      </rPr>
      <t>Pikablu</t>
    </r>
    <r>
      <rPr>
        <rFont val="Arial"/>
        <color theme="1"/>
        <sz val="10.0"/>
      </rPr>
      <t xml:space="preserve">, and </t>
    </r>
    <r>
      <rPr>
        <rFont val="Arial"/>
        <b/>
        <color theme="1"/>
        <sz val="10.0"/>
      </rPr>
      <t>MissingNo</t>
    </r>
    <r>
      <rPr>
        <rFont val="Arial"/>
        <color theme="1"/>
        <sz val="10.0"/>
      </rPr>
      <t xml:space="preserve">. All we have to do is press Ctrl + H to bring up the find and replace window. Then we simply replace each old pack with the new pack. In our example, we would </t>
    </r>
    <r>
      <rPr>
        <rFont val="Arial"/>
        <i/>
        <color theme="1"/>
        <sz val="10.0"/>
      </rPr>
      <t>Find</t>
    </r>
    <r>
      <rPr>
        <rFont val="Arial"/>
        <color theme="1"/>
        <sz val="10.0"/>
      </rPr>
      <t xml:space="preserve"> </t>
    </r>
    <r>
      <rPr>
        <rFont val="Arial"/>
        <b/>
        <color theme="1"/>
        <sz val="10.0"/>
      </rPr>
      <t>Mewtwo</t>
    </r>
    <r>
      <rPr>
        <rFont val="Arial"/>
        <color theme="1"/>
        <sz val="10.0"/>
      </rPr>
      <t xml:space="preserve">, </t>
    </r>
    <r>
      <rPr>
        <rFont val="Arial"/>
        <i/>
        <color theme="1"/>
        <sz val="10.0"/>
      </rPr>
      <t>Replace with</t>
    </r>
    <r>
      <rPr>
        <rFont val="Arial"/>
        <color theme="1"/>
        <sz val="10.0"/>
      </rPr>
      <t xml:space="preserve"> </t>
    </r>
    <r>
      <rPr>
        <rFont val="Arial"/>
        <b/>
        <color theme="1"/>
        <sz val="10.0"/>
      </rPr>
      <t xml:space="preserve">Mewthree </t>
    </r>
    <r>
      <rPr>
        <rFont val="Arial"/>
        <color theme="1"/>
        <sz val="10.0"/>
      </rPr>
      <t xml:space="preserve">and press </t>
    </r>
    <r>
      <rPr>
        <rFont val="Arial"/>
        <i/>
        <color theme="1"/>
        <sz val="10.0"/>
      </rPr>
      <t>Replace all</t>
    </r>
    <r>
      <rPr>
        <rFont val="Arial"/>
        <color theme="1"/>
        <sz val="10.0"/>
      </rPr>
      <t>. The we just repeat the process with Pikablu and MissingNo replacing Pikachu and Charizard respectively.</t>
    </r>
  </si>
  <si>
    <t>A1 097</t>
  </si>
  <si>
    <t>A1 098</t>
  </si>
  <si>
    <t>A1 099</t>
  </si>
  <si>
    <t>A1 100</t>
  </si>
  <si>
    <t>A1 101</t>
  </si>
  <si>
    <t>A1 102</t>
  </si>
  <si>
    <t>A1 103</t>
  </si>
  <si>
    <t>A1 104</t>
  </si>
  <si>
    <t>A1 105</t>
  </si>
  <si>
    <t>A1 106</t>
  </si>
  <si>
    <r>
      <rPr>
        <rFont val="Arial"/>
        <color theme="1"/>
        <sz val="10.0"/>
      </rPr>
      <t xml:space="preserve">Next, we have to change the conditional formatting rules. For now, click on cell </t>
    </r>
    <r>
      <rPr>
        <rFont val="Arial"/>
        <b/>
        <color theme="1"/>
        <sz val="10.0"/>
      </rPr>
      <t>B2</t>
    </r>
    <r>
      <rPr>
        <rFont val="Arial"/>
        <color theme="1"/>
        <sz val="10.0"/>
      </rPr>
      <t xml:space="preserve">  and click Format -&gt; Conditional formatting. That will bring up the rules for coloring that I have set for that chunk of cells. All you have to do is change it ot an appropriate color, and change the name that it's looking for. In our example, we would change the yellow rule that looks for </t>
    </r>
    <r>
      <rPr>
        <rFont val="Arial"/>
        <b/>
        <color theme="1"/>
        <sz val="10.0"/>
      </rPr>
      <t>Pikachu</t>
    </r>
    <r>
      <rPr>
        <rFont val="Arial"/>
        <color theme="1"/>
        <sz val="10.0"/>
      </rPr>
      <t xml:space="preserve"> into a blue rule that looks for </t>
    </r>
    <r>
      <rPr>
        <rFont val="Arial"/>
        <b/>
        <color theme="1"/>
        <sz val="10.0"/>
      </rPr>
      <t>Pikablu</t>
    </r>
    <r>
      <rPr>
        <rFont val="Arial"/>
        <color theme="1"/>
        <sz val="10.0"/>
      </rPr>
      <t>. To do this simply click the rule, change the text to the new name (making sure to keep the "quotation marks") and click the bucket to change the color. Remember that a lighter background color is easier to read!</t>
    </r>
  </si>
  <si>
    <t>A1 107</t>
  </si>
  <si>
    <t>A1 108</t>
  </si>
  <si>
    <t>A1 109</t>
  </si>
  <si>
    <t>A1 110</t>
  </si>
  <si>
    <t>A1 111</t>
  </si>
  <si>
    <t>A1 112</t>
  </si>
  <si>
    <t>A1 113</t>
  </si>
  <si>
    <t>A1 114</t>
  </si>
  <si>
    <t>A1 115</t>
  </si>
  <si>
    <t>A1 116</t>
  </si>
  <si>
    <t>A1 117</t>
  </si>
  <si>
    <t>A1 118</t>
  </si>
  <si>
    <r>
      <rPr>
        <rFont val="Arial"/>
        <color theme="1"/>
        <sz val="10.0"/>
      </rPr>
      <t xml:space="preserve">You may have notice that some of the colors in the calculations aren't quite right. The reason for that is that they use slightly different rules, but don't worry, it's just as easy to change them! Just do the same thing as the previous step, but instead of cell </t>
    </r>
    <r>
      <rPr>
        <rFont val="Arial"/>
        <b/>
        <color theme="1"/>
        <sz val="10.0"/>
      </rPr>
      <t>B2</t>
    </r>
    <r>
      <rPr>
        <rFont val="Arial"/>
        <color theme="1"/>
        <sz val="10.0"/>
      </rPr>
      <t xml:space="preserve"> click cells </t>
    </r>
    <r>
      <rPr>
        <rFont val="Arial"/>
        <b/>
        <color theme="1"/>
        <sz val="10.0"/>
      </rPr>
      <t xml:space="preserve">K15 </t>
    </r>
    <r>
      <rPr>
        <rFont val="Arial"/>
        <color theme="1"/>
        <sz val="10.0"/>
      </rPr>
      <t xml:space="preserve">and </t>
    </r>
    <r>
      <rPr>
        <rFont val="Arial"/>
        <b/>
        <color theme="1"/>
        <sz val="10.0"/>
      </rPr>
      <t>L18</t>
    </r>
    <r>
      <rPr>
        <rFont val="Arial"/>
        <color theme="1"/>
        <sz val="10.0"/>
      </rPr>
      <t>!</t>
    </r>
  </si>
  <si>
    <t>A1 119</t>
  </si>
  <si>
    <t>A1 120</t>
  </si>
  <si>
    <t>A1 121</t>
  </si>
  <si>
    <t>A1 122</t>
  </si>
  <si>
    <t>A1 123</t>
  </si>
  <si>
    <t>A1 124</t>
  </si>
  <si>
    <t>Step 2: Data entry</t>
  </si>
  <si>
    <t>A1 125</t>
  </si>
  <si>
    <t>A1 126</t>
  </si>
  <si>
    <r>
      <rPr>
        <rFont val="Arial"/>
        <color theme="1"/>
        <sz val="10.0"/>
      </rPr>
      <t xml:space="preserve">Now for the hard part. Until someone else makes a script to automatically rip the cards ID, Name, Pack, and Rarity and inserts it into this sheet, we will have to do that ourselves. I recommend going into the actual app to get your data to save you the headach of finding out that the website you used was blatantly wrong. Go to </t>
    </r>
    <r>
      <rPr>
        <rFont val="Arial"/>
        <b/>
        <color theme="1"/>
        <sz val="10.0"/>
      </rPr>
      <t>My Cards</t>
    </r>
    <r>
      <rPr>
        <rFont val="Arial"/>
        <color theme="1"/>
        <sz val="10.0"/>
      </rPr>
      <t xml:space="preserve">, flip the toggle to show unobtained cards, tap the magnifying glass, scroll to the bottom and flip the toggles for showing </t>
    </r>
    <r>
      <rPr>
        <rFont val="Arial"/>
        <b/>
        <color theme="1"/>
        <sz val="10.0"/>
      </rPr>
      <t>Cards with a rarity of ☆ or higher</t>
    </r>
    <r>
      <rPr>
        <rFont val="Arial"/>
        <color theme="1"/>
        <sz val="10.0"/>
      </rPr>
      <t xml:space="preserve"> and </t>
    </r>
    <r>
      <rPr>
        <rFont val="Arial"/>
        <b/>
        <color theme="1"/>
        <sz val="10.0"/>
      </rPr>
      <t>Promo cards</t>
    </r>
    <r>
      <rPr>
        <rFont val="Arial"/>
        <color theme="1"/>
        <sz val="10.0"/>
      </rPr>
      <t>. You may also find it useful to filter by booster pack or rarity when filling out that data.</t>
    </r>
  </si>
  <si>
    <t>A1 127</t>
  </si>
  <si>
    <t>A1 128</t>
  </si>
  <si>
    <t>A1 129</t>
  </si>
  <si>
    <t>A1 130</t>
  </si>
  <si>
    <t>A1 131</t>
  </si>
  <si>
    <t>A1 132</t>
  </si>
  <si>
    <t>A1 133</t>
  </si>
  <si>
    <t>A1 134</t>
  </si>
  <si>
    <t>A1 135</t>
  </si>
  <si>
    <t>A1 136</t>
  </si>
  <si>
    <t>A1 137</t>
  </si>
  <si>
    <r>
      <rPr>
        <rFont val="Arial"/>
        <color theme="1"/>
        <sz val="10.0"/>
      </rPr>
      <t xml:space="preserve">That's it! Everything should now be updated for any future expansion! The only thing you have to worry about now is if they changed the rarity of cards (which you can change easily by editing the </t>
    </r>
    <r>
      <rPr>
        <rFont val="Arial"/>
        <b/>
        <color theme="1"/>
        <sz val="10.0"/>
      </rPr>
      <t>Rate by rarity</t>
    </r>
    <r>
      <rPr>
        <rFont val="Arial"/>
        <color theme="1"/>
        <sz val="10.0"/>
      </rPr>
      <t xml:space="preserve"> table) or if they added some new mechanic like a new tier of rarity, in which case, godspeed</t>
    </r>
  </si>
  <si>
    <t>A1 138</t>
  </si>
  <si>
    <t>A1 139</t>
  </si>
  <si>
    <t>A1 140</t>
  </si>
  <si>
    <t>A1 141</t>
  </si>
  <si>
    <t>A1 142</t>
  </si>
  <si>
    <t>A1 143</t>
  </si>
  <si>
    <t>A1 144</t>
  </si>
  <si>
    <t>A1 145</t>
  </si>
  <si>
    <t>A1 146</t>
  </si>
  <si>
    <t>A1 147</t>
  </si>
  <si>
    <t>A1 148</t>
  </si>
  <si>
    <t>A1 149</t>
  </si>
  <si>
    <t>A1 150</t>
  </si>
  <si>
    <t>A1 151</t>
  </si>
  <si>
    <t>A1 152</t>
  </si>
  <si>
    <t>A1 153</t>
  </si>
  <si>
    <t>A1 154</t>
  </si>
  <si>
    <t>A1 155</t>
  </si>
  <si>
    <t>A1 156</t>
  </si>
  <si>
    <t>A1 157</t>
  </si>
  <si>
    <t>A1 158</t>
  </si>
  <si>
    <t>A1 159</t>
  </si>
  <si>
    <t>A1 160</t>
  </si>
  <si>
    <t>A1 161</t>
  </si>
  <si>
    <t>A1 162</t>
  </si>
  <si>
    <t>A1 163</t>
  </si>
  <si>
    <t>A1 164</t>
  </si>
  <si>
    <t>A1 165</t>
  </si>
  <si>
    <t>A1 166</t>
  </si>
  <si>
    <t>A1 167</t>
  </si>
  <si>
    <t>A1 168</t>
  </si>
  <si>
    <t>A1 169</t>
  </si>
  <si>
    <t>A1 170</t>
  </si>
  <si>
    <t>A1 171</t>
  </si>
  <si>
    <t>A1 172</t>
  </si>
  <si>
    <t>A1 173</t>
  </si>
  <si>
    <t>A1 174</t>
  </si>
  <si>
    <t>A1 175</t>
  </si>
  <si>
    <t>A1 176</t>
  </si>
  <si>
    <t>A1 177</t>
  </si>
  <si>
    <t>A1 178</t>
  </si>
  <si>
    <t>A1 179</t>
  </si>
  <si>
    <t>A1 180</t>
  </si>
  <si>
    <t>A1 181</t>
  </si>
  <si>
    <t>A1 182</t>
  </si>
  <si>
    <t>A1 183</t>
  </si>
  <si>
    <t>A1 184</t>
  </si>
  <si>
    <t>A1 185</t>
  </si>
  <si>
    <t>A1 186</t>
  </si>
  <si>
    <t>A1 187</t>
  </si>
  <si>
    <t>A1 188</t>
  </si>
  <si>
    <t>A1 189</t>
  </si>
  <si>
    <t>A1 190</t>
  </si>
  <si>
    <t>A1 191</t>
  </si>
  <si>
    <t>A1 192</t>
  </si>
  <si>
    <t>A1 193</t>
  </si>
  <si>
    <t>A1 194</t>
  </si>
  <si>
    <t>A1 195</t>
  </si>
  <si>
    <t>A1 196</t>
  </si>
  <si>
    <t>A1 197</t>
  </si>
  <si>
    <t>A1 198</t>
  </si>
  <si>
    <t>A1 199</t>
  </si>
  <si>
    <t>A1 200</t>
  </si>
  <si>
    <t>A1 201</t>
  </si>
  <si>
    <t>A1 202</t>
  </si>
  <si>
    <t>A1 203</t>
  </si>
  <si>
    <t>A1 204</t>
  </si>
  <si>
    <t>A1 205</t>
  </si>
  <si>
    <t>A1 206</t>
  </si>
  <si>
    <t>A1 207</t>
  </si>
  <si>
    <t>A1 208</t>
  </si>
  <si>
    <t>A1 209</t>
  </si>
  <si>
    <t>A1 210</t>
  </si>
  <si>
    <t>A1 211</t>
  </si>
  <si>
    <t>A1 212</t>
  </si>
  <si>
    <t>A1 213</t>
  </si>
  <si>
    <t>A1 214</t>
  </si>
  <si>
    <t>A1 215</t>
  </si>
  <si>
    <t>A1 216</t>
  </si>
  <si>
    <t>A1 217</t>
  </si>
  <si>
    <t>A1 218</t>
  </si>
  <si>
    <t>A1 219</t>
  </si>
  <si>
    <t>A1 220</t>
  </si>
  <si>
    <t>A1 221</t>
  </si>
  <si>
    <t>A1 222</t>
  </si>
  <si>
    <t>A1 223</t>
  </si>
  <si>
    <t>A1 224</t>
  </si>
  <si>
    <t>A1 225</t>
  </si>
  <si>
    <t>A1 226</t>
  </si>
  <si>
    <t>A1 227</t>
  </si>
  <si>
    <t>A1 228</t>
  </si>
  <si>
    <t>A1 229</t>
  </si>
  <si>
    <t>A1 230</t>
  </si>
  <si>
    <t>A1 231</t>
  </si>
  <si>
    <t>A1 232</t>
  </si>
  <si>
    <t>A1 233</t>
  </si>
  <si>
    <t>A1 234</t>
  </si>
  <si>
    <t>A1 235</t>
  </si>
  <si>
    <t>A1 236</t>
  </si>
  <si>
    <t>A1 237</t>
  </si>
  <si>
    <t>A1 238</t>
  </si>
  <si>
    <t>A1 239</t>
  </si>
  <si>
    <t>A1 240</t>
  </si>
  <si>
    <t>A1 241</t>
  </si>
  <si>
    <t>A1 242</t>
  </si>
  <si>
    <t>A1 243</t>
  </si>
  <si>
    <t>A1 244</t>
  </si>
  <si>
    <t>A1 245</t>
  </si>
  <si>
    <t>A1 246</t>
  </si>
  <si>
    <t>A1 247</t>
  </si>
  <si>
    <t>A1 248</t>
  </si>
  <si>
    <t>A1 249</t>
  </si>
  <si>
    <t>A1 250</t>
  </si>
  <si>
    <t>A1 251</t>
  </si>
  <si>
    <t>A1 252</t>
  </si>
  <si>
    <t>A1 253</t>
  </si>
  <si>
    <t>Sanity checks</t>
  </si>
  <si>
    <t>These are simply fomulas that make sure all the math is working correctly. Unless you are updating this spreadsheet, you don't need to worry about any of these</t>
  </si>
  <si>
    <t>A1 254</t>
  </si>
  <si>
    <t>A1 255</t>
  </si>
  <si>
    <t>A1 256</t>
  </si>
  <si>
    <t>A1 257</t>
  </si>
  <si>
    <t>Totals</t>
  </si>
  <si>
    <t>The total number of cards of each rarity, as calculated by the input data. Cross-reference this with the actual in-game data to make sure you entered everything correctly</t>
  </si>
  <si>
    <t>A1 258</t>
  </si>
  <si>
    <t>Mewtwo ♢</t>
  </si>
  <si>
    <t>A1 259</t>
  </si>
  <si>
    <t>Pikachu ♢</t>
  </si>
  <si>
    <t>A1 260</t>
  </si>
  <si>
    <t>Charizard ♢</t>
  </si>
  <si>
    <t>A1 261</t>
  </si>
  <si>
    <t>All ♢</t>
  </si>
  <si>
    <t>A1 262</t>
  </si>
  <si>
    <t>Mewtwo ♢♢</t>
  </si>
  <si>
    <t>A1 263</t>
  </si>
  <si>
    <t>Pikachu ♢♢</t>
  </si>
  <si>
    <t>A1 264</t>
  </si>
  <si>
    <t>Charizard ♢♢</t>
  </si>
  <si>
    <t>A1 265</t>
  </si>
  <si>
    <t>All ♢♢</t>
  </si>
  <si>
    <t>A1 266</t>
  </si>
  <si>
    <t>Mewtwo ♢♢♢</t>
  </si>
  <si>
    <t>A1 267</t>
  </si>
  <si>
    <t>Pikachu ♢♢♢</t>
  </si>
  <si>
    <t>A1 268</t>
  </si>
  <si>
    <t>Charizard ♢♢♢</t>
  </si>
  <si>
    <t>A1 269</t>
  </si>
  <si>
    <t>All ♢♢♢</t>
  </si>
  <si>
    <t>A1 270</t>
  </si>
  <si>
    <t>Mewtwo ♢♢♢♢</t>
  </si>
  <si>
    <t>A1 271</t>
  </si>
  <si>
    <t>Pikachu ♢♢♢♢</t>
  </si>
  <si>
    <t>A1 272</t>
  </si>
  <si>
    <t>Charizard ♢♢♢♢</t>
  </si>
  <si>
    <t>A1 273</t>
  </si>
  <si>
    <t>All ♢♢♢♢</t>
  </si>
  <si>
    <t>A1 274</t>
  </si>
  <si>
    <t>Mewtwo ☆</t>
  </si>
  <si>
    <t>A1 275</t>
  </si>
  <si>
    <t>Pikachu ☆</t>
  </si>
  <si>
    <t>A1 276</t>
  </si>
  <si>
    <t>Charizard ☆</t>
  </si>
  <si>
    <t>A1 277</t>
  </si>
  <si>
    <t>Percentage Sums</t>
  </si>
  <si>
    <t>All ☆</t>
  </si>
  <si>
    <t>Percentage sums is the total of all the cards that can appear in a speciific pack. If any of them don't add up to 100%, something is wrong on your spreadsheet</t>
  </si>
  <si>
    <t>A1 278</t>
  </si>
  <si>
    <t>Mewtwo 1-3</t>
  </si>
  <si>
    <t>Mewtwo ☆☆</t>
  </si>
  <si>
    <t>A1 279</t>
  </si>
  <si>
    <t>Pikachu 1-3</t>
  </si>
  <si>
    <t>Pikachu ☆☆</t>
  </si>
  <si>
    <t>A1 280</t>
  </si>
  <si>
    <t>Charizard 1-3</t>
  </si>
  <si>
    <t>Charizard ☆☆</t>
  </si>
  <si>
    <t>A1 281</t>
  </si>
  <si>
    <t>Mewtwo 4</t>
  </si>
  <si>
    <t>All ☆☆</t>
  </si>
  <si>
    <t>A1 282</t>
  </si>
  <si>
    <t>Pikachu 4</t>
  </si>
  <si>
    <t>Mewtwo ☆☆☆</t>
  </si>
  <si>
    <t>A1 283</t>
  </si>
  <si>
    <t>*Finish Kanto Pokedex</t>
  </si>
  <si>
    <t>Charizard 4</t>
  </si>
  <si>
    <t>Pikachu ☆☆☆</t>
  </si>
  <si>
    <t>A1 284</t>
  </si>
  <si>
    <t>Mewtwo 5</t>
  </si>
  <si>
    <t>Charizard ☆☆☆</t>
  </si>
  <si>
    <t>A1 285</t>
  </si>
  <si>
    <t>Pikachu 5</t>
  </si>
  <si>
    <t>All ☆☆☆</t>
  </si>
  <si>
    <t>A1 286</t>
  </si>
  <si>
    <t>Charizard 5</t>
  </si>
  <si>
    <t>All ♛</t>
  </si>
  <si>
    <t>A1a 001</t>
  </si>
  <si>
    <t>A1a 002</t>
  </si>
  <si>
    <t>A1a 003</t>
  </si>
  <si>
    <t>A1a 004</t>
  </si>
  <si>
    <t>A1a 005</t>
  </si>
  <si>
    <t>A1a 006</t>
  </si>
  <si>
    <t>A1a 007</t>
  </si>
  <si>
    <t>A1a 008</t>
  </si>
  <si>
    <t>A1a 009</t>
  </si>
  <si>
    <t>A1a 010</t>
  </si>
  <si>
    <t>A1a 011</t>
  </si>
  <si>
    <t>A1a 012</t>
  </si>
  <si>
    <t>A1a 013</t>
  </si>
  <si>
    <t>A1a 014</t>
  </si>
  <si>
    <t>A1a 015</t>
  </si>
  <si>
    <t>A1a 016</t>
  </si>
  <si>
    <t>A1a 017</t>
  </si>
  <si>
    <t>A1a 018</t>
  </si>
  <si>
    <t>A1a 019</t>
  </si>
  <si>
    <t>A1a 020</t>
  </si>
  <si>
    <t>A1a 021</t>
  </si>
  <si>
    <t>A1a 022</t>
  </si>
  <si>
    <t>A1a 023</t>
  </si>
  <si>
    <t>A1a 024</t>
  </si>
  <si>
    <t>A1a 025</t>
  </si>
  <si>
    <r>
      <rPr>
        <rFont val="Arial"/>
        <color theme="1"/>
        <sz val="5.0"/>
      </rPr>
      <t xml:space="preserve">*These totals </t>
    </r>
    <r>
      <rPr>
        <rFont val="Arial"/>
        <b/>
        <color theme="1"/>
        <sz val="5.0"/>
      </rPr>
      <t xml:space="preserve">DON'T </t>
    </r>
    <r>
      <rPr>
        <rFont val="Arial"/>
        <color theme="1"/>
        <sz val="5.0"/>
      </rPr>
      <t>include cards found across all packs</t>
    </r>
  </si>
  <si>
    <t>A1a 026</t>
  </si>
  <si>
    <t>A1a 027</t>
  </si>
  <si>
    <t>A1a 028</t>
  </si>
  <si>
    <t>A1a 029</t>
  </si>
  <si>
    <t>A1a 030</t>
  </si>
  <si>
    <t>A1a 032</t>
  </si>
  <si>
    <t>A1a 033</t>
  </si>
  <si>
    <t>A1a 034</t>
  </si>
  <si>
    <t>A1a 035</t>
  </si>
  <si>
    <t>A1a 036</t>
  </si>
  <si>
    <t>A1a 037</t>
  </si>
  <si>
    <t>A1a 038</t>
  </si>
  <si>
    <t>A1a 039</t>
  </si>
  <si>
    <t>A1a 040</t>
  </si>
  <si>
    <t>A1a 041</t>
  </si>
  <si>
    <t>A1a 042</t>
  </si>
  <si>
    <t>A1a 043</t>
  </si>
  <si>
    <t>A1a 044</t>
  </si>
  <si>
    <t>A1a 045</t>
  </si>
  <si>
    <t>A1a 046</t>
  </si>
  <si>
    <t>A1a 047</t>
  </si>
  <si>
    <t>A1a 048</t>
  </si>
  <si>
    <t>A1a 049</t>
  </si>
  <si>
    <t>A1a 050</t>
  </si>
  <si>
    <t>A1a 051</t>
  </si>
  <si>
    <t>A1a 052</t>
  </si>
  <si>
    <t>A1a 053</t>
  </si>
  <si>
    <t>A1a 054</t>
  </si>
  <si>
    <t>A1a 055</t>
  </si>
  <si>
    <t>A1a 056</t>
  </si>
  <si>
    <t>A1a 057</t>
  </si>
  <si>
    <t>A1a 058</t>
  </si>
  <si>
    <t>A1a 059</t>
  </si>
  <si>
    <t>A1a 060</t>
  </si>
  <si>
    <t>A1a 061</t>
  </si>
  <si>
    <t>A1a 062</t>
  </si>
  <si>
    <t>A1a 063</t>
  </si>
  <si>
    <t>A1a 064</t>
  </si>
  <si>
    <t>A1a 065</t>
  </si>
  <si>
    <t>A1a 066</t>
  </si>
  <si>
    <t>A1a 067</t>
  </si>
  <si>
    <t>A1a 068</t>
  </si>
  <si>
    <t>A1a 069</t>
  </si>
  <si>
    <t>A1a 070</t>
  </si>
  <si>
    <t>A1a 071</t>
  </si>
  <si>
    <t>A1a 072</t>
  </si>
  <si>
    <t>A1a 073</t>
  </si>
  <si>
    <t>A1a 074</t>
  </si>
  <si>
    <t>A1a 075</t>
  </si>
  <si>
    <t>A1a 076</t>
  </si>
  <si>
    <t>A1a 077</t>
  </si>
  <si>
    <t>A1a 078</t>
  </si>
  <si>
    <t>A1a 079</t>
  </si>
  <si>
    <t>A1a 080</t>
  </si>
  <si>
    <t>A1a 081</t>
  </si>
  <si>
    <t>A1a 082</t>
  </si>
  <si>
    <t>A1a 083</t>
  </si>
  <si>
    <t>A1a 084</t>
  </si>
  <si>
    <t>A1a 085</t>
  </si>
  <si>
    <t>A1a 086</t>
  </si>
  <si>
    <t>A2 001</t>
  </si>
  <si>
    <t>This is the odds for you to pull a card of a specific rarity across the 1st through 3rd cards, 4th card, and 5th card. The liklyhood to pull a specific card in columns G, H, and I pull from these rates, so they can be easily configured for future expansions</t>
  </si>
  <si>
    <t>A2 002</t>
  </si>
  <si>
    <t>A2 003</t>
  </si>
  <si>
    <t>A2 004</t>
  </si>
  <si>
    <t>A2 005</t>
  </si>
  <si>
    <t>A2 006</t>
  </si>
  <si>
    <t>A2 007</t>
  </si>
  <si>
    <t>A2 008</t>
  </si>
  <si>
    <t>A2 009</t>
  </si>
  <si>
    <t>A2 010</t>
  </si>
  <si>
    <r>
      <rPr>
        <rFont val="Arial"/>
        <color theme="1"/>
        <sz val="9.0"/>
      </rPr>
      <t xml:space="preserve">This is a summary fo your collection as defined by pack. Basically, this shows you how many of a packs </t>
    </r>
    <r>
      <rPr>
        <rFont val="Arial"/>
        <i/>
        <color theme="1"/>
        <sz val="9.0"/>
      </rPr>
      <t>potential</t>
    </r>
    <r>
      <rPr>
        <rFont val="Arial"/>
        <color theme="1"/>
        <sz val="9.0"/>
      </rPr>
      <t xml:space="preserve"> cards you own. For example, the </t>
    </r>
    <r>
      <rPr>
        <rFont val="Arial"/>
        <b/>
        <color rgb="FFB4A7D6"/>
        <sz val="9.0"/>
      </rPr>
      <t>Mewtwo</t>
    </r>
    <r>
      <rPr>
        <rFont val="Arial"/>
        <b/>
        <color theme="1"/>
        <sz val="9.0"/>
      </rPr>
      <t xml:space="preserve"> </t>
    </r>
    <r>
      <rPr>
        <rFont val="Arial"/>
        <color theme="1"/>
        <sz val="9.0"/>
      </rPr>
      <t xml:space="preserve">row is taking into account all of the cards that are </t>
    </r>
    <r>
      <rPr>
        <rFont val="Arial"/>
        <i/>
        <color theme="1"/>
        <sz val="9.0"/>
      </rPr>
      <t>exclusive</t>
    </r>
    <r>
      <rPr>
        <rFont val="Arial"/>
        <color theme="1"/>
        <sz val="9.0"/>
      </rPr>
      <t xml:space="preserve"> to the </t>
    </r>
    <r>
      <rPr>
        <rFont val="Arial"/>
        <b/>
        <color rgb="FFB4A7D6"/>
        <sz val="9.0"/>
      </rPr>
      <t xml:space="preserve">Mewtwo </t>
    </r>
    <r>
      <rPr>
        <rFont val="Arial"/>
        <color theme="1"/>
        <sz val="9.0"/>
      </rPr>
      <t xml:space="preserve">pack, and the cards that can be found in </t>
    </r>
    <r>
      <rPr>
        <rFont val="Arial"/>
        <i/>
        <color theme="1"/>
        <sz val="9.0"/>
      </rPr>
      <t>all</t>
    </r>
    <r>
      <rPr>
        <rFont val="Arial"/>
        <color theme="1"/>
        <sz val="9.0"/>
      </rPr>
      <t xml:space="preserve"> packs. The </t>
    </r>
    <r>
      <rPr>
        <rFont val="Arial"/>
        <i/>
        <color theme="1"/>
        <sz val="9.0"/>
      </rPr>
      <t>Pack with the most missing cards</t>
    </r>
    <r>
      <rPr>
        <rFont val="Arial"/>
        <color theme="1"/>
        <sz val="9.0"/>
      </rPr>
      <t xml:space="preserve"> section can be used to decide what pack to open if you want a quick, simple answer. For a more accurate result, see </t>
    </r>
    <r>
      <rPr>
        <rFont val="Arial"/>
        <b/>
        <color rgb="FF1155CC"/>
        <sz val="9.0"/>
      </rPr>
      <t>Chance to get a new card</t>
    </r>
  </si>
  <si>
    <t>A2 011</t>
  </si>
  <si>
    <t>A2 012</t>
  </si>
  <si>
    <t>A2 013</t>
  </si>
  <si>
    <t>A2 014</t>
  </si>
  <si>
    <t>A2 015</t>
  </si>
  <si>
    <t>A2 016</t>
  </si>
  <si>
    <t>A2 017</t>
  </si>
  <si>
    <t>A2 018</t>
  </si>
  <si>
    <r>
      <rPr>
        <rFont val="Arial"/>
        <color theme="1"/>
      </rPr>
      <t xml:space="preserve">This is the </t>
    </r>
    <r>
      <rPr>
        <rFont val="Arial"/>
        <b/>
        <color rgb="FF1155CC"/>
      </rPr>
      <t>Advanced Filtering</t>
    </r>
    <r>
      <rPr>
        <rFont val="Arial"/>
        <color theme="1"/>
      </rPr>
      <t xml:space="preserve"> section. Here you can select what rarities the calculations will take into account. For example, if you only want to hunt rare cards, you can exclude the ♢ cards. Note that this only effects calculations in the </t>
    </r>
    <r>
      <rPr>
        <rFont val="Arial"/>
        <b/>
        <color rgb="FF1155CC"/>
      </rPr>
      <t>dark blue</t>
    </r>
    <r>
      <rPr>
        <rFont val="Arial"/>
        <color theme="1"/>
      </rPr>
      <t xml:space="preserve"> box</t>
    </r>
  </si>
  <si>
    <t>A2 019</t>
  </si>
  <si>
    <t>A2 020</t>
  </si>
  <si>
    <t>A2 021</t>
  </si>
  <si>
    <t>A2 022</t>
  </si>
  <si>
    <t>A2 023</t>
  </si>
  <si>
    <t>A2 024</t>
  </si>
  <si>
    <t>A2 025</t>
  </si>
  <si>
    <r>
      <rPr>
        <rFont val="Arial"/>
        <color theme="1"/>
      </rPr>
      <t xml:space="preserve">This section is very similar to the </t>
    </r>
    <r>
      <rPr>
        <rFont val="Arial"/>
        <b/>
        <color theme="1"/>
      </rPr>
      <t>Collection Summary</t>
    </r>
    <r>
      <rPr>
        <rFont val="Arial"/>
        <color theme="1"/>
      </rPr>
      <t xml:space="preserve">, with the key difference being that pack calculations do not include cards found across all packs, and that it is effected by </t>
    </r>
    <r>
      <rPr>
        <rFont val="Arial"/>
        <b/>
        <color rgb="FF1155CC"/>
      </rPr>
      <t>Advanced Filtering</t>
    </r>
  </si>
  <si>
    <t>A2 026</t>
  </si>
  <si>
    <r>
      <rPr>
        <rFont val="Arial"/>
        <color theme="1"/>
        <sz val="5.0"/>
      </rPr>
      <t xml:space="preserve">*These totals </t>
    </r>
    <r>
      <rPr>
        <rFont val="Arial"/>
        <b/>
        <color theme="1"/>
        <sz val="5.0"/>
      </rPr>
      <t xml:space="preserve">DON'T </t>
    </r>
    <r>
      <rPr>
        <rFont val="Arial"/>
        <color theme="1"/>
        <sz val="5.0"/>
      </rPr>
      <t>include cards found across all packs</t>
    </r>
  </si>
  <si>
    <t>A2 027</t>
  </si>
  <si>
    <t>A2 028</t>
  </si>
  <si>
    <t>A2 029</t>
  </si>
  <si>
    <t>A2 030</t>
  </si>
  <si>
    <t>A2 031</t>
  </si>
  <si>
    <t>A2 032</t>
  </si>
  <si>
    <t>A2 033</t>
  </si>
  <si>
    <r>
      <rPr>
        <rFont val="Arial"/>
        <color theme="1"/>
        <sz val="9.0"/>
      </rPr>
      <t xml:space="preserve">The </t>
    </r>
    <r>
      <rPr>
        <rFont val="Arial"/>
        <b/>
        <color rgb="FF1155CC"/>
        <sz val="9.0"/>
      </rPr>
      <t>Chance to get a new card</t>
    </r>
    <r>
      <rPr>
        <rFont val="Arial"/>
        <color theme="1"/>
        <sz val="9.0"/>
      </rPr>
      <t xml:space="preserve"> section sums the odds of every card you do not own and displays them by card number. For example, if you are missing 3 ♢ cards in the </t>
    </r>
    <r>
      <rPr>
        <rFont val="Arial"/>
        <b/>
        <color rgb="FFB4A7D6"/>
        <sz val="9.0"/>
      </rPr>
      <t>Mewtwo</t>
    </r>
    <r>
      <rPr>
        <rFont val="Arial"/>
        <color rgb="FFB4A7D6"/>
        <sz val="9.0"/>
      </rPr>
      <t xml:space="preserve"> </t>
    </r>
    <r>
      <rPr>
        <rFont val="Arial"/>
        <color theme="1"/>
        <sz val="9.0"/>
      </rPr>
      <t xml:space="preserve">collection, and each one has 2% chance to be pulled, then you would have a 6% chance to get one of them. Like Collection Summary, these calculations include cards found across all packs. </t>
    </r>
  </si>
  <si>
    <t>A2 034</t>
  </si>
  <si>
    <t>A2 035</t>
  </si>
  <si>
    <t>A2 036</t>
  </si>
  <si>
    <t>A2 037</t>
  </si>
  <si>
    <t>A2 038</t>
  </si>
  <si>
    <t>A2 039</t>
  </si>
  <si>
    <t>A2 040</t>
  </si>
  <si>
    <t>A2 041</t>
  </si>
  <si>
    <t>A2 042</t>
  </si>
  <si>
    <t>A2 043</t>
  </si>
  <si>
    <t>A2 044</t>
  </si>
  <si>
    <t>A2 045</t>
  </si>
  <si>
    <t>A2 046</t>
  </si>
  <si>
    <t>A2 047</t>
  </si>
  <si>
    <t>A2 048</t>
  </si>
  <si>
    <t>A2 049</t>
  </si>
  <si>
    <t>A2 050</t>
  </si>
  <si>
    <t>A2 051</t>
  </si>
  <si>
    <r>
      <rPr>
        <rFont val="Arial"/>
        <color theme="1"/>
      </rPr>
      <t xml:space="preserve">With that in mind, I crafted this spreadsheet so that there is as little manual labor required to update it as possible. Unless I forgot something, there should only be 2 steps: </t>
    </r>
    <r>
      <rPr>
        <rFont val="Arial"/>
        <b/>
        <color theme="1"/>
      </rPr>
      <t>Conditioanl formatting</t>
    </r>
    <r>
      <rPr>
        <rFont val="Arial"/>
        <color theme="1"/>
      </rPr>
      <t xml:space="preserve"> and </t>
    </r>
    <r>
      <rPr>
        <rFont val="Arial"/>
        <b/>
        <color theme="1"/>
      </rPr>
      <t>Data entry</t>
    </r>
  </si>
  <si>
    <t>A2 052</t>
  </si>
  <si>
    <t>A2 053</t>
  </si>
  <si>
    <t>A2 054</t>
  </si>
  <si>
    <t>A2 055</t>
  </si>
  <si>
    <t>A2 056</t>
  </si>
  <si>
    <t>A2 057</t>
  </si>
  <si>
    <t>A2 058</t>
  </si>
  <si>
    <t>A2 059</t>
  </si>
  <si>
    <t>A2 060</t>
  </si>
  <si>
    <t>A2 061</t>
  </si>
  <si>
    <t>A2 062</t>
  </si>
  <si>
    <t>A2 063</t>
  </si>
  <si>
    <t>A2 064</t>
  </si>
  <si>
    <t>A2 065</t>
  </si>
  <si>
    <t>A2 066</t>
  </si>
  <si>
    <r>
      <rPr>
        <rFont val="Arial"/>
        <color theme="1"/>
      </rPr>
      <t xml:space="preserve">You probably noticed that when you deleted the data, all of the rows turned white. This is because of </t>
    </r>
    <r>
      <rPr>
        <rFont val="Arial"/>
        <b/>
        <color theme="1"/>
      </rPr>
      <t>Conditional Formatting</t>
    </r>
    <r>
      <rPr>
        <rFont val="Arial"/>
        <color theme="1"/>
      </rPr>
      <t>, and it's the same thing that makes the boxes for number of cards turn green when you have 2 or more. We will be using this to automatically color code our whole spreadsheet</t>
    </r>
  </si>
  <si>
    <t>A2 067</t>
  </si>
  <si>
    <t>A2 068</t>
  </si>
  <si>
    <t>A2 069</t>
  </si>
  <si>
    <t>A2 070</t>
  </si>
  <si>
    <t>A2 071</t>
  </si>
  <si>
    <t>A2 072</t>
  </si>
  <si>
    <r>
      <rPr>
        <rFont val="Arial"/>
        <color theme="1"/>
      </rPr>
      <t xml:space="preserve">The first thing we have to do is replace the remaining pack names still left on the spreadsheet with whatever the new packs are. For this example let's say the new packs are </t>
    </r>
    <r>
      <rPr>
        <rFont val="Arial"/>
        <b/>
        <color theme="1"/>
      </rPr>
      <t>Mewthree</t>
    </r>
    <r>
      <rPr>
        <rFont val="Arial"/>
        <color theme="1"/>
      </rPr>
      <t xml:space="preserve">, </t>
    </r>
    <r>
      <rPr>
        <rFont val="Arial"/>
        <b/>
        <color theme="1"/>
      </rPr>
      <t>Pikablu</t>
    </r>
    <r>
      <rPr>
        <rFont val="Arial"/>
        <color theme="1"/>
      </rPr>
      <t xml:space="preserve">, and </t>
    </r>
    <r>
      <rPr>
        <rFont val="Arial"/>
        <b/>
        <color theme="1"/>
      </rPr>
      <t>MissingNo</t>
    </r>
    <r>
      <rPr>
        <rFont val="Arial"/>
        <color theme="1"/>
      </rPr>
      <t xml:space="preserve">. All we have to do is press Ctrl + H to bring up the find and replace window. Then we simply replace each old pack with the new pack. In our example, we would </t>
    </r>
    <r>
      <rPr>
        <rFont val="Arial"/>
        <i/>
        <color theme="1"/>
      </rPr>
      <t>Find</t>
    </r>
    <r>
      <rPr>
        <rFont val="Arial"/>
        <color theme="1"/>
      </rPr>
      <t xml:space="preserve"> </t>
    </r>
    <r>
      <rPr>
        <rFont val="Arial"/>
        <b/>
        <color theme="1"/>
      </rPr>
      <t>Mewtwo</t>
    </r>
    <r>
      <rPr>
        <rFont val="Arial"/>
        <color theme="1"/>
      </rPr>
      <t xml:space="preserve">, </t>
    </r>
    <r>
      <rPr>
        <rFont val="Arial"/>
        <i/>
        <color theme="1"/>
      </rPr>
      <t>Replace with</t>
    </r>
    <r>
      <rPr>
        <rFont val="Arial"/>
        <color theme="1"/>
      </rPr>
      <t xml:space="preserve"> </t>
    </r>
    <r>
      <rPr>
        <rFont val="Arial"/>
        <b/>
        <color theme="1"/>
      </rPr>
      <t xml:space="preserve">Mewthree </t>
    </r>
    <r>
      <rPr>
        <rFont val="Arial"/>
        <color theme="1"/>
      </rPr>
      <t xml:space="preserve">and press </t>
    </r>
    <r>
      <rPr>
        <rFont val="Arial"/>
        <i/>
        <color theme="1"/>
      </rPr>
      <t>Replace all</t>
    </r>
    <r>
      <rPr>
        <rFont val="Arial"/>
        <color theme="1"/>
      </rPr>
      <t>. The we just repeat the process with Pikablu and MissingNo replacing Pikachu and Charizard respectively.</t>
    </r>
  </si>
  <si>
    <t>A2 073</t>
  </si>
  <si>
    <t>A2 074</t>
  </si>
  <si>
    <t>A2 075</t>
  </si>
  <si>
    <t>A2 076</t>
  </si>
  <si>
    <t>A2 077</t>
  </si>
  <si>
    <t>A2 078</t>
  </si>
  <si>
    <t>A2 079</t>
  </si>
  <si>
    <t>A2 080</t>
  </si>
  <si>
    <t>A2 081</t>
  </si>
  <si>
    <t>A2 082</t>
  </si>
  <si>
    <r>
      <rPr>
        <rFont val="Arial"/>
        <color theme="1"/>
      </rPr>
      <t xml:space="preserve">Next, we have to change the conditional formatting rules. For now, click on cell </t>
    </r>
    <r>
      <rPr>
        <rFont val="Arial"/>
        <b/>
        <color theme="1"/>
      </rPr>
      <t>B2</t>
    </r>
    <r>
      <rPr>
        <rFont val="Arial"/>
        <color theme="1"/>
      </rPr>
      <t xml:space="preserve">  and click Format -&gt; Conditional formatting. That will bring up the rules for coloring that I have set for that chunk of cells. All you have to do is change it ot an appropriate color, and change the name that it's looking for. In our example, we would change the yellow rule that looks for </t>
    </r>
    <r>
      <rPr>
        <rFont val="Arial"/>
        <b/>
        <color theme="1"/>
      </rPr>
      <t>Pikachu</t>
    </r>
    <r>
      <rPr>
        <rFont val="Arial"/>
        <color theme="1"/>
      </rPr>
      <t xml:space="preserve"> into a blue rule that looks for </t>
    </r>
    <r>
      <rPr>
        <rFont val="Arial"/>
        <b/>
        <color theme="1"/>
      </rPr>
      <t>Pikablu</t>
    </r>
    <r>
      <rPr>
        <rFont val="Arial"/>
        <color theme="1"/>
      </rPr>
      <t>. To do this simply click the rule, change the text to the new name (making sure to keep the "quotation marks") and click the bucket to change the color. Remember that a lighter background color is easier to read!</t>
    </r>
  </si>
  <si>
    <t>A2 083</t>
  </si>
  <si>
    <t>A2 084</t>
  </si>
  <si>
    <t>A2 085</t>
  </si>
  <si>
    <t>A2 086</t>
  </si>
  <si>
    <t>A2 087</t>
  </si>
  <si>
    <t>A2 088</t>
  </si>
  <si>
    <t>A2 089</t>
  </si>
  <si>
    <t>A2 090</t>
  </si>
  <si>
    <t>A2 091</t>
  </si>
  <si>
    <t>A2 092</t>
  </si>
  <si>
    <t>A2 093</t>
  </si>
  <si>
    <t>A2 094</t>
  </si>
  <si>
    <r>
      <rPr>
        <rFont val="Arial"/>
        <color theme="1"/>
      </rPr>
      <t xml:space="preserve">You may have notice that some of the colors in the calculations aren't quite right. The reason for that is that they use slightly different rules, but don't worry, it's just as easy to change them! Just do the same thing as the previous step, but instead of cell </t>
    </r>
    <r>
      <rPr>
        <rFont val="Arial"/>
        <b/>
        <color theme="1"/>
      </rPr>
      <t>B2</t>
    </r>
    <r>
      <rPr>
        <rFont val="Arial"/>
        <color theme="1"/>
      </rPr>
      <t xml:space="preserve"> click cells </t>
    </r>
    <r>
      <rPr>
        <rFont val="Arial"/>
        <b/>
        <color theme="1"/>
      </rPr>
      <t xml:space="preserve">K15 </t>
    </r>
    <r>
      <rPr>
        <rFont val="Arial"/>
        <color theme="1"/>
      </rPr>
      <t xml:space="preserve">and </t>
    </r>
    <r>
      <rPr>
        <rFont val="Arial"/>
        <b/>
        <color theme="1"/>
      </rPr>
      <t>L18</t>
    </r>
    <r>
      <rPr>
        <rFont val="Arial"/>
        <color theme="1"/>
      </rPr>
      <t>!</t>
    </r>
  </si>
  <si>
    <t>A2 095</t>
  </si>
  <si>
    <t>A2 096</t>
  </si>
  <si>
    <t>A2 097</t>
  </si>
  <si>
    <t>A2 098</t>
  </si>
  <si>
    <t>A2 099</t>
  </si>
  <si>
    <t>A2 100</t>
  </si>
  <si>
    <t>A2 101</t>
  </si>
  <si>
    <t>A2 102</t>
  </si>
  <si>
    <r>
      <rPr>
        <rFont val="Arial"/>
        <color theme="1"/>
      </rPr>
      <t xml:space="preserve">Now for the hard part. Until someone else makes a script to automatically rip the cards ID, Name, Pack, and Rarity and inserts it into this sheet, we will have to do that ourselves. I recommend going into the actual app to get your data to save you the headach of finding out that the website you used was blatantly wrong. Go to </t>
    </r>
    <r>
      <rPr>
        <rFont val="Arial"/>
        <b/>
        <color theme="1"/>
      </rPr>
      <t>My Cards</t>
    </r>
    <r>
      <rPr>
        <rFont val="Arial"/>
        <color theme="1"/>
      </rPr>
      <t xml:space="preserve">, flip the toggle to show unobtained cards, tap the magnifying glass, scroll to the bottom and flip the toggles for showing </t>
    </r>
    <r>
      <rPr>
        <rFont val="Arial"/>
        <b/>
        <color theme="1"/>
      </rPr>
      <t>Cards with a rarity of ☆ or higher</t>
    </r>
    <r>
      <rPr>
        <rFont val="Arial"/>
        <color theme="1"/>
      </rPr>
      <t xml:space="preserve"> and </t>
    </r>
    <r>
      <rPr>
        <rFont val="Arial"/>
        <b/>
        <color theme="1"/>
      </rPr>
      <t>Promo cards</t>
    </r>
    <r>
      <rPr>
        <rFont val="Arial"/>
        <color theme="1"/>
      </rPr>
      <t>. You may also find it useful to filter by booster pack or rarity when filling out that data.</t>
    </r>
  </si>
  <si>
    <t>A2 103</t>
  </si>
  <si>
    <t>A2 104</t>
  </si>
  <si>
    <t>A2 105</t>
  </si>
  <si>
    <t>A2 106</t>
  </si>
  <si>
    <t>A2 107</t>
  </si>
  <si>
    <t>A2 108</t>
  </si>
  <si>
    <t>A2 109</t>
  </si>
  <si>
    <t>A2 110</t>
  </si>
  <si>
    <t>A2 111</t>
  </si>
  <si>
    <t>A2 112</t>
  </si>
  <si>
    <t>A2 113</t>
  </si>
  <si>
    <r>
      <rPr>
        <rFont val="Arial"/>
        <color theme="1"/>
      </rPr>
      <t xml:space="preserve">That's it! Everything should now be updated for any future expansion! The only thing you have to worry about now is if they changed the rarity of cards (which you can change easily by editing the </t>
    </r>
    <r>
      <rPr>
        <rFont val="Arial"/>
        <b/>
        <color theme="1"/>
      </rPr>
      <t>Rate by rarity</t>
    </r>
    <r>
      <rPr>
        <rFont val="Arial"/>
        <color theme="1"/>
      </rPr>
      <t xml:space="preserve"> table) or if they added some new mechanic like a new tier of rarity, in which case, godspeed</t>
    </r>
  </si>
  <si>
    <t>A2 114</t>
  </si>
  <si>
    <t>A2 115</t>
  </si>
  <si>
    <t>A2 116</t>
  </si>
  <si>
    <t>A2 117</t>
  </si>
  <si>
    <t>A2 118</t>
  </si>
  <si>
    <t>A2 119</t>
  </si>
  <si>
    <t>A2 120</t>
  </si>
  <si>
    <t>A2 121</t>
  </si>
  <si>
    <t>A2 122</t>
  </si>
  <si>
    <t>A2 123</t>
  </si>
  <si>
    <t>A2 124</t>
  </si>
  <si>
    <t>A2 125</t>
  </si>
  <si>
    <t>A2 126</t>
  </si>
  <si>
    <t>A2 127</t>
  </si>
  <si>
    <t>A2 128</t>
  </si>
  <si>
    <t>A2 129</t>
  </si>
  <si>
    <t>A2 130</t>
  </si>
  <si>
    <t>A2 131</t>
  </si>
  <si>
    <t>A2 132</t>
  </si>
  <si>
    <t>A2 133</t>
  </si>
  <si>
    <t>A2 134</t>
  </si>
  <si>
    <t>A2 135</t>
  </si>
  <si>
    <t>A2 136</t>
  </si>
  <si>
    <t>A2 137</t>
  </si>
  <si>
    <t>A2 138</t>
  </si>
  <si>
    <t>A2 139</t>
  </si>
  <si>
    <t>A2 140</t>
  </si>
  <si>
    <t>A2 141</t>
  </si>
  <si>
    <t>A2 142</t>
  </si>
  <si>
    <t>A2 143</t>
  </si>
  <si>
    <t>A2 144</t>
  </si>
  <si>
    <t>A2 145</t>
  </si>
  <si>
    <t>A2 146</t>
  </si>
  <si>
    <t>A2 147</t>
  </si>
  <si>
    <t>A2 148</t>
  </si>
  <si>
    <t>A2 149</t>
  </si>
  <si>
    <t>A2 150</t>
  </si>
  <si>
    <t>A2 151</t>
  </si>
  <si>
    <t>A2 152</t>
  </si>
  <si>
    <t>A2 153</t>
  </si>
  <si>
    <t>A2 154</t>
  </si>
  <si>
    <t>A2 155</t>
  </si>
  <si>
    <t>A2 156</t>
  </si>
  <si>
    <t>A2 157</t>
  </si>
  <si>
    <t>A2 158</t>
  </si>
  <si>
    <t>A2 159</t>
  </si>
  <si>
    <t>A2 160</t>
  </si>
  <si>
    <t>A2 161</t>
  </si>
  <si>
    <t>A2 162</t>
  </si>
  <si>
    <t>A2 163</t>
  </si>
  <si>
    <t>A2 164</t>
  </si>
  <si>
    <t>A2 165</t>
  </si>
  <si>
    <t>A2 166</t>
  </si>
  <si>
    <t>A2 167</t>
  </si>
  <si>
    <t>A2 168</t>
  </si>
  <si>
    <t>A2 169</t>
  </si>
  <si>
    <t>A2 170</t>
  </si>
  <si>
    <t>A2 171</t>
  </si>
  <si>
    <t>A2 172</t>
  </si>
  <si>
    <t>A2 173</t>
  </si>
  <si>
    <t>A2 174</t>
  </si>
  <si>
    <t>A2 175</t>
  </si>
  <si>
    <t>A2 176</t>
  </si>
  <si>
    <t>A2 177</t>
  </si>
  <si>
    <t>A2 178</t>
  </si>
  <si>
    <t>A2 179</t>
  </si>
  <si>
    <t>A2 180</t>
  </si>
  <si>
    <t>A2 181</t>
  </si>
  <si>
    <t>A2 182</t>
  </si>
  <si>
    <t>A2 183</t>
  </si>
  <si>
    <t>A2 184</t>
  </si>
  <si>
    <t>A2 185</t>
  </si>
  <si>
    <t>A2 186</t>
  </si>
  <si>
    <t>A2 187</t>
  </si>
  <si>
    <t>A2 188</t>
  </si>
  <si>
    <t>A2 189</t>
  </si>
  <si>
    <t>A2 190</t>
  </si>
  <si>
    <t>A2 191</t>
  </si>
  <si>
    <t>A2 192</t>
  </si>
  <si>
    <t>A2 193</t>
  </si>
  <si>
    <t>A2 194</t>
  </si>
  <si>
    <t>A2 195</t>
  </si>
  <si>
    <t>A2 196</t>
  </si>
  <si>
    <t>A2 197</t>
  </si>
  <si>
    <t>A2 198</t>
  </si>
  <si>
    <t>A2 199</t>
  </si>
  <si>
    <t>A2 200</t>
  </si>
  <si>
    <t>A2 201</t>
  </si>
  <si>
    <t>A2 202</t>
  </si>
  <si>
    <t>A2 203</t>
  </si>
  <si>
    <t>A2 204</t>
  </si>
  <si>
    <t>A2 205</t>
  </si>
  <si>
    <t>A2 206</t>
  </si>
  <si>
    <t>A2 207</t>
  </si>
  <si>
    <t>A2a 001</t>
  </si>
  <si>
    <t>A2a 002</t>
  </si>
  <si>
    <t>A2a 003</t>
  </si>
  <si>
    <t>A2a 004</t>
  </si>
  <si>
    <t>A2a 005</t>
  </si>
  <si>
    <t>A2a 006</t>
  </si>
  <si>
    <t>A2a 007</t>
  </si>
  <si>
    <t>A2a 008</t>
  </si>
  <si>
    <t>A2a 009</t>
  </si>
  <si>
    <t>A2a 010</t>
  </si>
  <si>
    <t>A2a 011</t>
  </si>
  <si>
    <t>A2a 012</t>
  </si>
  <si>
    <t>A2a 013</t>
  </si>
  <si>
    <t>A2a 014</t>
  </si>
  <si>
    <t>A2a 015</t>
  </si>
  <si>
    <t>A2a 016</t>
  </si>
  <si>
    <t>A2a 017</t>
  </si>
  <si>
    <t>A2a 018</t>
  </si>
  <si>
    <t>A2a 019</t>
  </si>
  <si>
    <t>A2a 020</t>
  </si>
  <si>
    <t>A2a 021</t>
  </si>
  <si>
    <t>A2a 022</t>
  </si>
  <si>
    <t>A2a 023</t>
  </si>
  <si>
    <t>A2a 024</t>
  </si>
  <si>
    <t>A2a 025</t>
  </si>
  <si>
    <r>
      <rPr>
        <rFont val="Arial"/>
        <color theme="1"/>
        <sz val="5.0"/>
      </rPr>
      <t xml:space="preserve">*These totals </t>
    </r>
    <r>
      <rPr>
        <rFont val="Arial"/>
        <b/>
        <color theme="1"/>
        <sz val="5.0"/>
      </rPr>
      <t xml:space="preserve">DON'T </t>
    </r>
    <r>
      <rPr>
        <rFont val="Arial"/>
        <color theme="1"/>
        <sz val="5.0"/>
      </rPr>
      <t>include cards found across all packs</t>
    </r>
  </si>
  <si>
    <t>A2a 026</t>
  </si>
  <si>
    <t>A2a 027</t>
  </si>
  <si>
    <t>A2a 028</t>
  </si>
  <si>
    <t>A2a 029</t>
  </si>
  <si>
    <t>A2a 030</t>
  </si>
  <si>
    <t>A2a 031</t>
  </si>
  <si>
    <t>A2a 032</t>
  </si>
  <si>
    <t>A2a 033</t>
  </si>
  <si>
    <t>A2a 034</t>
  </si>
  <si>
    <t>A2a 035</t>
  </si>
  <si>
    <t>A2a 036</t>
  </si>
  <si>
    <t>A2a 037</t>
  </si>
  <si>
    <t>A2a 038</t>
  </si>
  <si>
    <t>A2a 039</t>
  </si>
  <si>
    <t>A2a 040</t>
  </si>
  <si>
    <t>A2a 041</t>
  </si>
  <si>
    <t>A2a 042</t>
  </si>
  <si>
    <t>A2a 043</t>
  </si>
  <si>
    <t>A2a 044</t>
  </si>
  <si>
    <t>A2a 045</t>
  </si>
  <si>
    <t>A2a 046</t>
  </si>
  <si>
    <t>A2a 047</t>
  </si>
  <si>
    <t>A2a 048</t>
  </si>
  <si>
    <t>A2a 049</t>
  </si>
  <si>
    <t>A2a 050</t>
  </si>
  <si>
    <t>A2a 051</t>
  </si>
  <si>
    <t>A2a 052</t>
  </si>
  <si>
    <t>A2a 053</t>
  </si>
  <si>
    <t>A2a 054</t>
  </si>
  <si>
    <t>A2a 055</t>
  </si>
  <si>
    <t>A2a 056</t>
  </si>
  <si>
    <t>A2a 057</t>
  </si>
  <si>
    <t>A2a 058</t>
  </si>
  <si>
    <t>A2a 059</t>
  </si>
  <si>
    <t>A2a 060</t>
  </si>
  <si>
    <t>A2a 061</t>
  </si>
  <si>
    <t>A2a 062</t>
  </si>
  <si>
    <t>A2a 063</t>
  </si>
  <si>
    <t>A2a 064</t>
  </si>
  <si>
    <t>A2a 065</t>
  </si>
  <si>
    <t>A2a 066</t>
  </si>
  <si>
    <t>A2a 067</t>
  </si>
  <si>
    <t>A2a 068</t>
  </si>
  <si>
    <t>A2a 069</t>
  </si>
  <si>
    <t>A2a 071</t>
  </si>
  <si>
    <t>A2a 072</t>
  </si>
  <si>
    <t>A2a 073</t>
  </si>
  <si>
    <t>A2a 074</t>
  </si>
  <si>
    <t>A2a 075</t>
  </si>
  <si>
    <t>A2a 076</t>
  </si>
  <si>
    <t>A2a 077</t>
  </si>
  <si>
    <t>A2a 078</t>
  </si>
  <si>
    <t>A2a 079</t>
  </si>
  <si>
    <t>A2a 080</t>
  </si>
  <si>
    <t>A2a 081</t>
  </si>
  <si>
    <t>A2a 082</t>
  </si>
  <si>
    <t>A2a 083</t>
  </si>
  <si>
    <t>A2a 084</t>
  </si>
  <si>
    <t>A2a 085</t>
  </si>
  <si>
    <t>A2a 086</t>
  </si>
  <si>
    <t>A2a 087</t>
  </si>
  <si>
    <t>A2a 088</t>
  </si>
  <si>
    <t>A2a 089</t>
  </si>
  <si>
    <t>A2a 090</t>
  </si>
  <si>
    <t>A2a 091</t>
  </si>
  <si>
    <t>A2a 092</t>
  </si>
  <si>
    <t>A2a 093</t>
  </si>
  <si>
    <t>A2a 094</t>
  </si>
  <si>
    <t>A2a 095</t>
  </si>
  <si>
    <t>A2a 096</t>
  </si>
  <si>
    <t>A2b 001</t>
  </si>
  <si>
    <t>A2b 002</t>
  </si>
  <si>
    <t>A2b 003</t>
  </si>
  <si>
    <t>A2b 004</t>
  </si>
  <si>
    <t>A2b 005</t>
  </si>
  <si>
    <t>A2b 006</t>
  </si>
  <si>
    <t>A2b 007</t>
  </si>
  <si>
    <t>A2b 008</t>
  </si>
  <si>
    <t>A2b 009</t>
  </si>
  <si>
    <t>✷</t>
  </si>
  <si>
    <t>A2b 010</t>
  </si>
  <si>
    <t>✷✷</t>
  </si>
  <si>
    <t>A2b 011</t>
  </si>
  <si>
    <t>A2b 012</t>
  </si>
  <si>
    <t>A2b 013</t>
  </si>
  <si>
    <t>A2b 014</t>
  </si>
  <si>
    <t>A2b 015</t>
  </si>
  <si>
    <t>A2b 016</t>
  </si>
  <si>
    <t>A2b 017</t>
  </si>
  <si>
    <t>A2b 018</t>
  </si>
  <si>
    <t>A2b 019</t>
  </si>
  <si>
    <t>A2b 020</t>
  </si>
  <si>
    <t>A2b 021</t>
  </si>
  <si>
    <t>A2b 022</t>
  </si>
  <si>
    <t>A2b 023</t>
  </si>
  <si>
    <t>A2b 024</t>
  </si>
  <si>
    <t>A2b 025</t>
  </si>
  <si>
    <t>A2b 026</t>
  </si>
  <si>
    <t>A2b 027</t>
  </si>
  <si>
    <t>A2b 028</t>
  </si>
  <si>
    <r>
      <rPr>
        <rFont val="Arial"/>
        <color theme="1"/>
        <sz val="5.0"/>
      </rPr>
      <t xml:space="preserve">*These totals </t>
    </r>
    <r>
      <rPr>
        <rFont val="Arial"/>
        <b/>
        <color theme="1"/>
        <sz val="5.0"/>
      </rPr>
      <t xml:space="preserve">DON'T </t>
    </r>
    <r>
      <rPr>
        <rFont val="Arial"/>
        <color theme="1"/>
        <sz val="5.0"/>
      </rPr>
      <t>include cards found across all packs</t>
    </r>
  </si>
  <si>
    <t>A2b 029</t>
  </si>
  <si>
    <t>A2b 030</t>
  </si>
  <si>
    <t>A2b 031</t>
  </si>
  <si>
    <t>A2b 032</t>
  </si>
  <si>
    <t>A2b 033</t>
  </si>
  <si>
    <t>A2b 034</t>
  </si>
  <si>
    <t>A2b 035</t>
  </si>
  <si>
    <t>A2b 036</t>
  </si>
  <si>
    <t>A2b 037</t>
  </si>
  <si>
    <t>A2b 038</t>
  </si>
  <si>
    <t>A2b 039</t>
  </si>
  <si>
    <t>A2b 040</t>
  </si>
  <si>
    <t>A2b 041</t>
  </si>
  <si>
    <t>A2b 042</t>
  </si>
  <si>
    <t>A2b 044</t>
  </si>
  <si>
    <t>A2b 045</t>
  </si>
  <si>
    <t>A2b 046</t>
  </si>
  <si>
    <t>A2b 047</t>
  </si>
  <si>
    <t>A2b 048</t>
  </si>
  <si>
    <t>A2b 049</t>
  </si>
  <si>
    <t>A2b 050</t>
  </si>
  <si>
    <t>A2b 051</t>
  </si>
  <si>
    <t>A2b 052</t>
  </si>
  <si>
    <t>A2b 053</t>
  </si>
  <si>
    <t>A2b 054</t>
  </si>
  <si>
    <t>A2b 055</t>
  </si>
  <si>
    <t>A2b 056</t>
  </si>
  <si>
    <t>A2b 057</t>
  </si>
  <si>
    <t>A2b 058</t>
  </si>
  <si>
    <t>A2b 059</t>
  </si>
  <si>
    <t>A2b 060</t>
  </si>
  <si>
    <t>A2b 061</t>
  </si>
  <si>
    <t>A2b 062</t>
  </si>
  <si>
    <t>A2b 063</t>
  </si>
  <si>
    <t>A2b 064</t>
  </si>
  <si>
    <t>A2b 065</t>
  </si>
  <si>
    <t>A2b 066</t>
  </si>
  <si>
    <t>A2b 067</t>
  </si>
  <si>
    <t>A2b 068</t>
  </si>
  <si>
    <t>A2b 069</t>
  </si>
  <si>
    <t>A2b 070</t>
  </si>
  <si>
    <t>A2b 071</t>
  </si>
  <si>
    <t>A2b 072</t>
  </si>
  <si>
    <t>A2b 073</t>
  </si>
  <si>
    <t>A2b 074</t>
  </si>
  <si>
    <t>A2b 075</t>
  </si>
  <si>
    <t>A2b 076</t>
  </si>
  <si>
    <t>A2b 077</t>
  </si>
  <si>
    <t>A2b 078</t>
  </si>
  <si>
    <t>A2b 079</t>
  </si>
  <si>
    <t>A2b 080</t>
  </si>
  <si>
    <t>A2b 081</t>
  </si>
  <si>
    <t>A2b 082</t>
  </si>
  <si>
    <t>A2b 083</t>
  </si>
  <si>
    <t>A2b 084</t>
  </si>
  <si>
    <t>A2b 085</t>
  </si>
  <si>
    <t>A2b 086</t>
  </si>
  <si>
    <t>A2b 087</t>
  </si>
  <si>
    <t>A2b 088</t>
  </si>
  <si>
    <t>A2b 089</t>
  </si>
  <si>
    <t>A2b 090</t>
  </si>
  <si>
    <t>A2b 091</t>
  </si>
  <si>
    <t>A2b 092</t>
  </si>
  <si>
    <t>A2b 093</t>
  </si>
  <si>
    <t>A2b 094</t>
  </si>
  <si>
    <t>A2b 095</t>
  </si>
  <si>
    <t>A2b 096</t>
  </si>
  <si>
    <t>A2b 097</t>
  </si>
  <si>
    <t>A2b 098</t>
  </si>
  <si>
    <t>A2b 099</t>
  </si>
  <si>
    <t>A2b 100</t>
  </si>
  <si>
    <t>A2b 101</t>
  </si>
  <si>
    <t>A2b 102</t>
  </si>
  <si>
    <t>A2b 103</t>
  </si>
  <si>
    <t>A2b 104</t>
  </si>
  <si>
    <t>A2b 105</t>
  </si>
  <si>
    <t>A2b 106</t>
  </si>
  <si>
    <t>A2b 107</t>
  </si>
  <si>
    <t>A2b 108</t>
  </si>
  <si>
    <t>A2b 109</t>
  </si>
  <si>
    <t>A2b 110</t>
  </si>
  <si>
    <t>A2b 111</t>
  </si>
  <si>
    <t>P-A 001</t>
  </si>
  <si>
    <t>P-A 002</t>
  </si>
  <si>
    <t>P-A 003</t>
  </si>
  <si>
    <t>P-A 004</t>
  </si>
  <si>
    <t>P-A 005</t>
  </si>
  <si>
    <t>P-A 006</t>
  </si>
  <si>
    <t>P-A 007</t>
  </si>
  <si>
    <t>P-A 008</t>
  </si>
  <si>
    <t>P-A 009</t>
  </si>
  <si>
    <t>P-A 010</t>
  </si>
  <si>
    <t>P-A 011</t>
  </si>
  <si>
    <t>P-A 012</t>
  </si>
  <si>
    <t>P-A 013</t>
  </si>
  <si>
    <t>P-A 014</t>
  </si>
  <si>
    <t>P-A 015</t>
  </si>
  <si>
    <t>P-A 016</t>
  </si>
  <si>
    <t>P-A 017</t>
  </si>
  <si>
    <t>P-A 018</t>
  </si>
  <si>
    <t>P-A 019</t>
  </si>
  <si>
    <t>P-A 020</t>
  </si>
  <si>
    <t>P-A 021</t>
  </si>
  <si>
    <t>P-A 022</t>
  </si>
  <si>
    <t>P-A 023</t>
  </si>
  <si>
    <t>P-A 024</t>
  </si>
  <si>
    <t>P-A 025</t>
  </si>
  <si>
    <t>P-A 026</t>
  </si>
  <si>
    <t>P-A 027</t>
  </si>
  <si>
    <t>P-A 028</t>
  </si>
  <si>
    <t>P-A 029</t>
  </si>
  <si>
    <t>P-A 030</t>
  </si>
  <si>
    <t>P-A 031</t>
  </si>
  <si>
    <t>P-A 032</t>
  </si>
  <si>
    <t>P-A 033</t>
  </si>
  <si>
    <t>P-A 034</t>
  </si>
  <si>
    <t>P-A 035</t>
  </si>
  <si>
    <t>P-A 036</t>
  </si>
  <si>
    <t>P-A 037</t>
  </si>
  <si>
    <t>P-A 038</t>
  </si>
  <si>
    <t>P-A 039</t>
  </si>
  <si>
    <t>P-A 040</t>
  </si>
  <si>
    <t>P-A 041</t>
  </si>
  <si>
    <t>P-A 042</t>
  </si>
  <si>
    <t>P-A 043</t>
  </si>
  <si>
    <t>P-A 044</t>
  </si>
  <si>
    <t>P-A 045</t>
  </si>
  <si>
    <t>P-A 046</t>
  </si>
  <si>
    <t>P-A 047</t>
  </si>
  <si>
    <t>P-A 048</t>
  </si>
  <si>
    <t>P-A 049</t>
  </si>
  <si>
    <t>Deck</t>
  </si>
  <si>
    <t>INSERT NAME</t>
  </si>
  <si>
    <t>Deck Summary</t>
  </si>
  <si>
    <t>#</t>
  </si>
  <si>
    <t>Expansion</t>
  </si>
  <si>
    <t>Pokemon Name</t>
  </si>
  <si>
    <t># of duplicates</t>
  </si>
  <si>
    <t># owned</t>
  </si>
  <si>
    <t># missing</t>
  </si>
  <si>
    <t>Pack to open</t>
  </si>
  <si>
    <t>% missing</t>
  </si>
  <si>
    <t>Max</t>
  </si>
  <si>
    <t>Sum %</t>
  </si>
  <si>
    <t>Genetic Apex</t>
  </si>
  <si>
    <t>Sum #</t>
  </si>
  <si>
    <t>Space-TimeSmackdown</t>
  </si>
  <si>
    <t>Shop</t>
  </si>
  <si>
    <t>TOTAL</t>
  </si>
  <si>
    <t>ID</t>
  </si>
  <si>
    <t>Booster Card ID</t>
  </si>
  <si>
    <t>Prefix</t>
  </si>
  <si>
    <t>Name</t>
  </si>
  <si>
    <t>Suffix</t>
  </si>
  <si>
    <t>SRC 000</t>
  </si>
  <si>
    <t>???</t>
  </si>
  <si>
    <t>SRC 001</t>
  </si>
  <si>
    <t>All</t>
  </si>
  <si>
    <t>SRC 002</t>
  </si>
  <si>
    <t>Free mission</t>
  </si>
  <si>
    <t>SRC 003</t>
  </si>
  <si>
    <t>Premium mission</t>
  </si>
  <si>
    <t>SRC 004</t>
  </si>
  <si>
    <t>SRC 005</t>
  </si>
  <si>
    <t>Wonder Pick</t>
  </si>
  <si>
    <t>SRC 006</t>
  </si>
  <si>
    <t>Promo pack</t>
  </si>
  <si>
    <t>SRC 007</t>
  </si>
  <si>
    <t>Developer's gift</t>
  </si>
  <si>
    <t>Bulbasaur</t>
  </si>
  <si>
    <t>Ivysaur</t>
  </si>
  <si>
    <t>Venusaur</t>
  </si>
  <si>
    <t xml:space="preserve"> ex</t>
  </si>
  <si>
    <t>Caterpie</t>
  </si>
  <si>
    <t>Metapod</t>
  </si>
  <si>
    <t>Butterfree</t>
  </si>
  <si>
    <t>Weedle</t>
  </si>
  <si>
    <t>Kakuna</t>
  </si>
  <si>
    <t>Beedrill</t>
  </si>
  <si>
    <t>Oddish</t>
  </si>
  <si>
    <t>Gloom</t>
  </si>
  <si>
    <t>Vileplume</t>
  </si>
  <si>
    <t>Paras</t>
  </si>
  <si>
    <t>Parasect</t>
  </si>
  <si>
    <t>Venonat</t>
  </si>
  <si>
    <t>Venomoth</t>
  </si>
  <si>
    <t>Bellsprout</t>
  </si>
  <si>
    <t>Weepinbell</t>
  </si>
  <si>
    <t>Victreebel</t>
  </si>
  <si>
    <t>Exeggcute</t>
  </si>
  <si>
    <t>Exeggutor</t>
  </si>
  <si>
    <t>Tangela</t>
  </si>
  <si>
    <t>Scyther</t>
  </si>
  <si>
    <t>Pinsir</t>
  </si>
  <si>
    <t>Cottonee</t>
  </si>
  <si>
    <t>Whimsicott</t>
  </si>
  <si>
    <t>Petilil</t>
  </si>
  <si>
    <t>Lilligant</t>
  </si>
  <si>
    <t>Skiddo</t>
  </si>
  <si>
    <t>Gogoat</t>
  </si>
  <si>
    <t>Charmander</t>
  </si>
  <si>
    <t>Charmeleon</t>
  </si>
  <si>
    <t>Vulpix</t>
  </si>
  <si>
    <t>Ninetales</t>
  </si>
  <si>
    <t>Growlithe</t>
  </si>
  <si>
    <t>Arcanine</t>
  </si>
  <si>
    <t>Ponyta</t>
  </si>
  <si>
    <t>Rapidash</t>
  </si>
  <si>
    <t>Magmar</t>
  </si>
  <si>
    <t>Flareon</t>
  </si>
  <si>
    <t>Moltres</t>
  </si>
  <si>
    <t>Heatmor</t>
  </si>
  <si>
    <t>Salandit</t>
  </si>
  <si>
    <t>Salazzle</t>
  </si>
  <si>
    <t>Sizzlipede</t>
  </si>
  <si>
    <t>Centiskorch</t>
  </si>
  <si>
    <t>Squirtle</t>
  </si>
  <si>
    <t>Wartortle</t>
  </si>
  <si>
    <t>Blastoise</t>
  </si>
  <si>
    <t>Psyduck</t>
  </si>
  <si>
    <t>Golduck</t>
  </si>
  <si>
    <t>Poliwag</t>
  </si>
  <si>
    <t>Poliwhirl</t>
  </si>
  <si>
    <t>Poliwrath</t>
  </si>
  <si>
    <t>Tentacool</t>
  </si>
  <si>
    <t>Tentacruel</t>
  </si>
  <si>
    <t>Seel</t>
  </si>
  <si>
    <t>Dewgong</t>
  </si>
  <si>
    <t>Shellder</t>
  </si>
  <si>
    <t>Cloyster</t>
  </si>
  <si>
    <t>Krabby</t>
  </si>
  <si>
    <t>Kingler</t>
  </si>
  <si>
    <t>Horsea</t>
  </si>
  <si>
    <t>Seadra</t>
  </si>
  <si>
    <t>Goldeen</t>
  </si>
  <si>
    <t>Seaking</t>
  </si>
  <si>
    <t>Staryu</t>
  </si>
  <si>
    <t>Starmie</t>
  </si>
  <si>
    <t>Magikarp</t>
  </si>
  <si>
    <t>Gyarados</t>
  </si>
  <si>
    <t>Lapras</t>
  </si>
  <si>
    <t>Vaporeon</t>
  </si>
  <si>
    <t>Omanyte</t>
  </si>
  <si>
    <t>Omastar</t>
  </si>
  <si>
    <t>Articuno</t>
  </si>
  <si>
    <t>Ducklett</t>
  </si>
  <si>
    <t>Swanna</t>
  </si>
  <si>
    <t>Froakie</t>
  </si>
  <si>
    <t>Frogadier</t>
  </si>
  <si>
    <t>Greninja</t>
  </si>
  <si>
    <t>Pyukumuku</t>
  </si>
  <si>
    <t>Bruxish</t>
  </si>
  <si>
    <t>Snom</t>
  </si>
  <si>
    <t>Frosmoth</t>
  </si>
  <si>
    <t>Pikachu</t>
  </si>
  <si>
    <t>Raichu</t>
  </si>
  <si>
    <t>Magnemite</t>
  </si>
  <si>
    <t>Magneton</t>
  </si>
  <si>
    <t>Voltorb</t>
  </si>
  <si>
    <t>Electrode</t>
  </si>
  <si>
    <t>Electabuzz</t>
  </si>
  <si>
    <t>Jolteon</t>
  </si>
  <si>
    <t>Zapdos</t>
  </si>
  <si>
    <t>Blitzle</t>
  </si>
  <si>
    <t>Zebstrika</t>
  </si>
  <si>
    <t>Tynamo</t>
  </si>
  <si>
    <t>Eelektrik</t>
  </si>
  <si>
    <t>Eelektross</t>
  </si>
  <si>
    <t>Helioptile</t>
  </si>
  <si>
    <t>Heliolisk</t>
  </si>
  <si>
    <t>Pincurchin</t>
  </si>
  <si>
    <t>Clefairy</t>
  </si>
  <si>
    <t>Clefable</t>
  </si>
  <si>
    <t>Abra</t>
  </si>
  <si>
    <t>Kadabra</t>
  </si>
  <si>
    <t>Alakazam</t>
  </si>
  <si>
    <t>Slowpoke</t>
  </si>
  <si>
    <t>Slowbro</t>
  </si>
  <si>
    <t>Gastly</t>
  </si>
  <si>
    <t>Haunter</t>
  </si>
  <si>
    <t>Gengar</t>
  </si>
  <si>
    <t>Drowzee</t>
  </si>
  <si>
    <t>Hypno</t>
  </si>
  <si>
    <t>Mr. Mime</t>
  </si>
  <si>
    <t>Jynx</t>
  </si>
  <si>
    <t>Mewtwo</t>
  </si>
  <si>
    <t>Ralts</t>
  </si>
  <si>
    <t>Kirlia</t>
  </si>
  <si>
    <t>Gardevoir</t>
  </si>
  <si>
    <t>Woobat</t>
  </si>
  <si>
    <t>Swoobat</t>
  </si>
  <si>
    <t>Golett</t>
  </si>
  <si>
    <t>Golurk</t>
  </si>
  <si>
    <t>Sandshrew</t>
  </si>
  <si>
    <t>Sandslash</t>
  </si>
  <si>
    <t>Diglett</t>
  </si>
  <si>
    <t>Dugtrio</t>
  </si>
  <si>
    <t>Mankey</t>
  </si>
  <si>
    <t>Primeape</t>
  </si>
  <si>
    <t>Machop</t>
  </si>
  <si>
    <t>Machoke</t>
  </si>
  <si>
    <t>Machamp</t>
  </si>
  <si>
    <t>Geodude</t>
  </si>
  <si>
    <t>Graveler</t>
  </si>
  <si>
    <t>Golem</t>
  </si>
  <si>
    <t>Onix</t>
  </si>
  <si>
    <t>Cubone</t>
  </si>
  <si>
    <t>Marowak</t>
  </si>
  <si>
    <t>Hitmonlee</t>
  </si>
  <si>
    <t>Hitmonchan</t>
  </si>
  <si>
    <t>Rhyhorn</t>
  </si>
  <si>
    <t>Rhydon</t>
  </si>
  <si>
    <t>Kabuto</t>
  </si>
  <si>
    <t>Kabutops</t>
  </si>
  <si>
    <t>Mienfoo</t>
  </si>
  <si>
    <t>Mienshao</t>
  </si>
  <si>
    <t>Clobbopus</t>
  </si>
  <si>
    <t>Grapploct</t>
  </si>
  <si>
    <t>Ekans</t>
  </si>
  <si>
    <t>Arbok</t>
  </si>
  <si>
    <t>Nidoran♀</t>
  </si>
  <si>
    <t>Nidorina</t>
  </si>
  <si>
    <t>Nidoqueen</t>
  </si>
  <si>
    <t>Nidoran♂</t>
  </si>
  <si>
    <t>Nidorino</t>
  </si>
  <si>
    <t>Nidoking</t>
  </si>
  <si>
    <t>Zubat</t>
  </si>
  <si>
    <t>Golbat</t>
  </si>
  <si>
    <t>Grimer</t>
  </si>
  <si>
    <t>Muk</t>
  </si>
  <si>
    <t>Koffing</t>
  </si>
  <si>
    <t>Weezing</t>
  </si>
  <si>
    <t>Mawile</t>
  </si>
  <si>
    <t>Pawniard</t>
  </si>
  <si>
    <t>Bisharp</t>
  </si>
  <si>
    <t>Meltan</t>
  </si>
  <si>
    <t>Melmetal</t>
  </si>
  <si>
    <t>Dratini</t>
  </si>
  <si>
    <t>Dragonair</t>
  </si>
  <si>
    <t>Dragonite</t>
  </si>
  <si>
    <t>Pidgey</t>
  </si>
  <si>
    <t>Pidgeotto</t>
  </si>
  <si>
    <t>Pidgeot</t>
  </si>
  <si>
    <t>Rattata</t>
  </si>
  <si>
    <t>Raticate</t>
  </si>
  <si>
    <t>Spearow</t>
  </si>
  <si>
    <t>Fearow</t>
  </si>
  <si>
    <t>Jigglypuff</t>
  </si>
  <si>
    <t>Wigglytuff</t>
  </si>
  <si>
    <t>Meowth</t>
  </si>
  <si>
    <t>Persian</t>
  </si>
  <si>
    <t>Farfetch'd</t>
  </si>
  <si>
    <t>Doduo</t>
  </si>
  <si>
    <t>Dodrio</t>
  </si>
  <si>
    <t>Lickitung</t>
  </si>
  <si>
    <t>Chansey</t>
  </si>
  <si>
    <t>Kangaskhan</t>
  </si>
  <si>
    <t>Tauros</t>
  </si>
  <si>
    <t>Ditto</t>
  </si>
  <si>
    <t>Eevee</t>
  </si>
  <si>
    <t>Porygon</t>
  </si>
  <si>
    <t>Aerodactyl</t>
  </si>
  <si>
    <t>Snorlax</t>
  </si>
  <si>
    <t>Minccino</t>
  </si>
  <si>
    <t>Cinccino</t>
  </si>
  <si>
    <t>Wooloo</t>
  </si>
  <si>
    <t>Dubwool</t>
  </si>
  <si>
    <t>Helix Fossil</t>
  </si>
  <si>
    <t>Dome Fossil</t>
  </si>
  <si>
    <t>Old Amber</t>
  </si>
  <si>
    <t>Erika</t>
  </si>
  <si>
    <t>Misty</t>
  </si>
  <si>
    <t>Blaine</t>
  </si>
  <si>
    <t>Koga</t>
  </si>
  <si>
    <t>Giovanni</t>
  </si>
  <si>
    <t>Brock</t>
  </si>
  <si>
    <t>Sabrina</t>
  </si>
  <si>
    <t>Lt. Surge</t>
  </si>
  <si>
    <t>Potion</t>
  </si>
  <si>
    <t>X speed</t>
  </si>
  <si>
    <t>Hand scope</t>
  </si>
  <si>
    <t>Pokedex</t>
  </si>
  <si>
    <t>Poke ball</t>
  </si>
  <si>
    <t xml:space="preserve">Red card </t>
  </si>
  <si>
    <t>Professor's Research</t>
  </si>
  <si>
    <t>Snivy</t>
  </si>
  <si>
    <t>Volcarona</t>
  </si>
  <si>
    <t>Piplup</t>
  </si>
  <si>
    <t>Turtwig</t>
  </si>
  <si>
    <t>Electivire</t>
  </si>
  <si>
    <t>Cresselia</t>
  </si>
  <si>
    <t>Misdreavus</t>
  </si>
  <si>
    <t>Skarmory</t>
  </si>
  <si>
    <t>Chimchar</t>
  </si>
  <si>
    <t>Togepi</t>
  </si>
  <si>
    <t>Darkrai</t>
  </si>
  <si>
    <t>Cherrim</t>
  </si>
  <si>
    <t>Nosepass</t>
  </si>
  <si>
    <t>Gible</t>
  </si>
  <si>
    <t>Staraptor</t>
  </si>
  <si>
    <t>Manaphy</t>
  </si>
  <si>
    <t>Celebi</t>
  </si>
  <si>
    <t>Servine</t>
  </si>
  <si>
    <t>Serperior</t>
  </si>
  <si>
    <t>Morelull</t>
  </si>
  <si>
    <t>Shiinotic</t>
  </si>
  <si>
    <t>Dhelmise</t>
  </si>
  <si>
    <t>Larvesta</t>
  </si>
  <si>
    <t>Finneon</t>
  </si>
  <si>
    <t>Lumineon</t>
  </si>
  <si>
    <t>Chewtle</t>
  </si>
  <si>
    <t>Drednaw</t>
  </si>
  <si>
    <t>Cramorant</t>
  </si>
  <si>
    <t>Joltik</t>
  </si>
  <si>
    <t>Galvantula</t>
  </si>
  <si>
    <t>Dedenne</t>
  </si>
  <si>
    <t>Sigilyph</t>
  </si>
  <si>
    <t>Elgyem</t>
  </si>
  <si>
    <t>Beheeyem</t>
  </si>
  <si>
    <t>Flabébé</t>
  </si>
  <si>
    <t>Floette</t>
  </si>
  <si>
    <t>Florges</t>
  </si>
  <si>
    <t>Swirlix</t>
  </si>
  <si>
    <t>Slurpuff</t>
  </si>
  <si>
    <t>Marshadow</t>
  </si>
  <si>
    <t>Stonjourner</t>
  </si>
  <si>
    <t>Purrloin</t>
  </si>
  <si>
    <t>Liepard</t>
  </si>
  <si>
    <t>Venipede</t>
  </si>
  <si>
    <t>Whirlipede</t>
  </si>
  <si>
    <t>Scolipede</t>
  </si>
  <si>
    <t>Druddigon</t>
  </si>
  <si>
    <t>Chatot</t>
  </si>
  <si>
    <t>Pokemon Flute</t>
  </si>
  <si>
    <t>Mythical Slab</t>
  </si>
  <si>
    <t>Budding Expeditioner</t>
  </si>
  <si>
    <t>Blue</t>
  </si>
  <si>
    <t>Leaf</t>
  </si>
  <si>
    <t>Bellossom</t>
  </si>
  <si>
    <t>Tangrowth</t>
  </si>
  <si>
    <t>Yanma</t>
  </si>
  <si>
    <t>Yanmega</t>
  </si>
  <si>
    <t>Roselia</t>
  </si>
  <si>
    <t>Roserade</t>
  </si>
  <si>
    <t>Grotle</t>
  </si>
  <si>
    <t>Torterra</t>
  </si>
  <si>
    <t>Kricketot</t>
  </si>
  <si>
    <t>Kricketune</t>
  </si>
  <si>
    <t>Burmy</t>
  </si>
  <si>
    <t>Wormadam</t>
  </si>
  <si>
    <t>Combee</t>
  </si>
  <si>
    <t>Vespiquen</t>
  </si>
  <si>
    <t>Carnivine</t>
  </si>
  <si>
    <t>Leafeon</t>
  </si>
  <si>
    <t>Mow Rotom</t>
  </si>
  <si>
    <t>Shaymin</t>
  </si>
  <si>
    <t>Magmortar</t>
  </si>
  <si>
    <t>Slugma</t>
  </si>
  <si>
    <t>Magcargo</t>
  </si>
  <si>
    <t>Monferno</t>
  </si>
  <si>
    <t>Infernape</t>
  </si>
  <si>
    <t>Heat Rotom</t>
  </si>
  <si>
    <t>Swinub</t>
  </si>
  <si>
    <t>Piloswine</t>
  </si>
  <si>
    <t>Mamoswine</t>
  </si>
  <si>
    <t>Regice</t>
  </si>
  <si>
    <t>Prinplup</t>
  </si>
  <si>
    <t>Empoleon</t>
  </si>
  <si>
    <t>Buizel</t>
  </si>
  <si>
    <t>Floatzel</t>
  </si>
  <si>
    <t>Shellos</t>
  </si>
  <si>
    <t>Gastrodon</t>
  </si>
  <si>
    <t>Snover</t>
  </si>
  <si>
    <t>Abomasnow</t>
  </si>
  <si>
    <t>Glaceon</t>
  </si>
  <si>
    <t>Wash Rotom</t>
  </si>
  <si>
    <t>Frost Rotom</t>
  </si>
  <si>
    <t>Palkia</t>
  </si>
  <si>
    <t>Magnezone</t>
  </si>
  <si>
    <t>Shinx</t>
  </si>
  <si>
    <t>Luxio</t>
  </si>
  <si>
    <t>Luxray</t>
  </si>
  <si>
    <t>Pachirisu</t>
  </si>
  <si>
    <t>Rotom</t>
  </si>
  <si>
    <t>Togetic</t>
  </si>
  <si>
    <t>Togekiss</t>
  </si>
  <si>
    <t>Mismagius</t>
  </si>
  <si>
    <t>Duskull</t>
  </si>
  <si>
    <t>Dusclops</t>
  </si>
  <si>
    <t>Dusknoir</t>
  </si>
  <si>
    <t>Drifloon</t>
  </si>
  <si>
    <t>Drifblim</t>
  </si>
  <si>
    <t>Uxie</t>
  </si>
  <si>
    <t>Mesprit</t>
  </si>
  <si>
    <t>Azelf</t>
  </si>
  <si>
    <t>Giratina</t>
  </si>
  <si>
    <t>Rhyperior</t>
  </si>
  <si>
    <t>Gligar</t>
  </si>
  <si>
    <t>Gliscor</t>
  </si>
  <si>
    <t>Hitmontop</t>
  </si>
  <si>
    <t>Regirock</t>
  </si>
  <si>
    <t>Cranidos</t>
  </si>
  <si>
    <t>Rampardos</t>
  </si>
  <si>
    <t>Riolu</t>
  </si>
  <si>
    <t>Lucario</t>
  </si>
  <si>
    <t>Hippopotas</t>
  </si>
  <si>
    <t>Hippowdon</t>
  </si>
  <si>
    <t>Gallade</t>
  </si>
  <si>
    <t>Murkrow</t>
  </si>
  <si>
    <t>Honchkrow</t>
  </si>
  <si>
    <t>Sneasel</t>
  </si>
  <si>
    <t>Weavile</t>
  </si>
  <si>
    <t>Poochyena</t>
  </si>
  <si>
    <t>Mightyena</t>
  </si>
  <si>
    <t>Stunky</t>
  </si>
  <si>
    <t>Skuntank</t>
  </si>
  <si>
    <t>Spiritomb</t>
  </si>
  <si>
    <t>Skorupi</t>
  </si>
  <si>
    <t>Drapion</t>
  </si>
  <si>
    <t>Croagunk</t>
  </si>
  <si>
    <t>Toxicroak</t>
  </si>
  <si>
    <t>Registeel</t>
  </si>
  <si>
    <t>Shieldon</t>
  </si>
  <si>
    <t>Bastiodon</t>
  </si>
  <si>
    <t>Bronzor</t>
  </si>
  <si>
    <t>Bronzong</t>
  </si>
  <si>
    <t>Probopass</t>
  </si>
  <si>
    <t>Dialga</t>
  </si>
  <si>
    <t>Heatran</t>
  </si>
  <si>
    <t>Gabite</t>
  </si>
  <si>
    <t>Garchomp</t>
  </si>
  <si>
    <t>Lickilicky</t>
  </si>
  <si>
    <t>Porygon2</t>
  </si>
  <si>
    <t>Porygon-Z</t>
  </si>
  <si>
    <t>Aipom</t>
  </si>
  <si>
    <t>Ambipom</t>
  </si>
  <si>
    <t>Starly</t>
  </si>
  <si>
    <t>Staravia</t>
  </si>
  <si>
    <t>Bidoof</t>
  </si>
  <si>
    <t>Bibarel</t>
  </si>
  <si>
    <t>Buneary</t>
  </si>
  <si>
    <t>Lopunny</t>
  </si>
  <si>
    <t>Glameow</t>
  </si>
  <si>
    <t>Purugly</t>
  </si>
  <si>
    <t>Fan Rotom</t>
  </si>
  <si>
    <t>Regigigas</t>
  </si>
  <si>
    <t>Skull Fossil</t>
  </si>
  <si>
    <t>Armor Fossil</t>
  </si>
  <si>
    <t>Pokemon Communication</t>
  </si>
  <si>
    <t>Giant Cape</t>
  </si>
  <si>
    <t>Rocky Helmet</t>
  </si>
  <si>
    <t>Lum Berry</t>
  </si>
  <si>
    <t>Cyrus</t>
  </si>
  <si>
    <t>Team Galactic Grunt</t>
  </si>
  <si>
    <t>Cynthia</t>
  </si>
  <si>
    <t>Volkner</t>
  </si>
  <si>
    <t>Dawn</t>
  </si>
  <si>
    <t>Mars</t>
  </si>
  <si>
    <t>Heracross</t>
  </si>
  <si>
    <t>Mothim</t>
  </si>
  <si>
    <t>Cherubi</t>
  </si>
  <si>
    <t>Houndour</t>
  </si>
  <si>
    <t>Houndoom</t>
  </si>
  <si>
    <t>Marill</t>
  </si>
  <si>
    <t>Azumarill</t>
  </si>
  <si>
    <t>Barboach</t>
  </si>
  <si>
    <t>Whiscash</t>
  </si>
  <si>
    <t>Snorunt</t>
  </si>
  <si>
    <t>Froslass</t>
  </si>
  <si>
    <t>Origin Forme</t>
  </si>
  <si>
    <t>Phione</t>
  </si>
  <si>
    <t>Electrike</t>
  </si>
  <si>
    <t>Manectric</t>
  </si>
  <si>
    <t>Unown</t>
  </si>
  <si>
    <t>Sudowoodo</t>
  </si>
  <si>
    <t>Phanpy</t>
  </si>
  <si>
    <t>Donphan</t>
  </si>
  <si>
    <t>Larvitar</t>
  </si>
  <si>
    <t>Pupitar</t>
  </si>
  <si>
    <t>Tyranitar</t>
  </si>
  <si>
    <t>Meditite</t>
  </si>
  <si>
    <t>Medicham</t>
  </si>
  <si>
    <t>Crobat</t>
  </si>
  <si>
    <t>Hoothoot</t>
  </si>
  <si>
    <t>Noctowl</t>
  </si>
  <si>
    <t>Irida</t>
  </si>
  <si>
    <t>Celestic Town Elder</t>
  </si>
  <si>
    <t>Barry</t>
  </si>
  <si>
    <t>Adaman</t>
  </si>
  <si>
    <t>Sprigatito</t>
  </si>
  <si>
    <t>Floragato</t>
  </si>
  <si>
    <t>Meowscarada</t>
  </si>
  <si>
    <t>Paldean</t>
  </si>
  <si>
    <t>Wiglett</t>
  </si>
  <si>
    <t>Wugtrio</t>
  </si>
  <si>
    <t>Dondozo</t>
  </si>
  <si>
    <t>Tatsugiri</t>
  </si>
  <si>
    <t>Pawmi</t>
  </si>
  <si>
    <t>Pawmo</t>
  </si>
  <si>
    <t>Pawmot</t>
  </si>
  <si>
    <t>Gimmighoul</t>
  </si>
  <si>
    <t>Flamigo</t>
  </si>
  <si>
    <t xml:space="preserve">Paldean </t>
  </si>
  <si>
    <t>Wooper</t>
  </si>
  <si>
    <t>Clodsire</t>
  </si>
  <si>
    <t>Shroodle</t>
  </si>
  <si>
    <t>Grafaiai</t>
  </si>
  <si>
    <t>Tinkatink</t>
  </si>
  <si>
    <t>Tinkatuff</t>
  </si>
  <si>
    <t>Tinkaton</t>
  </si>
  <si>
    <t>Varoom</t>
  </si>
  <si>
    <t>Revavroom</t>
  </si>
  <si>
    <t>Gholdengo</t>
  </si>
  <si>
    <t>Cyclizar</t>
  </si>
  <si>
    <t>Iono</t>
  </si>
  <si>
    <t>Pokemon center lady</t>
  </si>
  <si>
    <t>Red</t>
  </si>
  <si>
    <t>Team Rocket Grunt</t>
  </si>
  <si>
    <t>Pokemon Center Lady</t>
  </si>
  <si>
    <t>Français</t>
  </si>
  <si>
    <t>日本語</t>
  </si>
  <si>
    <t>Romanji</t>
  </si>
  <si>
    <t>Deutsch</t>
  </si>
  <si>
    <t>Español</t>
  </si>
  <si>
    <t>Italiano</t>
  </si>
  <si>
    <t>Português - BR</t>
  </si>
  <si>
    <t>SOURCE</t>
  </si>
  <si>
    <t>Tous</t>
  </si>
  <si>
    <t>全て</t>
  </si>
  <si>
    <t>Subete</t>
  </si>
  <si>
    <t>Alle</t>
  </si>
  <si>
    <t>Todo</t>
  </si>
  <si>
    <t>Tutto</t>
  </si>
  <si>
    <t>Todos</t>
  </si>
  <si>
    <t>Mission gratuite</t>
  </si>
  <si>
    <t>フリーミッション</t>
  </si>
  <si>
    <t>Furīmisshon</t>
  </si>
  <si>
    <t>Freie Mission</t>
  </si>
  <si>
    <t>Misión gratis</t>
  </si>
  <si>
    <t>Missione gratuita</t>
  </si>
  <si>
    <t>Missão gratuita</t>
  </si>
  <si>
    <t>Mission premium</t>
  </si>
  <si>
    <t>プレミアムミッション</t>
  </si>
  <si>
    <t>Puremiamu misshon</t>
  </si>
  <si>
    <t>Premium Mission</t>
  </si>
  <si>
    <t>Misión premium</t>
  </si>
  <si>
    <t>Missione premium</t>
  </si>
  <si>
    <t>Missão premium</t>
  </si>
  <si>
    <t>Magasin</t>
  </si>
  <si>
    <t>店</t>
  </si>
  <si>
    <t>Mise</t>
  </si>
  <si>
    <t>Tienda</t>
  </si>
  <si>
    <t>Negozio</t>
  </si>
  <si>
    <t>Loja</t>
  </si>
  <si>
    <t>Pioche Miracle</t>
  </si>
  <si>
    <t>ミラクル ピッケル</t>
  </si>
  <si>
    <t>Mirakuru pikkeru</t>
  </si>
  <si>
    <t>Wunderwahl</t>
  </si>
  <si>
    <t>Elección mágica</t>
  </si>
  <si>
    <t>Pesca Misteriosa</t>
  </si>
  <si>
    <t>Escolha Misteriosa</t>
  </si>
  <si>
    <t>Pack promo</t>
  </si>
  <si>
    <t>プロモパック</t>
  </si>
  <si>
    <t>Puromopakku</t>
  </si>
  <si>
    <t>Promopack</t>
  </si>
  <si>
    <t>Sobre promocional</t>
  </si>
  <si>
    <t>Pacchetto promozionale</t>
  </si>
  <si>
    <t>Pacote promocional</t>
  </si>
  <si>
    <t>Cadeau des développeurs</t>
  </si>
  <si>
    <t>開発者の贈り物</t>
  </si>
  <si>
    <t>Kaihatsu-sha no okurimono</t>
  </si>
  <si>
    <t>Entwicklergeschenk</t>
  </si>
  <si>
    <t>Regalo del desarrollador</t>
  </si>
  <si>
    <t>Regalo dello sviluppatore</t>
  </si>
  <si>
    <t>Presente dos desenvolvedores</t>
  </si>
  <si>
    <t>RARTY</t>
  </si>
  <si>
    <t>PREFIXES</t>
  </si>
  <si>
    <t xml:space="preserve">Origin Forme </t>
  </si>
  <si>
    <t xml:space="preserve">Forme Originelle </t>
  </si>
  <si>
    <t xml:space="preserve">起源フォーム </t>
  </si>
  <si>
    <t xml:space="preserve">Kigen fōmu </t>
  </si>
  <si>
    <t>Ur-</t>
  </si>
  <si>
    <t xml:space="preserve">Forma de origen </t>
  </si>
  <si>
    <t xml:space="preserve">Forma di origine </t>
  </si>
  <si>
    <t xml:space="preserve">Forma de origem </t>
  </si>
  <si>
    <t xml:space="preserve">Mega </t>
  </si>
  <si>
    <t xml:space="preserve">Méga </t>
  </si>
  <si>
    <t>Mega-</t>
  </si>
  <si>
    <t>Mega</t>
  </si>
  <si>
    <t xml:space="preserve">de Paldea </t>
  </si>
  <si>
    <t xml:space="preserve">パルデア </t>
  </si>
  <si>
    <t xml:space="preserve">Parudean </t>
  </si>
  <si>
    <t>Paldea-</t>
  </si>
  <si>
    <t xml:space="preserve">de Pladea </t>
  </si>
  <si>
    <t xml:space="preserve">di Pladea </t>
  </si>
  <si>
    <t>SUFFIXES</t>
  </si>
  <si>
    <t>POKEMON</t>
  </si>
  <si>
    <t>Bulbizarre</t>
  </si>
  <si>
    <t>フシギダネ</t>
  </si>
  <si>
    <t>Fushigidane</t>
  </si>
  <si>
    <t>Bisasam</t>
  </si>
  <si>
    <t>Herbizarre</t>
  </si>
  <si>
    <t>フシギソウ</t>
  </si>
  <si>
    <t>Fushigisou</t>
  </si>
  <si>
    <t>Bisaknosp</t>
  </si>
  <si>
    <t>Florizarre</t>
  </si>
  <si>
    <t>フシギバナ</t>
  </si>
  <si>
    <t>Fushigibana</t>
  </si>
  <si>
    <t>Bisaflor</t>
  </si>
  <si>
    <t>Salamèche</t>
  </si>
  <si>
    <t>ヒトカゲ</t>
  </si>
  <si>
    <t>Hitokage</t>
  </si>
  <si>
    <t>Glumanda</t>
  </si>
  <si>
    <t>Reptincel</t>
  </si>
  <si>
    <t>リザード</t>
  </si>
  <si>
    <t>Lizardo</t>
  </si>
  <si>
    <t>Glutexo</t>
  </si>
  <si>
    <t>Dracaufeu</t>
  </si>
  <si>
    <t>リザードン</t>
  </si>
  <si>
    <t>Lizardon</t>
  </si>
  <si>
    <t>Glurak</t>
  </si>
  <si>
    <t>Carapuce</t>
  </si>
  <si>
    <t>ゼニガメ</t>
  </si>
  <si>
    <t>Zenigame</t>
  </si>
  <si>
    <t>Schiggy</t>
  </si>
  <si>
    <t>Carabaffe</t>
  </si>
  <si>
    <t>カメール</t>
  </si>
  <si>
    <t>Kameil</t>
  </si>
  <si>
    <t>Schillok</t>
  </si>
  <si>
    <t>Tortank</t>
  </si>
  <si>
    <t>カメックス</t>
  </si>
  <si>
    <t>Kamex</t>
  </si>
  <si>
    <t>Turtok</t>
  </si>
  <si>
    <t>Chenipan</t>
  </si>
  <si>
    <t>キャタピー</t>
  </si>
  <si>
    <t>Raupy</t>
  </si>
  <si>
    <t>Chrysacier</t>
  </si>
  <si>
    <t>トランセル</t>
  </si>
  <si>
    <t>Trancell</t>
  </si>
  <si>
    <t>Safcon</t>
  </si>
  <si>
    <t>Papilusion</t>
  </si>
  <si>
    <t>バタフリー</t>
  </si>
  <si>
    <t>Smettbo</t>
  </si>
  <si>
    <t>Aspicot</t>
  </si>
  <si>
    <t>ビードル</t>
  </si>
  <si>
    <t>Beedle</t>
  </si>
  <si>
    <t>Hornliu</t>
  </si>
  <si>
    <t>Coconfort</t>
  </si>
  <si>
    <t>コクーン</t>
  </si>
  <si>
    <t>Cocoon</t>
  </si>
  <si>
    <t>Kokuna</t>
  </si>
  <si>
    <t>Dardargnan</t>
  </si>
  <si>
    <t>スピアー</t>
  </si>
  <si>
    <t>Spear</t>
  </si>
  <si>
    <t>Bibor</t>
  </si>
  <si>
    <t>Roucool</t>
  </si>
  <si>
    <t>ポッポ</t>
  </si>
  <si>
    <t>Poppo</t>
  </si>
  <si>
    <t>Taubsi</t>
  </si>
  <si>
    <t>Roucoups</t>
  </si>
  <si>
    <t>ピジョン</t>
  </si>
  <si>
    <t>Pigeon</t>
  </si>
  <si>
    <t>Tauboga</t>
  </si>
  <si>
    <t>Roucarnage</t>
  </si>
  <si>
    <t>ピジョット</t>
  </si>
  <si>
    <t>Pigeot</t>
  </si>
  <si>
    <t>Tauboss</t>
  </si>
  <si>
    <t>コラッタ</t>
  </si>
  <si>
    <t>Koratta</t>
  </si>
  <si>
    <t>Rattfratz</t>
  </si>
  <si>
    <t>Rattatac</t>
  </si>
  <si>
    <t>ラッタ</t>
  </si>
  <si>
    <t>Ratta</t>
  </si>
  <si>
    <t>Rattikarl</t>
  </si>
  <si>
    <t>Piafabec</t>
  </si>
  <si>
    <t>オニスズメ</t>
  </si>
  <si>
    <t>Onisuzume</t>
  </si>
  <si>
    <t>Habitak</t>
  </si>
  <si>
    <t>Rapasdepic</t>
  </si>
  <si>
    <t>オニドリル</t>
  </si>
  <si>
    <t>Onidrill</t>
  </si>
  <si>
    <t>Ibitak</t>
  </si>
  <si>
    <t>Abo</t>
  </si>
  <si>
    <t>アーボ</t>
  </si>
  <si>
    <t>Arbo</t>
  </si>
  <si>
    <t>Rettan</t>
  </si>
  <si>
    <t>アーボック</t>
  </si>
  <si>
    <t>ピカチュウ</t>
  </si>
  <si>
    <t>ライチュウ</t>
  </si>
  <si>
    <t>Sabelette</t>
  </si>
  <si>
    <t>サンド</t>
  </si>
  <si>
    <t>Sand</t>
  </si>
  <si>
    <t>Sandan</t>
  </si>
  <si>
    <t>Sablaireau</t>
  </si>
  <si>
    <t>サンドパン</t>
  </si>
  <si>
    <t>Sandpan</t>
  </si>
  <si>
    <t>Sandamer</t>
  </si>
  <si>
    <t>ニドラン♀</t>
  </si>
  <si>
    <t>ニドリーナ</t>
  </si>
  <si>
    <t>ニドクイン</t>
  </si>
  <si>
    <t>ニドラン♂</t>
  </si>
  <si>
    <t>ニドリーノ</t>
  </si>
  <si>
    <t>ニドキング</t>
  </si>
  <si>
    <t>Mélofée</t>
  </si>
  <si>
    <t>ピッピ</t>
  </si>
  <si>
    <t>Pippi</t>
  </si>
  <si>
    <t>Piepi</t>
  </si>
  <si>
    <t>Mélodelfe</t>
  </si>
  <si>
    <t>ピクシー</t>
  </si>
  <si>
    <t>Pixy</t>
  </si>
  <si>
    <t>Pixi</t>
  </si>
  <si>
    <t>Goupix</t>
  </si>
  <si>
    <t>ロコン</t>
  </si>
  <si>
    <t>Rokon</t>
  </si>
  <si>
    <t>Feunard</t>
  </si>
  <si>
    <t>キュウコン</t>
  </si>
  <si>
    <t>Kyukon</t>
  </si>
  <si>
    <t>Vulnona</t>
  </si>
  <si>
    <t>Rondoudou</t>
  </si>
  <si>
    <t>プリン</t>
  </si>
  <si>
    <t>Purin</t>
  </si>
  <si>
    <t>Pummeluff</t>
  </si>
  <si>
    <t>Grodoudou</t>
  </si>
  <si>
    <t>プクリン</t>
  </si>
  <si>
    <t>Pukurin</t>
  </si>
  <si>
    <t>Knuddeluff</t>
  </si>
  <si>
    <t>Nosferapti</t>
  </si>
  <si>
    <t>ズバット</t>
  </si>
  <si>
    <t>Nosferalto</t>
  </si>
  <si>
    <t>ゴルバット</t>
  </si>
  <si>
    <t>Mystherbe</t>
  </si>
  <si>
    <t>ナゾノクサ</t>
  </si>
  <si>
    <t>Nazonokusa</t>
  </si>
  <si>
    <t>Myrapla</t>
  </si>
  <si>
    <t>Ortide</t>
  </si>
  <si>
    <t>クサイハナ</t>
  </si>
  <si>
    <t>Kusaihana</t>
  </si>
  <si>
    <t>Duflor</t>
  </si>
  <si>
    <t>Rafflesia</t>
  </si>
  <si>
    <t>ラフレシア</t>
  </si>
  <si>
    <t>Ruffresia</t>
  </si>
  <si>
    <t>Giflor</t>
  </si>
  <si>
    <t>パラス</t>
  </si>
  <si>
    <t>パラセクト</t>
  </si>
  <si>
    <t>Parasek</t>
  </si>
  <si>
    <t>Mimitoss</t>
  </si>
  <si>
    <t>コンパン</t>
  </si>
  <si>
    <t>Kongpang</t>
  </si>
  <si>
    <t>Bluzuk</t>
  </si>
  <si>
    <t>Aéromite</t>
  </si>
  <si>
    <t>モルフォン</t>
  </si>
  <si>
    <t>Morphon</t>
  </si>
  <si>
    <t>Omot</t>
  </si>
  <si>
    <t>Taupiqueur</t>
  </si>
  <si>
    <t>ディグダ</t>
  </si>
  <si>
    <t>Digda</t>
  </si>
  <si>
    <t>Triopikeur</t>
  </si>
  <si>
    <t>ダグトリオ</t>
  </si>
  <si>
    <t>Digdri</t>
  </si>
  <si>
    <t>Miaouss</t>
  </si>
  <si>
    <t>ニャース</t>
  </si>
  <si>
    <t>Nyarth</t>
  </si>
  <si>
    <t>Mauzi</t>
  </si>
  <si>
    <t>ペルシアン</t>
  </si>
  <si>
    <t>Snobilikat</t>
  </si>
  <si>
    <t>Psykokwak</t>
  </si>
  <si>
    <t>コダック</t>
  </si>
  <si>
    <t>Koduck</t>
  </si>
  <si>
    <t>Enton</t>
  </si>
  <si>
    <t>Akwakwak</t>
  </si>
  <si>
    <t>ゴルダック</t>
  </si>
  <si>
    <t>Entoron</t>
  </si>
  <si>
    <t>Férosinge</t>
  </si>
  <si>
    <t>マンキー</t>
  </si>
  <si>
    <t>Menki</t>
  </si>
  <si>
    <t>Colossinge</t>
  </si>
  <si>
    <t>オコリザル</t>
  </si>
  <si>
    <t>Okorizaru</t>
  </si>
  <si>
    <t>Rasaff</t>
  </si>
  <si>
    <t>Caninos</t>
  </si>
  <si>
    <t>ガーディ</t>
  </si>
  <si>
    <t>Gardie</t>
  </si>
  <si>
    <t>Fukano</t>
  </si>
  <si>
    <t>Arcanin</t>
  </si>
  <si>
    <t>ウインディ</t>
  </si>
  <si>
    <t>Windie</t>
  </si>
  <si>
    <t>Arkani</t>
  </si>
  <si>
    <t>Ptitard</t>
  </si>
  <si>
    <t>ニョロモ</t>
  </si>
  <si>
    <t>Nyoromo</t>
  </si>
  <si>
    <t>Quapsel</t>
  </si>
  <si>
    <t>Têtarte</t>
  </si>
  <si>
    <t>ニョロゾ</t>
  </si>
  <si>
    <t>Nyorozo</t>
  </si>
  <si>
    <t>Quaputzi</t>
  </si>
  <si>
    <t>Tartard</t>
  </si>
  <si>
    <t>ニョロボン</t>
  </si>
  <si>
    <t>Nyorobon</t>
  </si>
  <si>
    <t>Quappo</t>
  </si>
  <si>
    <t>ケーシィ</t>
  </si>
  <si>
    <t>Casey</t>
  </si>
  <si>
    <t>ユンゲラー</t>
  </si>
  <si>
    <t>Yungerer</t>
  </si>
  <si>
    <t>フーディン</t>
  </si>
  <si>
    <t>Foodin</t>
  </si>
  <si>
    <t>Simsala</t>
  </si>
  <si>
    <t>Machoc</t>
  </si>
  <si>
    <t>ワンリキー</t>
  </si>
  <si>
    <t>Wanriky</t>
  </si>
  <si>
    <t>Machollo</t>
  </si>
  <si>
    <t>Machopeur</t>
  </si>
  <si>
    <t>ゴーリキー</t>
  </si>
  <si>
    <t>Goriky</t>
  </si>
  <si>
    <t>Maschock</t>
  </si>
  <si>
    <t>Mackogneur</t>
  </si>
  <si>
    <t>カイリキー</t>
  </si>
  <si>
    <t>Kairiky</t>
  </si>
  <si>
    <t>Machomei</t>
  </si>
  <si>
    <t>Chétiflor</t>
  </si>
  <si>
    <t>マダツボミ</t>
  </si>
  <si>
    <t>Madatsubomi</t>
  </si>
  <si>
    <t>Knofensa</t>
  </si>
  <si>
    <t>Boustiflor</t>
  </si>
  <si>
    <t>ウツドン</t>
  </si>
  <si>
    <t>Utsudon</t>
  </si>
  <si>
    <t>Ultrigaria</t>
  </si>
  <si>
    <t>Empiflor</t>
  </si>
  <si>
    <t>ウツボット</t>
  </si>
  <si>
    <t>Utsubot</t>
  </si>
  <si>
    <t>Sarzenia</t>
  </si>
  <si>
    <t>メノクラゲ</t>
  </si>
  <si>
    <t>Menokurage</t>
  </si>
  <si>
    <t>Tentacha</t>
  </si>
  <si>
    <t>ドククラゲ</t>
  </si>
  <si>
    <t>Dokukurage</t>
  </si>
  <si>
    <t>Tentoxa</t>
  </si>
  <si>
    <t>Racaillou</t>
  </si>
  <si>
    <t>イシツブテ</t>
  </si>
  <si>
    <t>Isitsubute</t>
  </si>
  <si>
    <t>Kleinstein</t>
  </si>
  <si>
    <t>Gravalanch</t>
  </si>
  <si>
    <t>ゴローン</t>
  </si>
  <si>
    <t>Golone</t>
  </si>
  <si>
    <t>Georok</t>
  </si>
  <si>
    <t>Grolem</t>
  </si>
  <si>
    <t>ゴローニャ</t>
  </si>
  <si>
    <t>Golonya</t>
  </si>
  <si>
    <t>Geowaz</t>
  </si>
  <si>
    <t>ポニータ</t>
  </si>
  <si>
    <t>Ponita</t>
  </si>
  <si>
    <t>Galopa</t>
  </si>
  <si>
    <t>ギャロップ</t>
  </si>
  <si>
    <t>Gallop</t>
  </si>
  <si>
    <t>Gallopa</t>
  </si>
  <si>
    <t>Ramoloss</t>
  </si>
  <si>
    <t>ヤドン</t>
  </si>
  <si>
    <t>Yadon</t>
  </si>
  <si>
    <t>Flegmon</t>
  </si>
  <si>
    <t>Flagadoss</t>
  </si>
  <si>
    <t>ヤドラン</t>
  </si>
  <si>
    <t>Yadoran</t>
  </si>
  <si>
    <t>Lahmus</t>
  </si>
  <si>
    <t>Magnéti</t>
  </si>
  <si>
    <t>コイル</t>
  </si>
  <si>
    <t>Coil</t>
  </si>
  <si>
    <t>Magnetilo</t>
  </si>
  <si>
    <t>Magnéton</t>
  </si>
  <si>
    <t>レアコイル</t>
  </si>
  <si>
    <t>Rarecoil</t>
  </si>
  <si>
    <t>Canarticho</t>
  </si>
  <si>
    <t>カモネギ</t>
  </si>
  <si>
    <t>Kamonegi</t>
  </si>
  <si>
    <t>Porenta</t>
  </si>
  <si>
    <t>Farfetch’d</t>
  </si>
  <si>
    <t>ドードー</t>
  </si>
  <si>
    <t>Dodo</t>
  </si>
  <si>
    <t>Dodu</t>
  </si>
  <si>
    <t>ドードリオ</t>
  </si>
  <si>
    <t>Dodorio</t>
  </si>
  <si>
    <t>Dodri</t>
  </si>
  <si>
    <t>Otaria</t>
  </si>
  <si>
    <t>パウワウ</t>
  </si>
  <si>
    <t>Pawou</t>
  </si>
  <si>
    <t>Jurob</t>
  </si>
  <si>
    <t>Lamantine</t>
  </si>
  <si>
    <t>ジュゴン</t>
  </si>
  <si>
    <t>Jugon</t>
  </si>
  <si>
    <t>Jugong</t>
  </si>
  <si>
    <t>Tadmorv</t>
  </si>
  <si>
    <t>ベトベター</t>
  </si>
  <si>
    <t>Betbeter</t>
  </si>
  <si>
    <t>Sleima</t>
  </si>
  <si>
    <t>Grotadmorv</t>
  </si>
  <si>
    <t>ベトベトン</t>
  </si>
  <si>
    <t>Betbeton</t>
  </si>
  <si>
    <t>Sleimok</t>
  </si>
  <si>
    <t>Kokiyas</t>
  </si>
  <si>
    <t>シェルダー</t>
  </si>
  <si>
    <t>Muschas</t>
  </si>
  <si>
    <t>Crustabri</t>
  </si>
  <si>
    <t>パルシェン</t>
  </si>
  <si>
    <t>Parshen</t>
  </si>
  <si>
    <t>Austos</t>
  </si>
  <si>
    <t>Fantominus</t>
  </si>
  <si>
    <t>ゴース</t>
  </si>
  <si>
    <t>Ghos</t>
  </si>
  <si>
    <t>Nebulak</t>
  </si>
  <si>
    <t>Spectrum</t>
  </si>
  <si>
    <t>ゴースト</t>
  </si>
  <si>
    <t>Ghost</t>
  </si>
  <si>
    <t>Alpollo</t>
  </si>
  <si>
    <t>Ectoplasma</t>
  </si>
  <si>
    <t>ゲンガー</t>
  </si>
  <si>
    <t>Gangar</t>
  </si>
  <si>
    <t>イワーク</t>
  </si>
  <si>
    <t>Iwark</t>
  </si>
  <si>
    <t>Soporifik</t>
  </si>
  <si>
    <t>スリープ</t>
  </si>
  <si>
    <t>Sleep</t>
  </si>
  <si>
    <t>Traumato</t>
  </si>
  <si>
    <t>Hypnomade</t>
  </si>
  <si>
    <t>スリーパー</t>
  </si>
  <si>
    <t>Sleeper</t>
  </si>
  <si>
    <t>クラブ</t>
  </si>
  <si>
    <t>Crab</t>
  </si>
  <si>
    <t>Krabboss</t>
  </si>
  <si>
    <t>キングラー</t>
  </si>
  <si>
    <t>Voltorbe</t>
  </si>
  <si>
    <t>ビリリダマ</t>
  </si>
  <si>
    <t>Biriridama</t>
  </si>
  <si>
    <t>Voltobal</t>
  </si>
  <si>
    <t>Électrode</t>
  </si>
  <si>
    <t>マルマイン</t>
  </si>
  <si>
    <t>Marumine</t>
  </si>
  <si>
    <t>Lektrobal</t>
  </si>
  <si>
    <t>Noeunoeuf</t>
  </si>
  <si>
    <t>タマタマ</t>
  </si>
  <si>
    <t>Tamatama</t>
  </si>
  <si>
    <t>Owei</t>
  </si>
  <si>
    <t>Noadkoko</t>
  </si>
  <si>
    <t>ナッシー</t>
  </si>
  <si>
    <t>Nassy</t>
  </si>
  <si>
    <t>Kokowei</t>
  </si>
  <si>
    <t>Osselait</t>
  </si>
  <si>
    <t>カラカラ</t>
  </si>
  <si>
    <t>Karakara</t>
  </si>
  <si>
    <t>Tragosso</t>
  </si>
  <si>
    <t>Ossatueur</t>
  </si>
  <si>
    <t>ガラガラ</t>
  </si>
  <si>
    <t>Garagara</t>
  </si>
  <si>
    <t>Knogga</t>
  </si>
  <si>
    <t>Kicklee</t>
  </si>
  <si>
    <t>サワムラー</t>
  </si>
  <si>
    <t>Sawamular</t>
  </si>
  <si>
    <t>Tygnon</t>
  </si>
  <si>
    <t>エビワラー</t>
  </si>
  <si>
    <t>Ebiwalar</t>
  </si>
  <si>
    <t>Nockchan</t>
  </si>
  <si>
    <t>Excelangue</t>
  </si>
  <si>
    <t>ベロリンガ</t>
  </si>
  <si>
    <t>Beroringa</t>
  </si>
  <si>
    <t>Schlurp</t>
  </si>
  <si>
    <t>Smogo</t>
  </si>
  <si>
    <t>ドガース</t>
  </si>
  <si>
    <t>Dogars</t>
  </si>
  <si>
    <t>Smogon</t>
  </si>
  <si>
    <t>Smogogo</t>
  </si>
  <si>
    <t>マタドガス</t>
  </si>
  <si>
    <t>Matadogas</t>
  </si>
  <si>
    <t>Smogmog</t>
  </si>
  <si>
    <t>Rhinocorne</t>
  </si>
  <si>
    <t>サイホーン</t>
  </si>
  <si>
    <t>Sihorn</t>
  </si>
  <si>
    <t>Rihorn</t>
  </si>
  <si>
    <t>Rhinoféros</t>
  </si>
  <si>
    <t>サイドン</t>
  </si>
  <si>
    <t>Sidon</t>
  </si>
  <si>
    <t>Rizeros</t>
  </si>
  <si>
    <t>Leveinard</t>
  </si>
  <si>
    <t>ラッキー</t>
  </si>
  <si>
    <t>Lucky</t>
  </si>
  <si>
    <t>Chaneira</t>
  </si>
  <si>
    <t>Saquedeneu</t>
  </si>
  <si>
    <t>モンジャラ</t>
  </si>
  <si>
    <t>Monjara</t>
  </si>
  <si>
    <t>Kangourex</t>
  </si>
  <si>
    <t>ガルーラ</t>
  </si>
  <si>
    <t>Garura</t>
  </si>
  <si>
    <t>Kangama</t>
  </si>
  <si>
    <t>Hypotrempe</t>
  </si>
  <si>
    <t>タッツー</t>
  </si>
  <si>
    <t>Tattu</t>
  </si>
  <si>
    <t>Seeper</t>
  </si>
  <si>
    <t>Hypocéan</t>
  </si>
  <si>
    <t>シードラ</t>
  </si>
  <si>
    <t>Seemon</t>
  </si>
  <si>
    <t>Poissirène</t>
  </si>
  <si>
    <t>トサキント</t>
  </si>
  <si>
    <t>Tosakinto</t>
  </si>
  <si>
    <t>Goldini</t>
  </si>
  <si>
    <t>Poissoroy</t>
  </si>
  <si>
    <t>アズマオウ</t>
  </si>
  <si>
    <t>Azumao</t>
  </si>
  <si>
    <t>Golking</t>
  </si>
  <si>
    <t>Stari</t>
  </si>
  <si>
    <t>ヒトデマン</t>
  </si>
  <si>
    <t>Hitodeman</t>
  </si>
  <si>
    <t>Sterndu</t>
  </si>
  <si>
    <t>Staross</t>
  </si>
  <si>
    <t>スターミー</t>
  </si>
  <si>
    <t>M. Mime</t>
  </si>
  <si>
    <t>バリヤード</t>
  </si>
  <si>
    <t>Barrierd</t>
  </si>
  <si>
    <t>Pantimos</t>
  </si>
  <si>
    <t>Insécateur</t>
  </si>
  <si>
    <t>ストライク</t>
  </si>
  <si>
    <t>Strike</t>
  </si>
  <si>
    <t>Sichlor</t>
  </si>
  <si>
    <t>Lippoutou</t>
  </si>
  <si>
    <t>ルージュラ</t>
  </si>
  <si>
    <t>Rougela</t>
  </si>
  <si>
    <t>Rossana</t>
  </si>
  <si>
    <t>Élektek</t>
  </si>
  <si>
    <t>エレブー</t>
  </si>
  <si>
    <t>Eleboo</t>
  </si>
  <si>
    <t>Elektek</t>
  </si>
  <si>
    <t>ブーバー</t>
  </si>
  <si>
    <t>Boober</t>
  </si>
  <si>
    <t>Scarabrute</t>
  </si>
  <si>
    <t>カイロス</t>
  </si>
  <si>
    <t>Kailios</t>
  </si>
  <si>
    <t>ケンタロス</t>
  </si>
  <si>
    <t>Kentauros</t>
  </si>
  <si>
    <t>Magicarpe</t>
  </si>
  <si>
    <t>コイキング</t>
  </si>
  <si>
    <t>Koiking</t>
  </si>
  <si>
    <t>Karpador</t>
  </si>
  <si>
    <t>Léviator</t>
  </si>
  <si>
    <t>ギャラドス</t>
  </si>
  <si>
    <t>Garados</t>
  </si>
  <si>
    <t>Lokhlass</t>
  </si>
  <si>
    <t>ラプラス</t>
  </si>
  <si>
    <t>Laplace</t>
  </si>
  <si>
    <t>Métamorph</t>
  </si>
  <si>
    <t>メタモン</t>
  </si>
  <si>
    <t>Metamon</t>
  </si>
  <si>
    <t>Évoli</t>
  </si>
  <si>
    <t>イーブイ</t>
  </si>
  <si>
    <t>Eievui</t>
  </si>
  <si>
    <t>Evoli</t>
  </si>
  <si>
    <t>Aquali</t>
  </si>
  <si>
    <t>シャワーズ</t>
  </si>
  <si>
    <t>Showers</t>
  </si>
  <si>
    <t>Aquana</t>
  </si>
  <si>
    <t>Voltali</t>
  </si>
  <si>
    <t>サンダース</t>
  </si>
  <si>
    <t>Thunders</t>
  </si>
  <si>
    <t>Blitza</t>
  </si>
  <si>
    <t>Pyroli</t>
  </si>
  <si>
    <t>ブースター</t>
  </si>
  <si>
    <t>Booster</t>
  </si>
  <si>
    <t>Flamara</t>
  </si>
  <si>
    <t>ポリゴン</t>
  </si>
  <si>
    <t>Amonita</t>
  </si>
  <si>
    <t>オムナイト</t>
  </si>
  <si>
    <t>Omnite</t>
  </si>
  <si>
    <t>Amonitas</t>
  </si>
  <si>
    <t>Amonistar</t>
  </si>
  <si>
    <t>オムスター</t>
  </si>
  <si>
    <t>Omstar</t>
  </si>
  <si>
    <t>Amoroso</t>
  </si>
  <si>
    <t>カブト</t>
  </si>
  <si>
    <t>カブトプス</t>
  </si>
  <si>
    <t>Ptéra</t>
  </si>
  <si>
    <t>プテラ</t>
  </si>
  <si>
    <t>Ptera</t>
  </si>
  <si>
    <t>Ronflex</t>
  </si>
  <si>
    <t>カビゴン</t>
  </si>
  <si>
    <t>Kabigon</t>
  </si>
  <si>
    <t>Relaxo</t>
  </si>
  <si>
    <t>Artikodin</t>
  </si>
  <si>
    <t>フリーザー</t>
  </si>
  <si>
    <t>Freezer</t>
  </si>
  <si>
    <t>Arktos</t>
  </si>
  <si>
    <t>Électhor</t>
  </si>
  <si>
    <t>サンダー</t>
  </si>
  <si>
    <t>Thunder</t>
  </si>
  <si>
    <t>Sulfura</t>
  </si>
  <si>
    <t>ファイヤー</t>
  </si>
  <si>
    <t>Fire</t>
  </si>
  <si>
    <t>Lavados</t>
  </si>
  <si>
    <t>Minidraco</t>
  </si>
  <si>
    <t>ミニリュウ</t>
  </si>
  <si>
    <t>Miniryu</t>
  </si>
  <si>
    <t>Draco</t>
  </si>
  <si>
    <t>ハクリュー</t>
  </si>
  <si>
    <t>Hakuryu</t>
  </si>
  <si>
    <t>Dragonir</t>
  </si>
  <si>
    <t>Dracolosse</t>
  </si>
  <si>
    <t>カイリュー</t>
  </si>
  <si>
    <t>Kairyu</t>
  </si>
  <si>
    <t>Dragoran</t>
  </si>
  <si>
    <t>ミュウツー</t>
  </si>
  <si>
    <t>Mewtu</t>
  </si>
  <si>
    <t>ミュウ</t>
  </si>
  <si>
    <t>Chikorita</t>
  </si>
  <si>
    <t>Germignon</t>
  </si>
  <si>
    <t>チコリータ</t>
  </si>
  <si>
    <t>Chicorita</t>
  </si>
  <si>
    <t>Endivie</t>
  </si>
  <si>
    <t>Bayleef</t>
  </si>
  <si>
    <t>Macronium</t>
  </si>
  <si>
    <t>ベイリーフ</t>
  </si>
  <si>
    <t>Bayleaf</t>
  </si>
  <si>
    <t>Lorblatt</t>
  </si>
  <si>
    <t>Meganium</t>
  </si>
  <si>
    <t>Méganium</t>
  </si>
  <si>
    <t>メガニウム</t>
  </si>
  <si>
    <t>Meganie</t>
  </si>
  <si>
    <t>Cyndaquil</t>
  </si>
  <si>
    <t>Héricendre</t>
  </si>
  <si>
    <t>ヒノアラシ</t>
  </si>
  <si>
    <t>Hinoarashi</t>
  </si>
  <si>
    <t>Feurigel</t>
  </si>
  <si>
    <t>Quilava</t>
  </si>
  <si>
    <t>Feurisson</t>
  </si>
  <si>
    <t>マグマラシ</t>
  </si>
  <si>
    <t>Magmarashi</t>
  </si>
  <si>
    <t>Igelavar</t>
  </si>
  <si>
    <t>Typhlosion</t>
  </si>
  <si>
    <t>バクフーン</t>
  </si>
  <si>
    <t>Bakphoon</t>
  </si>
  <si>
    <t>Tornupto</t>
  </si>
  <si>
    <t>Totodile</t>
  </si>
  <si>
    <t>Kaiminus</t>
  </si>
  <si>
    <t>ワニノコ</t>
  </si>
  <si>
    <t>Waninoko</t>
  </si>
  <si>
    <t>Karnimani</t>
  </si>
  <si>
    <t>Croconaw</t>
  </si>
  <si>
    <t>Crocrodil</t>
  </si>
  <si>
    <t>アリゲイツ</t>
  </si>
  <si>
    <t>Alligates</t>
  </si>
  <si>
    <t>Tyracroc</t>
  </si>
  <si>
    <t>Feraligatr</t>
  </si>
  <si>
    <t>Aligatueur</t>
  </si>
  <si>
    <t>オーダイル</t>
  </si>
  <si>
    <t>Ordile</t>
  </si>
  <si>
    <t>Impergator</t>
  </si>
  <si>
    <t>Sentret</t>
  </si>
  <si>
    <t>Fouinette</t>
  </si>
  <si>
    <t>オタチ</t>
  </si>
  <si>
    <t>Otachi</t>
  </si>
  <si>
    <t>Wiesor</t>
  </si>
  <si>
    <t>Furret</t>
  </si>
  <si>
    <t>Fouinar</t>
  </si>
  <si>
    <t>オオタチ</t>
  </si>
  <si>
    <t>Ootachi</t>
  </si>
  <si>
    <t>Wiesenior</t>
  </si>
  <si>
    <t>ホーホー</t>
  </si>
  <si>
    <t>Hoho</t>
  </si>
  <si>
    <t>Noarfang</t>
  </si>
  <si>
    <t>ヨルノズク</t>
  </si>
  <si>
    <t>Yorunozuku</t>
  </si>
  <si>
    <t>Noctuh</t>
  </si>
  <si>
    <t>Ledyba</t>
  </si>
  <si>
    <t>Coxy</t>
  </si>
  <si>
    <t>レディバ</t>
  </si>
  <si>
    <t>Rediba</t>
  </si>
  <si>
    <t>Ledian</t>
  </si>
  <si>
    <t>Coxyclaque</t>
  </si>
  <si>
    <t>レディアン</t>
  </si>
  <si>
    <t>Redian</t>
  </si>
  <si>
    <t>Spinarak</t>
  </si>
  <si>
    <t>Mimigal</t>
  </si>
  <si>
    <t>イトマル</t>
  </si>
  <si>
    <t>Itomaru</t>
  </si>
  <si>
    <t>Webarak</t>
  </si>
  <si>
    <t>Ariados</t>
  </si>
  <si>
    <t>Migalos</t>
  </si>
  <si>
    <t>アリアドス</t>
  </si>
  <si>
    <t>Nostenfer</t>
  </si>
  <si>
    <t>クロバット</t>
  </si>
  <si>
    <t>Iksbat</t>
  </si>
  <si>
    <t>Chinchou</t>
  </si>
  <si>
    <t>Loupio</t>
  </si>
  <si>
    <t>チョンチー</t>
  </si>
  <si>
    <t>Chonchie</t>
  </si>
  <si>
    <t>Lampi</t>
  </si>
  <si>
    <t>Lanturn</t>
  </si>
  <si>
    <t>ランターン</t>
  </si>
  <si>
    <t>Lantern</t>
  </si>
  <si>
    <t>Pichu</t>
  </si>
  <si>
    <t>ピチュー</t>
  </si>
  <si>
    <t>Cleffa</t>
  </si>
  <si>
    <t>Mélo</t>
  </si>
  <si>
    <t>ピィ</t>
  </si>
  <si>
    <t>Py</t>
  </si>
  <si>
    <t>Pii</t>
  </si>
  <si>
    <t>Igglybuff</t>
  </si>
  <si>
    <t>Toudoudou</t>
  </si>
  <si>
    <t>ププリン</t>
  </si>
  <si>
    <t>Pupurin</t>
  </si>
  <si>
    <t>Fluffeluff</t>
  </si>
  <si>
    <t>トゲピー</t>
  </si>
  <si>
    <t>Togepy</t>
  </si>
  <si>
    <t>トゲチック</t>
  </si>
  <si>
    <t>Togechick</t>
  </si>
  <si>
    <t>Natu</t>
  </si>
  <si>
    <t>ネイティ</t>
  </si>
  <si>
    <t>Naty</t>
  </si>
  <si>
    <t>Xatu</t>
  </si>
  <si>
    <t>ネイティオ</t>
  </si>
  <si>
    <t>Natio</t>
  </si>
  <si>
    <t>Mareep</t>
  </si>
  <si>
    <t>Wattouat</t>
  </si>
  <si>
    <t>メリープ</t>
  </si>
  <si>
    <t>Merriep</t>
  </si>
  <si>
    <t>Voltilamm</t>
  </si>
  <si>
    <t>Flaaffy</t>
  </si>
  <si>
    <t>Lainergie</t>
  </si>
  <si>
    <t>モココ</t>
  </si>
  <si>
    <t>Mokoko</t>
  </si>
  <si>
    <t>Waaty</t>
  </si>
  <si>
    <t>Ampharos</t>
  </si>
  <si>
    <t>Pharamp</t>
  </si>
  <si>
    <t>デンリュウ</t>
  </si>
  <si>
    <t>Denryu</t>
  </si>
  <si>
    <t>Joliflor</t>
  </si>
  <si>
    <t>キレイハナ</t>
  </si>
  <si>
    <t>Kireihana</t>
  </si>
  <si>
    <t>Blubella</t>
  </si>
  <si>
    <t>マリル</t>
  </si>
  <si>
    <t>Maril</t>
  </si>
  <si>
    <t>マリルリ</t>
  </si>
  <si>
    <t>Marilli</t>
  </si>
  <si>
    <t>Simularbre</t>
  </si>
  <si>
    <t>ウソッキー</t>
  </si>
  <si>
    <t>Usokkie</t>
  </si>
  <si>
    <t>Mogelbaum</t>
  </si>
  <si>
    <t>Politoed</t>
  </si>
  <si>
    <t>Tarpaud</t>
  </si>
  <si>
    <t>ニョロトノ</t>
  </si>
  <si>
    <t>Nyorotono</t>
  </si>
  <si>
    <t>Quaxo</t>
  </si>
  <si>
    <t>Hoppip</t>
  </si>
  <si>
    <t>Granivol</t>
  </si>
  <si>
    <t>ハネッコ</t>
  </si>
  <si>
    <t>Hanecco</t>
  </si>
  <si>
    <t>Hoppspross</t>
  </si>
  <si>
    <t>Skiploom</t>
  </si>
  <si>
    <t>Floravol</t>
  </si>
  <si>
    <t>ポポッコ</t>
  </si>
  <si>
    <t>Popocco</t>
  </si>
  <si>
    <t>Hubelupf</t>
  </si>
  <si>
    <t>Jumpluff</t>
  </si>
  <si>
    <t>Cotovol</t>
  </si>
  <si>
    <t>ワタッコ</t>
  </si>
  <si>
    <t>Watacco</t>
  </si>
  <si>
    <t>Papungha</t>
  </si>
  <si>
    <t>Capumain</t>
  </si>
  <si>
    <t>エイパム</t>
  </si>
  <si>
    <t>Eipam</t>
  </si>
  <si>
    <t>Griffel</t>
  </si>
  <si>
    <t>Sunkern</t>
  </si>
  <si>
    <t>Tournegrin</t>
  </si>
  <si>
    <t>ヒマナッツ</t>
  </si>
  <si>
    <t>Himanuts</t>
  </si>
  <si>
    <t>Sonnkern</t>
  </si>
  <si>
    <t>Sunflora</t>
  </si>
  <si>
    <t>Héliatronc</t>
  </si>
  <si>
    <t>キマワリ</t>
  </si>
  <si>
    <t>Kimawari</t>
  </si>
  <si>
    <t>Sonnflora</t>
  </si>
  <si>
    <t>ヤンヤンマ</t>
  </si>
  <si>
    <t>Yanyanma</t>
  </si>
  <si>
    <t>Axoloto</t>
  </si>
  <si>
    <t>ウパー</t>
  </si>
  <si>
    <t>Upah</t>
  </si>
  <si>
    <t>Felino</t>
  </si>
  <si>
    <t>Quagsire</t>
  </si>
  <si>
    <t>Maraiste</t>
  </si>
  <si>
    <t>ヌオー</t>
  </si>
  <si>
    <t>Nuoh</t>
  </si>
  <si>
    <t>Morlord</t>
  </si>
  <si>
    <t>Espeon</t>
  </si>
  <si>
    <t>Mentali</t>
  </si>
  <si>
    <t>エーフィ</t>
  </si>
  <si>
    <t>Eifie</t>
  </si>
  <si>
    <t>Psiana</t>
  </si>
  <si>
    <t>Umbreon</t>
  </si>
  <si>
    <t>Noctali</t>
  </si>
  <si>
    <t>ブラッキー</t>
  </si>
  <si>
    <t>Blacky</t>
  </si>
  <si>
    <t>Nachtara</t>
  </si>
  <si>
    <t>Cornèbre</t>
  </si>
  <si>
    <t>ヤミカラス</t>
  </si>
  <si>
    <t>Yamikarasu</t>
  </si>
  <si>
    <t>Kramurx</t>
  </si>
  <si>
    <t>Slowking</t>
  </si>
  <si>
    <t>Roigada</t>
  </si>
  <si>
    <t>ヤドキング</t>
  </si>
  <si>
    <t>Yadoking</t>
  </si>
  <si>
    <t>Laschoking</t>
  </si>
  <si>
    <t>Feuforêve</t>
  </si>
  <si>
    <t>ムウマ</t>
  </si>
  <si>
    <t>Muma</t>
  </si>
  <si>
    <t>Traunfugil</t>
  </si>
  <si>
    <t>Zarbi</t>
  </si>
  <si>
    <t>アンノーン</t>
  </si>
  <si>
    <t>Unknown</t>
  </si>
  <si>
    <t>Icognito</t>
  </si>
  <si>
    <t>Wobbuffet</t>
  </si>
  <si>
    <t>Qulbutoké</t>
  </si>
  <si>
    <t>ソーナンス</t>
  </si>
  <si>
    <t>Sonans</t>
  </si>
  <si>
    <t>Woingenau</t>
  </si>
  <si>
    <t>Girafarig</t>
  </si>
  <si>
    <t>キリンリキ</t>
  </si>
  <si>
    <t>Kirinriki</t>
  </si>
  <si>
    <t>Pineco</t>
  </si>
  <si>
    <t>Pomdepik</t>
  </si>
  <si>
    <t>クヌギダマ</t>
  </si>
  <si>
    <t>Kunugidama</t>
  </si>
  <si>
    <t>Tannza</t>
  </si>
  <si>
    <t>Forretress</t>
  </si>
  <si>
    <t>Foretress</t>
  </si>
  <si>
    <t>フォレトス</t>
  </si>
  <si>
    <t>Foretos</t>
  </si>
  <si>
    <t>Forstellka</t>
  </si>
  <si>
    <t>Dunsparce</t>
  </si>
  <si>
    <t>Insolourdo</t>
  </si>
  <si>
    <t>ノコッチ</t>
  </si>
  <si>
    <t>Nokocchi</t>
  </si>
  <si>
    <t>Dummisel</t>
  </si>
  <si>
    <t>Scorplane</t>
  </si>
  <si>
    <t>グライガー</t>
  </si>
  <si>
    <t>Gliger</t>
  </si>
  <si>
    <t>Skorgla</t>
  </si>
  <si>
    <t>Steelix</t>
  </si>
  <si>
    <t>ハガネール</t>
  </si>
  <si>
    <t>Haganeil</t>
  </si>
  <si>
    <t>Stahlos</t>
  </si>
  <si>
    <t>Snubbull</t>
  </si>
  <si>
    <t>ブルー</t>
  </si>
  <si>
    <t>Bulu</t>
  </si>
  <si>
    <t>Granbull</t>
  </si>
  <si>
    <t>グランブル</t>
  </si>
  <si>
    <t>Granbulu</t>
  </si>
  <si>
    <t>Qwilfish</t>
  </si>
  <si>
    <t>ハリーセン</t>
  </si>
  <si>
    <t>Harysen</t>
  </si>
  <si>
    <t>Baldorfish</t>
  </si>
  <si>
    <t>Scizor</t>
  </si>
  <si>
    <t>Cizayox</t>
  </si>
  <si>
    <t>ハッサム</t>
  </si>
  <si>
    <t>Hassam</t>
  </si>
  <si>
    <t>Scherox</t>
  </si>
  <si>
    <t>Shuckle</t>
  </si>
  <si>
    <t>Caratroc</t>
  </si>
  <si>
    <t>ツボツボ</t>
  </si>
  <si>
    <t>Tsubotsubo</t>
  </si>
  <si>
    <t>Pottrott</t>
  </si>
  <si>
    <t>Scarhino</t>
  </si>
  <si>
    <t>ヘラクロス</t>
  </si>
  <si>
    <t>Heracros</t>
  </si>
  <si>
    <t>Skaraborn</t>
  </si>
  <si>
    <t>Farfuret</t>
  </si>
  <si>
    <t>ニューラ</t>
  </si>
  <si>
    <t>Nyula</t>
  </si>
  <si>
    <t>Sniebel</t>
  </si>
  <si>
    <t>Teddiursa</t>
  </si>
  <si>
    <t>ヒメグマ</t>
  </si>
  <si>
    <t>Himeguma</t>
  </si>
  <si>
    <t>Ursaring</t>
  </si>
  <si>
    <t>リングマ</t>
  </si>
  <si>
    <t>Ringuma</t>
  </si>
  <si>
    <t>Limagma</t>
  </si>
  <si>
    <t>マグマッグ</t>
  </si>
  <si>
    <t>Magmag</t>
  </si>
  <si>
    <t>Schneckmag</t>
  </si>
  <si>
    <t>Volcaropod</t>
  </si>
  <si>
    <t>マグカルゴ</t>
  </si>
  <si>
    <t>Magcargot</t>
  </si>
  <si>
    <t>Marcacrin</t>
  </si>
  <si>
    <t>ウリムー</t>
  </si>
  <si>
    <t>Urimoo</t>
  </si>
  <si>
    <t>Quiekel</t>
  </si>
  <si>
    <t>Cochignon</t>
  </si>
  <si>
    <t>イノムー</t>
  </si>
  <si>
    <t>Inomoo</t>
  </si>
  <si>
    <t>Keifel</t>
  </si>
  <si>
    <t>Corsola</t>
  </si>
  <si>
    <t>Corayon</t>
  </si>
  <si>
    <t>サニーゴ</t>
  </si>
  <si>
    <t>Sunnygo</t>
  </si>
  <si>
    <t>Corasonn</t>
  </si>
  <si>
    <t>Remoraid</t>
  </si>
  <si>
    <t>Rémoraid</t>
  </si>
  <si>
    <t>テッポウオ</t>
  </si>
  <si>
    <t>Teppouo</t>
  </si>
  <si>
    <t>Octillery</t>
  </si>
  <si>
    <t>オクタン</t>
  </si>
  <si>
    <t>Okutank</t>
  </si>
  <si>
    <t>Delibird</t>
  </si>
  <si>
    <t>Cadoizo</t>
  </si>
  <si>
    <t>デリバード</t>
  </si>
  <si>
    <t>Botogel</t>
  </si>
  <si>
    <t>Mantine</t>
  </si>
  <si>
    <t>Démanta</t>
  </si>
  <si>
    <t>マンタイン</t>
  </si>
  <si>
    <t>Mantain</t>
  </si>
  <si>
    <t>Mantax</t>
  </si>
  <si>
    <t>Airmure</t>
  </si>
  <si>
    <t>エアームド</t>
  </si>
  <si>
    <t>Airmd</t>
  </si>
  <si>
    <t>Panzaeron</t>
  </si>
  <si>
    <t>Malosse</t>
  </si>
  <si>
    <t>デルビル</t>
  </si>
  <si>
    <t>Delvil</t>
  </si>
  <si>
    <t>Hunduster</t>
  </si>
  <si>
    <t>Démolosse</t>
  </si>
  <si>
    <t>ヘルガー</t>
  </si>
  <si>
    <t>Hellgar</t>
  </si>
  <si>
    <t>Hundemon</t>
  </si>
  <si>
    <t>Kingdra</t>
  </si>
  <si>
    <t>Hyporoi</t>
  </si>
  <si>
    <t>キングドラ</t>
  </si>
  <si>
    <t>Seedraking</t>
  </si>
  <si>
    <t>ゴマゾウ</t>
  </si>
  <si>
    <t>Gomazou</t>
  </si>
  <si>
    <t>ドンファン</t>
  </si>
  <si>
    <t>Donfan</t>
  </si>
  <si>
    <t>ポリゴン２</t>
  </si>
  <si>
    <t>Stantler</t>
  </si>
  <si>
    <t>Cerfrousse</t>
  </si>
  <si>
    <t>オドシシ</t>
  </si>
  <si>
    <t>Odoshishi</t>
  </si>
  <si>
    <t>Damhirplex</t>
  </si>
  <si>
    <t>Smeargle</t>
  </si>
  <si>
    <t>Queulorior</t>
  </si>
  <si>
    <t>ドーブル</t>
  </si>
  <si>
    <t>Doble</t>
  </si>
  <si>
    <t>Farbeagle</t>
  </si>
  <si>
    <t>Tyrogue</t>
  </si>
  <si>
    <t>Debugant</t>
  </si>
  <si>
    <t>バルキー</t>
  </si>
  <si>
    <t>Balkie</t>
  </si>
  <si>
    <t>Rabauz</t>
  </si>
  <si>
    <t>Kapoera</t>
  </si>
  <si>
    <t>カポエラー</t>
  </si>
  <si>
    <t>Kapoerer</t>
  </si>
  <si>
    <t>Smoochum</t>
  </si>
  <si>
    <t>Lippouti</t>
  </si>
  <si>
    <t>ムチュール</t>
  </si>
  <si>
    <t>Muchul</t>
  </si>
  <si>
    <t>Kussilla</t>
  </si>
  <si>
    <t>Elekid</t>
  </si>
  <si>
    <t>Élekid</t>
  </si>
  <si>
    <t>エレキッド</t>
  </si>
  <si>
    <t>Magby</t>
  </si>
  <si>
    <t>ブビィ</t>
  </si>
  <si>
    <t>Buby</t>
  </si>
  <si>
    <t>Miltank</t>
  </si>
  <si>
    <t>Écrémeuh</t>
  </si>
  <si>
    <t>ミルタンク</t>
  </si>
  <si>
    <t>Blissey</t>
  </si>
  <si>
    <t>Leuphorie</t>
  </si>
  <si>
    <t>ハピナス</t>
  </si>
  <si>
    <t>Happinas</t>
  </si>
  <si>
    <t>Heiteira</t>
  </si>
  <si>
    <t>Raikou</t>
  </si>
  <si>
    <t>ライコウ</t>
  </si>
  <si>
    <t>Entei</t>
  </si>
  <si>
    <t>エンテイ</t>
  </si>
  <si>
    <t>Suicune</t>
  </si>
  <si>
    <t>スイクン</t>
  </si>
  <si>
    <t>Suikun</t>
  </si>
  <si>
    <t>Embrylex</t>
  </si>
  <si>
    <t>ヨーギラス</t>
  </si>
  <si>
    <t>Yogiras</t>
  </si>
  <si>
    <t>Ymphect</t>
  </si>
  <si>
    <t>サナギラス</t>
  </si>
  <si>
    <t>Sanagiras</t>
  </si>
  <si>
    <t>Tyranocif</t>
  </si>
  <si>
    <t>バンギラス</t>
  </si>
  <si>
    <t>Bangiras</t>
  </si>
  <si>
    <t>Despotar</t>
  </si>
  <si>
    <t>Lugia</t>
  </si>
  <si>
    <t>ルギア</t>
  </si>
  <si>
    <t>Ho-oh</t>
  </si>
  <si>
    <t>Ho-Oh</t>
  </si>
  <si>
    <t>ホウオウ</t>
  </si>
  <si>
    <t>Houou</t>
  </si>
  <si>
    <t>セレビィ</t>
  </si>
  <si>
    <t>Treecko</t>
  </si>
  <si>
    <t>Arcko</t>
  </si>
  <si>
    <t>キモリ</t>
  </si>
  <si>
    <t>Kimori</t>
  </si>
  <si>
    <t>Geckarbor</t>
  </si>
  <si>
    <t>Grovyle</t>
  </si>
  <si>
    <t>Massko</t>
  </si>
  <si>
    <t>ジュプトル</t>
  </si>
  <si>
    <t>Juptile</t>
  </si>
  <si>
    <t>Reptain</t>
  </si>
  <si>
    <t>Sceptile</t>
  </si>
  <si>
    <t>Jungko</t>
  </si>
  <si>
    <t>ジュカイン</t>
  </si>
  <si>
    <t>Jukain</t>
  </si>
  <si>
    <t>Gewaldro</t>
  </si>
  <si>
    <t>Torchic</t>
  </si>
  <si>
    <t>Poussifeu</t>
  </si>
  <si>
    <t>アチャモ</t>
  </si>
  <si>
    <t>Achamo</t>
  </si>
  <si>
    <t>Flemmli</t>
  </si>
  <si>
    <t>Combusken</t>
  </si>
  <si>
    <t>Galifeu</t>
  </si>
  <si>
    <t>ワカシャモ</t>
  </si>
  <si>
    <t>Wakasyamo</t>
  </si>
  <si>
    <t>Jungglut</t>
  </si>
  <si>
    <t>Blaziken</t>
  </si>
  <si>
    <t>Braségali</t>
  </si>
  <si>
    <t>バシャーモ</t>
  </si>
  <si>
    <t>Bursyamo</t>
  </si>
  <si>
    <t>Lohgock</t>
  </si>
  <si>
    <t>Mudkip</t>
  </si>
  <si>
    <t>Gobou</t>
  </si>
  <si>
    <t>ミズゴロウ</t>
  </si>
  <si>
    <t>Mizugorou</t>
  </si>
  <si>
    <t>Hydropi</t>
  </si>
  <si>
    <t>Marshtomp</t>
  </si>
  <si>
    <t>Flobio</t>
  </si>
  <si>
    <t>ヌマクロー</t>
  </si>
  <si>
    <t>Numacraw</t>
  </si>
  <si>
    <t>Moorabbel</t>
  </si>
  <si>
    <t>Swampert</t>
  </si>
  <si>
    <t>Laggron</t>
  </si>
  <si>
    <t>ラグラージ</t>
  </si>
  <si>
    <t>Laglarge</t>
  </si>
  <si>
    <t>Sumpex</t>
  </si>
  <si>
    <t>Medhyèna</t>
  </si>
  <si>
    <t>ポチエナ</t>
  </si>
  <si>
    <t>Pochiena</t>
  </si>
  <si>
    <t>Fiffyen</t>
  </si>
  <si>
    <t>Grahyèna</t>
  </si>
  <si>
    <t>グラエナ</t>
  </si>
  <si>
    <t>Guraena</t>
  </si>
  <si>
    <t>Magnayen</t>
  </si>
  <si>
    <t>Zigzagoon</t>
  </si>
  <si>
    <t>Zigzaton</t>
  </si>
  <si>
    <t>ジグザグマ</t>
  </si>
  <si>
    <t>Ziguzaguma</t>
  </si>
  <si>
    <t>Zigzachs</t>
  </si>
  <si>
    <t>Linoone</t>
  </si>
  <si>
    <t>Linéon</t>
  </si>
  <si>
    <t>マッスグマ</t>
  </si>
  <si>
    <t>Massuguma</t>
  </si>
  <si>
    <t>Geradaks</t>
  </si>
  <si>
    <t>Wurmple</t>
  </si>
  <si>
    <t>Chenipotte</t>
  </si>
  <si>
    <t>ケムッソ</t>
  </si>
  <si>
    <t>Kemusso</t>
  </si>
  <si>
    <t>Waumpel</t>
  </si>
  <si>
    <t>Silcoon</t>
  </si>
  <si>
    <t>Armulys</t>
  </si>
  <si>
    <t>カラサリス</t>
  </si>
  <si>
    <t>Karasalis</t>
  </si>
  <si>
    <t>Schaloko</t>
  </si>
  <si>
    <t>Beautifly</t>
  </si>
  <si>
    <t>Charmillon</t>
  </si>
  <si>
    <t>アゲハント</t>
  </si>
  <si>
    <t>Agehunt</t>
  </si>
  <si>
    <t>Papinella</t>
  </si>
  <si>
    <t>Cascoon</t>
  </si>
  <si>
    <t>Blindalys</t>
  </si>
  <si>
    <t>マユルド</t>
  </si>
  <si>
    <t>Mayuld</t>
  </si>
  <si>
    <t>Panekon</t>
  </si>
  <si>
    <t>Dustox</t>
  </si>
  <si>
    <t>Papinox</t>
  </si>
  <si>
    <t>ドクケイル</t>
  </si>
  <si>
    <t>Dokucale</t>
  </si>
  <si>
    <t>Pudox</t>
  </si>
  <si>
    <t>Lotad</t>
  </si>
  <si>
    <t>Nénupiot</t>
  </si>
  <si>
    <t>ハスボー</t>
  </si>
  <si>
    <t>Hassboh</t>
  </si>
  <si>
    <t>Loturzel</t>
  </si>
  <si>
    <t>Lombre</t>
  </si>
  <si>
    <t>ハスブレロ</t>
  </si>
  <si>
    <t>Hasubrero</t>
  </si>
  <si>
    <t>Lombrero</t>
  </si>
  <si>
    <t>Ludicolo</t>
  </si>
  <si>
    <t>ルンパッパ</t>
  </si>
  <si>
    <t>Runpappa</t>
  </si>
  <si>
    <t>Kappalores</t>
  </si>
  <si>
    <t>Seedot</t>
  </si>
  <si>
    <t>Grainipiot</t>
  </si>
  <si>
    <t>タネボー</t>
  </si>
  <si>
    <t>Taneboh</t>
  </si>
  <si>
    <t>Samurzel</t>
  </si>
  <si>
    <t>Nuzleaf</t>
  </si>
  <si>
    <t>Pifeuil</t>
  </si>
  <si>
    <t>コノハナ</t>
  </si>
  <si>
    <t>Konohana</t>
  </si>
  <si>
    <t>Blanas</t>
  </si>
  <si>
    <t>Shiftry</t>
  </si>
  <si>
    <t>Tengalice</t>
  </si>
  <si>
    <t>ダーテング</t>
  </si>
  <si>
    <t>Dirteng</t>
  </si>
  <si>
    <t>Tengulist</t>
  </si>
  <si>
    <t>Taillow</t>
  </si>
  <si>
    <t>Nirondelle</t>
  </si>
  <si>
    <t>スバメ</t>
  </si>
  <si>
    <t>Subame</t>
  </si>
  <si>
    <t>Schwalbini</t>
  </si>
  <si>
    <t>Swellow</t>
  </si>
  <si>
    <t>Hélédelle</t>
  </si>
  <si>
    <t>オオスバメ</t>
  </si>
  <si>
    <t>Ohsubame</t>
  </si>
  <si>
    <t>Schwalboss</t>
  </si>
  <si>
    <t>Wingull</t>
  </si>
  <si>
    <t>Goélise</t>
  </si>
  <si>
    <t>キャモメ</t>
  </si>
  <si>
    <t>Camome</t>
  </si>
  <si>
    <t>Pelipper</t>
  </si>
  <si>
    <t>Bekipan</t>
  </si>
  <si>
    <t>ペリッパー</t>
  </si>
  <si>
    <t>Tarsal</t>
  </si>
  <si>
    <t>ラルトス</t>
  </si>
  <si>
    <t>Trasla</t>
  </si>
  <si>
    <t>キルリア</t>
  </si>
  <si>
    <t>サーナイト</t>
  </si>
  <si>
    <t>Sirnight</t>
  </si>
  <si>
    <t>Guardevoir</t>
  </si>
  <si>
    <t>Surskit</t>
  </si>
  <si>
    <t>Arakdo</t>
  </si>
  <si>
    <t>アメタマ</t>
  </si>
  <si>
    <t>Ametama</t>
  </si>
  <si>
    <t>Gehweiher</t>
  </si>
  <si>
    <t>Masquerain</t>
  </si>
  <si>
    <t>Maskadra</t>
  </si>
  <si>
    <t>アメモース</t>
  </si>
  <si>
    <t>Amemoth</t>
  </si>
  <si>
    <t>Maskeregen</t>
  </si>
  <si>
    <t>Shroomish</t>
  </si>
  <si>
    <t>Balignon</t>
  </si>
  <si>
    <t>キノココ</t>
  </si>
  <si>
    <t>Kinococo</t>
  </si>
  <si>
    <t>Knilz</t>
  </si>
  <si>
    <t>Breloom</t>
  </si>
  <si>
    <t>Chapignon</t>
  </si>
  <si>
    <t>キノガッサ</t>
  </si>
  <si>
    <t>Kinogassa</t>
  </si>
  <si>
    <t>Kapilz</t>
  </si>
  <si>
    <t>Slakoth</t>
  </si>
  <si>
    <t>Parecool</t>
  </si>
  <si>
    <t>ナマケロ</t>
  </si>
  <si>
    <t>Namakero</t>
  </si>
  <si>
    <t>Bummelz</t>
  </si>
  <si>
    <t>Vigoroth</t>
  </si>
  <si>
    <t>ヤルキモノ</t>
  </si>
  <si>
    <t>Yarukimono</t>
  </si>
  <si>
    <t>Muntier</t>
  </si>
  <si>
    <t>Slaking</t>
  </si>
  <si>
    <t>Monaflèmit</t>
  </si>
  <si>
    <t>ケッキング</t>
  </si>
  <si>
    <t>Kekking</t>
  </si>
  <si>
    <t>Letarking</t>
  </si>
  <si>
    <t>Nincada</t>
  </si>
  <si>
    <t>Ningale</t>
  </si>
  <si>
    <t>ツチニン</t>
  </si>
  <si>
    <t>Tutinin</t>
  </si>
  <si>
    <t>Ninjask</t>
  </si>
  <si>
    <t>テッカニン</t>
  </si>
  <si>
    <t>Tekkanin</t>
  </si>
  <si>
    <t>Shedinja</t>
  </si>
  <si>
    <t>Munja</t>
  </si>
  <si>
    <t>ヌケニン</t>
  </si>
  <si>
    <t>Nukenin</t>
  </si>
  <si>
    <t>Ninjatom</t>
  </si>
  <si>
    <t>Whismur</t>
  </si>
  <si>
    <t>Chuchmur</t>
  </si>
  <si>
    <t>ゴニョニョ</t>
  </si>
  <si>
    <t>Gonyonyo</t>
  </si>
  <si>
    <t>Flurmel</t>
  </si>
  <si>
    <t>Loudred</t>
  </si>
  <si>
    <t>Ramboum</t>
  </si>
  <si>
    <t>ドゴーム</t>
  </si>
  <si>
    <t>Dogohmb</t>
  </si>
  <si>
    <t>Krakeelo</t>
  </si>
  <si>
    <t>Exploud</t>
  </si>
  <si>
    <t>Brouhabam</t>
  </si>
  <si>
    <t>バクオング</t>
  </si>
  <si>
    <t>Bakuong</t>
  </si>
  <si>
    <t>Krawumms</t>
  </si>
  <si>
    <t>Makuhita</t>
  </si>
  <si>
    <t>マクノシタ</t>
  </si>
  <si>
    <t>Makunoshita</t>
  </si>
  <si>
    <t>Hariyama</t>
  </si>
  <si>
    <t>ハリテヤマ</t>
  </si>
  <si>
    <t>Hariteyama</t>
  </si>
  <si>
    <t>Azurill</t>
  </si>
  <si>
    <t>ルリリ</t>
  </si>
  <si>
    <t>Ruriri</t>
  </si>
  <si>
    <t>Tarinor</t>
  </si>
  <si>
    <t>ノズパス</t>
  </si>
  <si>
    <t>Nasgnet</t>
  </si>
  <si>
    <t>Skitty</t>
  </si>
  <si>
    <t>エネコ</t>
  </si>
  <si>
    <t>Eneco</t>
  </si>
  <si>
    <t>Delcatty</t>
  </si>
  <si>
    <t>エネコロロ</t>
  </si>
  <si>
    <t>Enekororo</t>
  </si>
  <si>
    <t>Enekoro</t>
  </si>
  <si>
    <t>Sableye</t>
  </si>
  <si>
    <t>Ténéfix</t>
  </si>
  <si>
    <t>ヤミラミ</t>
  </si>
  <si>
    <t>Yamirami</t>
  </si>
  <si>
    <t>Zobiris</t>
  </si>
  <si>
    <t>Mysdibule</t>
  </si>
  <si>
    <t>クチート</t>
  </si>
  <si>
    <t>Kucheat</t>
  </si>
  <si>
    <t>Flunkifer</t>
  </si>
  <si>
    <t>Aron</t>
  </si>
  <si>
    <t>Galekid</t>
  </si>
  <si>
    <t>ココドラ</t>
  </si>
  <si>
    <t>Cokodora</t>
  </si>
  <si>
    <t>Stollunior</t>
  </si>
  <si>
    <t>Lairon</t>
  </si>
  <si>
    <t>Galegon</t>
  </si>
  <si>
    <t>コドラ</t>
  </si>
  <si>
    <t>Kodora</t>
  </si>
  <si>
    <t>Stollrak</t>
  </si>
  <si>
    <t>Aggron</t>
  </si>
  <si>
    <t>Galeking</t>
  </si>
  <si>
    <t>ボスゴドラ</t>
  </si>
  <si>
    <t>Bossgodora</t>
  </si>
  <si>
    <t>Stolloss</t>
  </si>
  <si>
    <t>Méditikka</t>
  </si>
  <si>
    <t>アサナン</t>
  </si>
  <si>
    <t>Asanan</t>
  </si>
  <si>
    <t>Meditie</t>
  </si>
  <si>
    <t>Charmina</t>
  </si>
  <si>
    <t>チャーレム</t>
  </si>
  <si>
    <t>Charem</t>
  </si>
  <si>
    <t>Meditalis</t>
  </si>
  <si>
    <t>Dynavolt</t>
  </si>
  <si>
    <t>ラクライ</t>
  </si>
  <si>
    <t>Rakurai</t>
  </si>
  <si>
    <t>Frizelbliz</t>
  </si>
  <si>
    <t>Élecsprint</t>
  </si>
  <si>
    <t>ライボルト</t>
  </si>
  <si>
    <t>Livolt</t>
  </si>
  <si>
    <t>Voltenso</t>
  </si>
  <si>
    <t>Plusle</t>
  </si>
  <si>
    <t>Posipi</t>
  </si>
  <si>
    <t>プラスル</t>
  </si>
  <si>
    <t>Prasle</t>
  </si>
  <si>
    <t>Minun</t>
  </si>
  <si>
    <t>Négapi</t>
  </si>
  <si>
    <t>マイナン</t>
  </si>
  <si>
    <t>Volbeat</t>
  </si>
  <si>
    <t>Muciole</t>
  </si>
  <si>
    <t>バルビート</t>
  </si>
  <si>
    <t>Barubeat</t>
  </si>
  <si>
    <t>Illumise</t>
  </si>
  <si>
    <t>Lumivole</t>
  </si>
  <si>
    <t>イルミーゼ</t>
  </si>
  <si>
    <t>Rosélia</t>
  </si>
  <si>
    <t>ロゼリア</t>
  </si>
  <si>
    <t>Gulpin</t>
  </si>
  <si>
    <t>Gloupti</t>
  </si>
  <si>
    <t>ゴクリン</t>
  </si>
  <si>
    <t>Gokulin</t>
  </si>
  <si>
    <t>Schluppuck</t>
  </si>
  <si>
    <t>Swalot</t>
  </si>
  <si>
    <t>Avaltout</t>
  </si>
  <si>
    <t>マルノーム</t>
  </si>
  <si>
    <t>Marunoom</t>
  </si>
  <si>
    <t>Schlukwech</t>
  </si>
  <si>
    <t>Carvanha</t>
  </si>
  <si>
    <t>キバニア</t>
  </si>
  <si>
    <t>Kibanha</t>
  </si>
  <si>
    <t>Kanivanha</t>
  </si>
  <si>
    <t>Sharpedo</t>
  </si>
  <si>
    <t>サメハダー</t>
  </si>
  <si>
    <t>Samehader</t>
  </si>
  <si>
    <t>Tohaido</t>
  </si>
  <si>
    <t>Wailmer</t>
  </si>
  <si>
    <t>ホエルコ</t>
  </si>
  <si>
    <t>Whalko</t>
  </si>
  <si>
    <t>Wailord</t>
  </si>
  <si>
    <t>ホエルオー</t>
  </si>
  <si>
    <t>Whaloh</t>
  </si>
  <si>
    <t>Numel</t>
  </si>
  <si>
    <t>Chamallot</t>
  </si>
  <si>
    <t>ドンメル</t>
  </si>
  <si>
    <t>Donmel</t>
  </si>
  <si>
    <t>Camaub</t>
  </si>
  <si>
    <t>Camerupt</t>
  </si>
  <si>
    <t>Camérupt</t>
  </si>
  <si>
    <t>バクーダ</t>
  </si>
  <si>
    <t>Bakuuda</t>
  </si>
  <si>
    <t>Torkoal</t>
  </si>
  <si>
    <t>Chartor</t>
  </si>
  <si>
    <t>コータス</t>
  </si>
  <si>
    <t>Cotoise</t>
  </si>
  <si>
    <t>Qurtel</t>
  </si>
  <si>
    <t>Spoink</t>
  </si>
  <si>
    <t>バネブー</t>
  </si>
  <si>
    <t>Baneboo</t>
  </si>
  <si>
    <t>Grumpig</t>
  </si>
  <si>
    <t>Groret</t>
  </si>
  <si>
    <t>ブーピッグ</t>
  </si>
  <si>
    <t>Boopig</t>
  </si>
  <si>
    <t>Groink</t>
  </si>
  <si>
    <t>Spinda</t>
  </si>
  <si>
    <t>パッチール</t>
  </si>
  <si>
    <t>Patcheel</t>
  </si>
  <si>
    <t>Pandir</t>
  </si>
  <si>
    <t>Trapinch</t>
  </si>
  <si>
    <t>Kraknoix</t>
  </si>
  <si>
    <t>ナックラー</t>
  </si>
  <si>
    <t>Nuckrar</t>
  </si>
  <si>
    <t>Knacklion</t>
  </si>
  <si>
    <t>Vibrava</t>
  </si>
  <si>
    <t>Vibraninf</t>
  </si>
  <si>
    <t>ビブラーバ</t>
  </si>
  <si>
    <t>Flygon</t>
  </si>
  <si>
    <t>Libégon</t>
  </si>
  <si>
    <t>フライゴン</t>
  </si>
  <si>
    <t>Frygon</t>
  </si>
  <si>
    <t>Libelldra</t>
  </si>
  <si>
    <t>Cacnea</t>
  </si>
  <si>
    <t>サボネア</t>
  </si>
  <si>
    <t>Sabonea</t>
  </si>
  <si>
    <t>Tuska</t>
  </si>
  <si>
    <t>Cacturne</t>
  </si>
  <si>
    <t>ノクタス</t>
  </si>
  <si>
    <t>Noctus</t>
  </si>
  <si>
    <t>Noktuska</t>
  </si>
  <si>
    <t>Swablu</t>
  </si>
  <si>
    <t>Tylton</t>
  </si>
  <si>
    <t>チルット</t>
  </si>
  <si>
    <t>Tyltto</t>
  </si>
  <si>
    <t>Wablu</t>
  </si>
  <si>
    <t>Altaria</t>
  </si>
  <si>
    <t>チルタリス</t>
  </si>
  <si>
    <t>Tyltalis</t>
  </si>
  <si>
    <t>Zangoose</t>
  </si>
  <si>
    <t>Mangriff</t>
  </si>
  <si>
    <t>ザングース</t>
  </si>
  <si>
    <t>Sengo</t>
  </si>
  <si>
    <t>Seviper</t>
  </si>
  <si>
    <t>Séviper</t>
  </si>
  <si>
    <t>ハブネーク</t>
  </si>
  <si>
    <t>Habunake</t>
  </si>
  <si>
    <t>Vipitis</t>
  </si>
  <si>
    <t>Lunatone</t>
  </si>
  <si>
    <t>Séléroc</t>
  </si>
  <si>
    <t>ルナトーン</t>
  </si>
  <si>
    <t>Lunastein</t>
  </si>
  <si>
    <t>Solrock</t>
  </si>
  <si>
    <t>Solaroc</t>
  </si>
  <si>
    <t>ソルロック</t>
  </si>
  <si>
    <t>Sonnfel</t>
  </si>
  <si>
    <t>Barloche</t>
  </si>
  <si>
    <t>ドジョッチ</t>
  </si>
  <si>
    <t>Dojoach</t>
  </si>
  <si>
    <t>Schmerbe</t>
  </si>
  <si>
    <t>Barbicha</t>
  </si>
  <si>
    <t>ナマズン</t>
  </si>
  <si>
    <t>Namazun</t>
  </si>
  <si>
    <t>Welsar</t>
  </si>
  <si>
    <t>Corphish</t>
  </si>
  <si>
    <t>Écrapince</t>
  </si>
  <si>
    <t>ヘイガニ</t>
  </si>
  <si>
    <t>Heigani</t>
  </si>
  <si>
    <t>Krebscorps</t>
  </si>
  <si>
    <t>Crawdaunt</t>
  </si>
  <si>
    <t>Colhomard</t>
  </si>
  <si>
    <t>シザリガー</t>
  </si>
  <si>
    <t>Shizariger</t>
  </si>
  <si>
    <t>Krebutack</t>
  </si>
  <si>
    <t>Baltoy</t>
  </si>
  <si>
    <t>Balbuto</t>
  </si>
  <si>
    <t>ヤジロン</t>
  </si>
  <si>
    <t>Yajilon</t>
  </si>
  <si>
    <t>Puppance</t>
  </si>
  <si>
    <t>Claydol</t>
  </si>
  <si>
    <t>Kaorine</t>
  </si>
  <si>
    <t>ネンドール</t>
  </si>
  <si>
    <t>Nendoll</t>
  </si>
  <si>
    <t>Lepumentas</t>
  </si>
  <si>
    <t>Lileep</t>
  </si>
  <si>
    <t>Lilia</t>
  </si>
  <si>
    <t>リリーラ</t>
  </si>
  <si>
    <t>Lilyla</t>
  </si>
  <si>
    <t>Liliep</t>
  </si>
  <si>
    <t>Cradily</t>
  </si>
  <si>
    <t>Vacilys</t>
  </si>
  <si>
    <t>ユレイドル</t>
  </si>
  <si>
    <t>Yuradle</t>
  </si>
  <si>
    <t>Wielie</t>
  </si>
  <si>
    <t>Anorith</t>
  </si>
  <si>
    <t>アノプス</t>
  </si>
  <si>
    <t>Anopth</t>
  </si>
  <si>
    <t>Armaldo</t>
  </si>
  <si>
    <t>アーマルド</t>
  </si>
  <si>
    <t>Feebas</t>
  </si>
  <si>
    <t>Barpau</t>
  </si>
  <si>
    <t>ヒンバス</t>
  </si>
  <si>
    <t>Hinbass</t>
  </si>
  <si>
    <t>Barschwa</t>
  </si>
  <si>
    <t>Milotic</t>
  </si>
  <si>
    <t>Milobellus</t>
  </si>
  <si>
    <t>ミロカロス</t>
  </si>
  <si>
    <t>Milokaross</t>
  </si>
  <si>
    <t>Castform</t>
  </si>
  <si>
    <t>Morphéo</t>
  </si>
  <si>
    <t>ポワルン</t>
  </si>
  <si>
    <t>Powalen</t>
  </si>
  <si>
    <t>Formeo</t>
  </si>
  <si>
    <t>Kecleon</t>
  </si>
  <si>
    <t>カクレオン</t>
  </si>
  <si>
    <t>Kakureon</t>
  </si>
  <si>
    <t>Shuppet</t>
  </si>
  <si>
    <t>Polichombr</t>
  </si>
  <si>
    <t>カゲボウズ</t>
  </si>
  <si>
    <t>Kagebouzu</t>
  </si>
  <si>
    <t>Banette</t>
  </si>
  <si>
    <t>Branette</t>
  </si>
  <si>
    <t>ジュペッタ</t>
  </si>
  <si>
    <t>Juppeta</t>
  </si>
  <si>
    <t>Skelénox</t>
  </si>
  <si>
    <t>ヨマワル</t>
  </si>
  <si>
    <t>Yomawaru</t>
  </si>
  <si>
    <t>Zwirrlicht</t>
  </si>
  <si>
    <t>Téraclope</t>
  </si>
  <si>
    <t>サマヨール</t>
  </si>
  <si>
    <t>Samayouru</t>
  </si>
  <si>
    <t>Zwirrklop</t>
  </si>
  <si>
    <t>Tropius</t>
  </si>
  <si>
    <t>トロピウス</t>
  </si>
  <si>
    <t>Chimecho</t>
  </si>
  <si>
    <t>Éoko</t>
  </si>
  <si>
    <t>チリーン</t>
  </si>
  <si>
    <t>Chirean</t>
  </si>
  <si>
    <t>Palimpalim</t>
  </si>
  <si>
    <t>Absol</t>
  </si>
  <si>
    <t>アブソル</t>
  </si>
  <si>
    <t>Wynaut</t>
  </si>
  <si>
    <t>Okéoké</t>
  </si>
  <si>
    <t>ソーナノ</t>
  </si>
  <si>
    <t>Sohnano</t>
  </si>
  <si>
    <t>Isso</t>
  </si>
  <si>
    <t>Stalgamin</t>
  </si>
  <si>
    <t>ユキワラシ</t>
  </si>
  <si>
    <t>Yukiwarashi</t>
  </si>
  <si>
    <t>Schneppke</t>
  </si>
  <si>
    <t>Glalie</t>
  </si>
  <si>
    <t>Oniglali</t>
  </si>
  <si>
    <t>オニゴーリ</t>
  </si>
  <si>
    <t>Onigohri</t>
  </si>
  <si>
    <t>Firnontor</t>
  </si>
  <si>
    <t>Spheal</t>
  </si>
  <si>
    <t>Obalie</t>
  </si>
  <si>
    <t>タマザラシ</t>
  </si>
  <si>
    <t>Tamazarashi</t>
  </si>
  <si>
    <t>Seemops</t>
  </si>
  <si>
    <t>Sealeo</t>
  </si>
  <si>
    <t>Phogleur</t>
  </si>
  <si>
    <t>トドグラー</t>
  </si>
  <si>
    <t>Todoggler</t>
  </si>
  <si>
    <t>Seejong</t>
  </si>
  <si>
    <t>Walrein</t>
  </si>
  <si>
    <t>Kaimorse</t>
  </si>
  <si>
    <t>トドゼルガ</t>
  </si>
  <si>
    <t>Todoseruga</t>
  </si>
  <si>
    <t>Walraisa</t>
  </si>
  <si>
    <t>Clamperl</t>
  </si>
  <si>
    <t>Coquiperl</t>
  </si>
  <si>
    <t>パールル</t>
  </si>
  <si>
    <t>Pearlulu</t>
  </si>
  <si>
    <t>Perlu</t>
  </si>
  <si>
    <t>Huntail</t>
  </si>
  <si>
    <t>Serpang</t>
  </si>
  <si>
    <t>ハンテール</t>
  </si>
  <si>
    <t>Aalabyss</t>
  </si>
  <si>
    <t>Gorebyss</t>
  </si>
  <si>
    <t>Rosabyss</t>
  </si>
  <si>
    <t>サクラビス</t>
  </si>
  <si>
    <t>Sakurabyss</t>
  </si>
  <si>
    <t>Saganabyss</t>
  </si>
  <si>
    <t>Relicanth</t>
  </si>
  <si>
    <t>ジーランス</t>
  </si>
  <si>
    <t>Glanth</t>
  </si>
  <si>
    <t>Luvdisc</t>
  </si>
  <si>
    <t>Lovdisc</t>
  </si>
  <si>
    <t>ラブカス</t>
  </si>
  <si>
    <t>Lovecus</t>
  </si>
  <si>
    <t>Liebiskus</t>
  </si>
  <si>
    <t>Bagon</t>
  </si>
  <si>
    <t>Draby</t>
  </si>
  <si>
    <t>タツベイ</t>
  </si>
  <si>
    <t>Tatsubay</t>
  </si>
  <si>
    <t>Kindwurm</t>
  </si>
  <si>
    <t>Shelgon</t>
  </si>
  <si>
    <t>Drackhaus</t>
  </si>
  <si>
    <t>コモルー</t>
  </si>
  <si>
    <t>Komoruu</t>
  </si>
  <si>
    <t>Draschel</t>
  </si>
  <si>
    <t>Salamence</t>
  </si>
  <si>
    <t>Drattak</t>
  </si>
  <si>
    <t>ボーマンダ</t>
  </si>
  <si>
    <t>Bohmander</t>
  </si>
  <si>
    <t>Brutalanda</t>
  </si>
  <si>
    <t>Beldum</t>
  </si>
  <si>
    <t>Terhal</t>
  </si>
  <si>
    <t>ダンバル</t>
  </si>
  <si>
    <t>Dumbber</t>
  </si>
  <si>
    <t>Tanhel</t>
  </si>
  <si>
    <t>Metang</t>
  </si>
  <si>
    <t>Métang</t>
  </si>
  <si>
    <t>メタング</t>
  </si>
  <si>
    <t>Metagross</t>
  </si>
  <si>
    <t>Métalosse</t>
  </si>
  <si>
    <t>メタグロス</t>
  </si>
  <si>
    <t>レジロック</t>
  </si>
  <si>
    <t>レジアイス</t>
  </si>
  <si>
    <t>レジスチル</t>
  </si>
  <si>
    <t>Latias</t>
  </si>
  <si>
    <t>ラティアス</t>
  </si>
  <si>
    <t>Latios</t>
  </si>
  <si>
    <t>ラティオス</t>
  </si>
  <si>
    <t>Kyogre</t>
  </si>
  <si>
    <t>カイオーガ</t>
  </si>
  <si>
    <t>Groudon</t>
  </si>
  <si>
    <t>グラードン</t>
  </si>
  <si>
    <t>Rayquaza</t>
  </si>
  <si>
    <t>レックウザ</t>
  </si>
  <si>
    <t>Jirachi</t>
  </si>
  <si>
    <t>ジラーチ</t>
  </si>
  <si>
    <t>Deoxys</t>
  </si>
  <si>
    <t>デオキシス</t>
  </si>
  <si>
    <t>Tortipouss</t>
  </si>
  <si>
    <t>ナエトル</t>
  </si>
  <si>
    <t>Naetle</t>
  </si>
  <si>
    <t>Chelast</t>
  </si>
  <si>
    <t>Boskara</t>
  </si>
  <si>
    <t>ハヤシガメ</t>
  </si>
  <si>
    <t>Hayashigame</t>
  </si>
  <si>
    <t>Chelcarain</t>
  </si>
  <si>
    <t>ドダイトス</t>
  </si>
  <si>
    <t>Dodaitose</t>
  </si>
  <si>
    <t>Chelterrar</t>
  </si>
  <si>
    <t>Ouisticram</t>
  </si>
  <si>
    <t>ヒコザル</t>
  </si>
  <si>
    <t>Hikozaru</t>
  </si>
  <si>
    <t>Panflam</t>
  </si>
  <si>
    <t>Chimpenfeu</t>
  </si>
  <si>
    <t>モウカザル</t>
  </si>
  <si>
    <t>Mōkazaru</t>
  </si>
  <si>
    <t>Panpyro</t>
  </si>
  <si>
    <t>Simiabraz</t>
  </si>
  <si>
    <t>ゴウカザル</t>
  </si>
  <si>
    <t>Gōkazaru</t>
  </si>
  <si>
    <t>Panferno</t>
  </si>
  <si>
    <t>Tiplouf</t>
  </si>
  <si>
    <t>ポッチャマ</t>
  </si>
  <si>
    <t>Pochama</t>
  </si>
  <si>
    <t>Plinfa</t>
  </si>
  <si>
    <t>Prinplouf</t>
  </si>
  <si>
    <t>ポッタイシ</t>
  </si>
  <si>
    <t>Pottaishi</t>
  </si>
  <si>
    <t>Pliprin</t>
  </si>
  <si>
    <t>Pingoléon</t>
  </si>
  <si>
    <t>エンペルト</t>
  </si>
  <si>
    <t>Emperte</t>
  </si>
  <si>
    <t>Impoleon</t>
  </si>
  <si>
    <t>Étourmi</t>
  </si>
  <si>
    <t>ムックル</t>
  </si>
  <si>
    <t>Mukkuru</t>
  </si>
  <si>
    <t>Staralili</t>
  </si>
  <si>
    <t>Étourvol</t>
  </si>
  <si>
    <t>ムクバード</t>
  </si>
  <si>
    <t>Mukubird</t>
  </si>
  <si>
    <t>Étouraptor</t>
  </si>
  <si>
    <t>ムクホーク</t>
  </si>
  <si>
    <t>Mukuhawk</t>
  </si>
  <si>
    <t>Keunotor</t>
  </si>
  <si>
    <t>ビッパ</t>
  </si>
  <si>
    <t>Bipper</t>
  </si>
  <si>
    <t>Bidiza</t>
  </si>
  <si>
    <t>Castorno</t>
  </si>
  <si>
    <t>ビーダル</t>
  </si>
  <si>
    <t>Beadull</t>
  </si>
  <si>
    <t>Bidifas</t>
  </si>
  <si>
    <t>Crikzik</t>
  </si>
  <si>
    <t>コロボーシ</t>
  </si>
  <si>
    <t>Korobohshi</t>
  </si>
  <si>
    <t>Zirpurze</t>
  </si>
  <si>
    <t>Mélokrik</t>
  </si>
  <si>
    <t>コロトック</t>
  </si>
  <si>
    <t>Korotok</t>
  </si>
  <si>
    <t>Zirpeise</t>
  </si>
  <si>
    <t>Lixy</t>
  </si>
  <si>
    <t>コリンク</t>
  </si>
  <si>
    <t>Kolink</t>
  </si>
  <si>
    <t>Sheinux</t>
  </si>
  <si>
    <t>ルクシオ</t>
  </si>
  <si>
    <t>レントラー</t>
  </si>
  <si>
    <t>Rentorar</t>
  </si>
  <si>
    <t>Luxtra</t>
  </si>
  <si>
    <t>Budew</t>
  </si>
  <si>
    <t>Rozbouton</t>
  </si>
  <si>
    <t>スボミー</t>
  </si>
  <si>
    <t>Subomie</t>
  </si>
  <si>
    <t>Knospi</t>
  </si>
  <si>
    <t>ロズレイド</t>
  </si>
  <si>
    <t>Kranidos</t>
  </si>
  <si>
    <t>ズガイドス</t>
  </si>
  <si>
    <t>Zugaidos</t>
  </si>
  <si>
    <t>Koknodon</t>
  </si>
  <si>
    <t>Charkos</t>
  </si>
  <si>
    <t>ラムパルド</t>
  </si>
  <si>
    <t>Rampard</t>
  </si>
  <si>
    <t>Rameidon</t>
  </si>
  <si>
    <t>Dinoclier</t>
  </si>
  <si>
    <t>タテトプス</t>
  </si>
  <si>
    <t>Tatetops</t>
  </si>
  <si>
    <t>Schilterus</t>
  </si>
  <si>
    <t>トリデプス</t>
  </si>
  <si>
    <t>Trideps</t>
  </si>
  <si>
    <t>Bollterus</t>
  </si>
  <si>
    <t>Cheniti</t>
  </si>
  <si>
    <t>ミノムッチ</t>
  </si>
  <si>
    <t>Minomucchi</t>
  </si>
  <si>
    <t>Cheniselle</t>
  </si>
  <si>
    <t>ミノマダム</t>
  </si>
  <si>
    <t>Minomadam</t>
  </si>
  <si>
    <t>Burmadame</t>
  </si>
  <si>
    <t>Papilord</t>
  </si>
  <si>
    <t>ガーメイル</t>
  </si>
  <si>
    <t>Garmeil</t>
  </si>
  <si>
    <t>Moterpel</t>
  </si>
  <si>
    <t>Apitrini</t>
  </si>
  <si>
    <t>ミツハニー</t>
  </si>
  <si>
    <t>Mitsuhoney</t>
  </si>
  <si>
    <t>Wadribie</t>
  </si>
  <si>
    <t>Apireine</t>
  </si>
  <si>
    <t>ビークイン</t>
  </si>
  <si>
    <t>Beequeen</t>
  </si>
  <si>
    <t>Honweisel</t>
  </si>
  <si>
    <t>パチリス</t>
  </si>
  <si>
    <t>Mustébouée</t>
  </si>
  <si>
    <t>ブイゼル</t>
  </si>
  <si>
    <t>Buoysel</t>
  </si>
  <si>
    <t>Bamelin</t>
  </si>
  <si>
    <t>Mustéflott</t>
  </si>
  <si>
    <t>フローゼル</t>
  </si>
  <si>
    <t>Flowsel</t>
  </si>
  <si>
    <t>Bojelin</t>
  </si>
  <si>
    <t>Ceribou</t>
  </si>
  <si>
    <t>チェリンボ</t>
  </si>
  <si>
    <t>Cherinbo</t>
  </si>
  <si>
    <t>Kikugi</t>
  </si>
  <si>
    <t>Ceriflor</t>
  </si>
  <si>
    <t>チェリム</t>
  </si>
  <si>
    <t>Kinoso</t>
  </si>
  <si>
    <t>Sancoki</t>
  </si>
  <si>
    <t>カラナクシ</t>
  </si>
  <si>
    <t>Karanakushi</t>
  </si>
  <si>
    <t>Schalellos</t>
  </si>
  <si>
    <t>Tritosor</t>
  </si>
  <si>
    <t>トリトドン</t>
  </si>
  <si>
    <t>Toritodon</t>
  </si>
  <si>
    <t>Capidextre</t>
  </si>
  <si>
    <t>エテボース</t>
  </si>
  <si>
    <t>Eteboth</t>
  </si>
  <si>
    <t>Ambidiffel</t>
  </si>
  <si>
    <t>Baudrive</t>
  </si>
  <si>
    <t>フワンテ</t>
  </si>
  <si>
    <t>Fuwante</t>
  </si>
  <si>
    <t>Driftlon</t>
  </si>
  <si>
    <t>Grodrive</t>
  </si>
  <si>
    <t>フワライド</t>
  </si>
  <si>
    <t>Fuwaride</t>
  </si>
  <si>
    <t>Drifzepeli</t>
  </si>
  <si>
    <t>Laporeille</t>
  </si>
  <si>
    <t>ミミロル</t>
  </si>
  <si>
    <t>Mimirol</t>
  </si>
  <si>
    <t>Haspiror</t>
  </si>
  <si>
    <t>Lockpin</t>
  </si>
  <si>
    <t>ミミロップ</t>
  </si>
  <si>
    <t>Mimilop</t>
  </si>
  <si>
    <t>Schlapor</t>
  </si>
  <si>
    <t>Magirêve</t>
  </si>
  <si>
    <t>ムウマージ</t>
  </si>
  <si>
    <t>Mumage</t>
  </si>
  <si>
    <t>Traunmagil</t>
  </si>
  <si>
    <t>Corboss</t>
  </si>
  <si>
    <t>ドンカラス</t>
  </si>
  <si>
    <t>Donkarasu</t>
  </si>
  <si>
    <t>Kramshef</t>
  </si>
  <si>
    <t>Chaglam</t>
  </si>
  <si>
    <t>ニャルマー</t>
  </si>
  <si>
    <t>Nyarmar</t>
  </si>
  <si>
    <t>Charmian</t>
  </si>
  <si>
    <t>Chaffreux</t>
  </si>
  <si>
    <t>ブニャット</t>
  </si>
  <si>
    <t>Bunyat</t>
  </si>
  <si>
    <t>Shnurgarst</t>
  </si>
  <si>
    <t>Chingling</t>
  </si>
  <si>
    <t>Korillon</t>
  </si>
  <si>
    <t>リーシャン</t>
  </si>
  <si>
    <t>Lisyan</t>
  </si>
  <si>
    <t>Klingplim</t>
  </si>
  <si>
    <t>Moufouette</t>
  </si>
  <si>
    <t>スカンプー</t>
  </si>
  <si>
    <t>Skunpoo</t>
  </si>
  <si>
    <t>Skunkapuh</t>
  </si>
  <si>
    <t>Moufflair</t>
  </si>
  <si>
    <t>スカタンク</t>
  </si>
  <si>
    <t>Skutank</t>
  </si>
  <si>
    <t>Archéomire</t>
  </si>
  <si>
    <t>ドーミラー</t>
  </si>
  <si>
    <t>Domirror</t>
  </si>
  <si>
    <t>Bronzel</t>
  </si>
  <si>
    <t>Archéodong</t>
  </si>
  <si>
    <t>ドータクン</t>
  </si>
  <si>
    <t>Dotakun</t>
  </si>
  <si>
    <t>Bonsly</t>
  </si>
  <si>
    <t>Manzaï</t>
  </si>
  <si>
    <t>ウソハチ</t>
  </si>
  <si>
    <t>Usohachi</t>
  </si>
  <si>
    <t>Mobai</t>
  </si>
  <si>
    <t>Mime Jr.</t>
  </si>
  <si>
    <t>マネネ</t>
  </si>
  <si>
    <t>Manene</t>
  </si>
  <si>
    <t>Pantimimi</t>
  </si>
  <si>
    <t>Happiny</t>
  </si>
  <si>
    <t>Ptiravi</t>
  </si>
  <si>
    <t>ピンプク</t>
  </si>
  <si>
    <t>Pinpuku</t>
  </si>
  <si>
    <t>Wonneira</t>
  </si>
  <si>
    <t>Pijako</t>
  </si>
  <si>
    <t>ペラップ</t>
  </si>
  <si>
    <t>Perap</t>
  </si>
  <si>
    <t>Plaudagei</t>
  </si>
  <si>
    <t>ミカルゲ</t>
  </si>
  <si>
    <t>Mikaruge</t>
  </si>
  <si>
    <t>Kryppuk</t>
  </si>
  <si>
    <t>Griknot</t>
  </si>
  <si>
    <t>フカマル</t>
  </si>
  <si>
    <t>Fukamaru</t>
  </si>
  <si>
    <t>Kaumalat</t>
  </si>
  <si>
    <t>Carmache</t>
  </si>
  <si>
    <t>ガバイト</t>
  </si>
  <si>
    <t>Knarksel</t>
  </si>
  <si>
    <t>Carchacrok</t>
  </si>
  <si>
    <t>ガブリアス</t>
  </si>
  <si>
    <t>Gablias</t>
  </si>
  <si>
    <t>Knakrack</t>
  </si>
  <si>
    <t>Munchlax</t>
  </si>
  <si>
    <t>Goinfrex</t>
  </si>
  <si>
    <t>ゴンベ</t>
  </si>
  <si>
    <t>Gonbe</t>
  </si>
  <si>
    <t>Mampfaxo</t>
  </si>
  <si>
    <t>リオル</t>
  </si>
  <si>
    <t>ルカリオ</t>
  </si>
  <si>
    <t>ヒポポタス</t>
  </si>
  <si>
    <t>Hipopotas</t>
  </si>
  <si>
    <t>Hippodocus</t>
  </si>
  <si>
    <t>カバルドン</t>
  </si>
  <si>
    <t>Kabarudon</t>
  </si>
  <si>
    <t>Hippoterus</t>
  </si>
  <si>
    <t>Rapion</t>
  </si>
  <si>
    <t>スコルピ</t>
  </si>
  <si>
    <t>Scorpi</t>
  </si>
  <si>
    <t>Pionskora</t>
  </si>
  <si>
    <t>Drascore</t>
  </si>
  <si>
    <t>ドラピオン</t>
  </si>
  <si>
    <t>Dorapion</t>
  </si>
  <si>
    <t>Piondragi</t>
  </si>
  <si>
    <t>Cradopaud</t>
  </si>
  <si>
    <t>グレッグル</t>
  </si>
  <si>
    <t>Gureggru</t>
  </si>
  <si>
    <t>Glibunkel</t>
  </si>
  <si>
    <t>Coatox</t>
  </si>
  <si>
    <t>ドクロッグ</t>
  </si>
  <si>
    <t>Dokurog</t>
  </si>
  <si>
    <t>Toxiquak</t>
  </si>
  <si>
    <t>Vortente</t>
  </si>
  <si>
    <t>マスキッパ</t>
  </si>
  <si>
    <t>Muskippa</t>
  </si>
  <si>
    <t>Venuflibis</t>
  </si>
  <si>
    <t>Écayon</t>
  </si>
  <si>
    <t>ケイコウオ</t>
  </si>
  <si>
    <t>Keikouo</t>
  </si>
  <si>
    <t>Luminéon</t>
  </si>
  <si>
    <t>ネオラント</t>
  </si>
  <si>
    <t>Neolant</t>
  </si>
  <si>
    <t>Mantyke</t>
  </si>
  <si>
    <t>Babimanta</t>
  </si>
  <si>
    <t>タマンタ</t>
  </si>
  <si>
    <t>Tamanta</t>
  </si>
  <si>
    <t>Mantirps</t>
  </si>
  <si>
    <t>Blizzi</t>
  </si>
  <si>
    <t>ユキカブリ</t>
  </si>
  <si>
    <t>Yukikaburi</t>
  </si>
  <si>
    <t>Shnebedeck</t>
  </si>
  <si>
    <t>Blizzaroi</t>
  </si>
  <si>
    <t>ユキノオー</t>
  </si>
  <si>
    <t>Yukinooh</t>
  </si>
  <si>
    <t>Rexblisar</t>
  </si>
  <si>
    <t>Dimoret</t>
  </si>
  <si>
    <t>マニューラ</t>
  </si>
  <si>
    <t>Manyula</t>
  </si>
  <si>
    <t>Snibunna</t>
  </si>
  <si>
    <t>Magnézone</t>
  </si>
  <si>
    <t>ジバコイル</t>
  </si>
  <si>
    <t>Jibacoil</t>
  </si>
  <si>
    <t>Coudlangue</t>
  </si>
  <si>
    <t>ベロベルト</t>
  </si>
  <si>
    <t>Beroberto</t>
  </si>
  <si>
    <t>Schlurplek</t>
  </si>
  <si>
    <t>Rhinastoc</t>
  </si>
  <si>
    <t>ドサイドン</t>
  </si>
  <si>
    <t>Dosydon</t>
  </si>
  <si>
    <t>Rihornior</t>
  </si>
  <si>
    <t>Bouldeneu</t>
  </si>
  <si>
    <t>モジャンボ</t>
  </si>
  <si>
    <t>Mojumbo</t>
  </si>
  <si>
    <t>Tangoloss</t>
  </si>
  <si>
    <t>Élekable</t>
  </si>
  <si>
    <t>エレキブル</t>
  </si>
  <si>
    <t>Elekible</t>
  </si>
  <si>
    <t>Elevoltek</t>
  </si>
  <si>
    <t>Maganon</t>
  </si>
  <si>
    <t>ブーバーン</t>
  </si>
  <si>
    <t>Booburn</t>
  </si>
  <si>
    <t>Magbrant</t>
  </si>
  <si>
    <t>トゲキッス</t>
  </si>
  <si>
    <t>メガヤンマ</t>
  </si>
  <si>
    <t>Megayanma</t>
  </si>
  <si>
    <t>Phyllali</t>
  </si>
  <si>
    <t>リーフィア</t>
  </si>
  <si>
    <t>Leafia</t>
  </si>
  <si>
    <t>Folipurba</t>
  </si>
  <si>
    <t>Givrali</t>
  </si>
  <si>
    <t>グレイシア</t>
  </si>
  <si>
    <t>Glacia</t>
  </si>
  <si>
    <t>Glaziola</t>
  </si>
  <si>
    <t>Scorvol</t>
  </si>
  <si>
    <t>グライオン</t>
  </si>
  <si>
    <t>Glion</t>
  </si>
  <si>
    <t>Skorgro</t>
  </si>
  <si>
    <t>Mammochon</t>
  </si>
  <si>
    <t>マンムー</t>
  </si>
  <si>
    <t>Mammoo</t>
  </si>
  <si>
    <t>Mamutel</t>
  </si>
  <si>
    <t>ポリゴンＺ</t>
  </si>
  <si>
    <t>PorygonZ</t>
  </si>
  <si>
    <t>Gallame</t>
  </si>
  <si>
    <t>エルレイド</t>
  </si>
  <si>
    <t>Erlade</t>
  </si>
  <si>
    <t>Galagladi</t>
  </si>
  <si>
    <t>Tarinorme</t>
  </si>
  <si>
    <t>ダイノーズ</t>
  </si>
  <si>
    <t>Dainose</t>
  </si>
  <si>
    <t>Voluminas</t>
  </si>
  <si>
    <t>Noctunoir</t>
  </si>
  <si>
    <t>ヨノワール</t>
  </si>
  <si>
    <t>Yonoir</t>
  </si>
  <si>
    <t>Zwirrfinst</t>
  </si>
  <si>
    <t>Momartik</t>
  </si>
  <si>
    <t>ユキメノコ</t>
  </si>
  <si>
    <t>Yukimenoko</t>
  </si>
  <si>
    <t>Frosdedje</t>
  </si>
  <si>
    <t>Motisma</t>
  </si>
  <si>
    <t>ロトム</t>
  </si>
  <si>
    <t>Motisma Chaleur</t>
  </si>
  <si>
    <t>ヒートロトム</t>
  </si>
  <si>
    <t>Hītorotomu</t>
  </si>
  <si>
    <t>Hitze-Rotom</t>
  </si>
  <si>
    <t>Rotom calor</t>
  </si>
  <si>
    <t>Rotom Calore</t>
  </si>
  <si>
    <t>Rotom Calor</t>
  </si>
  <si>
    <t>Motisma Lavage</t>
  </si>
  <si>
    <t>ウォッシュロトム</t>
  </si>
  <si>
    <t>U~osshurotomu</t>
  </si>
  <si>
    <t>Wasch-Rotom</t>
  </si>
  <si>
    <t>Rotom lavado</t>
  </si>
  <si>
    <t>Rotom Lavaggio</t>
  </si>
  <si>
    <t>Rotom Lavagem</t>
  </si>
  <si>
    <t>Motisma Froid</t>
  </si>
  <si>
    <t>フロストロトム</t>
  </si>
  <si>
    <t>Furosutorotomu</t>
  </si>
  <si>
    <t>Frost-Rotom</t>
  </si>
  <si>
    <t>Rotom frío</t>
  </si>
  <si>
    <t>Rotom Gelo</t>
  </si>
  <si>
    <t>Rotom Congelante</t>
  </si>
  <si>
    <t>Motisma Hélice</t>
  </si>
  <si>
    <t>スピンロトム</t>
  </si>
  <si>
    <t>Supinrotomu</t>
  </si>
  <si>
    <t>Wirbel-Rotom</t>
  </si>
  <si>
    <t>Rotom ventilador</t>
  </si>
  <si>
    <t>Rotom Vortice</t>
  </si>
  <si>
    <t>Rotom Ventilador</t>
  </si>
  <si>
    <t>Motisma Tonte</t>
  </si>
  <si>
    <t>カットロトム</t>
  </si>
  <si>
    <t>Kattorotomu</t>
  </si>
  <si>
    <t>Schneid-Rotom</t>
  </si>
  <si>
    <t>Rotom corte</t>
  </si>
  <si>
    <t>Rotom Taglio</t>
  </si>
  <si>
    <t>Rotom Corte</t>
  </si>
  <si>
    <t>Créhelf</t>
  </si>
  <si>
    <t>ユクシー</t>
  </si>
  <si>
    <t>Yuxie</t>
  </si>
  <si>
    <t>Selfe</t>
  </si>
  <si>
    <t>Créfollet</t>
  </si>
  <si>
    <t>エムリット</t>
  </si>
  <si>
    <t>Emrit</t>
  </si>
  <si>
    <t>Vesprit</t>
  </si>
  <si>
    <t>Créfadet</t>
  </si>
  <si>
    <t>アグノム</t>
  </si>
  <si>
    <t>Agnome</t>
  </si>
  <si>
    <t>Tobutz</t>
  </si>
  <si>
    <t>ディアルガ</t>
  </si>
  <si>
    <t>パルキア</t>
  </si>
  <si>
    <t>ヒードラン</t>
  </si>
  <si>
    <t>レジギガス</t>
  </si>
  <si>
    <t>ギラティナ</t>
  </si>
  <si>
    <t>クレセリア</t>
  </si>
  <si>
    <t>Crecelia</t>
  </si>
  <si>
    <t>フィオネ</t>
  </si>
  <si>
    <t>マナフィ</t>
  </si>
  <si>
    <t>ダークライ</t>
  </si>
  <si>
    <t>シェイミ</t>
  </si>
  <si>
    <t>アルセウス</t>
  </si>
  <si>
    <t>Victini</t>
  </si>
  <si>
    <t>ビクティニ</t>
  </si>
  <si>
    <t>Bikutini</t>
  </si>
  <si>
    <t>Vipélierre</t>
  </si>
  <si>
    <t>ツタージャ</t>
  </si>
  <si>
    <t>Tsutaaja</t>
  </si>
  <si>
    <t>Serpifeu</t>
  </si>
  <si>
    <t>Lianaja</t>
  </si>
  <si>
    <t>ジャノビー</t>
  </si>
  <si>
    <t>Janobii</t>
  </si>
  <si>
    <t>Efoserp</t>
  </si>
  <si>
    <t>Majaspic</t>
  </si>
  <si>
    <t>ジャローダ</t>
  </si>
  <si>
    <t>Jarooda</t>
  </si>
  <si>
    <t>Serpiroyal</t>
  </si>
  <si>
    <t>Tepig</t>
  </si>
  <si>
    <t>Gruikui</t>
  </si>
  <si>
    <t>ポカブ</t>
  </si>
  <si>
    <t>Pokabu</t>
  </si>
  <si>
    <t>Floink</t>
  </si>
  <si>
    <t>Pignite</t>
  </si>
  <si>
    <t>Grotichon</t>
  </si>
  <si>
    <t>チャオブー</t>
  </si>
  <si>
    <t>Chaobuu</t>
  </si>
  <si>
    <t>Ferkokel</t>
  </si>
  <si>
    <t>Emboar</t>
  </si>
  <si>
    <t>Roitiflam</t>
  </si>
  <si>
    <t>エンブオー</t>
  </si>
  <si>
    <t>Enbuoo</t>
  </si>
  <si>
    <t>Flambirex</t>
  </si>
  <si>
    <t>Oshawott</t>
  </si>
  <si>
    <t>Moustillon</t>
  </si>
  <si>
    <t>ミジュマル</t>
  </si>
  <si>
    <t>Mijumaru</t>
  </si>
  <si>
    <t>Ottaro</t>
  </si>
  <si>
    <t>Dewott</t>
  </si>
  <si>
    <t>Mateloutre</t>
  </si>
  <si>
    <t>フタチマル</t>
  </si>
  <si>
    <t>Futachimaru</t>
  </si>
  <si>
    <t>Zwottronin</t>
  </si>
  <si>
    <t>Samurott</t>
  </si>
  <si>
    <t>Clamiral</t>
  </si>
  <si>
    <t>ダイケンキ</t>
  </si>
  <si>
    <t>Daikenki</t>
  </si>
  <si>
    <t>Admurai</t>
  </si>
  <si>
    <t>Patrat</t>
  </si>
  <si>
    <t>Ratentif</t>
  </si>
  <si>
    <t>ミネズミ</t>
  </si>
  <si>
    <t>Minezumi</t>
  </si>
  <si>
    <t>Nagelotz</t>
  </si>
  <si>
    <t>Watchog</t>
  </si>
  <si>
    <t>Miradar</t>
  </si>
  <si>
    <t>ミルホッグ</t>
  </si>
  <si>
    <t>Miruhoggu</t>
  </si>
  <si>
    <t>Kukmarda</t>
  </si>
  <si>
    <t>Lillipup</t>
  </si>
  <si>
    <t>Ponchiot</t>
  </si>
  <si>
    <t>ヨーテリー</t>
  </si>
  <si>
    <t>Yooterii</t>
  </si>
  <si>
    <t>Yorkleff</t>
  </si>
  <si>
    <t>Herdier</t>
  </si>
  <si>
    <t>Ponchien</t>
  </si>
  <si>
    <t>ハーデリア</t>
  </si>
  <si>
    <t>Haaderia</t>
  </si>
  <si>
    <t>Terribark</t>
  </si>
  <si>
    <t>Stoutland</t>
  </si>
  <si>
    <t>Mastouffe</t>
  </si>
  <si>
    <t>ムーランド</t>
  </si>
  <si>
    <t>Muurando</t>
  </si>
  <si>
    <t>Bissbark</t>
  </si>
  <si>
    <t>Chacripan</t>
  </si>
  <si>
    <t>チョロネコ</t>
  </si>
  <si>
    <t>Choroneko</t>
  </si>
  <si>
    <t>Felilou</t>
  </si>
  <si>
    <t>Léopardus</t>
  </si>
  <si>
    <t>レパルダス</t>
  </si>
  <si>
    <t>Reparudasu</t>
  </si>
  <si>
    <t>Kleoparda</t>
  </si>
  <si>
    <t>Pansage</t>
  </si>
  <si>
    <t>Feuillajou</t>
  </si>
  <si>
    <t>ヤナップ</t>
  </si>
  <si>
    <t>Yanappu</t>
  </si>
  <si>
    <t>Vegimak</t>
  </si>
  <si>
    <t>Simisage</t>
  </si>
  <si>
    <t>Feuiloutan</t>
  </si>
  <si>
    <t>ヤナッキー</t>
  </si>
  <si>
    <t>Yanakkii</t>
  </si>
  <si>
    <t>Vegichita</t>
  </si>
  <si>
    <t>Pansear</t>
  </si>
  <si>
    <t>Flamajou</t>
  </si>
  <si>
    <t>バオップ</t>
  </si>
  <si>
    <t>Baoppu</t>
  </si>
  <si>
    <t>Grillmak</t>
  </si>
  <si>
    <t>Simisear</t>
  </si>
  <si>
    <t>Flamoutan</t>
  </si>
  <si>
    <t>バオッキー</t>
  </si>
  <si>
    <t>Baokkii</t>
  </si>
  <si>
    <t>Grillchita</t>
  </si>
  <si>
    <t>Panpour</t>
  </si>
  <si>
    <t>Flotajou</t>
  </si>
  <si>
    <t>ヒヤップ</t>
  </si>
  <si>
    <t>Hiyappu</t>
  </si>
  <si>
    <t>Sodamak</t>
  </si>
  <si>
    <t>Simipour</t>
  </si>
  <si>
    <t>Flotoutan</t>
  </si>
  <si>
    <t>ヒヤッキー</t>
  </si>
  <si>
    <t>Hiyakkii</t>
  </si>
  <si>
    <t>Sodachita</t>
  </si>
  <si>
    <t>Munna</t>
  </si>
  <si>
    <t>ムンナ</t>
  </si>
  <si>
    <t>Somniam</t>
  </si>
  <si>
    <t>Musharna</t>
  </si>
  <si>
    <t>Mushana</t>
  </si>
  <si>
    <t>ムシャーナ</t>
  </si>
  <si>
    <t>Mushaana</t>
  </si>
  <si>
    <t>Somnivora</t>
  </si>
  <si>
    <t>Pidove</t>
  </si>
  <si>
    <t>Poichigeon</t>
  </si>
  <si>
    <t>マメパト</t>
  </si>
  <si>
    <t>Mamepato</t>
  </si>
  <si>
    <t>Dusselgurr</t>
  </si>
  <si>
    <t>Tranquill</t>
  </si>
  <si>
    <t>Colombeau</t>
  </si>
  <si>
    <t>ハトーボー</t>
  </si>
  <si>
    <t>Hatooboo</t>
  </si>
  <si>
    <t>Navitaub</t>
  </si>
  <si>
    <t>Unfezant</t>
  </si>
  <si>
    <t>Déflaisan</t>
  </si>
  <si>
    <t>ケンホロウ</t>
  </si>
  <si>
    <t>Kenhorou</t>
  </si>
  <si>
    <t>Fasasnob</t>
  </si>
  <si>
    <t>Zébibron</t>
  </si>
  <si>
    <t>シママ</t>
  </si>
  <si>
    <t>Shimama</t>
  </si>
  <si>
    <t>Elezeba</t>
  </si>
  <si>
    <t>Zéblitz</t>
  </si>
  <si>
    <t>ゼブライカ</t>
  </si>
  <si>
    <t>Zeburaika</t>
  </si>
  <si>
    <t>Zebritz</t>
  </si>
  <si>
    <t>Roggenrola</t>
  </si>
  <si>
    <t>Nodulithe</t>
  </si>
  <si>
    <t>ダンゴロ</t>
  </si>
  <si>
    <t>Dangoro</t>
  </si>
  <si>
    <t>Kiesling</t>
  </si>
  <si>
    <t>Boldore</t>
  </si>
  <si>
    <t>Géolithe</t>
  </si>
  <si>
    <t>ガントル</t>
  </si>
  <si>
    <t>Gantoru</t>
  </si>
  <si>
    <t>Sedimantur</t>
  </si>
  <si>
    <t>Gigalith</t>
  </si>
  <si>
    <t>Gigalithe</t>
  </si>
  <si>
    <t>ギガイアス</t>
  </si>
  <si>
    <t>Gigaiasu</t>
  </si>
  <si>
    <t>Brockoloss</t>
  </si>
  <si>
    <t>Chovsourir</t>
  </si>
  <si>
    <t>コロモリ</t>
  </si>
  <si>
    <t>Koromori</t>
  </si>
  <si>
    <t>Fleknoil</t>
  </si>
  <si>
    <t>Rhinolove</t>
  </si>
  <si>
    <t>ココロモリ</t>
  </si>
  <si>
    <t>Kokoromori</t>
  </si>
  <si>
    <t>Fletiamo</t>
  </si>
  <si>
    <t>Drilbur</t>
  </si>
  <si>
    <t>Rototaupe</t>
  </si>
  <si>
    <t>モグリュー</t>
  </si>
  <si>
    <t>Moguryuu</t>
  </si>
  <si>
    <t>Rotomurf</t>
  </si>
  <si>
    <t>Excadrill</t>
  </si>
  <si>
    <t>Minotaupe</t>
  </si>
  <si>
    <t>ドリュウズ</t>
  </si>
  <si>
    <t>Doryuuzu</t>
  </si>
  <si>
    <t>Stalobor</t>
  </si>
  <si>
    <t>Audino</t>
  </si>
  <si>
    <t>Nanméouïe</t>
  </si>
  <si>
    <t>タブンネ</t>
  </si>
  <si>
    <t>Tabunne</t>
  </si>
  <si>
    <t>Ohrdoch</t>
  </si>
  <si>
    <t>Timburr</t>
  </si>
  <si>
    <t>Charpenti</t>
  </si>
  <si>
    <t>ドッコラー</t>
  </si>
  <si>
    <t>Dokkoraa</t>
  </si>
  <si>
    <t>Praktibalk</t>
  </si>
  <si>
    <t>Gurdurr</t>
  </si>
  <si>
    <t>Ouvrifier</t>
  </si>
  <si>
    <t>ドテッコツ</t>
  </si>
  <si>
    <t>Dotekkotsu</t>
  </si>
  <si>
    <t>Strepoli</t>
  </si>
  <si>
    <t>Conkeldurr</t>
  </si>
  <si>
    <t>Bétochef</t>
  </si>
  <si>
    <t>ローブシン</t>
  </si>
  <si>
    <t>Roobushin</t>
  </si>
  <si>
    <t>Meistagrif</t>
  </si>
  <si>
    <t>Tympole</t>
  </si>
  <si>
    <t>Tritonde</t>
  </si>
  <si>
    <t>オタマロ</t>
  </si>
  <si>
    <t>Otamaro</t>
  </si>
  <si>
    <t>Schallquap</t>
  </si>
  <si>
    <t>Palpitoad</t>
  </si>
  <si>
    <t>Batracné</t>
  </si>
  <si>
    <t>ガマガル</t>
  </si>
  <si>
    <t>Gamagaru</t>
  </si>
  <si>
    <t>Mebrana</t>
  </si>
  <si>
    <t>Seismitoad</t>
  </si>
  <si>
    <t>Crapustule</t>
  </si>
  <si>
    <t>ガマゲロゲ</t>
  </si>
  <si>
    <t>Gamageroge</t>
  </si>
  <si>
    <t>Branawarz</t>
  </si>
  <si>
    <t>Throh</t>
  </si>
  <si>
    <t>Judokrak</t>
  </si>
  <si>
    <t>ナゲキ</t>
  </si>
  <si>
    <t>Nageki</t>
  </si>
  <si>
    <t>Jiutesto</t>
  </si>
  <si>
    <t>Sawk</t>
  </si>
  <si>
    <t>Karaclée</t>
  </si>
  <si>
    <t>ダゲキ</t>
  </si>
  <si>
    <t>Dageki</t>
  </si>
  <si>
    <t>Karadonis</t>
  </si>
  <si>
    <t>Sewaddle</t>
  </si>
  <si>
    <t>Larveyette</t>
  </si>
  <si>
    <t>クルミル</t>
  </si>
  <si>
    <t>Kurumiru</t>
  </si>
  <si>
    <t>Strawickl</t>
  </si>
  <si>
    <t>Swadloon</t>
  </si>
  <si>
    <t>Couverdure</t>
  </si>
  <si>
    <t>クルマユ</t>
  </si>
  <si>
    <t>Kurumayu</t>
  </si>
  <si>
    <t>Folikon</t>
  </si>
  <si>
    <t>Leavanny</t>
  </si>
  <si>
    <t>Manternel</t>
  </si>
  <si>
    <t>ハハコモリ</t>
  </si>
  <si>
    <t>Hahakomori</t>
  </si>
  <si>
    <t>Matrifol</t>
  </si>
  <si>
    <t>Venipatte</t>
  </si>
  <si>
    <t>フシデ</t>
  </si>
  <si>
    <t>Fushide</t>
  </si>
  <si>
    <t>Toxiped</t>
  </si>
  <si>
    <t>Scobolide</t>
  </si>
  <si>
    <t>ホイーガ</t>
  </si>
  <si>
    <t>Hoiiga</t>
  </si>
  <si>
    <t>Rollum</t>
  </si>
  <si>
    <t>Brutapode</t>
  </si>
  <si>
    <t>ペンドラー</t>
  </si>
  <si>
    <t>Pendoraa</t>
  </si>
  <si>
    <t>Cerapendra</t>
  </si>
  <si>
    <t>Doudouvet</t>
  </si>
  <si>
    <t>モンメン</t>
  </si>
  <si>
    <t>Monmen</t>
  </si>
  <si>
    <t>Waumboll</t>
  </si>
  <si>
    <t>Farfaduvet</t>
  </si>
  <si>
    <t>エルフーン</t>
  </si>
  <si>
    <t>Erufuun</t>
  </si>
  <si>
    <t>Elfun</t>
  </si>
  <si>
    <t>Chlorobule</t>
  </si>
  <si>
    <t>チュリネ</t>
  </si>
  <si>
    <t>Churine</t>
  </si>
  <si>
    <t>Lilminip</t>
  </si>
  <si>
    <t>Fragilady</t>
  </si>
  <si>
    <t>ドレディア</t>
  </si>
  <si>
    <t>Doredia</t>
  </si>
  <si>
    <t>Dressella</t>
  </si>
  <si>
    <t>Basculin</t>
  </si>
  <si>
    <t>Bargantua</t>
  </si>
  <si>
    <t>バスラオ</t>
  </si>
  <si>
    <t>Basurao</t>
  </si>
  <si>
    <t>Barschuft</t>
  </si>
  <si>
    <t>Sandile</t>
  </si>
  <si>
    <t>Mascaïman</t>
  </si>
  <si>
    <t>メグロコ</t>
  </si>
  <si>
    <t>Meguroko</t>
  </si>
  <si>
    <t>Ganovil</t>
  </si>
  <si>
    <t>Krokorok</t>
  </si>
  <si>
    <t>Escroco</t>
  </si>
  <si>
    <t>ワルビル</t>
  </si>
  <si>
    <t>Warubiru</t>
  </si>
  <si>
    <t>Rokkaiman</t>
  </si>
  <si>
    <t>Krookodile</t>
  </si>
  <si>
    <t>Crocorible</t>
  </si>
  <si>
    <t>ワルビアル</t>
  </si>
  <si>
    <t>Warubiaru</t>
  </si>
  <si>
    <t>Rabigator</t>
  </si>
  <si>
    <t>Darumaka</t>
  </si>
  <si>
    <t>Darumarond</t>
  </si>
  <si>
    <t>ダルマッカ</t>
  </si>
  <si>
    <t>Darumakka</t>
  </si>
  <si>
    <t>Flampion</t>
  </si>
  <si>
    <t>Darmanitan</t>
  </si>
  <si>
    <t>Darumacho</t>
  </si>
  <si>
    <t>ヒヒダルマ</t>
  </si>
  <si>
    <t>Hihidaruma</t>
  </si>
  <si>
    <t>Flampivian</t>
  </si>
  <si>
    <t>Maractus</t>
  </si>
  <si>
    <t>Maracachi</t>
  </si>
  <si>
    <t>マラカッチ</t>
  </si>
  <si>
    <t>Marakacchi</t>
  </si>
  <si>
    <t>Maracamba</t>
  </si>
  <si>
    <t>Dwebble</t>
  </si>
  <si>
    <t>Crabicoque</t>
  </si>
  <si>
    <t>イシズマイ</t>
  </si>
  <si>
    <t>Ishizumai</t>
  </si>
  <si>
    <t>Lithomith</t>
  </si>
  <si>
    <t>Crustle</t>
  </si>
  <si>
    <t>Crabaraque</t>
  </si>
  <si>
    <t>イワパレス</t>
  </si>
  <si>
    <t>Iwaparesu</t>
  </si>
  <si>
    <t>Castellith</t>
  </si>
  <si>
    <t>Scraggy</t>
  </si>
  <si>
    <t>Baggiguane</t>
  </si>
  <si>
    <t>ズルッグ</t>
  </si>
  <si>
    <t>Zuruggu</t>
  </si>
  <si>
    <t>Zurrokex</t>
  </si>
  <si>
    <t>Scrafty</t>
  </si>
  <si>
    <t>Baggaïd</t>
  </si>
  <si>
    <t>ズルズキン</t>
  </si>
  <si>
    <t>Zuruzukin</t>
  </si>
  <si>
    <t>Irokex</t>
  </si>
  <si>
    <t>Cryptéro</t>
  </si>
  <si>
    <t>シンボラー</t>
  </si>
  <si>
    <t>Shinboraa</t>
  </si>
  <si>
    <t>Symvolara</t>
  </si>
  <si>
    <t>Yamask</t>
  </si>
  <si>
    <t>Tutafeh</t>
  </si>
  <si>
    <t>デスマス</t>
  </si>
  <si>
    <t>Desumasu</t>
  </si>
  <si>
    <t>Makabaja</t>
  </si>
  <si>
    <t>Cofagrigus</t>
  </si>
  <si>
    <t>Tutankafer</t>
  </si>
  <si>
    <t>デスカーン</t>
  </si>
  <si>
    <t>Desukaan</t>
  </si>
  <si>
    <t>Echnatoll</t>
  </si>
  <si>
    <t>Tirtouga</t>
  </si>
  <si>
    <t>Carapagos</t>
  </si>
  <si>
    <t>プロトーガ</t>
  </si>
  <si>
    <t>Purotooga</t>
  </si>
  <si>
    <t>Galapaflos</t>
  </si>
  <si>
    <t>Carracosta</t>
  </si>
  <si>
    <t>Mégapagos</t>
  </si>
  <si>
    <t>アバゴーラ</t>
  </si>
  <si>
    <t>Abagoora</t>
  </si>
  <si>
    <t>Karippas</t>
  </si>
  <si>
    <t>Archen</t>
  </si>
  <si>
    <t>Arkéapti</t>
  </si>
  <si>
    <t>アーケン</t>
  </si>
  <si>
    <t>Aaken</t>
  </si>
  <si>
    <t>Flapteryx</t>
  </si>
  <si>
    <t>Archeops</t>
  </si>
  <si>
    <t>Aéroptéryx</t>
  </si>
  <si>
    <t>アーケオス</t>
  </si>
  <si>
    <t>Aakeosu</t>
  </si>
  <si>
    <t>Aeropteryx</t>
  </si>
  <si>
    <t>Trubbish</t>
  </si>
  <si>
    <t>Miamiasme</t>
  </si>
  <si>
    <t>ヤブクロン</t>
  </si>
  <si>
    <t>Yabukuron</t>
  </si>
  <si>
    <t>Unratütox</t>
  </si>
  <si>
    <t>Garbodor</t>
  </si>
  <si>
    <t>Miasmax</t>
  </si>
  <si>
    <t>ダストダス</t>
  </si>
  <si>
    <t>Dasutodasu</t>
  </si>
  <si>
    <t>Deponitox</t>
  </si>
  <si>
    <t>Zorua</t>
  </si>
  <si>
    <t>ゾロア</t>
  </si>
  <si>
    <t>Zoroa</t>
  </si>
  <si>
    <t>Zoroark</t>
  </si>
  <si>
    <t>ゾロアーク</t>
  </si>
  <si>
    <t>Zoroaaku</t>
  </si>
  <si>
    <t>Chinchidou</t>
  </si>
  <si>
    <t>チラーミィ</t>
  </si>
  <si>
    <t>Chiraamy</t>
  </si>
  <si>
    <t>Picochilla</t>
  </si>
  <si>
    <t>Pashmilla</t>
  </si>
  <si>
    <t>チラチーノ</t>
  </si>
  <si>
    <t>Chirachiino</t>
  </si>
  <si>
    <t>Chillabell</t>
  </si>
  <si>
    <t>Gothita</t>
  </si>
  <si>
    <t>Scrutella</t>
  </si>
  <si>
    <t>ゴチム</t>
  </si>
  <si>
    <t>Gochimu</t>
  </si>
  <si>
    <t>Mollimorba</t>
  </si>
  <si>
    <t>Gothorita</t>
  </si>
  <si>
    <t>Mesmérella</t>
  </si>
  <si>
    <t>ゴチミル</t>
  </si>
  <si>
    <t>Gochimiru</t>
  </si>
  <si>
    <t>Hypnomorba</t>
  </si>
  <si>
    <t>Gothitelle</t>
  </si>
  <si>
    <t>Sidérella</t>
  </si>
  <si>
    <t>ゴチルゼル</t>
  </si>
  <si>
    <t>Gochiruzeru</t>
  </si>
  <si>
    <t>Morbitesse</t>
  </si>
  <si>
    <t>Solosis</t>
  </si>
  <si>
    <t>Nucléos</t>
  </si>
  <si>
    <t>ユニラン</t>
  </si>
  <si>
    <t>Yuniran</t>
  </si>
  <si>
    <t>Monozyto</t>
  </si>
  <si>
    <t>Duosion</t>
  </si>
  <si>
    <t>Méios</t>
  </si>
  <si>
    <t>ダブラン</t>
  </si>
  <si>
    <t>Daburan</t>
  </si>
  <si>
    <t>Mitodos</t>
  </si>
  <si>
    <t>Reuniclus</t>
  </si>
  <si>
    <t>Symbios</t>
  </si>
  <si>
    <t>ランクルス</t>
  </si>
  <si>
    <t>Rankurusu</t>
  </si>
  <si>
    <t>Zytomega</t>
  </si>
  <si>
    <t>Couaneton</t>
  </si>
  <si>
    <t>コアルヒー</t>
  </si>
  <si>
    <t>Koaruhii</t>
  </si>
  <si>
    <t>Piccolente</t>
  </si>
  <si>
    <t>Lakmécygne</t>
  </si>
  <si>
    <t>スワンナ</t>
  </si>
  <si>
    <t>Suwanna</t>
  </si>
  <si>
    <t>Swaroness</t>
  </si>
  <si>
    <t>Vanillite</t>
  </si>
  <si>
    <t>Sorbébé</t>
  </si>
  <si>
    <t>バニプッチ</t>
  </si>
  <si>
    <t>Banipucchi</t>
  </si>
  <si>
    <t>Gelatini</t>
  </si>
  <si>
    <t>Vanillish</t>
  </si>
  <si>
    <t>Sorboul</t>
  </si>
  <si>
    <t>バニリッチ</t>
  </si>
  <si>
    <t>Baniricchi</t>
  </si>
  <si>
    <t>Gelatroppo</t>
  </si>
  <si>
    <t>Vanilluxe</t>
  </si>
  <si>
    <t>Sorbouboul</t>
  </si>
  <si>
    <t>バイバニラ</t>
  </si>
  <si>
    <t>Baibanira</t>
  </si>
  <si>
    <t>Gelatwino</t>
  </si>
  <si>
    <t>Deerling</t>
  </si>
  <si>
    <t>Vivaldaim</t>
  </si>
  <si>
    <t>シキジカ</t>
  </si>
  <si>
    <t>Shikijika</t>
  </si>
  <si>
    <t>Sesokitz</t>
  </si>
  <si>
    <t>Sawsbuck</t>
  </si>
  <si>
    <t>Haydaim</t>
  </si>
  <si>
    <t>メブキジカ</t>
  </si>
  <si>
    <t>Mebukijika</t>
  </si>
  <si>
    <t>Kronjuwild</t>
  </si>
  <si>
    <t>Emolga</t>
  </si>
  <si>
    <t>エモンガ</t>
  </si>
  <si>
    <t>Emonga</t>
  </si>
  <si>
    <t>Karrablast</t>
  </si>
  <si>
    <t>Carabing</t>
  </si>
  <si>
    <t>カブルモ</t>
  </si>
  <si>
    <t>Kaburumo</t>
  </si>
  <si>
    <t>Laukaps</t>
  </si>
  <si>
    <t>Escavalier</t>
  </si>
  <si>
    <t>Lançargot</t>
  </si>
  <si>
    <t>シュバルゴ</t>
  </si>
  <si>
    <t>Shubarugo</t>
  </si>
  <si>
    <t>Cavalanzas</t>
  </si>
  <si>
    <t>Foongus</t>
  </si>
  <si>
    <t>Trompignon</t>
  </si>
  <si>
    <t>タマゲタケ</t>
  </si>
  <si>
    <t>Tamagetake</t>
  </si>
  <si>
    <t>Tarnpignon</t>
  </si>
  <si>
    <t>Amoonguss</t>
  </si>
  <si>
    <t>Gaulet</t>
  </si>
  <si>
    <t>モロバレル</t>
  </si>
  <si>
    <t>Morobareru</t>
  </si>
  <si>
    <t>Hutsassa</t>
  </si>
  <si>
    <t>Frillish</t>
  </si>
  <si>
    <t>Viskuse</t>
  </si>
  <si>
    <t>プルリル</t>
  </si>
  <si>
    <t>Pururiru</t>
  </si>
  <si>
    <t>Quabbel</t>
  </si>
  <si>
    <t>Jellicent</t>
  </si>
  <si>
    <t>Moyade</t>
  </si>
  <si>
    <t>ブルンゲル</t>
  </si>
  <si>
    <t>Burungeru</t>
  </si>
  <si>
    <t>Apoquallyp</t>
  </si>
  <si>
    <t>Alomomola</t>
  </si>
  <si>
    <t>Mamanbo</t>
  </si>
  <si>
    <t>ママンボウ</t>
  </si>
  <si>
    <t>Mamanbou</t>
  </si>
  <si>
    <t>Mamolida</t>
  </si>
  <si>
    <t>Statitik</t>
  </si>
  <si>
    <t>バチュル</t>
  </si>
  <si>
    <t>Bachuru</t>
  </si>
  <si>
    <t>Wattzapf</t>
  </si>
  <si>
    <t>Mygavolt</t>
  </si>
  <si>
    <t>デンチュラ</t>
  </si>
  <si>
    <t>Denchura</t>
  </si>
  <si>
    <t>Voltula</t>
  </si>
  <si>
    <t>Ferroseed</t>
  </si>
  <si>
    <t>Grindur</t>
  </si>
  <si>
    <t>テッシード</t>
  </si>
  <si>
    <t>Tesshiido</t>
  </si>
  <si>
    <t>Kastadur</t>
  </si>
  <si>
    <t>Ferrothorn</t>
  </si>
  <si>
    <t>Noacier</t>
  </si>
  <si>
    <t>ナットレイ</t>
  </si>
  <si>
    <t>Nattorei</t>
  </si>
  <si>
    <t>Tentantel</t>
  </si>
  <si>
    <t>Klink</t>
  </si>
  <si>
    <t>Tic</t>
  </si>
  <si>
    <t>ギアル</t>
  </si>
  <si>
    <t>Giaru</t>
  </si>
  <si>
    <t>Klikk</t>
  </si>
  <si>
    <t>Klang</t>
  </si>
  <si>
    <t>Clic</t>
  </si>
  <si>
    <t>ギギアル</t>
  </si>
  <si>
    <t>Gigiaru</t>
  </si>
  <si>
    <t>Kliklak</t>
  </si>
  <si>
    <t>Klinklang</t>
  </si>
  <si>
    <t>Cliticlic</t>
  </si>
  <si>
    <t>ギギギアル</t>
  </si>
  <si>
    <t>Gigigiaru</t>
  </si>
  <si>
    <t>Klikdiklak</t>
  </si>
  <si>
    <t>Anchwatt</t>
  </si>
  <si>
    <t>シビシラス</t>
  </si>
  <si>
    <t>Shibishirasu</t>
  </si>
  <si>
    <t>Zapplardin</t>
  </si>
  <si>
    <t>Lampéroie</t>
  </si>
  <si>
    <t>シビビール</t>
  </si>
  <si>
    <t>Shibibiiru</t>
  </si>
  <si>
    <t>Zapplalek</t>
  </si>
  <si>
    <t>Ohmassacre</t>
  </si>
  <si>
    <t>シビルドン</t>
  </si>
  <si>
    <t>Shibirudon</t>
  </si>
  <si>
    <t>Zapplarang</t>
  </si>
  <si>
    <t>Lewsor</t>
  </si>
  <si>
    <t>リグレー</t>
  </si>
  <si>
    <t>Riguree</t>
  </si>
  <si>
    <t>Pygraulon</t>
  </si>
  <si>
    <t>Neitram</t>
  </si>
  <si>
    <t>オーベム</t>
  </si>
  <si>
    <t>Oobemu</t>
  </si>
  <si>
    <t>Megalon</t>
  </si>
  <si>
    <t>Litwick</t>
  </si>
  <si>
    <t>Funécire</t>
  </si>
  <si>
    <t>ヒトモシ</t>
  </si>
  <si>
    <t>Hitomoshi</t>
  </si>
  <si>
    <t>Lichtel</t>
  </si>
  <si>
    <t>Lampent</t>
  </si>
  <si>
    <t>Mélancolux</t>
  </si>
  <si>
    <t>ランプラー</t>
  </si>
  <si>
    <t>Ranpuraa</t>
  </si>
  <si>
    <t>Laternecto</t>
  </si>
  <si>
    <t>Chandelure</t>
  </si>
  <si>
    <t>Lugulabre</t>
  </si>
  <si>
    <t>シャンデラ</t>
  </si>
  <si>
    <t>Shandera</t>
  </si>
  <si>
    <t>Skelabra</t>
  </si>
  <si>
    <t>Axew</t>
  </si>
  <si>
    <t>Coupenotte</t>
  </si>
  <si>
    <t>キバゴ</t>
  </si>
  <si>
    <t>Kibago</t>
  </si>
  <si>
    <t>Milza</t>
  </si>
  <si>
    <t>Fraxure</t>
  </si>
  <si>
    <t>Incisache</t>
  </si>
  <si>
    <t>オノンド</t>
  </si>
  <si>
    <t>Onondo</t>
  </si>
  <si>
    <t>Sharfax</t>
  </si>
  <si>
    <t>Haxorus</t>
  </si>
  <si>
    <t>Tranchodon</t>
  </si>
  <si>
    <t>オノノクス</t>
  </si>
  <si>
    <t>Ononokusu</t>
  </si>
  <si>
    <t>Maxax</t>
  </si>
  <si>
    <t>Cubchoo</t>
  </si>
  <si>
    <t>Polarhume</t>
  </si>
  <si>
    <t>クマシュン</t>
  </si>
  <si>
    <t>Kumashun</t>
  </si>
  <si>
    <t>Petznief</t>
  </si>
  <si>
    <t>Beartic</t>
  </si>
  <si>
    <t>Polagriffe</t>
  </si>
  <si>
    <t>ツンベアー</t>
  </si>
  <si>
    <t>Tsunbeaa</t>
  </si>
  <si>
    <t>Siberio</t>
  </si>
  <si>
    <t>Cryogonal</t>
  </si>
  <si>
    <t>Hexagel</t>
  </si>
  <si>
    <t>フリージオ</t>
  </si>
  <si>
    <t>Furiijio</t>
  </si>
  <si>
    <t>Frigometri</t>
  </si>
  <si>
    <t>Shelmet</t>
  </si>
  <si>
    <t>Escargaume</t>
  </si>
  <si>
    <t>チョボマキ</t>
  </si>
  <si>
    <t>Chobomaki</t>
  </si>
  <si>
    <t>Schnuthelm</t>
  </si>
  <si>
    <t>Accelgor</t>
  </si>
  <si>
    <t>Limaspeed</t>
  </si>
  <si>
    <t>アギルダー</t>
  </si>
  <si>
    <t>Agirudaa</t>
  </si>
  <si>
    <t>Hydragil</t>
  </si>
  <si>
    <t>Stunfisk</t>
  </si>
  <si>
    <t>Limonde</t>
  </si>
  <si>
    <t>マッギョ</t>
  </si>
  <si>
    <t>Maggyo</t>
  </si>
  <si>
    <t>Flunschlik</t>
  </si>
  <si>
    <t>Kungfouine</t>
  </si>
  <si>
    <t>コジョフー</t>
  </si>
  <si>
    <t>Kojofuu</t>
  </si>
  <si>
    <t>Lin-Fu</t>
  </si>
  <si>
    <t>Shaofouine</t>
  </si>
  <si>
    <t>コジョンド</t>
  </si>
  <si>
    <t>Kojondo</t>
  </si>
  <si>
    <t>Wie-Shu</t>
  </si>
  <si>
    <t>Drakkarmin</t>
  </si>
  <si>
    <t>クリムガン</t>
  </si>
  <si>
    <t>Kurimugan</t>
  </si>
  <si>
    <t>Shardrago</t>
  </si>
  <si>
    <t>Gringolem</t>
  </si>
  <si>
    <t>ゴビット</t>
  </si>
  <si>
    <t>Gobitto</t>
  </si>
  <si>
    <t>Golbit</t>
  </si>
  <si>
    <t>Golemastoc</t>
  </si>
  <si>
    <t>ゴルーグ</t>
  </si>
  <si>
    <t>Goruugu</t>
  </si>
  <si>
    <t>Golgantes</t>
  </si>
  <si>
    <t>Scalpion</t>
  </si>
  <si>
    <t>コマタナ</t>
  </si>
  <si>
    <t>Komatana</t>
  </si>
  <si>
    <t>Gladiantri</t>
  </si>
  <si>
    <t>Scalproie</t>
  </si>
  <si>
    <t>キリキザン</t>
  </si>
  <si>
    <t>Kirikizan</t>
  </si>
  <si>
    <t>Caesurio</t>
  </si>
  <si>
    <t>Bouffalant</t>
  </si>
  <si>
    <t>Frison</t>
  </si>
  <si>
    <t>バッフロン</t>
  </si>
  <si>
    <t>Baffuron</t>
  </si>
  <si>
    <t>Bisofank</t>
  </si>
  <si>
    <t>Rufflet</t>
  </si>
  <si>
    <t>Furaiglon</t>
  </si>
  <si>
    <t>ワシボン</t>
  </si>
  <si>
    <t>Washibon</t>
  </si>
  <si>
    <t>Geronimatz</t>
  </si>
  <si>
    <t>Braviary</t>
  </si>
  <si>
    <t>Gueriaigle</t>
  </si>
  <si>
    <t>ウォーグル</t>
  </si>
  <si>
    <t>Wooguru</t>
  </si>
  <si>
    <t>Washakwil</t>
  </si>
  <si>
    <t>Vullaby</t>
  </si>
  <si>
    <t>Vostourno</t>
  </si>
  <si>
    <t>バルチャイ</t>
  </si>
  <si>
    <t>Baruchai</t>
  </si>
  <si>
    <t>Skallyk</t>
  </si>
  <si>
    <t>Mandibuzz</t>
  </si>
  <si>
    <t>Vaututrice</t>
  </si>
  <si>
    <t>バルジーナ</t>
  </si>
  <si>
    <t>Barujiina</t>
  </si>
  <si>
    <t>Grypheldis</t>
  </si>
  <si>
    <t>Aflamanoir</t>
  </si>
  <si>
    <t>クイタラン</t>
  </si>
  <si>
    <t>Kuitaran</t>
  </si>
  <si>
    <t>Furnifraß</t>
  </si>
  <si>
    <t>Durant</t>
  </si>
  <si>
    <t>Fermite</t>
  </si>
  <si>
    <t>アイアント</t>
  </si>
  <si>
    <t>Aianto</t>
  </si>
  <si>
    <t>Fermicula</t>
  </si>
  <si>
    <t>Deino</t>
  </si>
  <si>
    <t>Solochi</t>
  </si>
  <si>
    <t>モノズ</t>
  </si>
  <si>
    <t>Monozu</t>
  </si>
  <si>
    <t>Kapuno</t>
  </si>
  <si>
    <t>Zweilous</t>
  </si>
  <si>
    <t>Diamat</t>
  </si>
  <si>
    <t>ジヘッド</t>
  </si>
  <si>
    <t>Jiheddo</t>
  </si>
  <si>
    <t>Duodino</t>
  </si>
  <si>
    <t>Hydreigon</t>
  </si>
  <si>
    <t>Trioxhydre</t>
  </si>
  <si>
    <t>サザンドラ</t>
  </si>
  <si>
    <t>Sazandora</t>
  </si>
  <si>
    <t>Trikephalo</t>
  </si>
  <si>
    <t>Pyronille</t>
  </si>
  <si>
    <t>メラルバ</t>
  </si>
  <si>
    <t>Meraruba</t>
  </si>
  <si>
    <t>Ignivor</t>
  </si>
  <si>
    <t>Pyrax</t>
  </si>
  <si>
    <t>ウルガモス</t>
  </si>
  <si>
    <t>Urugamosu</t>
  </si>
  <si>
    <t>Ramoth</t>
  </si>
  <si>
    <t>Cobalion</t>
  </si>
  <si>
    <t>Cobaltium</t>
  </si>
  <si>
    <t>コバルオン</t>
  </si>
  <si>
    <t>Kobaruon</t>
  </si>
  <si>
    <t>Kobalium</t>
  </si>
  <si>
    <t>Terrakion</t>
  </si>
  <si>
    <t>Terrakium</t>
  </si>
  <si>
    <t>テラキオン</t>
  </si>
  <si>
    <t>Terakion</t>
  </si>
  <si>
    <t>Virizion</t>
  </si>
  <si>
    <t>Viridium</t>
  </si>
  <si>
    <t>ビリジオン</t>
  </si>
  <si>
    <t>Birijion</t>
  </si>
  <si>
    <t>Tornadus</t>
  </si>
  <si>
    <t>Boréas</t>
  </si>
  <si>
    <t>トルネロス</t>
  </si>
  <si>
    <t>Torunerosu</t>
  </si>
  <si>
    <t>Boreos</t>
  </si>
  <si>
    <t>Thundurus</t>
  </si>
  <si>
    <t>Fulguris</t>
  </si>
  <si>
    <t>ボルトロス</t>
  </si>
  <si>
    <t>Borutorosu</t>
  </si>
  <si>
    <t>Voltolos</t>
  </si>
  <si>
    <t>Reshiram</t>
  </si>
  <si>
    <t>レシラム</t>
  </si>
  <si>
    <t>Reshiramu</t>
  </si>
  <si>
    <t>Zekrom</t>
  </si>
  <si>
    <t>ゼクロム</t>
  </si>
  <si>
    <t>Zekuromu</t>
  </si>
  <si>
    <t>Landorus</t>
  </si>
  <si>
    <t>Démétéros</t>
  </si>
  <si>
    <t>ランドロス</t>
  </si>
  <si>
    <t>Randorosu</t>
  </si>
  <si>
    <t>Demeteros</t>
  </si>
  <si>
    <t>Kyurem</t>
  </si>
  <si>
    <t>キュレム</t>
  </si>
  <si>
    <t>Kyuremu</t>
  </si>
  <si>
    <t>Keldeo</t>
  </si>
  <si>
    <t>ケルディオ</t>
  </si>
  <si>
    <t>Kerudio</t>
  </si>
  <si>
    <t>Meloetta</t>
  </si>
  <si>
    <t>メロエッタ</t>
  </si>
  <si>
    <t>Meroetta</t>
  </si>
  <si>
    <t>Genesect</t>
  </si>
  <si>
    <t>ゲノセクト</t>
  </si>
  <si>
    <t>Genosekuto</t>
  </si>
  <si>
    <t>Chespin</t>
  </si>
  <si>
    <t>Marisson</t>
  </si>
  <si>
    <t>ハリマロン</t>
  </si>
  <si>
    <t>Harimaron</t>
  </si>
  <si>
    <t>Igamaro</t>
  </si>
  <si>
    <t>Quilladin</t>
  </si>
  <si>
    <t>Boguérisse</t>
  </si>
  <si>
    <t>ハリボーグ</t>
  </si>
  <si>
    <t>Hariboogu</t>
  </si>
  <si>
    <t>Igastarnish</t>
  </si>
  <si>
    <t>Chesnaught</t>
  </si>
  <si>
    <t>Blindépique</t>
  </si>
  <si>
    <t>ブリガロン</t>
  </si>
  <si>
    <t>Burigaron</t>
  </si>
  <si>
    <t>Brigaron</t>
  </si>
  <si>
    <t>Fennekin</t>
  </si>
  <si>
    <t>Feunnec</t>
  </si>
  <si>
    <t>フォッコ</t>
  </si>
  <si>
    <t>Fokko</t>
  </si>
  <si>
    <t>Fynx</t>
  </si>
  <si>
    <t>Braixen</t>
  </si>
  <si>
    <t>Roussil</t>
  </si>
  <si>
    <t>テールナー</t>
  </si>
  <si>
    <t>Teerunaa</t>
  </si>
  <si>
    <t>Rutena</t>
  </si>
  <si>
    <t>Delphox</t>
  </si>
  <si>
    <t>Goupelin</t>
  </si>
  <si>
    <t>マフォクシー</t>
  </si>
  <si>
    <t>Mafokushii</t>
  </si>
  <si>
    <t>Fennexis</t>
  </si>
  <si>
    <t>Grenousse</t>
  </si>
  <si>
    <t>ケロマツ</t>
  </si>
  <si>
    <t>Keromatsu</t>
  </si>
  <si>
    <t>Froxy</t>
  </si>
  <si>
    <t>Croâporal</t>
  </si>
  <si>
    <t>ゲコガシラ</t>
  </si>
  <si>
    <t>Gekogashira</t>
  </si>
  <si>
    <t>Amphizel</t>
  </si>
  <si>
    <t>Amphinobi</t>
  </si>
  <si>
    <t>ゲッコウガ</t>
  </si>
  <si>
    <t>Gekkouga</t>
  </si>
  <si>
    <t>Quajutsu</t>
  </si>
  <si>
    <t>Bunnelby</t>
  </si>
  <si>
    <t>Sapereau</t>
  </si>
  <si>
    <t>ホルビー</t>
  </si>
  <si>
    <t>Horubii</t>
  </si>
  <si>
    <t>Scoppel</t>
  </si>
  <si>
    <t>Diggersby</t>
  </si>
  <si>
    <t>Excavarenne</t>
  </si>
  <si>
    <t>ホルード</t>
  </si>
  <si>
    <t>Horuudo</t>
  </si>
  <si>
    <t>Grebbit</t>
  </si>
  <si>
    <t>Fletchling</t>
  </si>
  <si>
    <t>Passerouge</t>
  </si>
  <si>
    <t>ヤヤコマ</t>
  </si>
  <si>
    <t>Yayakoma</t>
  </si>
  <si>
    <t>Dartiri</t>
  </si>
  <si>
    <t>Fletchinder</t>
  </si>
  <si>
    <t>Braisillon</t>
  </si>
  <si>
    <t>ヒノヤコマ</t>
  </si>
  <si>
    <t>Hinoyakoma</t>
  </si>
  <si>
    <t>Dartignis</t>
  </si>
  <si>
    <t>Talonflame</t>
  </si>
  <si>
    <t>Flambusard</t>
  </si>
  <si>
    <t>ファイアロー</t>
  </si>
  <si>
    <t>Faiaroo</t>
  </si>
  <si>
    <t>Fiaro</t>
  </si>
  <si>
    <t>Scatterbug</t>
  </si>
  <si>
    <t>Lépidonille</t>
  </si>
  <si>
    <t>コフキムシ</t>
  </si>
  <si>
    <t>Kofukimushi</t>
  </si>
  <si>
    <t>Purmel</t>
  </si>
  <si>
    <t>Spewpa</t>
  </si>
  <si>
    <t>Pérégrain</t>
  </si>
  <si>
    <t>コフーライ</t>
  </si>
  <si>
    <t>Kofuurai</t>
  </si>
  <si>
    <t>Puponcho</t>
  </si>
  <si>
    <t>Vivillon</t>
  </si>
  <si>
    <t>Prismillon</t>
  </si>
  <si>
    <t>ビビヨン</t>
  </si>
  <si>
    <t>Bibiyon</t>
  </si>
  <si>
    <t>Litleo</t>
  </si>
  <si>
    <t>Hélionceau</t>
  </si>
  <si>
    <t>シシコ</t>
  </si>
  <si>
    <t>Shishiko</t>
  </si>
  <si>
    <t>Leufeo</t>
  </si>
  <si>
    <t>Pyroar</t>
  </si>
  <si>
    <t>Némélios</t>
  </si>
  <si>
    <t>カエンジシ</t>
  </si>
  <si>
    <t>Kaenjishi</t>
  </si>
  <si>
    <t>Pyroleo</t>
  </si>
  <si>
    <t>フラベベ</t>
  </si>
  <si>
    <t>Furabebe</t>
  </si>
  <si>
    <t>フラエッテ</t>
  </si>
  <si>
    <t>Furaette</t>
  </si>
  <si>
    <t>フラージェス</t>
  </si>
  <si>
    <t>Furaajesu</t>
  </si>
  <si>
    <t>Cabriolaine</t>
  </si>
  <si>
    <t>メェークル</t>
  </si>
  <si>
    <t>Meeekuru</t>
  </si>
  <si>
    <t>Mähikel</t>
  </si>
  <si>
    <t>Chevroum</t>
  </si>
  <si>
    <t>ゴーゴート</t>
  </si>
  <si>
    <t>Googooto</t>
  </si>
  <si>
    <t>Chevrumm</t>
  </si>
  <si>
    <t>Pancham</t>
  </si>
  <si>
    <t>Pandespiègle</t>
  </si>
  <si>
    <t>ヤンチャム</t>
  </si>
  <si>
    <t>Yanchamu</t>
  </si>
  <si>
    <t>Pam-Pam</t>
  </si>
  <si>
    <t>Pangoro</t>
  </si>
  <si>
    <t>Pandarbare</t>
  </si>
  <si>
    <t>ゴロンダ</t>
  </si>
  <si>
    <t>Goronda</t>
  </si>
  <si>
    <t>Pandagro</t>
  </si>
  <si>
    <t>Furfrou</t>
  </si>
  <si>
    <t>Couafarel</t>
  </si>
  <si>
    <t>トリミアン</t>
  </si>
  <si>
    <t>Torimian</t>
  </si>
  <si>
    <t>Coiffwaff</t>
  </si>
  <si>
    <t>Espurr</t>
  </si>
  <si>
    <t>Psystigri</t>
  </si>
  <si>
    <t>ニャスパー</t>
  </si>
  <si>
    <t>Nyasupaa</t>
  </si>
  <si>
    <t>Psiau</t>
  </si>
  <si>
    <t>Meowstic</t>
  </si>
  <si>
    <t>Mistigrix</t>
  </si>
  <si>
    <t>ニャオニクス</t>
  </si>
  <si>
    <t>Nyaonikusu</t>
  </si>
  <si>
    <t>Psiaugon</t>
  </si>
  <si>
    <t>Honedge</t>
  </si>
  <si>
    <t>Monorpale</t>
  </si>
  <si>
    <t>ヒトツキ</t>
  </si>
  <si>
    <t>Hitotsuki</t>
  </si>
  <si>
    <t>Gramokles</t>
  </si>
  <si>
    <t>Doublade</t>
  </si>
  <si>
    <t>Dimoclès</t>
  </si>
  <si>
    <t>ニダンギル</t>
  </si>
  <si>
    <t>Nidangiru</t>
  </si>
  <si>
    <t>Duokles</t>
  </si>
  <si>
    <t>Aegislash</t>
  </si>
  <si>
    <t>Exagide</t>
  </si>
  <si>
    <t>ギルガルド</t>
  </si>
  <si>
    <t>Girugarudo</t>
  </si>
  <si>
    <t>Durengard</t>
  </si>
  <si>
    <t>Spritzee</t>
  </si>
  <si>
    <t>Fluvetin</t>
  </si>
  <si>
    <t>シュシュプ</t>
  </si>
  <si>
    <t>Shushupu</t>
  </si>
  <si>
    <t>Parfi</t>
  </si>
  <si>
    <t>Aromatisse</t>
  </si>
  <si>
    <t>Cocotine</t>
  </si>
  <si>
    <t>フレフワン</t>
  </si>
  <si>
    <t>Furefuwan</t>
  </si>
  <si>
    <t>Parfinesse</t>
  </si>
  <si>
    <t>Sucroquin</t>
  </si>
  <si>
    <t>ペロッパフ</t>
  </si>
  <si>
    <t>Peroppafu</t>
  </si>
  <si>
    <t>Flauschling</t>
  </si>
  <si>
    <t>Cupcanaille</t>
  </si>
  <si>
    <t>ペロリーム</t>
  </si>
  <si>
    <t>Peroriimu</t>
  </si>
  <si>
    <t>Sabbaione</t>
  </si>
  <si>
    <t>Inkay</t>
  </si>
  <si>
    <t>Sepiatop</t>
  </si>
  <si>
    <t>マーイーカ</t>
  </si>
  <si>
    <t>Maaiika</t>
  </si>
  <si>
    <t>Iscalar</t>
  </si>
  <si>
    <t>Malamar</t>
  </si>
  <si>
    <t>Sepiatroce</t>
  </si>
  <si>
    <t>カラマネロ</t>
  </si>
  <si>
    <t>Karamanero</t>
  </si>
  <si>
    <t>Calamanero</t>
  </si>
  <si>
    <t>Binacle</t>
  </si>
  <si>
    <t>Opermine</t>
  </si>
  <si>
    <t>カメテテ</t>
  </si>
  <si>
    <t>Kametete</t>
  </si>
  <si>
    <t>Bithora</t>
  </si>
  <si>
    <t>Barbaracle</t>
  </si>
  <si>
    <t>Golgopathe</t>
  </si>
  <si>
    <t>ガメノデス</t>
  </si>
  <si>
    <t>Gamenodesu</t>
  </si>
  <si>
    <t>Thanathora</t>
  </si>
  <si>
    <t>Skrelp</t>
  </si>
  <si>
    <t>Venalgue</t>
  </si>
  <si>
    <t>クズモー</t>
  </si>
  <si>
    <t>Kuzumoo</t>
  </si>
  <si>
    <t>Algitt</t>
  </si>
  <si>
    <t>Dragalge</t>
  </si>
  <si>
    <t>Kravarech</t>
  </si>
  <si>
    <t>ドラミドロ</t>
  </si>
  <si>
    <t>Doramidoro</t>
  </si>
  <si>
    <t>Tandrak</t>
  </si>
  <si>
    <t>Clauncher</t>
  </si>
  <si>
    <t>Flingouste</t>
  </si>
  <si>
    <t>ウデッポウ</t>
  </si>
  <si>
    <t>Udeppou</t>
  </si>
  <si>
    <t>Scampisto</t>
  </si>
  <si>
    <t>Clawitzer</t>
  </si>
  <si>
    <t>Gamblast</t>
  </si>
  <si>
    <t>ブロスター</t>
  </si>
  <si>
    <t>Burosutaa</t>
  </si>
  <si>
    <t>Wummer</t>
  </si>
  <si>
    <t>Galvaran</t>
  </si>
  <si>
    <t>エリキテル</t>
  </si>
  <si>
    <t>Erikiteru</t>
  </si>
  <si>
    <t>Eguana</t>
  </si>
  <si>
    <t>Iguolta</t>
  </si>
  <si>
    <t>エレザード</t>
  </si>
  <si>
    <t>Erezaado</t>
  </si>
  <si>
    <t>Elezard</t>
  </si>
  <si>
    <t>Tyrunt</t>
  </si>
  <si>
    <t>Ptyranidur</t>
  </si>
  <si>
    <t>チゴラス</t>
  </si>
  <si>
    <t>Chigorasu</t>
  </si>
  <si>
    <t>Balgoras</t>
  </si>
  <si>
    <t>Tyrantrum</t>
  </si>
  <si>
    <t>Rexillius</t>
  </si>
  <si>
    <t>ガチゴラス</t>
  </si>
  <si>
    <t>Gachigorasu</t>
  </si>
  <si>
    <t>Monargoras</t>
  </si>
  <si>
    <t>Amaura</t>
  </si>
  <si>
    <t>Amagara</t>
  </si>
  <si>
    <t>アマルス</t>
  </si>
  <si>
    <t>Amarusu</t>
  </si>
  <si>
    <t>Amarino</t>
  </si>
  <si>
    <t>Aurorus</t>
  </si>
  <si>
    <t>Dragmara</t>
  </si>
  <si>
    <t>アマルルガ</t>
  </si>
  <si>
    <t>Amaruruga</t>
  </si>
  <si>
    <t>Amagarga</t>
  </si>
  <si>
    <t>Sylveon</t>
  </si>
  <si>
    <t>Nymphali</t>
  </si>
  <si>
    <t>ニンフィア</t>
  </si>
  <si>
    <t>Ninfia</t>
  </si>
  <si>
    <t>Feelinara</t>
  </si>
  <si>
    <t>Hawlucha</t>
  </si>
  <si>
    <t>Brutalibré</t>
  </si>
  <si>
    <t>ルチャブル</t>
  </si>
  <si>
    <t>Ruchaburu</t>
  </si>
  <si>
    <t>Resladero</t>
  </si>
  <si>
    <t>デデンネ</t>
  </si>
  <si>
    <t>Carbink</t>
  </si>
  <si>
    <t>Strassie</t>
  </si>
  <si>
    <t>メレシー</t>
  </si>
  <si>
    <t>Mereshii</t>
  </si>
  <si>
    <t>Rocara</t>
  </si>
  <si>
    <t>Goomy</t>
  </si>
  <si>
    <t>Mucuscule</t>
  </si>
  <si>
    <t>ヌメラ</t>
  </si>
  <si>
    <t>Numera</t>
  </si>
  <si>
    <t>Viscora</t>
  </si>
  <si>
    <t>Sliggoo</t>
  </si>
  <si>
    <t>Colimucus</t>
  </si>
  <si>
    <t>ヌメイル</t>
  </si>
  <si>
    <t>Numeiru</t>
  </si>
  <si>
    <t>Viscargot</t>
  </si>
  <si>
    <t>Goodra</t>
  </si>
  <si>
    <t>Muplodocus</t>
  </si>
  <si>
    <t>ヌメルゴン</t>
  </si>
  <si>
    <t>Numerugon</t>
  </si>
  <si>
    <t>Viscogon</t>
  </si>
  <si>
    <t>Klefki</t>
  </si>
  <si>
    <t>Trousselin</t>
  </si>
  <si>
    <t>クレッフィ</t>
  </si>
  <si>
    <t>Kureffi</t>
  </si>
  <si>
    <t>Clavion</t>
  </si>
  <si>
    <t>Phantump</t>
  </si>
  <si>
    <t>Brocélôme</t>
  </si>
  <si>
    <t>ボクレー</t>
  </si>
  <si>
    <t>Bokuree</t>
  </si>
  <si>
    <t>Paragoni</t>
  </si>
  <si>
    <t>Trevenant</t>
  </si>
  <si>
    <t>Desséliande</t>
  </si>
  <si>
    <t>オーロット</t>
  </si>
  <si>
    <t>Oorotto</t>
  </si>
  <si>
    <t>Trombork</t>
  </si>
  <si>
    <t>Pumpkaboo</t>
  </si>
  <si>
    <t>Pitrouille</t>
  </si>
  <si>
    <t>バケッチャ</t>
  </si>
  <si>
    <t>Bakeccha</t>
  </si>
  <si>
    <t>Irrbis</t>
  </si>
  <si>
    <t>Gourgeist</t>
  </si>
  <si>
    <t>Banshitrouye</t>
  </si>
  <si>
    <t>パンプジン</t>
  </si>
  <si>
    <t>Panpujin</t>
  </si>
  <si>
    <t>Pumpdjinn</t>
  </si>
  <si>
    <t>Bergmite</t>
  </si>
  <si>
    <t>Grelaçon</t>
  </si>
  <si>
    <t>カチコール</t>
  </si>
  <si>
    <t>Kachikooru</t>
  </si>
  <si>
    <t>Arktip</t>
  </si>
  <si>
    <t>Avalugg</t>
  </si>
  <si>
    <t>Séracrawl</t>
  </si>
  <si>
    <t>クレベース</t>
  </si>
  <si>
    <t>Kurebeesu</t>
  </si>
  <si>
    <t>Arktilas</t>
  </si>
  <si>
    <t>Noibat</t>
  </si>
  <si>
    <t>Sonistrelle</t>
  </si>
  <si>
    <t>オンバット</t>
  </si>
  <si>
    <t>Onbatto</t>
  </si>
  <si>
    <t>eF-eM</t>
  </si>
  <si>
    <t>Noivern</t>
  </si>
  <si>
    <t>Bruyverne</t>
  </si>
  <si>
    <t>オンバーン</t>
  </si>
  <si>
    <t>Onbaan</t>
  </si>
  <si>
    <t>UHaFnir</t>
  </si>
  <si>
    <t>Xerneas</t>
  </si>
  <si>
    <t>ゼルネアス</t>
  </si>
  <si>
    <t>Zeruneasu</t>
  </si>
  <si>
    <t>Yveltal</t>
  </si>
  <si>
    <t>イベルタル</t>
  </si>
  <si>
    <t>Iberutaru</t>
  </si>
  <si>
    <t>Zygarde</t>
  </si>
  <si>
    <t>ジガルデ</t>
  </si>
  <si>
    <t>Jigarude</t>
  </si>
  <si>
    <t>Diancie</t>
  </si>
  <si>
    <t>ディアンシー</t>
  </si>
  <si>
    <t>Dianshii</t>
  </si>
  <si>
    <t>Hoopa</t>
  </si>
  <si>
    <t>フーパ</t>
  </si>
  <si>
    <t>Fuupa</t>
  </si>
  <si>
    <t>Volcanion</t>
  </si>
  <si>
    <t>ボルケニオン</t>
  </si>
  <si>
    <t>Borukenion</t>
  </si>
  <si>
    <t>Rowlet</t>
  </si>
  <si>
    <t>Brindibou</t>
  </si>
  <si>
    <t>モクロー</t>
  </si>
  <si>
    <t>Mokuroo</t>
  </si>
  <si>
    <t>Bauz</t>
  </si>
  <si>
    <t>Dartrix</t>
  </si>
  <si>
    <t>Efflèche</t>
  </si>
  <si>
    <t>フクスロー</t>
  </si>
  <si>
    <t>Fukusuroo</t>
  </si>
  <si>
    <t>Arboretoss</t>
  </si>
  <si>
    <t>Decidueye</t>
  </si>
  <si>
    <t>Archéduc</t>
  </si>
  <si>
    <t>ジュナイパー</t>
  </si>
  <si>
    <t>Junaipaa</t>
  </si>
  <si>
    <t>Silvarro</t>
  </si>
  <si>
    <t>Litten</t>
  </si>
  <si>
    <t>Flamiaou</t>
  </si>
  <si>
    <t>ニャビー</t>
  </si>
  <si>
    <t>Nyabii</t>
  </si>
  <si>
    <t>Flamiau</t>
  </si>
  <si>
    <t>Torracat</t>
  </si>
  <si>
    <t>Matoufeu</t>
  </si>
  <si>
    <t>ニャヒート</t>
  </si>
  <si>
    <t>Nyahiito</t>
  </si>
  <si>
    <t>Miezunder</t>
  </si>
  <si>
    <t>Incineroar</t>
  </si>
  <si>
    <t>Félinferno</t>
  </si>
  <si>
    <t>ガオガエン</t>
  </si>
  <si>
    <t>Gaogaen</t>
  </si>
  <si>
    <t>Fuegro</t>
  </si>
  <si>
    <t>Popplio</t>
  </si>
  <si>
    <t>Otaquin</t>
  </si>
  <si>
    <t>アシマリ</t>
  </si>
  <si>
    <t>Ashimari</t>
  </si>
  <si>
    <t>Robball</t>
  </si>
  <si>
    <t>Brionne</t>
  </si>
  <si>
    <t>Otarlette</t>
  </si>
  <si>
    <t>オシャマリ</t>
  </si>
  <si>
    <t>Oshamari</t>
  </si>
  <si>
    <t>Marikeck</t>
  </si>
  <si>
    <t>Primarina</t>
  </si>
  <si>
    <t>Oratoria</t>
  </si>
  <si>
    <t>アシレーヌ</t>
  </si>
  <si>
    <t>Ashireenu</t>
  </si>
  <si>
    <t>Primarene</t>
  </si>
  <si>
    <t>Pikipek</t>
  </si>
  <si>
    <t>Picassaut</t>
  </si>
  <si>
    <t>ツツケラ</t>
  </si>
  <si>
    <t>Tsutsukera</t>
  </si>
  <si>
    <t>Peppeck</t>
  </si>
  <si>
    <t>Trumbeak</t>
  </si>
  <si>
    <t>Piclairon</t>
  </si>
  <si>
    <t>ケララッパ</t>
  </si>
  <si>
    <t>Kerarappa</t>
  </si>
  <si>
    <t>Trompeck</t>
  </si>
  <si>
    <t>Toucannon</t>
  </si>
  <si>
    <t>Bazoucan</t>
  </si>
  <si>
    <t>ドデカバシ</t>
  </si>
  <si>
    <t>Dodekabashi</t>
  </si>
  <si>
    <t>Tukanon</t>
  </si>
  <si>
    <t>Yungoos</t>
  </si>
  <si>
    <t>Manglouton</t>
  </si>
  <si>
    <t>ヤングース</t>
  </si>
  <si>
    <t>Yanguusu</t>
  </si>
  <si>
    <t>Mangunior</t>
  </si>
  <si>
    <t>Gumshoos</t>
  </si>
  <si>
    <t>Argouste</t>
  </si>
  <si>
    <t>デカグース</t>
  </si>
  <si>
    <t>Dekaguusu</t>
  </si>
  <si>
    <t>Manguspektor</t>
  </si>
  <si>
    <t>Grubbin</t>
  </si>
  <si>
    <t>Larvibule</t>
  </si>
  <si>
    <t>アゴジムシ</t>
  </si>
  <si>
    <t>Agojimushi</t>
  </si>
  <si>
    <t>Mabula</t>
  </si>
  <si>
    <t>Charjabug</t>
  </si>
  <si>
    <t>Chrysapile</t>
  </si>
  <si>
    <t>デンヂムシ</t>
  </si>
  <si>
    <t>Denjimushi</t>
  </si>
  <si>
    <t>Akkup</t>
  </si>
  <si>
    <t>Vikavolt</t>
  </si>
  <si>
    <t>Lucanon</t>
  </si>
  <si>
    <t>クワガノン</t>
  </si>
  <si>
    <t>Kuwaganon</t>
  </si>
  <si>
    <t>Donarion</t>
  </si>
  <si>
    <t>Crabrawler</t>
  </si>
  <si>
    <t>Crabagarre</t>
  </si>
  <si>
    <t>マケンカニ</t>
  </si>
  <si>
    <t>Makenkani</t>
  </si>
  <si>
    <t>Krabbox</t>
  </si>
  <si>
    <t>Crabominable</t>
  </si>
  <si>
    <t>ケケンカニ</t>
  </si>
  <si>
    <t>Kekenkani</t>
  </si>
  <si>
    <t>Krawell</t>
  </si>
  <si>
    <t>Oricorio</t>
  </si>
  <si>
    <t>Plumeline</t>
  </si>
  <si>
    <t>オドリドリ</t>
  </si>
  <si>
    <t>Odoridori</t>
  </si>
  <si>
    <t>Choreogel</t>
  </si>
  <si>
    <t>Cutiefly</t>
  </si>
  <si>
    <t>Bombydou</t>
  </si>
  <si>
    <t>アブリー</t>
  </si>
  <si>
    <t>Aburii</t>
  </si>
  <si>
    <t>Wommel</t>
  </si>
  <si>
    <t>Ribombee</t>
  </si>
  <si>
    <t>Rubombelle</t>
  </si>
  <si>
    <t>アブリボン</t>
  </si>
  <si>
    <t>Aburibon</t>
  </si>
  <si>
    <t>Bandelby</t>
  </si>
  <si>
    <t>Rockruff</t>
  </si>
  <si>
    <t>Rocabot</t>
  </si>
  <si>
    <t>イワンコ</t>
  </si>
  <si>
    <t>Iwanko</t>
  </si>
  <si>
    <t>Wuffels</t>
  </si>
  <si>
    <t>Lycanroc</t>
  </si>
  <si>
    <t>Lougaroc</t>
  </si>
  <si>
    <t>ルガルガン</t>
  </si>
  <si>
    <t>Rugarugan</t>
  </si>
  <si>
    <t>Wolwerock</t>
  </si>
  <si>
    <t>Wishiwashi</t>
  </si>
  <si>
    <t>Froussardine</t>
  </si>
  <si>
    <t>ヨワシ</t>
  </si>
  <si>
    <t>Yowashi</t>
  </si>
  <si>
    <t>Lusardin</t>
  </si>
  <si>
    <t>Mareanie</t>
  </si>
  <si>
    <t>Vorastérie</t>
  </si>
  <si>
    <t>ヒドイデ</t>
  </si>
  <si>
    <t>Hidoide</t>
  </si>
  <si>
    <t>Garstella</t>
  </si>
  <si>
    <t>Toxapex</t>
  </si>
  <si>
    <t>Prédastérie</t>
  </si>
  <si>
    <t>ドヒドイデ</t>
  </si>
  <si>
    <t>Dohidoide</t>
  </si>
  <si>
    <t>Aggrostella</t>
  </si>
  <si>
    <t>Mudbray</t>
  </si>
  <si>
    <t>Tiboudet</t>
  </si>
  <si>
    <t>ドロバンコ</t>
  </si>
  <si>
    <t>Dorobanko</t>
  </si>
  <si>
    <t>Pampuli</t>
  </si>
  <si>
    <t>Mudsdale</t>
  </si>
  <si>
    <t>Bourrinos</t>
  </si>
  <si>
    <t>バンバドロ</t>
  </si>
  <si>
    <t>Banbadoro</t>
  </si>
  <si>
    <t>Pampross</t>
  </si>
  <si>
    <t>Dewpider</t>
  </si>
  <si>
    <t>Araqua</t>
  </si>
  <si>
    <t>シズクモ</t>
  </si>
  <si>
    <t>Shizukumo</t>
  </si>
  <si>
    <t>Araquanid</t>
  </si>
  <si>
    <t>Tarenbulle</t>
  </si>
  <si>
    <t>オニシズクモ</t>
  </si>
  <si>
    <t>Onishizukumo</t>
  </si>
  <si>
    <t>Aranestro</t>
  </si>
  <si>
    <t>Fomantis</t>
  </si>
  <si>
    <t>Mimantis</t>
  </si>
  <si>
    <t>カリキリ</t>
  </si>
  <si>
    <t>Karikiri</t>
  </si>
  <si>
    <t>Imantis</t>
  </si>
  <si>
    <t>Lurantis</t>
  </si>
  <si>
    <t>Floramantis</t>
  </si>
  <si>
    <t>ラランテス</t>
  </si>
  <si>
    <t>Rarantesu</t>
  </si>
  <si>
    <t>Mantidea</t>
  </si>
  <si>
    <t>Spododo</t>
  </si>
  <si>
    <t>ネマシュ</t>
  </si>
  <si>
    <t>Nemashu</t>
  </si>
  <si>
    <t>Bubungus</t>
  </si>
  <si>
    <t>Lampignon</t>
  </si>
  <si>
    <t>マシェード</t>
  </si>
  <si>
    <t>Masheedo</t>
  </si>
  <si>
    <t>Lamellux</t>
  </si>
  <si>
    <t>Tritox</t>
  </si>
  <si>
    <t>ヤトウモリ</t>
  </si>
  <si>
    <t>Yatoumori</t>
  </si>
  <si>
    <t>Molunk</t>
  </si>
  <si>
    <t>Malamandre</t>
  </si>
  <si>
    <t>エンニュート</t>
  </si>
  <si>
    <t>Ennyuuto</t>
  </si>
  <si>
    <t>Amfira</t>
  </si>
  <si>
    <t>Stufful</t>
  </si>
  <si>
    <t>Nounourson</t>
  </si>
  <si>
    <t>ヌイコグマ</t>
  </si>
  <si>
    <t>Nuikoguma</t>
  </si>
  <si>
    <t>Velursi</t>
  </si>
  <si>
    <t>Bewear</t>
  </si>
  <si>
    <t>Chelours</t>
  </si>
  <si>
    <t>キテルグマ</t>
  </si>
  <si>
    <t>Kiteruguma</t>
  </si>
  <si>
    <t>Kosturso</t>
  </si>
  <si>
    <t>Bounsweet</t>
  </si>
  <si>
    <t>Croquine</t>
  </si>
  <si>
    <t>アマカジ</t>
  </si>
  <si>
    <t>Amakaji</t>
  </si>
  <si>
    <t>Frubberl</t>
  </si>
  <si>
    <t>Steenee</t>
  </si>
  <si>
    <t>Candine</t>
  </si>
  <si>
    <t>アママイコ</t>
  </si>
  <si>
    <t>Amamaiko</t>
  </si>
  <si>
    <t>Frubaila</t>
  </si>
  <si>
    <t>Tsareena</t>
  </si>
  <si>
    <t>Sucreine</t>
  </si>
  <si>
    <t>アマージョ</t>
  </si>
  <si>
    <t>Amaajo</t>
  </si>
  <si>
    <t>Fruyal</t>
  </si>
  <si>
    <t>Comfey</t>
  </si>
  <si>
    <t>Guérilande</t>
  </si>
  <si>
    <t>キュワワー</t>
  </si>
  <si>
    <t>Kyuwawaa</t>
  </si>
  <si>
    <t>Curelei</t>
  </si>
  <si>
    <t>Oranguru</t>
  </si>
  <si>
    <t>Gouroutan</t>
  </si>
  <si>
    <t>ヤレユータン</t>
  </si>
  <si>
    <t>Yareyuutan</t>
  </si>
  <si>
    <t>Kommandutan</t>
  </si>
  <si>
    <t>Passimian</t>
  </si>
  <si>
    <t>Quartermac</t>
  </si>
  <si>
    <t>ナゲツケサル</t>
  </si>
  <si>
    <t>Nagetsukesaru</t>
  </si>
  <si>
    <t>Quartermak</t>
  </si>
  <si>
    <t>Wimpod</t>
  </si>
  <si>
    <t>Sovkipou</t>
  </si>
  <si>
    <t>コソクムシ</t>
  </si>
  <si>
    <t>Kosokumushi</t>
  </si>
  <si>
    <t>Reißlaus</t>
  </si>
  <si>
    <t>Golisopod</t>
  </si>
  <si>
    <t>Sarmuraï</t>
  </si>
  <si>
    <t>グソクムシャ</t>
  </si>
  <si>
    <t>Gusokumusha</t>
  </si>
  <si>
    <t>Tectass</t>
  </si>
  <si>
    <t>Sandygast</t>
  </si>
  <si>
    <t>Bacabouh</t>
  </si>
  <si>
    <t>スナバァ</t>
  </si>
  <si>
    <t>Sunabaa</t>
  </si>
  <si>
    <t>Sankabuh</t>
  </si>
  <si>
    <t>Palossand</t>
  </si>
  <si>
    <t>Trépassable</t>
  </si>
  <si>
    <t>シロデスナ</t>
  </si>
  <si>
    <t>Shirodesuna</t>
  </si>
  <si>
    <t>Colossand</t>
  </si>
  <si>
    <t>Concombaffe</t>
  </si>
  <si>
    <t>ナマコブシ</t>
  </si>
  <si>
    <t>Namakobushi</t>
  </si>
  <si>
    <t>Gufa</t>
  </si>
  <si>
    <t>Type: Null</t>
  </si>
  <si>
    <t>Type:0</t>
  </si>
  <si>
    <t>タイプ：ヌル</t>
  </si>
  <si>
    <t>Taipu:nuru</t>
  </si>
  <si>
    <t>Typ:Null</t>
  </si>
  <si>
    <t>Código Cero</t>
  </si>
  <si>
    <t>Tipo Zero</t>
  </si>
  <si>
    <t>Silvally</t>
  </si>
  <si>
    <t>Silvallié</t>
  </si>
  <si>
    <t>シルヴァディ</t>
  </si>
  <si>
    <t>Shiruvadi</t>
  </si>
  <si>
    <t>Amigento</t>
  </si>
  <si>
    <t>Minior</t>
  </si>
  <si>
    <t>Météno</t>
  </si>
  <si>
    <t>メテノ</t>
  </si>
  <si>
    <t>Meteno</t>
  </si>
  <si>
    <t>Komala</t>
  </si>
  <si>
    <t>Dodoala</t>
  </si>
  <si>
    <t>ネッコアラ</t>
  </si>
  <si>
    <t>Nekkoara</t>
  </si>
  <si>
    <t>Koalelu</t>
  </si>
  <si>
    <t>Turtonator</t>
  </si>
  <si>
    <t>Boumata</t>
  </si>
  <si>
    <t>バクガメス</t>
  </si>
  <si>
    <t>Bakugamesu</t>
  </si>
  <si>
    <t>Tortunator</t>
  </si>
  <si>
    <t>Togedemaru</t>
  </si>
  <si>
    <t>トゲデマル</t>
  </si>
  <si>
    <t>Mimikyu</t>
  </si>
  <si>
    <t>Mimiqui</t>
  </si>
  <si>
    <t>ミミッキュ</t>
  </si>
  <si>
    <t>Mimikkyu</t>
  </si>
  <si>
    <t>Mimigma</t>
  </si>
  <si>
    <t>Denticrisse</t>
  </si>
  <si>
    <t>ハギギシリ</t>
  </si>
  <si>
    <t>Hagigishiri</t>
  </si>
  <si>
    <t>Knirfish</t>
  </si>
  <si>
    <t>Drampa</t>
  </si>
  <si>
    <t>Draïeul</t>
  </si>
  <si>
    <t>ジジーロン</t>
  </si>
  <si>
    <t>Jijiiron</t>
  </si>
  <si>
    <t>Sen-Long</t>
  </si>
  <si>
    <t>Sinistrail</t>
  </si>
  <si>
    <t>ダダリン</t>
  </si>
  <si>
    <t>Dadarin</t>
  </si>
  <si>
    <t>Moruda</t>
  </si>
  <si>
    <t>Jangmo-o</t>
  </si>
  <si>
    <t>Bébécaille</t>
  </si>
  <si>
    <t>ジャラコ</t>
  </si>
  <si>
    <t>Jarako</t>
  </si>
  <si>
    <t>Miniras</t>
  </si>
  <si>
    <t>Hakamo-o</t>
  </si>
  <si>
    <t>Écaïd</t>
  </si>
  <si>
    <t>ジャランゴ</t>
  </si>
  <si>
    <t>Jarango</t>
  </si>
  <si>
    <t>Mediras</t>
  </si>
  <si>
    <t>Kommo-o</t>
  </si>
  <si>
    <t>Ékaïser</t>
  </si>
  <si>
    <t>ジャラランガ</t>
  </si>
  <si>
    <t>Jararanga</t>
  </si>
  <si>
    <t>Grandiras</t>
  </si>
  <si>
    <t>Tapu Koko</t>
  </si>
  <si>
    <t>Tokorico</t>
  </si>
  <si>
    <t>カプ・コケコ</t>
  </si>
  <si>
    <t>Kapu・kokeko</t>
  </si>
  <si>
    <t>Kapu-Riki</t>
  </si>
  <si>
    <t>Tapu Lele</t>
  </si>
  <si>
    <t>Tokopiyon</t>
  </si>
  <si>
    <t>カプ・テテフ</t>
  </si>
  <si>
    <t>Kapu・tetefu</t>
  </si>
  <si>
    <t>Kapu-Fala</t>
  </si>
  <si>
    <t>Tapu Bulu</t>
  </si>
  <si>
    <t>Tokotoro</t>
  </si>
  <si>
    <t>カプ・ブルル</t>
  </si>
  <si>
    <t>Kapu・bururu</t>
  </si>
  <si>
    <t>Kapu-Toro</t>
  </si>
  <si>
    <t>Tapu Fini</t>
  </si>
  <si>
    <t>Tokopisco</t>
  </si>
  <si>
    <t>カプ・レヒレ</t>
  </si>
  <si>
    <t>Kapu・rehire</t>
  </si>
  <si>
    <t>Kapu-Kime</t>
  </si>
  <si>
    <t>Cosmog</t>
  </si>
  <si>
    <t>コスモッグ</t>
  </si>
  <si>
    <t>Kosumoggu</t>
  </si>
  <si>
    <t>Cosmoem</t>
  </si>
  <si>
    <t>Cosmovum</t>
  </si>
  <si>
    <t>コスモウム</t>
  </si>
  <si>
    <t>Kosumoumu</t>
  </si>
  <si>
    <t>Solgaleo</t>
  </si>
  <si>
    <t>ソルガレオ</t>
  </si>
  <si>
    <t>Sorugareo</t>
  </si>
  <si>
    <t>Lunala</t>
  </si>
  <si>
    <t>ルナアーラ</t>
  </si>
  <si>
    <t>Runaaara</t>
  </si>
  <si>
    <t>Nihilego</t>
  </si>
  <si>
    <t>Zéroïd</t>
  </si>
  <si>
    <t>ウツロイド</t>
  </si>
  <si>
    <t>Utsuroido</t>
  </si>
  <si>
    <t>Anego</t>
  </si>
  <si>
    <t>Buzzwole</t>
  </si>
  <si>
    <t>Mouscoto</t>
  </si>
  <si>
    <t>マッシブーン</t>
  </si>
  <si>
    <t>Masshibuun</t>
  </si>
  <si>
    <t>Masskito</t>
  </si>
  <si>
    <t>Pheromosa</t>
  </si>
  <si>
    <t>Cancrelove</t>
  </si>
  <si>
    <t>フェローチェ</t>
  </si>
  <si>
    <t>Ferooche</t>
  </si>
  <si>
    <t>Schabelle</t>
  </si>
  <si>
    <t>Xurkitree</t>
  </si>
  <si>
    <t>Câblifère</t>
  </si>
  <si>
    <t>デンジュモク</t>
  </si>
  <si>
    <t>Denjumoku</t>
  </si>
  <si>
    <t>Voltriant</t>
  </si>
  <si>
    <t>Celesteela</t>
  </si>
  <si>
    <t>Bamboiselle</t>
  </si>
  <si>
    <t>テッカグヤ</t>
  </si>
  <si>
    <t>Tekkaguya</t>
  </si>
  <si>
    <t>Kaguron</t>
  </si>
  <si>
    <t>Kartana</t>
  </si>
  <si>
    <t>Katagami</t>
  </si>
  <si>
    <t>カミツルギ</t>
  </si>
  <si>
    <t>Kamitsurugi</t>
  </si>
  <si>
    <t>Guzzlord</t>
  </si>
  <si>
    <t>Engloutyran</t>
  </si>
  <si>
    <t>アクジキング</t>
  </si>
  <si>
    <t>Akujikingu</t>
  </si>
  <si>
    <t>Schlingking</t>
  </si>
  <si>
    <t>Necrozma</t>
  </si>
  <si>
    <t>ネクロズマ</t>
  </si>
  <si>
    <t>Nekurozuma</t>
  </si>
  <si>
    <t>Magearna</t>
  </si>
  <si>
    <t>マギアナ</t>
  </si>
  <si>
    <t>Magiana</t>
  </si>
  <si>
    <t>マーシャドー</t>
  </si>
  <si>
    <t>Maashadoo</t>
  </si>
  <si>
    <t>Poipole</t>
  </si>
  <si>
    <t>Vémini</t>
  </si>
  <si>
    <t>ベベノム</t>
  </si>
  <si>
    <t>Bebenomu</t>
  </si>
  <si>
    <t>Venicro</t>
  </si>
  <si>
    <t>Naganadel</t>
  </si>
  <si>
    <t>Mandrillon</t>
  </si>
  <si>
    <t>アーゴヨン</t>
  </si>
  <si>
    <t>Aagoyon</t>
  </si>
  <si>
    <t>Agoyon</t>
  </si>
  <si>
    <t>Stakataka</t>
  </si>
  <si>
    <t>Ama-Ama</t>
  </si>
  <si>
    <t>ツンデツンデ</t>
  </si>
  <si>
    <t>Tsundetsunde</t>
  </si>
  <si>
    <t>Muramura</t>
  </si>
  <si>
    <t>Blacephalon</t>
  </si>
  <si>
    <t>Pierroteknik</t>
  </si>
  <si>
    <t>ズガドーン</t>
  </si>
  <si>
    <t>Zugadoon</t>
  </si>
  <si>
    <t>Kopplosio</t>
  </si>
  <si>
    <t>Zeraora</t>
  </si>
  <si>
    <t>ゼラオラ</t>
  </si>
  <si>
    <t>メルタン</t>
  </si>
  <si>
    <t>Merutan</t>
  </si>
  <si>
    <t>メルメタル</t>
  </si>
  <si>
    <t>Merumetaru</t>
  </si>
  <si>
    <t>Grookey</t>
  </si>
  <si>
    <t>Ouistempo</t>
  </si>
  <si>
    <t>サルノリ</t>
  </si>
  <si>
    <t>Sarunori</t>
  </si>
  <si>
    <t>Chimpep</t>
  </si>
  <si>
    <t>Thwackey</t>
  </si>
  <si>
    <t>Badabouin</t>
  </si>
  <si>
    <t>バチンキー</t>
  </si>
  <si>
    <t>Bachinkii</t>
  </si>
  <si>
    <t>Chimstix</t>
  </si>
  <si>
    <t>Rillaboom</t>
  </si>
  <si>
    <t>Gorythmic</t>
  </si>
  <si>
    <t>ゴリランダー</t>
  </si>
  <si>
    <t>Gorirandaa</t>
  </si>
  <si>
    <t>Gortrom</t>
  </si>
  <si>
    <t>Scorbunny</t>
  </si>
  <si>
    <t>Flambino</t>
  </si>
  <si>
    <t>ヒバニー</t>
  </si>
  <si>
    <t>Hibanii</t>
  </si>
  <si>
    <t>Hopplo</t>
  </si>
  <si>
    <t>Raboot</t>
  </si>
  <si>
    <t>Lapyro</t>
  </si>
  <si>
    <t>ラビフット</t>
  </si>
  <si>
    <t>Rabifutto</t>
  </si>
  <si>
    <t>Kickerlo</t>
  </si>
  <si>
    <t>Cinderace</t>
  </si>
  <si>
    <t>Pyrobut</t>
  </si>
  <si>
    <t>エースバーン</t>
  </si>
  <si>
    <t>Eesubaan</t>
  </si>
  <si>
    <t>Liberlo</t>
  </si>
  <si>
    <t>Sobble</t>
  </si>
  <si>
    <t>Larméléon</t>
  </si>
  <si>
    <t>メッソン</t>
  </si>
  <si>
    <t>Messon</t>
  </si>
  <si>
    <t>Memmeon</t>
  </si>
  <si>
    <t>Drizzile</t>
  </si>
  <si>
    <t>Arrozard</t>
  </si>
  <si>
    <t>ジメレオン</t>
  </si>
  <si>
    <t>Jimereon</t>
  </si>
  <si>
    <t>Phlegleon</t>
  </si>
  <si>
    <t>Inteleon</t>
  </si>
  <si>
    <t>Lézargus</t>
  </si>
  <si>
    <t>インテレオン</t>
  </si>
  <si>
    <t>Intereon</t>
  </si>
  <si>
    <t>Intelleon</t>
  </si>
  <si>
    <t>Skwovet</t>
  </si>
  <si>
    <t>Rongourmand</t>
  </si>
  <si>
    <t>ホシガリス</t>
  </si>
  <si>
    <t>Hoshigarisu</t>
  </si>
  <si>
    <t>Raffel</t>
  </si>
  <si>
    <t>Greedent</t>
  </si>
  <si>
    <t>Rongrigou</t>
  </si>
  <si>
    <t>ヨクバリス</t>
  </si>
  <si>
    <t>Yokubarisu</t>
  </si>
  <si>
    <t>Schlaraffel</t>
  </si>
  <si>
    <t>Rookidee</t>
  </si>
  <si>
    <t>Minisange</t>
  </si>
  <si>
    <t>ココガラ</t>
  </si>
  <si>
    <t>Kokogara</t>
  </si>
  <si>
    <t>Meikro</t>
  </si>
  <si>
    <t>Corvisquire</t>
  </si>
  <si>
    <t>Bleuseille</t>
  </si>
  <si>
    <t>アオガラス</t>
  </si>
  <si>
    <t>Aogarasu</t>
  </si>
  <si>
    <t>Kranoviz</t>
  </si>
  <si>
    <t>Corviknight</t>
  </si>
  <si>
    <t>Corvaillus</t>
  </si>
  <si>
    <t>アーマーガア</t>
  </si>
  <si>
    <t>Aamaagaa</t>
  </si>
  <si>
    <t>Krarmor</t>
  </si>
  <si>
    <t>Blipbug</t>
  </si>
  <si>
    <t>Larvadar</t>
  </si>
  <si>
    <t>サッチムシ</t>
  </si>
  <si>
    <t>Sacchimushi</t>
  </si>
  <si>
    <t>Sensect</t>
  </si>
  <si>
    <t>Dottler</t>
  </si>
  <si>
    <t>Coléodôme</t>
  </si>
  <si>
    <t>レドームシ</t>
  </si>
  <si>
    <t>Redoomushi</t>
  </si>
  <si>
    <t>Keradar</t>
  </si>
  <si>
    <t>Orbeetle</t>
  </si>
  <si>
    <t>Astronelle</t>
  </si>
  <si>
    <t>イオルブ</t>
  </si>
  <si>
    <t>Iorubu</t>
  </si>
  <si>
    <t>Maritellit</t>
  </si>
  <si>
    <t>Nickit</t>
  </si>
  <si>
    <t>Goupilou</t>
  </si>
  <si>
    <t>クスネ</t>
  </si>
  <si>
    <t>Kusune</t>
  </si>
  <si>
    <t>Kleptifux</t>
  </si>
  <si>
    <t>Thievul</t>
  </si>
  <si>
    <t>Roublenard</t>
  </si>
  <si>
    <t>フォクスライ</t>
  </si>
  <si>
    <t>Fokusurai</t>
  </si>
  <si>
    <t>Gaunux</t>
  </si>
  <si>
    <t>Gossifleur</t>
  </si>
  <si>
    <t>Tournicoton</t>
  </si>
  <si>
    <t>ヒメンカ</t>
  </si>
  <si>
    <t>Himenka</t>
  </si>
  <si>
    <t>Cottini</t>
  </si>
  <si>
    <t>Eldegoss</t>
  </si>
  <si>
    <t>Blancoton</t>
  </si>
  <si>
    <t>ワタシラガ</t>
  </si>
  <si>
    <t>Watashiraga</t>
  </si>
  <si>
    <t>Cottomi</t>
  </si>
  <si>
    <t>Moumouton</t>
  </si>
  <si>
    <t>ウールー</t>
  </si>
  <si>
    <t>Uuruu</t>
  </si>
  <si>
    <t>Wolly</t>
  </si>
  <si>
    <t>Moumouflon</t>
  </si>
  <si>
    <t>バイウールー</t>
  </si>
  <si>
    <t>Baiuuruu</t>
  </si>
  <si>
    <t>Zwollock</t>
  </si>
  <si>
    <t>Khélocrok</t>
  </si>
  <si>
    <t>カムカメ</t>
  </si>
  <si>
    <t>Kamukame</t>
  </si>
  <si>
    <t>Kamehaps</t>
  </si>
  <si>
    <t>Torgamord</t>
  </si>
  <si>
    <t>カジリガメ</t>
  </si>
  <si>
    <t>Kajirigame</t>
  </si>
  <si>
    <t>Kamalm</t>
  </si>
  <si>
    <t>Yamper</t>
  </si>
  <si>
    <t>Voltoutou</t>
  </si>
  <si>
    <t>ワンパチ</t>
  </si>
  <si>
    <t>Wanpachi</t>
  </si>
  <si>
    <t>Voldi</t>
  </si>
  <si>
    <t>Boltund</t>
  </si>
  <si>
    <t>Fulgudog</t>
  </si>
  <si>
    <t>パルスワン</t>
  </si>
  <si>
    <t>Parusuwan</t>
  </si>
  <si>
    <t>Bellektro</t>
  </si>
  <si>
    <t>Rolycoly</t>
  </si>
  <si>
    <t>Charbi</t>
  </si>
  <si>
    <t>タンドン</t>
  </si>
  <si>
    <t>Tandon</t>
  </si>
  <si>
    <t>Klonkett</t>
  </si>
  <si>
    <t>Carkol</t>
  </si>
  <si>
    <t>Wagomine</t>
  </si>
  <si>
    <t>トロッゴン</t>
  </si>
  <si>
    <t>Toroggon</t>
  </si>
  <si>
    <t>Wagong</t>
  </si>
  <si>
    <t>Coalossal</t>
  </si>
  <si>
    <t>Monthracite</t>
  </si>
  <si>
    <t>セキタンザン</t>
  </si>
  <si>
    <t>Sekitanzan</t>
  </si>
  <si>
    <t>Montecarbo</t>
  </si>
  <si>
    <t>Applin</t>
  </si>
  <si>
    <t>Verpom</t>
  </si>
  <si>
    <t>カジッチュ</t>
  </si>
  <si>
    <t>Kajicchu</t>
  </si>
  <si>
    <t>Knapfel</t>
  </si>
  <si>
    <t>Flapple</t>
  </si>
  <si>
    <t>Pomdrapi</t>
  </si>
  <si>
    <t>アップリュー</t>
  </si>
  <si>
    <t>Appuryuu</t>
  </si>
  <si>
    <t>Drapfel</t>
  </si>
  <si>
    <t>Appletun</t>
  </si>
  <si>
    <t>Dratatin</t>
  </si>
  <si>
    <t>タルップル</t>
  </si>
  <si>
    <t>Taruppuru</t>
  </si>
  <si>
    <t>Schlapfel</t>
  </si>
  <si>
    <t>Silicobra</t>
  </si>
  <si>
    <t>Dunaja</t>
  </si>
  <si>
    <t>スナヘビ</t>
  </si>
  <si>
    <t>Sunahebi</t>
  </si>
  <si>
    <t>Salanga</t>
  </si>
  <si>
    <t>Sandaconda</t>
  </si>
  <si>
    <t>Dunaconda</t>
  </si>
  <si>
    <t>サダイジャ</t>
  </si>
  <si>
    <t>Sadaija</t>
  </si>
  <si>
    <t>Sanaconda</t>
  </si>
  <si>
    <t>Nigosier</t>
  </si>
  <si>
    <t>ウッウ</t>
  </si>
  <si>
    <t>U'u</t>
  </si>
  <si>
    <t>Urgl</t>
  </si>
  <si>
    <t>Arrokuda</t>
  </si>
  <si>
    <t>Embrochet</t>
  </si>
  <si>
    <t>サシカマス</t>
  </si>
  <si>
    <t>Sashikamasu</t>
  </si>
  <si>
    <t>Pikuda</t>
  </si>
  <si>
    <t>Barraskewda</t>
  </si>
  <si>
    <t>Hastacuda</t>
  </si>
  <si>
    <t>カマスジョー</t>
  </si>
  <si>
    <t>Kamasujoo</t>
  </si>
  <si>
    <t>Barrakiefa</t>
  </si>
  <si>
    <t>Toxel</t>
  </si>
  <si>
    <t>Toxizap</t>
  </si>
  <si>
    <t>エレズン</t>
  </si>
  <si>
    <t>Erezun</t>
  </si>
  <si>
    <t>Toxtricity</t>
  </si>
  <si>
    <t>Salarsen</t>
  </si>
  <si>
    <t>ストリンダー</t>
  </si>
  <si>
    <t>Sutorindaa</t>
  </si>
  <si>
    <t>Riffex</t>
  </si>
  <si>
    <t>Grillepattes</t>
  </si>
  <si>
    <t>ヤクデ</t>
  </si>
  <si>
    <t>Yakude</t>
  </si>
  <si>
    <t>Thermopod</t>
  </si>
  <si>
    <t>Scolocendre</t>
  </si>
  <si>
    <t>マルヤクデ</t>
  </si>
  <si>
    <t>Maruyakude</t>
  </si>
  <si>
    <t>Infernopod</t>
  </si>
  <si>
    <t>Poulpaf</t>
  </si>
  <si>
    <t>タタッコ</t>
  </si>
  <si>
    <t>Tatakko</t>
  </si>
  <si>
    <t>Klopptopus</t>
  </si>
  <si>
    <t>Krakos</t>
  </si>
  <si>
    <t>オトスパス</t>
  </si>
  <si>
    <t>Otosupasu</t>
  </si>
  <si>
    <t>Kaocto</t>
  </si>
  <si>
    <t>Sinistea</t>
  </si>
  <si>
    <t>Théffroi</t>
  </si>
  <si>
    <t>ヤバチャ</t>
  </si>
  <si>
    <t>Yabacha</t>
  </si>
  <si>
    <t>Fatalitee</t>
  </si>
  <si>
    <t>Polteageist</t>
  </si>
  <si>
    <t>Polthégeist</t>
  </si>
  <si>
    <t>ポットデス</t>
  </si>
  <si>
    <t>Pottodesu</t>
  </si>
  <si>
    <t>Mortipot</t>
  </si>
  <si>
    <t>Hatenna</t>
  </si>
  <si>
    <t>Bibichut</t>
  </si>
  <si>
    <t>ミブリム</t>
  </si>
  <si>
    <t>Miburimu</t>
  </si>
  <si>
    <t>Brimova</t>
  </si>
  <si>
    <t>Hattrem</t>
  </si>
  <si>
    <t>Chapotus</t>
  </si>
  <si>
    <t>テブリム</t>
  </si>
  <si>
    <t>Teburimu</t>
  </si>
  <si>
    <t>Brimano</t>
  </si>
  <si>
    <t>Hatterene</t>
  </si>
  <si>
    <t>Sorcilence</t>
  </si>
  <si>
    <t>ブリムオン</t>
  </si>
  <si>
    <t>Burimuon</t>
  </si>
  <si>
    <t>Silembrim</t>
  </si>
  <si>
    <t>Impidimp</t>
  </si>
  <si>
    <t>Grimalin</t>
  </si>
  <si>
    <t>ベロバー</t>
  </si>
  <si>
    <t>Berobaa</t>
  </si>
  <si>
    <t>Bähmon</t>
  </si>
  <si>
    <t>Morgrem</t>
  </si>
  <si>
    <t>Fourbelin</t>
  </si>
  <si>
    <t>ギモー</t>
  </si>
  <si>
    <t>Gimoo</t>
  </si>
  <si>
    <t>Pelzebub</t>
  </si>
  <si>
    <t>Grimmsnarl</t>
  </si>
  <si>
    <t>Angoliath</t>
  </si>
  <si>
    <t>オーロンゲ</t>
  </si>
  <si>
    <t>Ooronge</t>
  </si>
  <si>
    <t>Olangaar</t>
  </si>
  <si>
    <t>Obstagoon</t>
  </si>
  <si>
    <t>Ixon</t>
  </si>
  <si>
    <t>タチフサグマ</t>
  </si>
  <si>
    <t>Tachifusaguma</t>
  </si>
  <si>
    <t>Barrikadax</t>
  </si>
  <si>
    <t>Perrserker</t>
  </si>
  <si>
    <t>Berserkatt</t>
  </si>
  <si>
    <t>ニャイキング</t>
  </si>
  <si>
    <t>Nyaikingu</t>
  </si>
  <si>
    <t>Mauzinger</t>
  </si>
  <si>
    <t>Cursola</t>
  </si>
  <si>
    <t>Corayôme</t>
  </si>
  <si>
    <t>サニゴーン</t>
  </si>
  <si>
    <t>Sanigoon</t>
  </si>
  <si>
    <t>Gorgasonn</t>
  </si>
  <si>
    <t>Sirfetch'd</t>
  </si>
  <si>
    <t>Palarticho</t>
  </si>
  <si>
    <t>ネギガナイト</t>
  </si>
  <si>
    <t>Negiganaito</t>
  </si>
  <si>
    <t>Lauchzelot</t>
  </si>
  <si>
    <t>Sirfetch’d</t>
  </si>
  <si>
    <t>Mr. Rime</t>
  </si>
  <si>
    <t>M. Glaquette</t>
  </si>
  <si>
    <t>バリコオル</t>
  </si>
  <si>
    <t>Barikooru</t>
  </si>
  <si>
    <t>Pantifrost</t>
  </si>
  <si>
    <t>Runerigus</t>
  </si>
  <si>
    <t>Tutétékri</t>
  </si>
  <si>
    <t>デスバーン</t>
  </si>
  <si>
    <t>Desubaan</t>
  </si>
  <si>
    <t>Oghnatoll</t>
  </si>
  <si>
    <t>Milcery</t>
  </si>
  <si>
    <t>Crèmy</t>
  </si>
  <si>
    <t>マホミル</t>
  </si>
  <si>
    <t>Mahomiru</t>
  </si>
  <si>
    <t>Hokumil</t>
  </si>
  <si>
    <t>Alcremie</t>
  </si>
  <si>
    <t>Charmilly</t>
  </si>
  <si>
    <t>マホイップ</t>
  </si>
  <si>
    <t>Mahoippu</t>
  </si>
  <si>
    <t>Pokusan</t>
  </si>
  <si>
    <t>Falinks</t>
  </si>
  <si>
    <t>Hexadron</t>
  </si>
  <si>
    <t>タイレーツ</t>
  </si>
  <si>
    <t>Taireetsu</t>
  </si>
  <si>
    <t>Legios</t>
  </si>
  <si>
    <t>Wattapik</t>
  </si>
  <si>
    <t>バチンウニ</t>
  </si>
  <si>
    <t>Bachin'uni</t>
  </si>
  <si>
    <t>Britzigel</t>
  </si>
  <si>
    <t>Frissonille</t>
  </si>
  <si>
    <t>ユキハミ</t>
  </si>
  <si>
    <t>Yukihami</t>
  </si>
  <si>
    <t>Snomnom</t>
  </si>
  <si>
    <t>Beldeneige</t>
  </si>
  <si>
    <t>モスノウ</t>
  </si>
  <si>
    <t>Mosunou</t>
  </si>
  <si>
    <t>Mottineva</t>
  </si>
  <si>
    <t>Dolman</t>
  </si>
  <si>
    <t>イシヘンジン</t>
  </si>
  <si>
    <t>Ishihenjin</t>
  </si>
  <si>
    <t>Humanolith</t>
  </si>
  <si>
    <t>Eiscue</t>
  </si>
  <si>
    <t>Bekaglaçon</t>
  </si>
  <si>
    <t>コオリッポ</t>
  </si>
  <si>
    <t>Koorippo</t>
  </si>
  <si>
    <t>Kubuin</t>
  </si>
  <si>
    <t>Indeedee</t>
  </si>
  <si>
    <t>Wimessir</t>
  </si>
  <si>
    <t>イエッサン</t>
  </si>
  <si>
    <t>Iessan</t>
  </si>
  <si>
    <t>Servol</t>
  </si>
  <si>
    <t>Morpeko</t>
  </si>
  <si>
    <t>モルペコ</t>
  </si>
  <si>
    <t>Morupeko</t>
  </si>
  <si>
    <t>Cufant</t>
  </si>
  <si>
    <t>Charibari</t>
  </si>
  <si>
    <t>ゾウドウ</t>
  </si>
  <si>
    <t>Zoudou</t>
  </si>
  <si>
    <t>Kupfanti</t>
  </si>
  <si>
    <t>Copperajah</t>
  </si>
  <si>
    <t>Pachyradjah</t>
  </si>
  <si>
    <t>ダイオウドウ</t>
  </si>
  <si>
    <t>Daioudou</t>
  </si>
  <si>
    <t>Patinaraja</t>
  </si>
  <si>
    <t>Dracozolt</t>
  </si>
  <si>
    <t>Galvagon</t>
  </si>
  <si>
    <t>パッチラゴン</t>
  </si>
  <si>
    <t>Pacchiragon</t>
  </si>
  <si>
    <t>Lectragon</t>
  </si>
  <si>
    <t>Arctozolt</t>
  </si>
  <si>
    <t>Galvagla</t>
  </si>
  <si>
    <t>パッチルドン</t>
  </si>
  <si>
    <t>Pacchirudon</t>
  </si>
  <si>
    <t>Lecryodon</t>
  </si>
  <si>
    <t>Dracovish</t>
  </si>
  <si>
    <t>Hydragon</t>
  </si>
  <si>
    <t>ウオノラゴン</t>
  </si>
  <si>
    <t>Uonoragon</t>
  </si>
  <si>
    <t>Pescragon</t>
  </si>
  <si>
    <t>Arctovish</t>
  </si>
  <si>
    <t>Hydragla</t>
  </si>
  <si>
    <t>ウオチルドン</t>
  </si>
  <si>
    <t>Uochirudon</t>
  </si>
  <si>
    <t>Pescryodon</t>
  </si>
  <si>
    <t>Duraludon</t>
  </si>
  <si>
    <t>Duralugon</t>
  </si>
  <si>
    <t>ジュラルドン</t>
  </si>
  <si>
    <t>Jurarudon</t>
  </si>
  <si>
    <t>Dreepy</t>
  </si>
  <si>
    <t>Fantyrm</t>
  </si>
  <si>
    <t>ドラメシヤ</t>
  </si>
  <si>
    <t>Dorameshiya</t>
  </si>
  <si>
    <t>Grolldra</t>
  </si>
  <si>
    <t>Drakloak</t>
  </si>
  <si>
    <t>Dispareptil</t>
  </si>
  <si>
    <t>ドロンチ</t>
  </si>
  <si>
    <t>Doronchi</t>
  </si>
  <si>
    <t>Phandra</t>
  </si>
  <si>
    <t>Dragapult</t>
  </si>
  <si>
    <t>Lanssorien</t>
  </si>
  <si>
    <t>ドラパルト</t>
  </si>
  <si>
    <t>Doraparuto</t>
  </si>
  <si>
    <t>Katapuldra</t>
  </si>
  <si>
    <t>Zacian</t>
  </si>
  <si>
    <t>ザシアン</t>
  </si>
  <si>
    <t>Zashian</t>
  </si>
  <si>
    <t>Zamazenta</t>
  </si>
  <si>
    <t>ザマゼンタ</t>
  </si>
  <si>
    <t>Eternatus</t>
  </si>
  <si>
    <t>Éthernatos</t>
  </si>
  <si>
    <t>ムゲンダイナ</t>
  </si>
  <si>
    <t>Mugendaina</t>
  </si>
  <si>
    <t>Endynalos</t>
  </si>
  <si>
    <t>Kubfu</t>
  </si>
  <si>
    <t>Wushours</t>
  </si>
  <si>
    <t>ダクマ</t>
  </si>
  <si>
    <t>Dakuma</t>
  </si>
  <si>
    <t>Urshifu</t>
  </si>
  <si>
    <t>Shifours</t>
  </si>
  <si>
    <t>ウーラオス</t>
  </si>
  <si>
    <t>Uuraosu</t>
  </si>
  <si>
    <t>Wulaosu</t>
  </si>
  <si>
    <t>Zarude</t>
  </si>
  <si>
    <t>ザルード</t>
  </si>
  <si>
    <t>Zaruudo</t>
  </si>
  <si>
    <t>Regieleki</t>
  </si>
  <si>
    <t>レジエレキ</t>
  </si>
  <si>
    <t>Rejiereki</t>
  </si>
  <si>
    <t>Regidrago</t>
  </si>
  <si>
    <t>レジドラゴ</t>
  </si>
  <si>
    <t>Rejidorago</t>
  </si>
  <si>
    <t>Glastrier</t>
  </si>
  <si>
    <t>Blizzeval</t>
  </si>
  <si>
    <t>ブリザポス</t>
  </si>
  <si>
    <t>Burizaposu</t>
  </si>
  <si>
    <t>Polaross</t>
  </si>
  <si>
    <t>Spectrier</t>
  </si>
  <si>
    <t>Spectreval</t>
  </si>
  <si>
    <t>レイスポス</t>
  </si>
  <si>
    <t>Reisuposu</t>
  </si>
  <si>
    <t>Phantoross</t>
  </si>
  <si>
    <t>Calyrex</t>
  </si>
  <si>
    <t>Sylveroy</t>
  </si>
  <si>
    <t>バドレックス</t>
  </si>
  <si>
    <t>Badorekkusu</t>
  </si>
  <si>
    <t>Coronospa</t>
  </si>
  <si>
    <t>Wyrdeer</t>
  </si>
  <si>
    <t>Cerbyllin</t>
  </si>
  <si>
    <t>アヤシシ</t>
  </si>
  <si>
    <t>Ayashishi</t>
  </si>
  <si>
    <t>Damythir</t>
  </si>
  <si>
    <t>Kleavor</t>
  </si>
  <si>
    <t>Hachécateur</t>
  </si>
  <si>
    <t>バサギリ</t>
  </si>
  <si>
    <t>Basagiri</t>
  </si>
  <si>
    <t>Axantor</t>
  </si>
  <si>
    <t>Ursaluna</t>
  </si>
  <si>
    <t>Ursaking</t>
  </si>
  <si>
    <t>ガチグマ</t>
  </si>
  <si>
    <t>Gachiguma</t>
  </si>
  <si>
    <t>Basculegion</t>
  </si>
  <si>
    <t>Paragruel</t>
  </si>
  <si>
    <t>イダイトウ</t>
  </si>
  <si>
    <t>Idaitou</t>
  </si>
  <si>
    <t>Salmagnis</t>
  </si>
  <si>
    <t>Sneasler</t>
  </si>
  <si>
    <t>Farfurex</t>
  </si>
  <si>
    <t>オオニューラ</t>
  </si>
  <si>
    <t>Ohnyula</t>
  </si>
  <si>
    <t>Snieboss</t>
  </si>
  <si>
    <t>Overqwil</t>
  </si>
  <si>
    <t>Qwilpik</t>
  </si>
  <si>
    <t>ハリーマン</t>
  </si>
  <si>
    <t>Haryman</t>
  </si>
  <si>
    <t>Myriador</t>
  </si>
  <si>
    <t>Enamorus</t>
  </si>
  <si>
    <t>Amovénus</t>
  </si>
  <si>
    <t>ラブトロス</t>
  </si>
  <si>
    <t>Lovetolos</t>
  </si>
  <si>
    <t>Cupidos</t>
  </si>
  <si>
    <t>Poussacha</t>
  </si>
  <si>
    <t>ニャオハ</t>
  </si>
  <si>
    <t>Nyahoja</t>
  </si>
  <si>
    <t>Felori</t>
  </si>
  <si>
    <t>Matourgeon</t>
  </si>
  <si>
    <t>ニャローテ</t>
  </si>
  <si>
    <t>Nyarote</t>
  </si>
  <si>
    <t>Feliospa</t>
  </si>
  <si>
    <t>Miascarade</t>
  </si>
  <si>
    <t>マスカーニャ</t>
  </si>
  <si>
    <t>Masquernya</t>
  </si>
  <si>
    <t>Maskagato</t>
  </si>
  <si>
    <t>Fuecoco</t>
  </si>
  <si>
    <t>Chochodile</t>
  </si>
  <si>
    <t>ホゲータ</t>
  </si>
  <si>
    <t>Hogator</t>
  </si>
  <si>
    <t>Krokel</t>
  </si>
  <si>
    <t>Crocalor</t>
  </si>
  <si>
    <t>Crocogril</t>
  </si>
  <si>
    <t>アチゲータ</t>
  </si>
  <si>
    <t>Achigator</t>
  </si>
  <si>
    <t>Lokroko</t>
  </si>
  <si>
    <t>Skeledirge</t>
  </si>
  <si>
    <t>Flâmigator</t>
  </si>
  <si>
    <t>ラウドボーン</t>
  </si>
  <si>
    <t>Loudbone</t>
  </si>
  <si>
    <t>Skelokrok</t>
  </si>
  <si>
    <t>Quaxly</t>
  </si>
  <si>
    <t>Coiffeton</t>
  </si>
  <si>
    <t>クワッス</t>
  </si>
  <si>
    <t>Kuwassu</t>
  </si>
  <si>
    <t>Kwaks</t>
  </si>
  <si>
    <t>Quaxwell</t>
  </si>
  <si>
    <t>Canarbello</t>
  </si>
  <si>
    <t>ウェルカモ</t>
  </si>
  <si>
    <t>Welkamo</t>
  </si>
  <si>
    <t>Fuentente</t>
  </si>
  <si>
    <t>Quaquaval</t>
  </si>
  <si>
    <t>Palmaval</t>
  </si>
  <si>
    <t>ウェーニバル</t>
  </si>
  <si>
    <t>Wanival</t>
  </si>
  <si>
    <t>Bailonda</t>
  </si>
  <si>
    <t>Lechonk</t>
  </si>
  <si>
    <t>Gourmelet</t>
  </si>
  <si>
    <t>グルトン</t>
  </si>
  <si>
    <t>Gourton</t>
  </si>
  <si>
    <t>Ferkuli</t>
  </si>
  <si>
    <t>Oinkologne</t>
  </si>
  <si>
    <t>Fragroin</t>
  </si>
  <si>
    <t>パフュートン</t>
  </si>
  <si>
    <t>Perfuton</t>
  </si>
  <si>
    <t>Fragrunz</t>
  </si>
  <si>
    <t>Tarountula</t>
  </si>
  <si>
    <t>Tissenboule</t>
  </si>
  <si>
    <t>タマンチュラ</t>
  </si>
  <si>
    <t>Tamanchura</t>
  </si>
  <si>
    <t>Tarundel</t>
  </si>
  <si>
    <t>Spidops</t>
  </si>
  <si>
    <t>Filentrappe</t>
  </si>
  <si>
    <t>ワナイダー</t>
  </si>
  <si>
    <t>Wanaidā</t>
  </si>
  <si>
    <t>Spinsidias</t>
  </si>
  <si>
    <t>Nymble</t>
  </si>
  <si>
    <t>Lilliterelle</t>
  </si>
  <si>
    <t>マメバッタ</t>
  </si>
  <si>
    <t>Mamebatta</t>
  </si>
  <si>
    <t>Micrick</t>
  </si>
  <si>
    <t>Lokix</t>
  </si>
  <si>
    <t>Gambex</t>
  </si>
  <si>
    <t>エクスレッグ</t>
  </si>
  <si>
    <t>Exleg</t>
  </si>
  <si>
    <t>Lextremo</t>
  </si>
  <si>
    <t>Pohm</t>
  </si>
  <si>
    <t>パモ</t>
  </si>
  <si>
    <t>Pamo</t>
  </si>
  <si>
    <t>Pohmotte</t>
  </si>
  <si>
    <t>パモット</t>
  </si>
  <si>
    <t>Pamot</t>
  </si>
  <si>
    <t>Pamamo</t>
  </si>
  <si>
    <t>Pohmarmotte</t>
  </si>
  <si>
    <t>パーモット</t>
  </si>
  <si>
    <t>Parmot</t>
  </si>
  <si>
    <t>Pamomamo</t>
  </si>
  <si>
    <t>Tandemaus</t>
  </si>
  <si>
    <t>Compagnol</t>
  </si>
  <si>
    <t>ワッカネズミ</t>
  </si>
  <si>
    <t>Wakkanezumi</t>
  </si>
  <si>
    <t>Zwieps</t>
  </si>
  <si>
    <t>Maushold</t>
  </si>
  <si>
    <t>Famignol</t>
  </si>
  <si>
    <t>イッカネズミ</t>
  </si>
  <si>
    <t>Ikkanezumi</t>
  </si>
  <si>
    <t>Famieps</t>
  </si>
  <si>
    <t>Fidough</t>
  </si>
  <si>
    <t>Pâtachiot</t>
  </si>
  <si>
    <t>パピモッチ</t>
  </si>
  <si>
    <t>Pupimocchi</t>
  </si>
  <si>
    <t>Hefel</t>
  </si>
  <si>
    <t>Dachsbun</t>
  </si>
  <si>
    <t>Briochien</t>
  </si>
  <si>
    <t>バウッツェル</t>
  </si>
  <si>
    <t>Bowtzel</t>
  </si>
  <si>
    <t>Backel</t>
  </si>
  <si>
    <t>Smoliv</t>
  </si>
  <si>
    <t>Olivini</t>
  </si>
  <si>
    <t>ミニーブ</t>
  </si>
  <si>
    <t>Minību</t>
  </si>
  <si>
    <t>Olini</t>
  </si>
  <si>
    <t>Dolliv</t>
  </si>
  <si>
    <t>Olivado</t>
  </si>
  <si>
    <t>オリーニョ</t>
  </si>
  <si>
    <t>Orīnyo</t>
  </si>
  <si>
    <t>Olivinio</t>
  </si>
  <si>
    <t>Arboliva</t>
  </si>
  <si>
    <t>オリーヴァ</t>
  </si>
  <si>
    <t>Orīva</t>
  </si>
  <si>
    <t>Olithena</t>
  </si>
  <si>
    <t>Squawkabilly</t>
  </si>
  <si>
    <t>Tapatoès</t>
  </si>
  <si>
    <t>イキリンコ</t>
  </si>
  <si>
    <t>Ikirinko</t>
  </si>
  <si>
    <t>Krawalloro</t>
  </si>
  <si>
    <t>Nacli</t>
  </si>
  <si>
    <t>Selutin</t>
  </si>
  <si>
    <t>コジオ</t>
  </si>
  <si>
    <t>Kojio</t>
  </si>
  <si>
    <t>Geosali</t>
  </si>
  <si>
    <t>Naclstack</t>
  </si>
  <si>
    <t>Amassel</t>
  </si>
  <si>
    <t>ジオヅム</t>
  </si>
  <si>
    <t>Jiodzumu</t>
  </si>
  <si>
    <t>Sedisal</t>
  </si>
  <si>
    <t>Garganacl</t>
  </si>
  <si>
    <t>Gigansel</t>
  </si>
  <si>
    <t>キョジオーン</t>
  </si>
  <si>
    <t>Kyojiōn</t>
  </si>
  <si>
    <t>Saltigant</t>
  </si>
  <si>
    <t>Charcadet</t>
  </si>
  <si>
    <t>Charbambin</t>
  </si>
  <si>
    <t>カルボウ</t>
  </si>
  <si>
    <t>Carbou</t>
  </si>
  <si>
    <t>Knarbon</t>
  </si>
  <si>
    <t>Armarouge</t>
  </si>
  <si>
    <t>Carmadura</t>
  </si>
  <si>
    <t>グレンアルマ</t>
  </si>
  <si>
    <t>Gurenarma</t>
  </si>
  <si>
    <t>Crimanzo</t>
  </si>
  <si>
    <t>Ceruledge</t>
  </si>
  <si>
    <t>Malvalame</t>
  </si>
  <si>
    <t>ソウブレイズ</t>
  </si>
  <si>
    <t>Soublades</t>
  </si>
  <si>
    <t>Azugladis</t>
  </si>
  <si>
    <t>Tadbulb</t>
  </si>
  <si>
    <t>Têtampoule</t>
  </si>
  <si>
    <t>ズピカ</t>
  </si>
  <si>
    <t>Zupika</t>
  </si>
  <si>
    <t>Blipp</t>
  </si>
  <si>
    <t>Bellibolt</t>
  </si>
  <si>
    <t>Ampibidou</t>
  </si>
  <si>
    <t>ハラバリー</t>
  </si>
  <si>
    <t>Harabarī</t>
  </si>
  <si>
    <t>Wampitz</t>
  </si>
  <si>
    <t>Wattrel</t>
  </si>
  <si>
    <t>Zapétrel</t>
  </si>
  <si>
    <t>カイデン</t>
  </si>
  <si>
    <t>Kaiden</t>
  </si>
  <si>
    <t>Voltrel</t>
  </si>
  <si>
    <t>Kilowattrel</t>
  </si>
  <si>
    <t>Fulgulairo</t>
  </si>
  <si>
    <t>タイカイデン</t>
  </si>
  <si>
    <t>Taikaiden</t>
  </si>
  <si>
    <t>Voltrean</t>
  </si>
  <si>
    <t>Maschiff</t>
  </si>
  <si>
    <t>Grondogue</t>
  </si>
  <si>
    <t>オラチフ</t>
  </si>
  <si>
    <t>Orachifu</t>
  </si>
  <si>
    <t>Mobtiff</t>
  </si>
  <si>
    <t>Mabosstiff</t>
  </si>
  <si>
    <t>Dogrino</t>
  </si>
  <si>
    <t>マフィティフ</t>
  </si>
  <si>
    <t>Mafitifu</t>
  </si>
  <si>
    <t>Mastifioso</t>
  </si>
  <si>
    <t>Gribouraigne</t>
  </si>
  <si>
    <t>シルシュルー</t>
  </si>
  <si>
    <t>Shirushurū</t>
  </si>
  <si>
    <t>Sproxi</t>
  </si>
  <si>
    <t>Tag-Tag</t>
  </si>
  <si>
    <t>タギングル</t>
  </si>
  <si>
    <t>Taginguru</t>
  </si>
  <si>
    <t>Affiti</t>
  </si>
  <si>
    <t>Bramblin</t>
  </si>
  <si>
    <t>Virovent</t>
  </si>
  <si>
    <t>アノクサ</t>
  </si>
  <si>
    <t>Anokusa</t>
  </si>
  <si>
    <t>Weherba</t>
  </si>
  <si>
    <t>Brambleghast</t>
  </si>
  <si>
    <t>Virevorreur</t>
  </si>
  <si>
    <t>アノホラグサ</t>
  </si>
  <si>
    <t>Anohoragusa</t>
  </si>
  <si>
    <t>Horrerba</t>
  </si>
  <si>
    <t>Toedscool</t>
  </si>
  <si>
    <t>Terracool</t>
  </si>
  <si>
    <t>ノノクラゲ</t>
  </si>
  <si>
    <t>Nonokurage</t>
  </si>
  <si>
    <t>Tentagra</t>
  </si>
  <si>
    <t>Toedscruel</t>
  </si>
  <si>
    <t>Terracruel</t>
  </si>
  <si>
    <t>リククラゲ</t>
  </si>
  <si>
    <t>Rikukurage</t>
  </si>
  <si>
    <t>Tenterra</t>
  </si>
  <si>
    <t>Klawf</t>
  </si>
  <si>
    <t>Craparoi</t>
  </si>
  <si>
    <t>ガケガニ</t>
  </si>
  <si>
    <t>Gakegani</t>
  </si>
  <si>
    <t>Klibbe</t>
  </si>
  <si>
    <t>Capsakid</t>
  </si>
  <si>
    <t>Pimito</t>
  </si>
  <si>
    <t>カプサイジ</t>
  </si>
  <si>
    <t>Kapusaiji</t>
  </si>
  <si>
    <t>Chilingel</t>
  </si>
  <si>
    <t>Scovillain</t>
  </si>
  <si>
    <t>Scovilain</t>
  </si>
  <si>
    <t>スコヴィラン</t>
  </si>
  <si>
    <t>Sukoviran</t>
  </si>
  <si>
    <t>Halupenjo</t>
  </si>
  <si>
    <t>Rellor</t>
  </si>
  <si>
    <t>Léboulérou</t>
  </si>
  <si>
    <t>シガロコ</t>
  </si>
  <si>
    <t>Shigaroko</t>
  </si>
  <si>
    <t>Relluk</t>
  </si>
  <si>
    <t>Rabsca</t>
  </si>
  <si>
    <t>Bérasca</t>
  </si>
  <si>
    <t>ベラカス</t>
  </si>
  <si>
    <t>Berakasu</t>
  </si>
  <si>
    <t>Skarabaks</t>
  </si>
  <si>
    <t>Flittle</t>
  </si>
  <si>
    <t>Flotillon</t>
  </si>
  <si>
    <t>ヒラヒナ</t>
  </si>
  <si>
    <t>Hirahina</t>
  </si>
  <si>
    <t>Flattutu</t>
  </si>
  <si>
    <t>Espathra</t>
  </si>
  <si>
    <t>Cléopsytra</t>
  </si>
  <si>
    <t>クエスパトラ</t>
  </si>
  <si>
    <t>Kuesupatora</t>
  </si>
  <si>
    <t>Psiopatra</t>
  </si>
  <si>
    <t>Forgerette</t>
  </si>
  <si>
    <t>カヌチャン</t>
  </si>
  <si>
    <t>Kanuchan</t>
  </si>
  <si>
    <t>Forgita</t>
  </si>
  <si>
    <t>Forgella</t>
  </si>
  <si>
    <t>ナカヌチャン</t>
  </si>
  <si>
    <t>Nakanuchan</t>
  </si>
  <si>
    <t>Tafforgita</t>
  </si>
  <si>
    <t>Forgelina</t>
  </si>
  <si>
    <t>デカヌチャン</t>
  </si>
  <si>
    <t>Dekanuchan</t>
  </si>
  <si>
    <t>Granforgita</t>
  </si>
  <si>
    <t>Taupikeau</t>
  </si>
  <si>
    <t>ウミディグダ</t>
  </si>
  <si>
    <t>Umidigda</t>
  </si>
  <si>
    <t>Schligda</t>
  </si>
  <si>
    <t>Triopikeau</t>
  </si>
  <si>
    <t>ウミトリオ</t>
  </si>
  <si>
    <t>Umitrio</t>
  </si>
  <si>
    <t>Schligdri</t>
  </si>
  <si>
    <t>Bombirdier</t>
  </si>
  <si>
    <t>Lestombaile</t>
  </si>
  <si>
    <t>オトシドリ</t>
  </si>
  <si>
    <t>Otoshidori</t>
  </si>
  <si>
    <t>Adebom</t>
  </si>
  <si>
    <t>Finizen</t>
  </si>
  <si>
    <t>Dofin</t>
  </si>
  <si>
    <t>ナミイルカ</t>
  </si>
  <si>
    <t>Namiiruka</t>
  </si>
  <si>
    <t>Normifin</t>
  </si>
  <si>
    <t>Palafin</t>
  </si>
  <si>
    <t>Superdofin</t>
  </si>
  <si>
    <t>イルカマン</t>
  </si>
  <si>
    <t>Irukaman</t>
  </si>
  <si>
    <t>Delfinator</t>
  </si>
  <si>
    <t>Vrombi</t>
  </si>
  <si>
    <t>ブロロン</t>
  </si>
  <si>
    <t>Buroron</t>
  </si>
  <si>
    <t>Knattox</t>
  </si>
  <si>
    <t>Vrombotor</t>
  </si>
  <si>
    <t>ブロロローム</t>
  </si>
  <si>
    <t>Burororōmu</t>
  </si>
  <si>
    <t>Knattatox</t>
  </si>
  <si>
    <t>Motorizard</t>
  </si>
  <si>
    <t>モトトカゲ</t>
  </si>
  <si>
    <t>Mototokage</t>
  </si>
  <si>
    <t>Mopex</t>
  </si>
  <si>
    <t>Orthworm</t>
  </si>
  <si>
    <t>Ferdeter</t>
  </si>
  <si>
    <t>ミミズズ</t>
  </si>
  <si>
    <t>Mimizuzu</t>
  </si>
  <si>
    <t>Schlurm</t>
  </si>
  <si>
    <t>Glimmet</t>
  </si>
  <si>
    <t>Germéclat</t>
  </si>
  <si>
    <t>キラーメ</t>
  </si>
  <si>
    <t>Kirāme</t>
  </si>
  <si>
    <t>Lumispross</t>
  </si>
  <si>
    <t>Glimmora</t>
  </si>
  <si>
    <t>Floréclat</t>
  </si>
  <si>
    <t>キラフロル</t>
  </si>
  <si>
    <t>Kirafuroru</t>
  </si>
  <si>
    <t>Lumiflora</t>
  </si>
  <si>
    <t>Greavard</t>
  </si>
  <si>
    <t>Toutombe</t>
  </si>
  <si>
    <t>ボチ</t>
  </si>
  <si>
    <t>Bochi</t>
  </si>
  <si>
    <t>Gruff</t>
  </si>
  <si>
    <t>Houndstone</t>
  </si>
  <si>
    <t>Tomberro</t>
  </si>
  <si>
    <t>ハカドッグ</t>
  </si>
  <si>
    <t>Hakadoggu</t>
  </si>
  <si>
    <t>Friedwuff</t>
  </si>
  <si>
    <t>Flamenroule</t>
  </si>
  <si>
    <t>カラミンゴ</t>
  </si>
  <si>
    <t>Karamingo</t>
  </si>
  <si>
    <t>Flaminkno</t>
  </si>
  <si>
    <t>Cetoddle</t>
  </si>
  <si>
    <t>Piétacé</t>
  </si>
  <si>
    <t>アルクジラ</t>
  </si>
  <si>
    <t>Arukujira</t>
  </si>
  <si>
    <t>Flaniwal</t>
  </si>
  <si>
    <t>Cetitan</t>
  </si>
  <si>
    <t>Balbalèze</t>
  </si>
  <si>
    <t>ハルクジラ</t>
  </si>
  <si>
    <t>Harukujira</t>
  </si>
  <si>
    <t>Kolowal</t>
  </si>
  <si>
    <t>Veluza</t>
  </si>
  <si>
    <t>Délestin</t>
  </si>
  <si>
    <t>ミガルーサ</t>
  </si>
  <si>
    <t>Migarūsa</t>
  </si>
  <si>
    <t>Agiluza</t>
  </si>
  <si>
    <t>Oyacata</t>
  </si>
  <si>
    <t>ヘイラッシャ</t>
  </si>
  <si>
    <t>Heyrusher</t>
  </si>
  <si>
    <t>Heerashai</t>
  </si>
  <si>
    <t>Nigirigon</t>
  </si>
  <si>
    <t>シャリタツ</t>
  </si>
  <si>
    <t>Syaritatsu</t>
  </si>
  <si>
    <t>Nigiragi</t>
  </si>
  <si>
    <t>Annihilape</t>
  </si>
  <si>
    <t>Courrousinge</t>
  </si>
  <si>
    <t>コノヨザル</t>
  </si>
  <si>
    <t>Konoyozaru</t>
  </si>
  <si>
    <t>Epitaff</t>
  </si>
  <si>
    <t>Terraiste</t>
  </si>
  <si>
    <t>ドオー</t>
  </si>
  <si>
    <t>Dooh</t>
  </si>
  <si>
    <t>Suelord</t>
  </si>
  <si>
    <t>Farigiraf</t>
  </si>
  <si>
    <t>リキキリン</t>
  </si>
  <si>
    <t>Rikikirin</t>
  </si>
  <si>
    <t>Dudunsparce</t>
  </si>
  <si>
    <t>Deusolourdo</t>
  </si>
  <si>
    <t>ノココッチ</t>
  </si>
  <si>
    <t>Nokokocchi</t>
  </si>
  <si>
    <t>Dummimisel</t>
  </si>
  <si>
    <t>Kingambit</t>
  </si>
  <si>
    <t>Scalpereur</t>
  </si>
  <si>
    <t>ドドゲザン</t>
  </si>
  <si>
    <t>Dodogezan</t>
  </si>
  <si>
    <t>Gladimperio</t>
  </si>
  <si>
    <t>Great Tusk</t>
  </si>
  <si>
    <t>Fort-Ivoire</t>
  </si>
  <si>
    <t>イダイナキバ</t>
  </si>
  <si>
    <t>Idainakiba</t>
  </si>
  <si>
    <t>Riesenzahn</t>
  </si>
  <si>
    <t>Colmilargo</t>
  </si>
  <si>
    <t>Grandizanne</t>
  </si>
  <si>
    <t>Scream Tail</t>
  </si>
  <si>
    <t>Hurle-Queue</t>
  </si>
  <si>
    <t>サケブシッポ</t>
  </si>
  <si>
    <t>Sakebushippo</t>
  </si>
  <si>
    <t>Brüllschweif</t>
  </si>
  <si>
    <t>Colagrito</t>
  </si>
  <si>
    <t>Codaurlante</t>
  </si>
  <si>
    <t>Brute Bonnet</t>
  </si>
  <si>
    <t>Fongus-Furie</t>
  </si>
  <si>
    <t>アラブルタケ</t>
  </si>
  <si>
    <t>Araburutake</t>
  </si>
  <si>
    <t>Wutpilz</t>
  </si>
  <si>
    <t>Furioseta</t>
  </si>
  <si>
    <t>Fungofurioso</t>
  </si>
  <si>
    <t>Flutter Mane</t>
  </si>
  <si>
    <t>Flotte-Mèche</t>
  </si>
  <si>
    <t>ハバタクカミ</t>
  </si>
  <si>
    <t>Habatakukami</t>
  </si>
  <si>
    <t>Flatterhaar</t>
  </si>
  <si>
    <t>Melenaleteo</t>
  </si>
  <si>
    <t>Crinealato</t>
  </si>
  <si>
    <t>Slither Wing</t>
  </si>
  <si>
    <t>Rampe-Ailes</t>
  </si>
  <si>
    <t>チヲハウハネ</t>
  </si>
  <si>
    <t>Chiohauhane</t>
  </si>
  <si>
    <t>Kriechflügel</t>
  </si>
  <si>
    <t>Reptalada</t>
  </si>
  <si>
    <t>Alirasenti</t>
  </si>
  <si>
    <t>Sandy Shocks</t>
  </si>
  <si>
    <t>Pelage-Sablé</t>
  </si>
  <si>
    <t>スナノケガワ</t>
  </si>
  <si>
    <t>Sunanokegawa</t>
  </si>
  <si>
    <t>Sandfell</t>
  </si>
  <si>
    <t>Pelarena</t>
  </si>
  <si>
    <t>Peldisabbia</t>
  </si>
  <si>
    <t>Iron Treads</t>
  </si>
  <si>
    <t>Roue-de-Fer</t>
  </si>
  <si>
    <t>テツノワダチ</t>
  </si>
  <si>
    <t>Tetsunowadachi</t>
  </si>
  <si>
    <t>Eisenrad</t>
  </si>
  <si>
    <t>Ferrodada</t>
  </si>
  <si>
    <t>Solcoferreo</t>
  </si>
  <si>
    <t>Iron Bundle</t>
  </si>
  <si>
    <t>Hotte-de-Fer</t>
  </si>
  <si>
    <t>テツノツツミ</t>
  </si>
  <si>
    <t>Tetsunotsutsumi</t>
  </si>
  <si>
    <t>Eisenbündel</t>
  </si>
  <si>
    <t>Ferrosaco</t>
  </si>
  <si>
    <t>Saccoferreo</t>
  </si>
  <si>
    <t>Iron Hands</t>
  </si>
  <si>
    <t>Paume-de-Fer</t>
  </si>
  <si>
    <t>テツノカイナ</t>
  </si>
  <si>
    <t>Tetsunokaina</t>
  </si>
  <si>
    <t>Eisenhand</t>
  </si>
  <si>
    <t>Ferropalmas</t>
  </si>
  <si>
    <t>Manoferrea</t>
  </si>
  <si>
    <t>Iron Jugulis</t>
  </si>
  <si>
    <t>Têtes-de-Fer</t>
  </si>
  <si>
    <t>テツノコウベ</t>
  </si>
  <si>
    <t>Tetsunokoube</t>
  </si>
  <si>
    <t>Eisenhals</t>
  </si>
  <si>
    <t>Ferrocuello</t>
  </si>
  <si>
    <t>Colloferreo</t>
  </si>
  <si>
    <t>Iron Moth</t>
  </si>
  <si>
    <t>Mite-de-Fer</t>
  </si>
  <si>
    <t>テツノドクガ</t>
  </si>
  <si>
    <t>Tetsunodokuga</t>
  </si>
  <si>
    <t>Eisenfalter</t>
  </si>
  <si>
    <t>Ferropolilla</t>
  </si>
  <si>
    <t>Falenaferrea</t>
  </si>
  <si>
    <t>Iron Thorns</t>
  </si>
  <si>
    <t>Épine-de-Fer</t>
  </si>
  <si>
    <t>テツノイバラ</t>
  </si>
  <si>
    <t>Tetsunoibara</t>
  </si>
  <si>
    <t>Eisendorn</t>
  </si>
  <si>
    <t>Ferropúas</t>
  </si>
  <si>
    <t>Spineferree</t>
  </si>
  <si>
    <t>Frigibax</t>
  </si>
  <si>
    <t>Frigodo</t>
  </si>
  <si>
    <t>セビエ</t>
  </si>
  <si>
    <t>Sebie</t>
  </si>
  <si>
    <t>Frospino</t>
  </si>
  <si>
    <t>Arctibax</t>
  </si>
  <si>
    <t>Cryodo</t>
  </si>
  <si>
    <t>セゴール</t>
  </si>
  <si>
    <t>Segōru</t>
  </si>
  <si>
    <t>Cryospino</t>
  </si>
  <si>
    <t>Baxcalibur</t>
  </si>
  <si>
    <t>Glaivodo</t>
  </si>
  <si>
    <t>セグレイブ</t>
  </si>
  <si>
    <t>Seglaive</t>
  </si>
  <si>
    <t>Espinodon</t>
  </si>
  <si>
    <t>Mordudor</t>
  </si>
  <si>
    <t>コレクレー</t>
  </si>
  <si>
    <t>Collecurei</t>
  </si>
  <si>
    <t>Gierspenst</t>
  </si>
  <si>
    <t>Gromago</t>
  </si>
  <si>
    <t>サーフゴー</t>
  </si>
  <si>
    <t>Surfugo</t>
  </si>
  <si>
    <t>Monetigo</t>
  </si>
  <si>
    <t>Wo-Chien</t>
  </si>
  <si>
    <t>Chongjian</t>
  </si>
  <si>
    <t>チオンジェン</t>
  </si>
  <si>
    <t>Chionjen</t>
  </si>
  <si>
    <t>Chien-Pao</t>
  </si>
  <si>
    <t>Baojian</t>
  </si>
  <si>
    <t>パオジアン</t>
  </si>
  <si>
    <t>Paojian</t>
  </si>
  <si>
    <t>Ting-Lu</t>
  </si>
  <si>
    <t>Dinglu</t>
  </si>
  <si>
    <t>ディンルー</t>
  </si>
  <si>
    <t>Dinlu</t>
  </si>
  <si>
    <t>Chi-Yu</t>
  </si>
  <si>
    <t>Yuyu</t>
  </si>
  <si>
    <t>イーユイ</t>
  </si>
  <si>
    <t>Īyui</t>
  </si>
  <si>
    <t>Roaring Moon</t>
  </si>
  <si>
    <t>Rugit-Lune</t>
  </si>
  <si>
    <t>トドロクツキ</t>
  </si>
  <si>
    <t>Todorokutsuki</t>
  </si>
  <si>
    <t>Donnersichel</t>
  </si>
  <si>
    <t>Bramaluna</t>
  </si>
  <si>
    <t>Lunaruggente</t>
  </si>
  <si>
    <t>Iron Valiant</t>
  </si>
  <si>
    <t>Garde-de-Fer</t>
  </si>
  <si>
    <t>テツノブジン</t>
  </si>
  <si>
    <t>Tetsunobujin</t>
  </si>
  <si>
    <t>Eisenkrieger</t>
  </si>
  <si>
    <t>Ferropaladín</t>
  </si>
  <si>
    <t>Eroeferreo</t>
  </si>
  <si>
    <t>Koraidon</t>
  </si>
  <si>
    <t>コライドン</t>
  </si>
  <si>
    <t>Miraidon</t>
  </si>
  <si>
    <t>ミライドン</t>
  </si>
  <si>
    <t>Walking Wake</t>
  </si>
  <si>
    <t>Serpente-Eau</t>
  </si>
  <si>
    <t>ウネルミナモ</t>
  </si>
  <si>
    <t>Uneruminamo</t>
  </si>
  <si>
    <t>Windewoge</t>
  </si>
  <si>
    <t>Ondulagua</t>
  </si>
  <si>
    <t>Acquecrespe</t>
  </si>
  <si>
    <t>Iron Leaves</t>
  </si>
  <si>
    <t>Vert-de-Fer</t>
  </si>
  <si>
    <t>テツノイサハ</t>
  </si>
  <si>
    <t>Tetsunoisaha</t>
  </si>
  <si>
    <t>Eisenblatt</t>
  </si>
  <si>
    <t>Ferroverdor</t>
  </si>
  <si>
    <t>Fogliaferrea</t>
  </si>
  <si>
    <t>Dipplin</t>
  </si>
  <si>
    <t>Pomdramour</t>
  </si>
  <si>
    <t>カミッチュ</t>
  </si>
  <si>
    <t>Kamicchu</t>
  </si>
  <si>
    <t>Sirapfel</t>
  </si>
  <si>
    <t>Poltchageist</t>
  </si>
  <si>
    <t>チャデス</t>
  </si>
  <si>
    <t>Chadesu</t>
  </si>
  <si>
    <t>Mortcha</t>
  </si>
  <si>
    <t>Sinistcha</t>
  </si>
  <si>
    <t>Théffroyable</t>
  </si>
  <si>
    <t>ヤバソチャ</t>
  </si>
  <si>
    <t>Yabasocha</t>
  </si>
  <si>
    <t>Fatalitcha</t>
  </si>
  <si>
    <t>Okidogi</t>
  </si>
  <si>
    <t>Félicanis</t>
  </si>
  <si>
    <t>イイネイヌ</t>
  </si>
  <si>
    <t>Iineinu</t>
  </si>
  <si>
    <t>Boninu</t>
  </si>
  <si>
    <t>Munkidori</t>
  </si>
  <si>
    <t>Fortusimia</t>
  </si>
  <si>
    <t>マシマシラ</t>
  </si>
  <si>
    <t>Mashimashira</t>
  </si>
  <si>
    <t>Benesaru</t>
  </si>
  <si>
    <t>Fezandipiti</t>
  </si>
  <si>
    <t>Favianos</t>
  </si>
  <si>
    <t>キチキギス</t>
  </si>
  <si>
    <t>Kichikigisu</t>
  </si>
  <si>
    <t>Beatori</t>
  </si>
  <si>
    <t>Ogerpon</t>
  </si>
  <si>
    <t>オーガポン</t>
  </si>
  <si>
    <t>Archaludon</t>
  </si>
  <si>
    <t>Pondralugon</t>
  </si>
  <si>
    <t>ブリジュラス</t>
  </si>
  <si>
    <t>Briduras</t>
  </si>
  <si>
    <t>Briduradon</t>
  </si>
  <si>
    <t>Hydrapple</t>
  </si>
  <si>
    <t>Pomdorochi</t>
  </si>
  <si>
    <t>カミツオロチ</t>
  </si>
  <si>
    <t>Kamitsuorochi</t>
  </si>
  <si>
    <t>Hydrapfel</t>
  </si>
  <si>
    <t>Gouging Fire</t>
  </si>
  <si>
    <t>Feu-Perçant</t>
  </si>
  <si>
    <t>ウガツホムラ</t>
  </si>
  <si>
    <t>Ugatsuhomura</t>
  </si>
  <si>
    <t>Keilflamme</t>
  </si>
  <si>
    <t>Flamariete</t>
  </si>
  <si>
    <t>Vampeaguzze</t>
  </si>
  <si>
    <t>Raging Bolt</t>
  </si>
  <si>
    <t>Ire-Foudre</t>
  </si>
  <si>
    <t>タケルライコ</t>
  </si>
  <si>
    <t>Takeruraiko</t>
  </si>
  <si>
    <t>Furienblitz</t>
  </si>
  <si>
    <t>Electrofuria</t>
  </si>
  <si>
    <t>Furiatonante</t>
  </si>
  <si>
    <t>Iron Boulder</t>
  </si>
  <si>
    <t>Roc-de-Fer</t>
  </si>
  <si>
    <t>テツノイワオ</t>
  </si>
  <si>
    <t>Tetsunoiwao</t>
  </si>
  <si>
    <t>Eisenfels</t>
  </si>
  <si>
    <t>Ferromole</t>
  </si>
  <si>
    <t>Massoferreo</t>
  </si>
  <si>
    <t>Iron Crown</t>
  </si>
  <si>
    <t>Chef-de-Fer</t>
  </si>
  <si>
    <t>テツノカシラ</t>
  </si>
  <si>
    <t>Tetsunokashira</t>
  </si>
  <si>
    <t>Eisenhaupt</t>
  </si>
  <si>
    <t>Ferrotesta</t>
  </si>
  <si>
    <t>Capoferreo</t>
  </si>
  <si>
    <t>Terapagos</t>
  </si>
  <si>
    <t>テラパゴス</t>
  </si>
  <si>
    <t>Pecharunt</t>
  </si>
  <si>
    <t>Pêchaminus</t>
  </si>
  <si>
    <t>モモワロウ</t>
  </si>
  <si>
    <t>Momowarō</t>
  </si>
  <si>
    <t>Infamomo</t>
  </si>
  <si>
    <t>Fossile Nautile</t>
  </si>
  <si>
    <t>かいのカセキ</t>
  </si>
  <si>
    <t>Kai no kaseki</t>
  </si>
  <si>
    <t>Helixfossil</t>
  </si>
  <si>
    <t>Fósil hélix</t>
  </si>
  <si>
    <t>Helixfossile</t>
  </si>
  <si>
    <t>Fóssil Espiral</t>
  </si>
  <si>
    <t>Fossile Dôme</t>
  </si>
  <si>
    <t>こうらのカセキ</t>
  </si>
  <si>
    <t>Kō-ra no kaseki</t>
  </si>
  <si>
    <t>Domfossil</t>
  </si>
  <si>
    <t>Fósil domo</t>
  </si>
  <si>
    <t>Domofossile</t>
  </si>
  <si>
    <t>Fóssil Cúpula</t>
  </si>
  <si>
    <t>Fossile Crâne</t>
  </si>
  <si>
    <t>ずがいのカセキ</t>
  </si>
  <si>
    <t>Zu gai no kaseki</t>
  </si>
  <si>
    <t>Kopffossil</t>
  </si>
  <si>
    <t>Fósil cráneo</t>
  </si>
  <si>
    <t>Fossilcranio</t>
  </si>
  <si>
    <t>Fóssil Crânio</t>
  </si>
  <si>
    <t>Fossile Armure</t>
  </si>
  <si>
    <t>たてのカセキ</t>
  </si>
  <si>
    <t>Tate no kaseki</t>
  </si>
  <si>
    <t>Panzerfossil</t>
  </si>
  <si>
    <t>Fósil coraza</t>
  </si>
  <si>
    <t>Fossilscudo</t>
  </si>
  <si>
    <t>Fóssil Armadura</t>
  </si>
  <si>
    <t>Vieil Ambre</t>
  </si>
  <si>
    <t>ひみつのコハク</t>
  </si>
  <si>
    <t>Himitsunokohaku</t>
  </si>
  <si>
    <t>Altbernstein</t>
  </si>
  <si>
    <t>Ámbar viejo</t>
  </si>
  <si>
    <t>Ambra antica</t>
  </si>
  <si>
    <t>Âmbar Velho</t>
  </si>
  <si>
    <t>Dalle Fabuleuse</t>
  </si>
  <si>
    <t>幻の石板</t>
  </si>
  <si>
    <t>Maboroshi no sekiban</t>
  </si>
  <si>
    <t>Mythische Tafel</t>
  </si>
  <si>
    <t>Losa Singular</t>
  </si>
  <si>
    <t>Pietra Misteriosa</t>
  </si>
  <si>
    <t>Placa Mística</t>
  </si>
  <si>
    <t>エリカ</t>
  </si>
  <si>
    <t>Érica</t>
  </si>
  <si>
    <t>Ondine</t>
  </si>
  <si>
    <t>カスミ</t>
  </si>
  <si>
    <t>Kasumi</t>
  </si>
  <si>
    <t>Auguste</t>
  </si>
  <si>
    <t>カツラ</t>
  </si>
  <si>
    <t>Katsura</t>
  </si>
  <si>
    <t>Pyro</t>
  </si>
  <si>
    <t>キョウ</t>
  </si>
  <si>
    <t>Kyō</t>
  </si>
  <si>
    <t>サカキ</t>
  </si>
  <si>
    <t>Sakaki</t>
  </si>
  <si>
    <t>Pierre</t>
  </si>
  <si>
    <t>タケシ</t>
  </si>
  <si>
    <t>Takeshi</t>
  </si>
  <si>
    <t>Rocko</t>
  </si>
  <si>
    <t>Morgane</t>
  </si>
  <si>
    <t>ナツメ</t>
  </si>
  <si>
    <t>Natsume</t>
  </si>
  <si>
    <t>Major Bob</t>
  </si>
  <si>
    <t>マチス</t>
  </si>
  <si>
    <t>Machisu</t>
  </si>
  <si>
    <t>Teniente Surge</t>
  </si>
  <si>
    <t>Ten. Surge</t>
  </si>
  <si>
    <t>Jeune Explorateur</t>
  </si>
  <si>
    <t>かけだし調査員</t>
  </si>
  <si>
    <t>Kakedashi chōsa-in</t>
  </si>
  <si>
    <t>Abenteurer-Neuling</t>
  </si>
  <si>
    <t>Explorador Novel</t>
  </si>
  <si>
    <t>Esploratore in Erba</t>
  </si>
  <si>
    <t>Expedicionário Principiante</t>
  </si>
  <si>
    <t>グリーン</t>
  </si>
  <si>
    <t>Gurīn</t>
  </si>
  <si>
    <t>Blau</t>
  </si>
  <si>
    <t>Azul</t>
  </si>
  <si>
    <t>Blu</t>
  </si>
  <si>
    <t>リーフ</t>
  </si>
  <si>
    <t>Rīfu</t>
  </si>
  <si>
    <t>Hoja</t>
  </si>
  <si>
    <t>Hélio</t>
  </si>
  <si>
    <t>アカギ</t>
  </si>
  <si>
    <t>Akagi</t>
  </si>
  <si>
    <t>Zyrus</t>
  </si>
  <si>
    <t>Helio</t>
  </si>
  <si>
    <t>Sbire de la Team Galaxie</t>
  </si>
  <si>
    <t>ギンガだんのしたっぱ</t>
  </si>
  <si>
    <t>Ginga-dan no shitappa</t>
  </si>
  <si>
    <t>Rüpel von Team Galaktik</t>
  </si>
  <si>
    <t>Recluta Galaxia</t>
  </si>
  <si>
    <t>Recluta del Team Galassia</t>
  </si>
  <si>
    <t>Recruta da Equipe Galáctica</t>
  </si>
  <si>
    <t>シロナ</t>
  </si>
  <si>
    <t>Shirona</t>
  </si>
  <si>
    <t>Cintia</t>
  </si>
  <si>
    <t>Camilla</t>
  </si>
  <si>
    <t>Cíntia</t>
  </si>
  <si>
    <t>Tanguy</t>
  </si>
  <si>
    <t>デンジ</t>
  </si>
  <si>
    <t>Denji</t>
  </si>
  <si>
    <t>Lectro</t>
  </si>
  <si>
    <t>Corrado</t>
  </si>
  <si>
    <t>Aurore</t>
  </si>
  <si>
    <t>ヒカリ</t>
  </si>
  <si>
    <t>Hikari</t>
  </si>
  <si>
    <t>Lucia</t>
  </si>
  <si>
    <t>Maya</t>
  </si>
  <si>
    <t>Lucinda</t>
  </si>
  <si>
    <t>マーズ</t>
  </si>
  <si>
    <t>Venus</t>
  </si>
  <si>
    <t>Martes</t>
  </si>
  <si>
    <t>Marte</t>
  </si>
  <si>
    <t>Nacchara</t>
  </si>
  <si>
    <t>カイ</t>
  </si>
  <si>
    <t>Kai</t>
  </si>
  <si>
    <t>Perla</t>
  </si>
  <si>
    <t>Nákara</t>
  </si>
  <si>
    <t>Perula</t>
  </si>
  <si>
    <t>Doyenne de Célestia</t>
  </si>
  <si>
    <t>Älteste von Elyses</t>
  </si>
  <si>
    <t>Anciana de Pueblo Caelestis</t>
  </si>
  <si>
    <t>Anziana di Memoride</t>
  </si>
  <si>
    <t>Anciã da Cidade Celestic</t>
  </si>
  <si>
    <t>René</t>
  </si>
  <si>
    <t>ジュン</t>
  </si>
  <si>
    <t>Jul</t>
  </si>
  <si>
    <t>Israel</t>
  </si>
  <si>
    <t>Adamantin</t>
  </si>
  <si>
    <t>セキ</t>
  </si>
  <si>
    <t>Seki</t>
  </si>
  <si>
    <t>Diam</t>
  </si>
  <si>
    <t>Adamas</t>
  </si>
  <si>
    <t>Damon</t>
  </si>
  <si>
    <t>Ádamo</t>
  </si>
  <si>
    <t>Mashynn</t>
  </si>
  <si>
    <t>ナンジャモ</t>
  </si>
  <si>
    <t>Nanjyamo</t>
  </si>
  <si>
    <t>Enigmara</t>
  </si>
  <si>
    <t>e-Nigma</t>
  </si>
  <si>
    <t>Kissara</t>
  </si>
  <si>
    <t>Dame du Centre Pokémon</t>
  </si>
  <si>
    <t>うけつけのねーちゃん</t>
  </si>
  <si>
    <t>Reception Lady</t>
  </si>
  <si>
    <t>Center-Schwester</t>
  </si>
  <si>
    <t>Enfermera del Centro Pokémon</t>
  </si>
  <si>
    <t>Infermiera del Centro Pokémon</t>
  </si>
  <si>
    <t>レッド</t>
  </si>
  <si>
    <t>Rot</t>
  </si>
  <si>
    <t>Rojo</t>
  </si>
  <si>
    <t>Rosso</t>
  </si>
  <si>
    <t>Sbire de la Team Rocket</t>
  </si>
  <si>
    <t>ロケットだんのしたっぱ</t>
  </si>
  <si>
    <t>Team Rocket Underling</t>
  </si>
  <si>
    <t>Rüpel von Team Rocket</t>
  </si>
  <si>
    <t>Reclutas del Team Rocket</t>
  </si>
  <si>
    <t>Recluta Team Rocket</t>
  </si>
  <si>
    <t>キズぐすり</t>
  </si>
  <si>
    <t>Kizugusuri</t>
  </si>
  <si>
    <t>Trank</t>
  </si>
  <si>
    <t>Poción</t>
  </si>
  <si>
    <t>Pozione</t>
  </si>
  <si>
    <t>Poção</t>
  </si>
  <si>
    <t>Vitesse +</t>
  </si>
  <si>
    <t>スピーダー</t>
  </si>
  <si>
    <t>Supīdā</t>
  </si>
  <si>
    <t>X-Initiative</t>
  </si>
  <si>
    <t>Velocidad X</t>
  </si>
  <si>
    <t>Velocità X</t>
  </si>
  <si>
    <t>Velocidade X</t>
  </si>
  <si>
    <t>Scrute Main</t>
  </si>
  <si>
    <t>ハンドスコープ</t>
  </si>
  <si>
    <t>Handosukōpu</t>
  </si>
  <si>
    <t>Handperiskop</t>
  </si>
  <si>
    <t>Periscopio</t>
  </si>
  <si>
    <t>Mirino Manuale</t>
  </si>
  <si>
    <t>Luneta</t>
  </si>
  <si>
    <t>Pokédex</t>
  </si>
  <si>
    <t>ポケモンずかん</t>
  </si>
  <si>
    <t>Pokemonzu kan</t>
  </si>
  <si>
    <t>Poké Ball</t>
  </si>
  <si>
    <t>モンスターボール</t>
  </si>
  <si>
    <t>Monsutābōru</t>
  </si>
  <si>
    <t>Pokébälle</t>
  </si>
  <si>
    <t>Poké Bola</t>
  </si>
  <si>
    <t>Carton Rouge</t>
  </si>
  <si>
    <t>レッドカード</t>
  </si>
  <si>
    <t>Reddokādo</t>
  </si>
  <si>
    <t>Rote Karte</t>
  </si>
  <si>
    <t>Tarjeta Roja</t>
  </si>
  <si>
    <t>Cartelrosso</t>
  </si>
  <si>
    <t>Cartão Vermelho</t>
  </si>
  <si>
    <t>Recherches Professorales</t>
  </si>
  <si>
    <t>博士の研究</t>
  </si>
  <si>
    <t>Hakase no kenkyū</t>
  </si>
  <si>
    <t>Forschung des Professors</t>
  </si>
  <si>
    <t>Investigación de Profesores</t>
  </si>
  <si>
    <t>Ricerca Accademica</t>
  </si>
  <si>
    <t>Pesquisa de Professores</t>
  </si>
  <si>
    <t>Flûte Pokémon</t>
  </si>
  <si>
    <t>ポケモンの笛</t>
  </si>
  <si>
    <t>Pokemon no fue</t>
  </si>
  <si>
    <t>Pokémon-Flöte</t>
  </si>
  <si>
    <t>Pokéflauta</t>
  </si>
  <si>
    <t>Poké Flauto</t>
  </si>
  <si>
    <t>Flauta Pokémon</t>
  </si>
  <si>
    <t>Communication Pokémon</t>
  </si>
  <si>
    <t>ポケモン通信</t>
  </si>
  <si>
    <t>Pokemon tsūshin</t>
  </si>
  <si>
    <t>Pokémon-Kommunikation</t>
  </si>
  <si>
    <t>Comunicación Pokémon</t>
  </si>
  <si>
    <t>Comunicazione Pokémon</t>
  </si>
  <si>
    <t>Comunicação Pokémon</t>
  </si>
  <si>
    <t>Cape Géante</t>
  </si>
  <si>
    <t>大きなマント</t>
  </si>
  <si>
    <t>Ōkina manto</t>
  </si>
  <si>
    <t>Riesige Robe</t>
  </si>
  <si>
    <t>Capa Gigante</t>
  </si>
  <si>
    <t>Mantello Gigante</t>
  </si>
  <si>
    <t>Casque Brut</t>
  </si>
  <si>
    <t>ゴツゴツメット</t>
  </si>
  <si>
    <t>Gotsugotsumetto</t>
  </si>
  <si>
    <t>Beulenhelm</t>
  </si>
  <si>
    <t>Casco dentado</t>
  </si>
  <si>
    <t>Bitorzolelmo</t>
  </si>
  <si>
    <t>Capacete de Pedra</t>
  </si>
  <si>
    <t>Baie Prine</t>
  </si>
  <si>
    <t>ラムのみ</t>
  </si>
  <si>
    <t>Ramunomi</t>
  </si>
  <si>
    <t>Prunusbeere</t>
  </si>
  <si>
    <t>Baya Ziuela</t>
  </si>
  <si>
    <t>Baccaprugna</t>
  </si>
  <si>
    <t>Fruta Lum</t>
  </si>
  <si>
    <t>Card Set Substitutions</t>
  </si>
  <si>
    <t>All in proper Language</t>
  </si>
  <si>
    <t>Nidoranfemale</t>
  </si>
  <si>
    <t>Nidoranmale</t>
  </si>
  <si>
    <t>Regular</t>
  </si>
  <si>
    <t>Packs&amp;Owned</t>
  </si>
  <si>
    <t>Lucario ex</t>
  </si>
  <si>
    <t>Celebi ex</t>
  </si>
  <si>
    <t>Beedrill ex</t>
  </si>
  <si>
    <t>Venusaur ex</t>
  </si>
  <si>
    <t>Dialga ex</t>
  </si>
  <si>
    <t>Yanmega ex</t>
  </si>
  <si>
    <t>Rare</t>
  </si>
  <si>
    <t>Leafeon ex</t>
  </si>
  <si>
    <t>Charizard ex</t>
  </si>
  <si>
    <t>1-5</t>
  </si>
  <si>
    <t>Gyarados ex</t>
  </si>
  <si>
    <t>Wugtrio ex</t>
  </si>
  <si>
    <t>Weighted Average</t>
  </si>
  <si>
    <t>Glaceon ex</t>
  </si>
  <si>
    <t>Pikachu ex</t>
  </si>
  <si>
    <t>Exeggutor ex</t>
  </si>
  <si>
    <t>Infernape ex</t>
  </si>
  <si>
    <t>With Shiny</t>
  </si>
  <si>
    <t>Mew ex</t>
  </si>
  <si>
    <t>Giratina ex</t>
  </si>
  <si>
    <t>Arcanine ex</t>
  </si>
  <si>
    <t>RareWithShiny</t>
  </si>
  <si>
    <t>Aerodactyl ex</t>
  </si>
  <si>
    <t>Moltres ex</t>
  </si>
  <si>
    <t>Garchomp ex</t>
  </si>
  <si>
    <t>Paldean Wooper</t>
  </si>
  <si>
    <t>Paldean Clodsire ex</t>
  </si>
  <si>
    <t>Tinkaton ex</t>
  </si>
  <si>
    <t>Blastoise ex</t>
  </si>
  <si>
    <t>Probopass ex</t>
  </si>
  <si>
    <t>Weighted Average with Shiny</t>
  </si>
  <si>
    <t>Pidgeot ex</t>
  </si>
  <si>
    <t>Pachirisu ex</t>
  </si>
  <si>
    <t>Bibarel ex</t>
  </si>
  <si>
    <t>Mismagius ex</t>
  </si>
  <si>
    <t>Arceus ex</t>
  </si>
  <si>
    <t>Starmie ex</t>
  </si>
  <si>
    <t>Articuno ex</t>
  </si>
  <si>
    <t>Gallade ex</t>
  </si>
  <si>
    <t>Weavile ex</t>
  </si>
  <si>
    <t>Zapdos ex</t>
  </si>
  <si>
    <t>Darkrai ex</t>
  </si>
  <si>
    <t>Gengar ex</t>
  </si>
  <si>
    <t>Lickilicky ex</t>
  </si>
  <si>
    <t>Mewtwo ex</t>
  </si>
  <si>
    <t>Machamp ex</t>
  </si>
  <si>
    <t>Marowak ex</t>
  </si>
  <si>
    <t>Wigglytuff ex</t>
  </si>
  <si>
    <t>Cleaned</t>
  </si>
  <si>
    <t>RegexMatch</t>
  </si>
  <si>
    <t>NBofUnique</t>
  </si>
  <si>
    <t>ObtainedCardsInMatchedList</t>
  </si>
  <si>
    <t>MatchedListCount</t>
  </si>
  <si>
    <t>ListOfUniqueObtained</t>
  </si>
  <si>
    <t>UniqueCount</t>
  </si>
  <si>
    <t>REGEX</t>
  </si>
  <si>
    <t>REMADE REGEX</t>
  </si>
  <si>
    <t>COMPACT REGEX</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</si>
</sst>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0%"/>
    <numFmt numFmtId="165" formatCode="m/d/yyyy"/>
    <numFmt numFmtId="166" formatCode="m-d"/>
    <numFmt numFmtId="167" formatCode="0.0%"/>
  </numFmts>
  <fonts count="39">
    <font>
      <sz val="10.0"/>
      <color rgb="FF000000"/>
      <name val="Arial"/>
      <scheme val="minor"/>
    </font>
    <font>
      <color theme="1"/>
      <name val="Arial"/>
      <scheme val="minor"/>
    </font>
    <font>
      <color theme="1"/>
      <name val="Arial"/>
    </font>
    <font>
      <b/>
      <sz val="46.0"/>
      <color theme="1"/>
      <name val="Arial"/>
    </font>
    <font/>
    <font>
      <b/>
      <color theme="1"/>
      <name val="Arial"/>
      <scheme val="minor"/>
    </font>
    <font>
      <b/>
      <sz val="11.0"/>
      <color theme="1"/>
      <name val="Arial"/>
    </font>
    <font>
      <b/>
      <sz val="11.0"/>
      <color rgb="FF000000"/>
      <name val="Arial"/>
    </font>
    <font>
      <b/>
      <sz val="11.0"/>
      <color rgb="FF000000"/>
      <name val="Arial"/>
      <scheme val="minor"/>
    </font>
    <font>
      <color rgb="FF000000"/>
      <name val="Arial"/>
      <scheme val="minor"/>
    </font>
    <font>
      <b/>
      <sz val="22.0"/>
      <color theme="1"/>
      <name val="Arial"/>
      <scheme val="minor"/>
    </font>
    <font>
      <b/>
      <sz val="22.0"/>
      <color rgb="FF000000"/>
      <name val="Arial"/>
      <scheme val="minor"/>
    </font>
    <font>
      <color rgb="FF000000"/>
      <name val="Arial"/>
    </font>
    <font>
      <color rgb="FF434343"/>
      <name val="Arial"/>
      <scheme val="minor"/>
    </font>
    <font>
      <color rgb="FF434343"/>
      <name val="Arial"/>
    </font>
    <font>
      <b/>
      <sz val="12.0"/>
      <color theme="1"/>
      <name val="Arial"/>
    </font>
    <font>
      <b/>
      <color theme="1"/>
      <name val="Arial"/>
    </font>
    <font>
      <b/>
      <sz val="12.0"/>
      <color theme="1"/>
      <name val="Arial"/>
      <scheme val="minor"/>
    </font>
    <font>
      <b/>
      <sz val="10.0"/>
      <color theme="1"/>
      <name val="Arial"/>
      <scheme val="minor"/>
    </font>
    <font>
      <sz val="10.0"/>
      <color theme="1"/>
      <name val="Arial"/>
      <scheme val="minor"/>
    </font>
    <font>
      <sz val="6.0"/>
      <color theme="1"/>
      <name val="Arial"/>
    </font>
    <font>
      <sz val="20.0"/>
      <color theme="1"/>
      <name val="Arial"/>
    </font>
    <font>
      <sz val="5.0"/>
      <color theme="1"/>
      <name val="Arial"/>
    </font>
    <font>
      <sz val="15.0"/>
      <color theme="1"/>
      <name val="Arial"/>
    </font>
    <font>
      <sz val="20.0"/>
      <color rgb="FF1155CC"/>
      <name val="Arial"/>
    </font>
    <font>
      <b/>
      <sz val="12.0"/>
      <color rgb="FF1155CC"/>
      <name val="Arial"/>
    </font>
    <font>
      <sz val="5.0"/>
      <color theme="1"/>
      <name val="Arial"/>
      <scheme val="minor"/>
    </font>
    <font>
      <sz val="9.0"/>
      <color theme="1"/>
      <name val="Arial"/>
    </font>
    <font>
      <sz val="8.0"/>
      <color theme="1"/>
      <name val="Arial"/>
    </font>
    <font>
      <u/>
      <sz val="10.0"/>
      <color rgb="FF0000FF"/>
    </font>
    <font>
      <b/>
      <sz val="11.0"/>
      <color theme="1"/>
      <name val="Arial"/>
      <scheme val="minor"/>
    </font>
    <font>
      <b/>
      <sz val="14.0"/>
      <color theme="1"/>
      <name val="Arial"/>
    </font>
    <font>
      <color rgb="FFFFFFFF"/>
      <name val="Arial"/>
    </font>
    <font>
      <b/>
      <color rgb="FFFF0000"/>
      <name val="Arial"/>
    </font>
    <font>
      <color rgb="FF000000"/>
      <name val="&quot;Linux Libertine&quot;"/>
    </font>
    <font>
      <color rgb="FF666666"/>
      <name val="Arial"/>
      <scheme val="minor"/>
    </font>
    <font>
      <color rgb="FF999999"/>
      <name val="Arial"/>
    </font>
    <font>
      <b/>
      <color rgb="FFFFA723"/>
      <name val="Arial"/>
    </font>
    <font>
      <b/>
      <color rgb="FFB7B7B7"/>
      <name val="Arial"/>
    </font>
  </fonts>
  <fills count="22">
    <fill>
      <patternFill patternType="none"/>
    </fill>
    <fill>
      <patternFill patternType="lightGray"/>
    </fill>
    <fill>
      <patternFill patternType="solid">
        <fgColor rgb="FF434343"/>
        <bgColor rgb="FF434343"/>
      </patternFill>
    </fill>
    <fill>
      <patternFill patternType="solid">
        <fgColor rgb="FFE69138"/>
        <bgColor rgb="FFE69138"/>
      </patternFill>
    </fill>
    <fill>
      <patternFill patternType="solid">
        <fgColor rgb="FFFFFFFF"/>
        <bgColor rgb="FFFFFFFF"/>
      </patternFill>
    </fill>
    <fill>
      <patternFill patternType="solid">
        <fgColor rgb="FFCCA677"/>
        <bgColor rgb="FFCCA677"/>
      </patternFill>
    </fill>
    <fill>
      <patternFill patternType="solid">
        <fgColor rgb="FFBF9000"/>
        <bgColor rgb="FFBF9000"/>
      </patternFill>
    </fill>
    <fill>
      <patternFill patternType="solid">
        <fgColor rgb="FFF4CCCC"/>
        <bgColor rgb="FFF4CCCC"/>
      </patternFill>
    </fill>
    <fill>
      <patternFill patternType="solid">
        <fgColor rgb="FFD9D2E9"/>
        <bgColor rgb="FFD9D2E9"/>
      </patternFill>
    </fill>
    <fill>
      <patternFill patternType="solid">
        <fgColor rgb="FFFFC1EA"/>
        <bgColor rgb="FFFFC1EA"/>
      </patternFill>
    </fill>
    <fill>
      <patternFill patternType="solid">
        <fgColor rgb="FFEA9999"/>
        <bgColor rgb="FFEA9999"/>
      </patternFill>
    </fill>
    <fill>
      <patternFill patternType="solid">
        <fgColor rgb="FFFFF2CC"/>
        <bgColor rgb="FFFFF2CC"/>
      </patternFill>
    </fill>
    <fill>
      <patternFill patternType="solid">
        <fgColor rgb="FFFCE5CD"/>
        <bgColor rgb="FFFCE5CD"/>
      </patternFill>
    </fill>
    <fill>
      <patternFill patternType="solid">
        <fgColor rgb="FFF3F3F3"/>
        <bgColor rgb="FFF3F3F3"/>
      </patternFill>
    </fill>
    <fill>
      <patternFill patternType="solid">
        <fgColor rgb="FFEFEFEF"/>
        <bgColor rgb="FFEFEFEF"/>
      </patternFill>
    </fill>
    <fill>
      <patternFill patternType="solid">
        <fgColor rgb="FFC9DAF8"/>
        <bgColor rgb="FFC9DAF8"/>
      </patternFill>
    </fill>
    <fill>
      <patternFill patternType="solid">
        <fgColor rgb="FFB7E1CD"/>
        <bgColor rgb="FFB7E1CD"/>
      </patternFill>
    </fill>
    <fill>
      <patternFill patternType="solid">
        <fgColor rgb="FFFFFF00"/>
        <bgColor rgb="FFFFFF00"/>
      </patternFill>
    </fill>
    <fill>
      <patternFill patternType="solid">
        <fgColor rgb="FFFFF3CC"/>
        <bgColor rgb="FFFFF3CC"/>
      </patternFill>
    </fill>
    <fill>
      <patternFill patternType="solid">
        <fgColor rgb="FFA4C2F4"/>
        <bgColor rgb="FFA4C2F4"/>
      </patternFill>
    </fill>
    <fill>
      <patternFill patternType="solid">
        <fgColor rgb="FFF8F2EB"/>
        <bgColor rgb="FFF8F2EB"/>
      </patternFill>
    </fill>
    <fill>
      <patternFill patternType="solid">
        <fgColor rgb="FFF6B26B"/>
        <bgColor rgb="FFF6B26B"/>
      </patternFill>
    </fill>
  </fills>
  <borders count="92">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right style="medium">
        <color rgb="FF000000"/>
      </right>
      <top style="medium">
        <color rgb="FF000000"/>
      </top>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thin">
        <color rgb="FF000000"/>
      </top>
      <bottom style="medium">
        <color rgb="FF000000"/>
      </bottom>
    </border>
    <border>
      <left style="medium">
        <color rgb="FF000000"/>
      </left>
      <right style="medium">
        <color rgb="FF000000"/>
      </right>
      <bottom style="thin">
        <color rgb="FF000000"/>
      </bottom>
    </border>
    <border>
      <left style="medium">
        <color rgb="FF000000"/>
      </left>
      <right style="medium">
        <color rgb="FF000000"/>
      </right>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right style="medium">
        <color rgb="FF000000"/>
      </right>
      <top style="thin">
        <color rgb="FF000000"/>
      </top>
      <bottom style="thin">
        <color rgb="FF000000"/>
      </bottom>
    </border>
    <border>
      <right style="medium">
        <color rgb="FF000000"/>
      </right>
      <top style="thin">
        <color rgb="FF000000"/>
      </top>
      <bottom style="medium">
        <color rgb="FF000000"/>
      </bottom>
    </border>
    <border>
      <left style="medium">
        <color rgb="FF000000"/>
      </left>
      <right style="medium">
        <color rgb="FF000000"/>
      </right>
      <top style="thin">
        <color rgb="FF000000"/>
      </top>
      <bottom style="medium">
        <color rgb="FF000000"/>
      </bottom>
    </border>
    <border>
      <bottom style="thick">
        <color rgb="FF000000"/>
      </bottom>
    </border>
    <border>
      <right style="thick">
        <color rgb="FF000000"/>
      </right>
      <bottom style="thick">
        <color rgb="FF000000"/>
      </bottom>
    </border>
    <border>
      <right style="thick">
        <color rgb="FF000000"/>
      </right>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right style="thick">
        <color rgb="FF000000"/>
      </right>
      <top style="thick">
        <color rgb="FF000000"/>
      </top>
    </border>
    <border>
      <left style="thick">
        <color rgb="FF000000"/>
      </left>
    </border>
    <border>
      <left style="thick">
        <color rgb="FF000000"/>
      </left>
      <right style="thick">
        <color rgb="FF000000"/>
      </right>
    </border>
    <border>
      <left style="thick">
        <color rgb="FF000000"/>
      </left>
      <bottom style="thick">
        <color rgb="FF000000"/>
      </bottom>
    </border>
    <border>
      <left style="thick">
        <color rgb="FF000000"/>
      </left>
      <right style="thick">
        <color rgb="FF000000"/>
      </right>
      <bottom style="thin">
        <color rgb="FF000000"/>
      </bottom>
    </border>
    <border>
      <left style="thick">
        <color rgb="FF000000"/>
      </left>
      <right style="thick">
        <color rgb="FF000000"/>
      </right>
      <top style="thin">
        <color rgb="FF000000"/>
      </top>
    </border>
    <border>
      <left style="thick">
        <color rgb="FF000000"/>
      </left>
      <bottom style="thick">
        <color rgb="FF1155CC"/>
      </bottom>
    </border>
    <border>
      <bottom style="thick">
        <color rgb="FF1155CC"/>
      </bottom>
    </border>
    <border>
      <right style="thick">
        <color rgb="FF000000"/>
      </right>
      <bottom style="thick">
        <color rgb="FF1155CC"/>
      </bottom>
    </border>
    <border>
      <left style="thick">
        <color rgb="FF1155CC"/>
      </left>
      <top style="thick">
        <color rgb="FF1155CC"/>
      </top>
    </border>
    <border>
      <top style="thick">
        <color rgb="FF1155CC"/>
      </top>
    </border>
    <border>
      <right style="thick">
        <color rgb="FF1155CC"/>
      </right>
      <top style="thick">
        <color rgb="FF1155CC"/>
      </top>
    </border>
    <border>
      <left style="thick">
        <color rgb="FF1155CC"/>
      </left>
      <right style="thick">
        <color rgb="FF000000"/>
      </right>
      <top style="thin">
        <color rgb="FF000000"/>
      </top>
    </border>
    <border>
      <left style="thick">
        <color rgb="FF1155CC"/>
      </left>
    </border>
    <border>
      <right style="thick">
        <color rgb="FF1155CC"/>
      </right>
    </border>
    <border>
      <left style="thick">
        <color rgb="FF1155CC"/>
      </left>
      <right style="thick">
        <color rgb="FF000000"/>
      </right>
    </border>
    <border>
      <left style="thick">
        <color rgb="FF1155CC"/>
      </left>
      <right style="thick">
        <color rgb="FF000000"/>
      </right>
      <bottom style="thin">
        <color rgb="FF000000"/>
      </bottom>
    </border>
    <border>
      <left style="thick">
        <color rgb="FF1155CC"/>
      </left>
      <top style="thin">
        <color rgb="FF000000"/>
      </top>
    </border>
    <border>
      <top style="thin">
        <color rgb="FF000000"/>
      </top>
    </border>
    <border>
      <right style="thick">
        <color rgb="FF1155CC"/>
      </right>
      <top style="thin">
        <color rgb="FF000000"/>
      </top>
    </border>
    <border>
      <left style="thick">
        <color rgb="FF1155CC"/>
      </left>
      <bottom style="thin">
        <color rgb="FF000000"/>
      </bottom>
    </border>
    <border>
      <bottom style="thin">
        <color rgb="FF000000"/>
      </bottom>
    </border>
    <border>
      <right style="thick">
        <color rgb="FF1155CC"/>
      </right>
      <bottom style="thin">
        <color rgb="FF000000"/>
      </bottom>
    </border>
    <border>
      <left style="thick">
        <color rgb="FF1155CC"/>
      </left>
      <bottom style="thick">
        <color rgb="FF1155CC"/>
      </bottom>
    </border>
    <border>
      <right style="thick">
        <color rgb="FF1155CC"/>
      </right>
      <bottom style="thick">
        <color rgb="FF1155CC"/>
      </bottom>
    </border>
    <border>
      <left style="thick">
        <color rgb="FFFFC1EA"/>
      </left>
    </border>
    <border>
      <right style="thick">
        <color rgb="FFFFC1EA"/>
      </right>
    </border>
    <border>
      <left style="thick">
        <color rgb="FFFFC1EA"/>
      </left>
      <right style="thick">
        <color rgb="FF000000"/>
      </right>
      <top style="thin">
        <color rgb="FF000000"/>
      </top>
    </border>
    <border>
      <left style="thick">
        <color rgb="FFFFC1EA"/>
      </left>
      <right style="thick">
        <color rgb="FF000000"/>
      </right>
    </border>
    <border>
      <left style="thick">
        <color rgb="FFFFC1EA"/>
      </left>
      <bottom style="thin">
        <color rgb="FF000000"/>
      </bottom>
    </border>
    <border>
      <right style="thick">
        <color rgb="FFFFC1EA"/>
      </right>
      <bottom style="thin">
        <color rgb="FF000000"/>
      </bottom>
    </border>
    <border>
      <left style="thick">
        <color rgb="FFFFC1EA"/>
      </left>
      <right style="thick">
        <color rgb="FF000000"/>
      </right>
      <bottom style="thin">
        <color rgb="FF000000"/>
      </bottom>
    </border>
    <border>
      <left style="thick">
        <color rgb="FFFFC1EA"/>
      </left>
      <bottom style="thick">
        <color rgb="FFFFC1EA"/>
      </bottom>
    </border>
    <border>
      <bottom style="thick">
        <color rgb="FFFFC1EA"/>
      </bottom>
    </border>
    <border>
      <right style="thick">
        <color rgb="FFFFC1EA"/>
      </right>
      <bottom style="thick">
        <color rgb="FFFFC1EA"/>
      </bottom>
    </border>
    <border>
      <left style="thick">
        <color rgb="FF000000"/>
      </left>
      <right style="thick">
        <color rgb="FF000000"/>
      </right>
      <bottom style="thick">
        <color rgb="FF000000"/>
      </bottom>
    </border>
    <border>
      <left style="thick">
        <color rgb="FF000000"/>
      </left>
      <top style="thin">
        <color rgb="FF000000"/>
      </top>
    </border>
    <border>
      <right style="thick">
        <color rgb="FF000000"/>
      </right>
      <top style="thin">
        <color rgb="FF000000"/>
      </top>
    </border>
    <border>
      <left style="medium">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bottom style="thin">
        <color rgb="FF000000"/>
      </bottom>
    </border>
    <border>
      <right style="medium">
        <color rgb="FF000000"/>
      </right>
      <bottom style="thin">
        <color rgb="FF000000"/>
      </bottom>
    </border>
    <border>
      <left style="medium">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top style="thin">
        <color rgb="FF000000"/>
      </top>
    </border>
    <border>
      <right style="medium">
        <color rgb="FF000000"/>
      </right>
      <top style="thin">
        <color rgb="FF000000"/>
      </top>
    </border>
    <border>
      <left style="thin">
        <color rgb="FF000000"/>
      </left>
    </border>
    <border>
      <left style="medium">
        <color rgb="FF000000"/>
      </left>
      <right style="thin">
        <color rgb="FF000000"/>
      </right>
      <top style="thin">
        <color rgb="FF000000"/>
      </top>
    </border>
    <border>
      <left style="medium">
        <color rgb="FF000000"/>
      </left>
      <right style="thin">
        <color rgb="FF000000"/>
      </right>
      <bottom style="medium">
        <color rgb="FF000000"/>
      </bottom>
    </border>
    <border>
      <left style="thin">
        <color rgb="FF000000"/>
      </left>
      <bottom style="medium">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thin">
        <color rgb="FF000000"/>
      </right>
      <bottom style="medium">
        <color rgb="FF000000"/>
      </bottom>
    </border>
    <border>
      <left style="thin">
        <color rgb="FF000000"/>
      </left>
      <right style="medium">
        <color rgb="FF000000"/>
      </right>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right style="thin">
        <color rgb="FF000000"/>
      </right>
    </border>
    <border>
      <right style="thin">
        <color rgb="FF000000"/>
      </right>
      <top style="thin">
        <color rgb="FF000000"/>
      </top>
    </border>
    <border>
      <right style="thin">
        <color rgb="FF000000"/>
      </right>
      <bottom style="thin">
        <color rgb="FF000000"/>
      </bottom>
    </border>
  </borders>
  <cellStyleXfs count="1">
    <xf borderId="0" fillId="0" fontId="0" numFmtId="0" applyAlignment="1" applyFont="1"/>
  </cellStyleXfs>
  <cellXfs count="401">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vertical="bottom"/>
    </xf>
    <xf borderId="1" fillId="3" fontId="3" numFmtId="0" xfId="0" applyAlignment="1" applyBorder="1" applyFill="1" applyFont="1">
      <alignment horizontal="center" readingOrder="0" vertical="center"/>
    </xf>
    <xf borderId="2" fillId="0" fontId="4" numFmtId="0" xfId="0" applyBorder="1" applyFont="1"/>
    <xf borderId="3" fillId="0" fontId="4" numFmtId="0" xfId="0" applyBorder="1" applyFont="1"/>
    <xf borderId="4" fillId="0" fontId="4" numFmtId="0" xfId="0" applyBorder="1" applyFont="1"/>
    <xf borderId="5" fillId="0" fontId="4" numFmtId="0" xfId="0" applyBorder="1" applyFont="1"/>
    <xf borderId="6" fillId="0" fontId="4" numFmtId="0" xfId="0" applyBorder="1" applyFont="1"/>
    <xf borderId="7" fillId="0" fontId="4" numFmtId="0" xfId="0" applyBorder="1" applyFont="1"/>
    <xf borderId="8" fillId="0" fontId="4" numFmtId="0" xfId="0" applyBorder="1" applyFont="1"/>
    <xf borderId="1" fillId="0" fontId="1" numFmtId="0" xfId="0" applyAlignment="1" applyBorder="1" applyFont="1">
      <alignment readingOrder="0" shrinkToFit="0" vertical="top" wrapText="1"/>
    </xf>
    <xf borderId="1" fillId="0" fontId="5" numFmtId="0" xfId="0" applyAlignment="1" applyBorder="1" applyFont="1">
      <alignment readingOrder="0"/>
    </xf>
    <xf borderId="3" fillId="0" fontId="1" numFmtId="0" xfId="0" applyBorder="1" applyFont="1"/>
    <xf borderId="4" fillId="0" fontId="5" numFmtId="0" xfId="0" applyAlignment="1" applyBorder="1" applyFont="1">
      <alignment readingOrder="0"/>
    </xf>
    <xf borderId="5" fillId="0" fontId="1" numFmtId="0" xfId="0" applyAlignment="1" applyBorder="1" applyFont="1">
      <alignment readingOrder="0"/>
    </xf>
    <xf borderId="6" fillId="0" fontId="5" numFmtId="0" xfId="0" applyAlignment="1" applyBorder="1" applyFont="1">
      <alignment readingOrder="0"/>
    </xf>
    <xf borderId="8" fillId="0" fontId="1" numFmtId="0" xfId="0" applyAlignment="1" applyBorder="1" applyFont="1">
      <alignment readingOrder="0"/>
    </xf>
    <xf borderId="1" fillId="4" fontId="5" numFmtId="0" xfId="0" applyAlignment="1" applyBorder="1" applyFill="1" applyFont="1">
      <alignment readingOrder="0" shrinkToFit="0" vertical="top" wrapText="1"/>
    </xf>
    <xf borderId="9" fillId="5" fontId="6" numFmtId="0" xfId="0" applyAlignment="1" applyBorder="1" applyFill="1" applyFont="1">
      <alignment horizontal="center" vertical="center"/>
    </xf>
    <xf borderId="10" fillId="6" fontId="7" numFmtId="0" xfId="0" applyAlignment="1" applyBorder="1" applyFill="1" applyFont="1">
      <alignment horizontal="center" readingOrder="0" vertical="bottom"/>
    </xf>
    <xf borderId="11" fillId="0" fontId="4" numFmtId="0" xfId="0" applyBorder="1" applyFont="1"/>
    <xf borderId="12" fillId="0" fontId="4" numFmtId="0" xfId="0" applyBorder="1" applyFont="1"/>
    <xf borderId="10" fillId="6" fontId="8" numFmtId="0" xfId="0" applyAlignment="1" applyBorder="1" applyFont="1">
      <alignment horizontal="center" readingOrder="0"/>
    </xf>
    <xf borderId="0" fillId="2" fontId="9" numFmtId="0" xfId="0" applyFont="1"/>
    <xf borderId="13" fillId="4" fontId="2" numFmtId="0" xfId="0" applyAlignment="1" applyBorder="1" applyFont="1">
      <alignment horizontal="center" readingOrder="0"/>
    </xf>
    <xf borderId="4" fillId="2" fontId="10" numFmtId="0" xfId="0" applyAlignment="1" applyBorder="1" applyFont="1">
      <alignment horizontal="center" vertical="center"/>
    </xf>
    <xf borderId="0" fillId="0" fontId="11" numFmtId="0" xfId="0" applyAlignment="1" applyFont="1">
      <alignment horizontal="center" vertical="center"/>
    </xf>
    <xf borderId="0" fillId="2" fontId="12" numFmtId="164" xfId="0" applyAlignment="1" applyFont="1" applyNumberFormat="1">
      <alignment horizontal="right" vertical="bottom"/>
    </xf>
    <xf borderId="0" fillId="2" fontId="12" numFmtId="0" xfId="0" applyAlignment="1" applyFont="1">
      <alignment vertical="bottom"/>
    </xf>
    <xf borderId="14" fillId="5" fontId="6" numFmtId="0" xfId="0" applyAlignment="1" applyBorder="1" applyFont="1">
      <alignment horizontal="center" shrinkToFit="0" wrapText="1"/>
    </xf>
    <xf borderId="15" fillId="7" fontId="2" numFmtId="0" xfId="0" applyAlignment="1" applyBorder="1" applyFill="1" applyFont="1">
      <alignment horizontal="center" readingOrder="0"/>
    </xf>
    <xf borderId="0" fillId="2" fontId="12" numFmtId="0" xfId="0" applyAlignment="1" applyFont="1">
      <alignment readingOrder="0" vertical="bottom"/>
    </xf>
    <xf borderId="16" fillId="6" fontId="5" numFmtId="0" xfId="0" applyAlignment="1" applyBorder="1" applyFont="1">
      <alignment readingOrder="0"/>
    </xf>
    <xf borderId="17" fillId="0" fontId="4" numFmtId="0" xfId="0" applyBorder="1" applyFont="1"/>
    <xf borderId="18" fillId="0" fontId="4" numFmtId="0" xfId="0" applyBorder="1" applyFont="1"/>
    <xf borderId="0" fillId="2" fontId="1" numFmtId="0" xfId="0" applyAlignment="1" applyFont="1">
      <alignment readingOrder="0"/>
    </xf>
    <xf borderId="19" fillId="6" fontId="5" numFmtId="0" xfId="0" applyAlignment="1" applyBorder="1" applyFont="1">
      <alignment readingOrder="0"/>
    </xf>
    <xf borderId="0" fillId="2" fontId="13" numFmtId="0" xfId="0" applyAlignment="1" applyFont="1">
      <alignment readingOrder="0"/>
    </xf>
    <xf borderId="0" fillId="2" fontId="13" numFmtId="0" xfId="0" applyFont="1"/>
    <xf borderId="10" fillId="0" fontId="1" numFmtId="0" xfId="0" applyBorder="1" applyFont="1"/>
    <xf borderId="9" fillId="0" fontId="1" numFmtId="0" xfId="0" applyBorder="1" applyFont="1"/>
    <xf borderId="9" fillId="0" fontId="1" numFmtId="164" xfId="0" applyBorder="1" applyFont="1" applyNumberFormat="1"/>
    <xf borderId="0" fillId="2" fontId="14" numFmtId="0" xfId="0" applyAlignment="1" applyFont="1">
      <alignment vertical="bottom"/>
    </xf>
    <xf borderId="0" fillId="2" fontId="14" numFmtId="164" xfId="0" applyAlignment="1" applyFont="1" applyNumberFormat="1">
      <alignment horizontal="right" vertical="bottom"/>
    </xf>
    <xf borderId="20" fillId="0" fontId="1" numFmtId="0" xfId="0" applyBorder="1" applyFont="1"/>
    <xf borderId="21" fillId="0" fontId="4" numFmtId="0" xfId="0" applyBorder="1" applyFont="1"/>
    <xf borderId="22" fillId="0" fontId="1" numFmtId="0" xfId="0" applyBorder="1" applyFont="1"/>
    <xf borderId="22" fillId="0" fontId="1" numFmtId="164" xfId="0" applyBorder="1" applyFont="1" applyNumberFormat="1"/>
    <xf borderId="0" fillId="2" fontId="13" numFmtId="164" xfId="0" applyFont="1" applyNumberFormat="1"/>
    <xf borderId="13" fillId="2" fontId="1" numFmtId="0" xfId="0" applyBorder="1" applyFont="1"/>
    <xf borderId="23" fillId="0" fontId="4" numFmtId="0" xfId="0" applyBorder="1" applyFont="1"/>
    <xf borderId="24" fillId="2" fontId="1" numFmtId="0" xfId="0" applyBorder="1" applyFont="1"/>
    <xf borderId="24" fillId="2" fontId="1" numFmtId="164" xfId="0" applyBorder="1" applyFont="1" applyNumberFormat="1"/>
    <xf borderId="0" fillId="3" fontId="15" numFmtId="0" xfId="0" applyAlignment="1" applyFont="1">
      <alignment readingOrder="0" vertical="bottom"/>
    </xf>
    <xf borderId="0" fillId="0" fontId="2" numFmtId="0" xfId="0" applyAlignment="1" applyFont="1">
      <alignment vertical="bottom"/>
    </xf>
    <xf borderId="1" fillId="0" fontId="16" numFmtId="0" xfId="0" applyAlignment="1" applyBorder="1" applyFont="1">
      <alignment readingOrder="0" shrinkToFit="0" vertical="top" wrapText="1"/>
    </xf>
    <xf borderId="0" fillId="3" fontId="15" numFmtId="0" xfId="0" applyAlignment="1" applyFont="1">
      <alignment vertical="bottom"/>
    </xf>
    <xf borderId="7" fillId="3" fontId="17" numFmtId="0" xfId="0" applyAlignment="1" applyBorder="1" applyFont="1">
      <alignment readingOrder="0"/>
    </xf>
    <xf borderId="1" fillId="0" fontId="18" numFmtId="0" xfId="0" applyAlignment="1" applyBorder="1" applyFont="1">
      <alignment readingOrder="0" shrinkToFit="0" vertical="top" wrapText="1"/>
    </xf>
    <xf borderId="25" fillId="4" fontId="19" numFmtId="0" xfId="0" applyAlignment="1" applyBorder="1" applyFont="1">
      <alignment readingOrder="0"/>
    </xf>
    <xf borderId="26" fillId="4" fontId="19" numFmtId="0" xfId="0" applyAlignment="1" applyBorder="1" applyFont="1">
      <alignment horizontal="left" readingOrder="0"/>
    </xf>
    <xf borderId="0" fillId="0" fontId="2" numFmtId="0" xfId="0" applyAlignment="1" applyFont="1">
      <alignment horizontal="right" readingOrder="0" vertical="bottom"/>
    </xf>
    <xf borderId="0" fillId="0" fontId="2" numFmtId="165" xfId="0" applyAlignment="1" applyFont="1" applyNumberFormat="1">
      <alignment horizontal="right" vertical="bottom"/>
    </xf>
    <xf borderId="0" fillId="4" fontId="19" numFmtId="0" xfId="0" applyAlignment="1" applyFont="1">
      <alignment horizontal="left" readingOrder="0" shrinkToFit="0" vertical="top" wrapText="1"/>
    </xf>
    <xf borderId="0" fillId="4" fontId="2" numFmtId="0" xfId="0" applyAlignment="1" applyFont="1">
      <alignment shrinkToFit="0" wrapText="0"/>
    </xf>
    <xf borderId="0" fillId="4" fontId="2" numFmtId="0" xfId="0" applyAlignment="1" applyFont="1">
      <alignment shrinkToFit="0" wrapText="0"/>
    </xf>
    <xf borderId="0" fillId="4" fontId="2" numFmtId="10" xfId="0" applyAlignment="1" applyFont="1" applyNumberFormat="1">
      <alignment shrinkToFit="0" wrapText="0"/>
    </xf>
    <xf borderId="0" fillId="8" fontId="2" numFmtId="0" xfId="0" applyAlignment="1" applyFill="1" applyFont="1">
      <alignment horizontal="center" readingOrder="0"/>
    </xf>
    <xf borderId="0" fillId="4" fontId="2" numFmtId="0" xfId="0" applyAlignment="1" applyFont="1">
      <alignment vertical="bottom"/>
    </xf>
    <xf borderId="0" fillId="8" fontId="2" numFmtId="164" xfId="0" applyAlignment="1" applyFont="1" applyNumberFormat="1">
      <alignment horizontal="right" vertical="bottom"/>
    </xf>
    <xf borderId="0" fillId="8" fontId="2" numFmtId="164" xfId="0" applyAlignment="1" applyFont="1" applyNumberFormat="1">
      <alignment vertical="bottom"/>
    </xf>
    <xf borderId="0" fillId="4" fontId="20" numFmtId="0" xfId="0" applyAlignment="1" applyFont="1">
      <alignment vertical="bottom"/>
    </xf>
    <xf borderId="27" fillId="7" fontId="19" numFmtId="0" xfId="0" applyAlignment="1" applyBorder="1" applyFont="1">
      <alignment horizontal="left" readingOrder="0"/>
    </xf>
    <xf borderId="28" fillId="4" fontId="2" numFmtId="0" xfId="0" applyAlignment="1" applyBorder="1" applyFont="1">
      <alignment vertical="bottom"/>
    </xf>
    <xf borderId="29" fillId="4" fontId="2" numFmtId="166" xfId="0" applyAlignment="1" applyBorder="1" applyFont="1" applyNumberFormat="1">
      <alignment horizontal="right" vertical="bottom"/>
    </xf>
    <xf borderId="29" fillId="4" fontId="2" numFmtId="0" xfId="0" applyAlignment="1" applyBorder="1" applyFont="1">
      <alignment horizontal="right" vertical="bottom"/>
    </xf>
    <xf borderId="30" fillId="4" fontId="2" numFmtId="0" xfId="0" applyAlignment="1" applyBorder="1" applyFont="1">
      <alignment horizontal="right" vertical="bottom"/>
    </xf>
    <xf borderId="31" fillId="4" fontId="19" numFmtId="0" xfId="0" applyAlignment="1" applyBorder="1" applyFont="1">
      <alignment horizontal="left" readingOrder="0" shrinkToFit="0" vertical="top" wrapText="1"/>
    </xf>
    <xf borderId="0" fillId="8" fontId="2" numFmtId="0" xfId="0" applyAlignment="1" applyFont="1">
      <alignment shrinkToFit="0" wrapText="0"/>
    </xf>
    <xf borderId="0" fillId="9" fontId="2" numFmtId="0" xfId="0" applyAlignment="1" applyFill="1" applyFont="1">
      <alignment shrinkToFit="0" wrapText="0"/>
    </xf>
    <xf borderId="32" fillId="4" fontId="2" numFmtId="0" xfId="0" applyAlignment="1" applyBorder="1" applyFont="1">
      <alignment vertical="bottom"/>
    </xf>
    <xf borderId="0" fillId="4" fontId="2" numFmtId="164" xfId="0" applyAlignment="1" applyFont="1" applyNumberFormat="1">
      <alignment horizontal="right" readingOrder="0" vertical="bottom"/>
    </xf>
    <xf borderId="0" fillId="4" fontId="2" numFmtId="164" xfId="0" applyAlignment="1" applyFont="1" applyNumberFormat="1">
      <alignment horizontal="right" vertical="bottom"/>
    </xf>
    <xf borderId="27" fillId="4" fontId="2" numFmtId="164" xfId="0" applyAlignment="1" applyBorder="1" applyFont="1" applyNumberFormat="1">
      <alignment horizontal="right" vertical="bottom"/>
    </xf>
    <xf borderId="33" fillId="0" fontId="4" numFmtId="0" xfId="0" applyBorder="1" applyFont="1"/>
    <xf borderId="0" fillId="4" fontId="19" numFmtId="0" xfId="0" applyAlignment="1" applyFont="1">
      <alignment horizontal="left" shrinkToFit="0" vertical="center" wrapText="0"/>
    </xf>
    <xf borderId="27" fillId="4" fontId="2" numFmtId="164" xfId="0" applyAlignment="1" applyBorder="1" applyFont="1" applyNumberFormat="1">
      <alignment horizontal="right" readingOrder="0" vertical="bottom"/>
    </xf>
    <xf borderId="34" fillId="4" fontId="2" numFmtId="0" xfId="0" applyAlignment="1" applyBorder="1" applyFont="1">
      <alignment vertical="bottom"/>
    </xf>
    <xf borderId="25" fillId="4" fontId="2" numFmtId="164" xfId="0" applyAlignment="1" applyBorder="1" applyFont="1" applyNumberFormat="1">
      <alignment horizontal="right" vertical="bottom"/>
    </xf>
    <xf borderId="25" fillId="4" fontId="2" numFmtId="164" xfId="0" applyAlignment="1" applyBorder="1" applyFont="1" applyNumberFormat="1">
      <alignment horizontal="right" readingOrder="0" vertical="bottom"/>
    </xf>
    <xf borderId="26" fillId="4" fontId="2" numFmtId="164" xfId="0" applyAlignment="1" applyBorder="1" applyFont="1" applyNumberFormat="1">
      <alignment horizontal="right" readingOrder="0" vertical="bottom"/>
    </xf>
    <xf borderId="35" fillId="0" fontId="4" numFmtId="0" xfId="0" applyBorder="1" applyFont="1"/>
    <xf borderId="32" fillId="0" fontId="21" numFmtId="0" xfId="0" applyAlignment="1" applyBorder="1" applyFont="1">
      <alignment horizontal="center" vertical="center"/>
    </xf>
    <xf borderId="27" fillId="0" fontId="4" numFmtId="0" xfId="0" applyBorder="1" applyFont="1"/>
    <xf borderId="36" fillId="4" fontId="19" numFmtId="0" xfId="0" applyAlignment="1" applyBorder="1" applyFont="1">
      <alignment horizontal="left" readingOrder="0" shrinkToFit="0" vertical="top" wrapText="1"/>
    </xf>
    <xf borderId="32" fillId="0" fontId="4" numFmtId="0" xfId="0" applyBorder="1" applyFont="1"/>
    <xf borderId="32" fillId="10" fontId="22" numFmtId="0" xfId="0" applyAlignment="1" applyBorder="1" applyFill="1" applyFont="1">
      <alignment readingOrder="0" shrinkToFit="0" vertical="bottom" wrapText="1"/>
    </xf>
    <xf borderId="0" fillId="0" fontId="2" numFmtId="0" xfId="0" applyAlignment="1" applyFont="1">
      <alignment vertical="bottom"/>
    </xf>
    <xf borderId="27" fillId="0" fontId="2" numFmtId="0" xfId="0" applyAlignment="1" applyBorder="1" applyFont="1">
      <alignment vertical="bottom"/>
    </xf>
    <xf borderId="32" fillId="0" fontId="2" numFmtId="0" xfId="0" applyAlignment="1" applyBorder="1" applyFont="1">
      <alignment vertical="bottom"/>
    </xf>
    <xf borderId="0" fillId="0" fontId="2" numFmtId="10" xfId="0" applyAlignment="1" applyFont="1" applyNumberFormat="1">
      <alignment horizontal="right" vertical="bottom"/>
    </xf>
    <xf borderId="27" fillId="0" fontId="2" numFmtId="0" xfId="0" applyAlignment="1" applyBorder="1" applyFont="1">
      <alignment vertical="bottom"/>
    </xf>
    <xf borderId="0" fillId="4" fontId="19" numFmtId="0" xfId="0" applyAlignment="1" applyFont="1">
      <alignment horizontal="left" shrinkToFit="0" vertical="center" wrapText="0"/>
    </xf>
    <xf borderId="32" fillId="8" fontId="2" numFmtId="0" xfId="0" applyAlignment="1" applyBorder="1" applyFont="1">
      <alignment vertical="bottom"/>
    </xf>
    <xf borderId="0" fillId="8" fontId="2" numFmtId="10" xfId="0" applyAlignment="1" applyFont="1" applyNumberFormat="1">
      <alignment horizontal="right" vertical="bottom"/>
    </xf>
    <xf borderId="27" fillId="8" fontId="2" numFmtId="0" xfId="0" applyAlignment="1" applyBorder="1" applyFont="1">
      <alignment vertical="bottom"/>
    </xf>
    <xf borderId="32" fillId="11" fontId="2" numFmtId="0" xfId="0" applyAlignment="1" applyBorder="1" applyFill="1" applyFont="1">
      <alignment vertical="bottom"/>
    </xf>
    <xf borderId="32" fillId="12" fontId="2" numFmtId="0" xfId="0" applyAlignment="1" applyBorder="1" applyFill="1" applyFont="1">
      <alignment vertical="bottom"/>
    </xf>
    <xf borderId="32" fillId="0" fontId="2" numFmtId="0" xfId="0" applyAlignment="1" applyBorder="1" applyFont="1">
      <alignment shrinkToFit="0" vertical="center" wrapText="1"/>
    </xf>
    <xf borderId="0" fillId="0" fontId="23" numFmtId="0" xfId="0" applyAlignment="1" applyFont="1">
      <alignment horizontal="center" vertical="center"/>
    </xf>
    <xf borderId="37" fillId="0" fontId="4" numFmtId="0" xfId="0" applyBorder="1" applyFont="1"/>
    <xf borderId="38" fillId="0" fontId="4" numFmtId="0" xfId="0" applyBorder="1" applyFont="1"/>
    <xf borderId="39" fillId="0" fontId="4" numFmtId="0" xfId="0" applyBorder="1" applyFont="1"/>
    <xf borderId="40" fillId="4" fontId="24" numFmtId="0" xfId="0" applyAlignment="1" applyBorder="1" applyFont="1">
      <alignment horizontal="center" vertical="center"/>
    </xf>
    <xf borderId="41" fillId="0" fontId="4" numFmtId="0" xfId="0" applyBorder="1" applyFont="1"/>
    <xf borderId="42" fillId="0" fontId="4" numFmtId="0" xfId="0" applyBorder="1" applyFont="1"/>
    <xf borderId="43" fillId="4" fontId="19" numFmtId="0" xfId="0" applyAlignment="1" applyBorder="1" applyFont="1">
      <alignment horizontal="left" readingOrder="0" shrinkToFit="0" vertical="top" wrapText="1"/>
    </xf>
    <xf borderId="44" fillId="0" fontId="4" numFmtId="0" xfId="0" applyBorder="1" applyFont="1"/>
    <xf borderId="45" fillId="0" fontId="4" numFmtId="0" xfId="0" applyBorder="1" applyFont="1"/>
    <xf borderId="46" fillId="0" fontId="4" numFmtId="0" xfId="0" applyBorder="1" applyFont="1"/>
    <xf borderId="44" fillId="4" fontId="2" numFmtId="0" xfId="0" applyAlignment="1" applyBorder="1" applyFont="1">
      <alignment horizontal="center" readingOrder="0"/>
    </xf>
    <xf borderId="0" fillId="4" fontId="2" numFmtId="0" xfId="0" applyAlignment="1" applyFont="1">
      <alignment horizontal="center" readingOrder="0"/>
    </xf>
    <xf borderId="44" fillId="0" fontId="1" numFmtId="0" xfId="0" applyAlignment="1" applyBorder="1" applyFont="1">
      <alignment readingOrder="0"/>
    </xf>
    <xf borderId="0" fillId="0" fontId="1" numFmtId="0" xfId="0" applyAlignment="1" applyFont="1">
      <alignment readingOrder="0"/>
    </xf>
    <xf borderId="47" fillId="0" fontId="4" numFmtId="0" xfId="0" applyBorder="1" applyFont="1"/>
    <xf borderId="48" fillId="4" fontId="25" numFmtId="0" xfId="0" applyAlignment="1" applyBorder="1" applyFont="1">
      <alignment horizontal="center" vertical="bottom"/>
    </xf>
    <xf borderId="49" fillId="0" fontId="4" numFmtId="0" xfId="0" applyBorder="1" applyFont="1"/>
    <xf borderId="50" fillId="0" fontId="4" numFmtId="0" xfId="0" applyBorder="1" applyFont="1"/>
    <xf borderId="44" fillId="10" fontId="22" numFmtId="0" xfId="0" applyAlignment="1" applyBorder="1" applyFont="1">
      <alignment shrinkToFit="0" vertical="bottom" wrapText="1"/>
    </xf>
    <xf borderId="0" fillId="4" fontId="2" numFmtId="0" xfId="0" applyAlignment="1" applyFont="1">
      <alignment vertical="bottom"/>
    </xf>
    <xf borderId="44" fillId="4" fontId="2" numFmtId="0" xfId="0" applyAlignment="1" applyBorder="1" applyFont="1">
      <alignment vertical="bottom"/>
    </xf>
    <xf borderId="0" fillId="4" fontId="2" numFmtId="10" xfId="0" applyAlignment="1" applyFont="1" applyNumberFormat="1">
      <alignment horizontal="right" vertical="bottom"/>
    </xf>
    <xf borderId="45" fillId="4" fontId="2" numFmtId="0" xfId="0" applyAlignment="1" applyBorder="1" applyFont="1">
      <alignment vertical="bottom"/>
    </xf>
    <xf borderId="44" fillId="8" fontId="2" numFmtId="0" xfId="0" applyAlignment="1" applyBorder="1" applyFont="1">
      <alignment vertical="bottom"/>
    </xf>
    <xf borderId="45" fillId="8" fontId="2" numFmtId="0" xfId="0" applyAlignment="1" applyBorder="1" applyFont="1">
      <alignment vertical="bottom"/>
    </xf>
    <xf borderId="44" fillId="11" fontId="2" numFmtId="0" xfId="0" applyAlignment="1" applyBorder="1" applyFont="1">
      <alignment vertical="bottom"/>
    </xf>
    <xf borderId="44" fillId="12" fontId="2" numFmtId="0" xfId="0" applyAlignment="1" applyBorder="1" applyFont="1">
      <alignment vertical="bottom"/>
    </xf>
    <xf borderId="44" fillId="13" fontId="2" numFmtId="0" xfId="0" applyAlignment="1" applyBorder="1" applyFill="1" applyFont="1">
      <alignment vertical="bottom"/>
    </xf>
    <xf borderId="44" fillId="4" fontId="2" numFmtId="0" xfId="0" applyAlignment="1" applyBorder="1" applyFont="1">
      <alignment shrinkToFit="0" vertical="center" wrapText="1"/>
    </xf>
    <xf borderId="0" fillId="4" fontId="23" numFmtId="0" xfId="0" applyAlignment="1" applyFont="1">
      <alignment horizontal="center" vertical="center"/>
    </xf>
    <xf borderId="51" fillId="0" fontId="4" numFmtId="0" xfId="0" applyBorder="1" applyFont="1"/>
    <xf borderId="52" fillId="0" fontId="4" numFmtId="0" xfId="0" applyBorder="1" applyFont="1"/>
    <xf borderId="53" fillId="0" fontId="4" numFmtId="0" xfId="0" applyBorder="1" applyFont="1"/>
    <xf borderId="44" fillId="4" fontId="25" numFmtId="0" xfId="0" applyAlignment="1" applyBorder="1" applyFont="1">
      <alignment horizontal="center" vertical="bottom"/>
    </xf>
    <xf borderId="44" fillId="10" fontId="26" numFmtId="0" xfId="0" applyAlignment="1" applyBorder="1" applyFont="1">
      <alignment readingOrder="0" shrinkToFit="0" wrapText="1"/>
    </xf>
    <xf borderId="0" fillId="4" fontId="19" numFmtId="164" xfId="0" applyAlignment="1" applyFont="1" applyNumberFormat="1">
      <alignment horizontal="left" shrinkToFit="0" vertical="center" wrapText="0"/>
    </xf>
    <xf borderId="44" fillId="4" fontId="27" numFmtId="0" xfId="0" applyAlignment="1" applyBorder="1" applyFont="1">
      <alignment shrinkToFit="0" vertical="center" wrapText="1"/>
    </xf>
    <xf borderId="0" fillId="4" fontId="19" numFmtId="0" xfId="0" applyAlignment="1" applyFont="1">
      <alignment horizontal="left" readingOrder="0" shrinkToFit="0" vertical="center" wrapText="0"/>
    </xf>
    <xf borderId="44" fillId="4" fontId="25" numFmtId="0" xfId="0" applyAlignment="1" applyBorder="1" applyFont="1">
      <alignment horizontal="center" readingOrder="0" vertical="bottom"/>
    </xf>
    <xf borderId="0" fillId="4" fontId="28" numFmtId="0" xfId="0" applyAlignment="1" applyFont="1">
      <alignment horizontal="center" readingOrder="0" vertical="center"/>
    </xf>
    <xf borderId="0" fillId="11" fontId="2" numFmtId="164" xfId="0" applyAlignment="1" applyFont="1" applyNumberFormat="1">
      <alignment vertical="bottom"/>
    </xf>
    <xf borderId="54" fillId="12" fontId="2" numFmtId="0" xfId="0" applyAlignment="1" applyBorder="1" applyFont="1">
      <alignment vertical="bottom"/>
    </xf>
    <xf borderId="38" fillId="12" fontId="2" numFmtId="164" xfId="0" applyAlignment="1" applyBorder="1" applyFont="1" applyNumberFormat="1">
      <alignment vertical="bottom"/>
    </xf>
    <xf borderId="55" fillId="0" fontId="4" numFmtId="0" xfId="0" applyBorder="1" applyFont="1"/>
    <xf borderId="56" fillId="9" fontId="21" numFmtId="0" xfId="0" applyAlignment="1" applyBorder="1" applyFont="1">
      <alignment horizontal="center" readingOrder="0" vertical="center"/>
    </xf>
    <xf borderId="57" fillId="0" fontId="4" numFmtId="0" xfId="0" applyBorder="1" applyFont="1"/>
    <xf borderId="58" fillId="4" fontId="2" numFmtId="0" xfId="0" applyAlignment="1" applyBorder="1" applyFont="1">
      <alignment readingOrder="0" shrinkToFit="0" vertical="top" wrapText="1"/>
    </xf>
    <xf borderId="56" fillId="0" fontId="4" numFmtId="0" xfId="0" applyBorder="1" applyFont="1"/>
    <xf borderId="59" fillId="0" fontId="4" numFmtId="0" xfId="0" applyBorder="1" applyFont="1"/>
    <xf borderId="56" fillId="10" fontId="26" numFmtId="0" xfId="0" applyAlignment="1" applyBorder="1" applyFont="1">
      <alignment readingOrder="0" shrinkToFit="0" wrapText="1"/>
    </xf>
    <xf borderId="56" fillId="0" fontId="2" numFmtId="0" xfId="0" applyAlignment="1" applyBorder="1" applyFont="1">
      <alignment readingOrder="0" vertical="bottom"/>
    </xf>
    <xf borderId="57" fillId="0" fontId="2" numFmtId="0" xfId="0" applyAlignment="1" applyBorder="1" applyFont="1">
      <alignment vertical="bottom"/>
    </xf>
    <xf borderId="0" fillId="0" fontId="19" numFmtId="0" xfId="0" applyAlignment="1" applyFont="1">
      <alignment horizontal="left" shrinkToFit="0" vertical="center" wrapText="0"/>
    </xf>
    <xf borderId="56" fillId="8" fontId="2" numFmtId="0" xfId="0" applyAlignment="1" applyBorder="1" applyFont="1">
      <alignment vertical="bottom"/>
    </xf>
    <xf borderId="57" fillId="8" fontId="2" numFmtId="0" xfId="0" applyAlignment="1" applyBorder="1" applyFont="1">
      <alignment vertical="bottom"/>
    </xf>
    <xf borderId="56" fillId="11" fontId="2" numFmtId="0" xfId="0" applyAlignment="1" applyBorder="1" applyFont="1">
      <alignment vertical="bottom"/>
    </xf>
    <xf borderId="0" fillId="11" fontId="2" numFmtId="10" xfId="0" applyAlignment="1" applyFont="1" applyNumberFormat="1">
      <alignment horizontal="right" vertical="bottom"/>
    </xf>
    <xf borderId="57" fillId="11" fontId="2" numFmtId="10" xfId="0" applyAlignment="1" applyBorder="1" applyFont="1" applyNumberFormat="1">
      <alignment vertical="bottom"/>
    </xf>
    <xf borderId="56" fillId="12" fontId="2" numFmtId="0" xfId="0" applyAlignment="1" applyBorder="1" applyFont="1">
      <alignment vertical="bottom"/>
    </xf>
    <xf borderId="0" fillId="12" fontId="2" numFmtId="10" xfId="0" applyAlignment="1" applyFont="1" applyNumberFormat="1">
      <alignment horizontal="right" vertical="bottom"/>
    </xf>
    <xf borderId="57" fillId="12" fontId="2" numFmtId="0" xfId="0" applyAlignment="1" applyBorder="1" applyFont="1">
      <alignment vertical="bottom"/>
    </xf>
    <xf borderId="56" fillId="13" fontId="2" numFmtId="0" xfId="0" applyAlignment="1" applyBorder="1" applyFont="1">
      <alignment vertical="bottom"/>
    </xf>
    <xf borderId="0" fillId="13" fontId="2" numFmtId="10" xfId="0" applyAlignment="1" applyFont="1" applyNumberFormat="1">
      <alignment horizontal="right" vertical="bottom"/>
    </xf>
    <xf borderId="57" fillId="13" fontId="2" numFmtId="0" xfId="0" applyAlignment="1" applyBorder="1" applyFont="1">
      <alignment vertical="bottom"/>
    </xf>
    <xf borderId="56" fillId="0" fontId="2" numFmtId="0" xfId="0" applyAlignment="1" applyBorder="1" applyFont="1">
      <alignment shrinkToFit="0" vertical="center" wrapText="1"/>
    </xf>
    <xf borderId="60" fillId="0" fontId="4" numFmtId="0" xfId="0" applyBorder="1" applyFont="1"/>
    <xf borderId="61" fillId="0" fontId="4" numFmtId="0" xfId="0" applyBorder="1" applyFont="1"/>
    <xf borderId="56" fillId="4" fontId="15" numFmtId="0" xfId="0" applyAlignment="1" applyBorder="1" applyFont="1">
      <alignment horizontal="center" readingOrder="0" vertical="bottom"/>
    </xf>
    <xf borderId="58" fillId="4" fontId="29" numFmtId="0" xfId="0" applyAlignment="1" applyBorder="1" applyFont="1">
      <alignment horizontal="left" readingOrder="0" shrinkToFit="0" vertical="top" wrapText="1"/>
    </xf>
    <xf borderId="57" fillId="8" fontId="2" numFmtId="10" xfId="0" applyAlignment="1" applyBorder="1" applyFont="1" applyNumberFormat="1">
      <alignment horizontal="right" vertical="bottom"/>
    </xf>
    <xf borderId="57" fillId="11" fontId="2" numFmtId="10" xfId="0" applyAlignment="1" applyBorder="1" applyFont="1" applyNumberFormat="1">
      <alignment horizontal="right" vertical="bottom"/>
    </xf>
    <xf borderId="57" fillId="12" fontId="2" numFmtId="10" xfId="0" applyAlignment="1" applyBorder="1" applyFont="1" applyNumberFormat="1">
      <alignment horizontal="right" vertical="bottom"/>
    </xf>
    <xf borderId="56" fillId="0" fontId="27" numFmtId="0" xfId="0" applyAlignment="1" applyBorder="1" applyFont="1">
      <alignment shrinkToFit="0" vertical="center" wrapText="1"/>
    </xf>
    <xf borderId="62" fillId="0" fontId="4" numFmtId="0" xfId="0" applyBorder="1" applyFont="1"/>
    <xf borderId="58" fillId="4" fontId="19" numFmtId="0" xfId="0" applyAlignment="1" applyBorder="1" applyFont="1">
      <alignment horizontal="left" readingOrder="0" shrinkToFit="0" vertical="top" wrapText="1"/>
    </xf>
    <xf borderId="0" fillId="0" fontId="28" numFmtId="0" xfId="0" applyAlignment="1" applyFont="1">
      <alignment horizontal="center" readingOrder="0" vertical="center"/>
    </xf>
    <xf borderId="63" fillId="12" fontId="2" numFmtId="0" xfId="0" applyAlignment="1" applyBorder="1" applyFont="1">
      <alignment vertical="bottom"/>
    </xf>
    <xf borderId="64" fillId="12" fontId="2" numFmtId="164" xfId="0" applyAlignment="1" applyBorder="1" applyFont="1" applyNumberFormat="1">
      <alignment vertical="bottom"/>
    </xf>
    <xf borderId="64" fillId="0" fontId="4" numFmtId="0" xfId="0" applyBorder="1" applyFont="1"/>
    <xf borderId="65" fillId="0" fontId="4" numFmtId="0" xfId="0" applyBorder="1" applyFont="1"/>
    <xf borderId="33" fillId="4" fontId="30" numFmtId="0" xfId="0" applyAlignment="1" applyBorder="1" applyFont="1">
      <alignment horizontal="center" readingOrder="0" shrinkToFit="0" vertical="top" wrapText="1"/>
    </xf>
    <xf borderId="0" fillId="0" fontId="2" numFmtId="10" xfId="0" applyAlignment="1" applyFont="1" applyNumberFormat="1">
      <alignment vertical="bottom"/>
    </xf>
    <xf borderId="32" fillId="0" fontId="2" numFmtId="0" xfId="0" applyAlignment="1" applyBorder="1" applyFont="1">
      <alignment readingOrder="0" vertical="bottom"/>
    </xf>
    <xf borderId="32" fillId="0" fontId="2" numFmtId="0" xfId="0" applyAlignment="1" applyBorder="1" applyFont="1">
      <alignment vertical="bottom"/>
    </xf>
    <xf borderId="33" fillId="4" fontId="17" numFmtId="0" xfId="0" applyAlignment="1" applyBorder="1" applyFont="1">
      <alignment horizontal="center" readingOrder="0" shrinkToFit="0" vertical="center" wrapText="1"/>
    </xf>
    <xf borderId="66" fillId="0" fontId="4" numFmtId="0" xfId="0" applyBorder="1" applyFont="1"/>
    <xf borderId="0" fillId="4" fontId="19" numFmtId="0" xfId="0" applyAlignment="1" applyFont="1">
      <alignment horizontal="left" shrinkToFit="0" vertical="top" wrapText="1"/>
    </xf>
    <xf borderId="28" fillId="0" fontId="31" numFmtId="0" xfId="0" applyAlignment="1" applyBorder="1" applyFont="1">
      <alignment horizontal="center"/>
    </xf>
    <xf borderId="29" fillId="0" fontId="4" numFmtId="0" xfId="0" applyBorder="1" applyFont="1"/>
    <xf borderId="30" fillId="0" fontId="4" numFmtId="0" xfId="0" applyBorder="1" applyFont="1"/>
    <xf borderId="34" fillId="0" fontId="4" numFmtId="0" xfId="0" applyBorder="1" applyFont="1"/>
    <xf borderId="25" fillId="0" fontId="4" numFmtId="0" xfId="0" applyBorder="1" applyFont="1"/>
    <xf borderId="26" fillId="0" fontId="4" numFmtId="0" xfId="0" applyBorder="1" applyFont="1"/>
    <xf borderId="32" fillId="0" fontId="1" numFmtId="0" xfId="0" applyBorder="1" applyFont="1"/>
    <xf borderId="27" fillId="0" fontId="1" numFmtId="0" xfId="0" applyBorder="1" applyFont="1"/>
    <xf borderId="28" fillId="0" fontId="16" numFmtId="0" xfId="0" applyAlignment="1" applyBorder="1" applyFont="1">
      <alignment horizontal="center" vertical="bottom"/>
    </xf>
    <xf borderId="27" fillId="0" fontId="2" numFmtId="0" xfId="0" applyAlignment="1" applyBorder="1" applyFont="1">
      <alignment horizontal="right" vertical="bottom"/>
    </xf>
    <xf borderId="0" fillId="4" fontId="18" numFmtId="0" xfId="0" applyAlignment="1" applyFont="1">
      <alignment horizontal="left" shrinkToFit="0" vertical="top" wrapText="1"/>
    </xf>
    <xf borderId="0" fillId="4" fontId="18" numFmtId="0" xfId="0" applyAlignment="1" applyFont="1">
      <alignment horizontal="left" shrinkToFit="0" vertical="center" wrapText="0"/>
    </xf>
    <xf borderId="27" fillId="0" fontId="2" numFmtId="10" xfId="0" applyAlignment="1" applyBorder="1" applyFont="1" applyNumberFormat="1">
      <alignment horizontal="right" vertical="bottom"/>
    </xf>
    <xf borderId="0" fillId="0" fontId="2" numFmtId="164" xfId="0" applyAlignment="1" applyFont="1" applyNumberFormat="1">
      <alignment horizontal="right" vertical="bottom"/>
    </xf>
    <xf borderId="0" fillId="0" fontId="2" numFmtId="164" xfId="0" applyAlignment="1" applyFont="1" applyNumberFormat="1">
      <alignment vertical="bottom"/>
    </xf>
    <xf borderId="0" fillId="4" fontId="20" numFmtId="0" xfId="0" applyAlignment="1" applyFont="1">
      <alignment readingOrder="0" vertical="bottom"/>
    </xf>
    <xf borderId="34" fillId="0" fontId="2" numFmtId="0" xfId="0" applyAlignment="1" applyBorder="1" applyFont="1">
      <alignment vertical="bottom"/>
    </xf>
    <xf borderId="26" fillId="0" fontId="2" numFmtId="10" xfId="0" applyAlignment="1" applyBorder="1" applyFont="1" applyNumberFormat="1">
      <alignment horizontal="right" vertical="bottom"/>
    </xf>
    <xf borderId="26" fillId="0" fontId="2" numFmtId="0" xfId="0" applyAlignment="1" applyBorder="1" applyFont="1">
      <alignment horizontal="right" vertical="bottom"/>
    </xf>
    <xf borderId="0" fillId="4" fontId="19" numFmtId="0" xfId="0" applyAlignment="1" applyFont="1">
      <alignment readingOrder="0"/>
    </xf>
    <xf borderId="5" fillId="4" fontId="2" numFmtId="0" xfId="0" applyAlignment="1" applyBorder="1" applyFont="1">
      <alignment readingOrder="0" vertical="bottom"/>
    </xf>
    <xf borderId="67" fillId="0" fontId="2" numFmtId="0" xfId="0" applyAlignment="1" applyBorder="1" applyFont="1">
      <alignment shrinkToFit="0" vertical="center" wrapText="1"/>
    </xf>
    <xf borderId="49" fillId="0" fontId="23" numFmtId="0" xfId="0" applyAlignment="1" applyBorder="1" applyFont="1">
      <alignment horizontal="center" vertical="center"/>
    </xf>
    <xf borderId="68" fillId="0" fontId="4" numFmtId="0" xfId="0" applyBorder="1" applyFont="1"/>
    <xf borderId="45" fillId="4" fontId="2" numFmtId="0" xfId="0" applyAlignment="1" applyBorder="1" applyFont="1">
      <alignment vertical="bottom"/>
    </xf>
    <xf borderId="45" fillId="0" fontId="1" numFmtId="0" xfId="0" applyAlignment="1" applyBorder="1" applyFont="1">
      <alignment readingOrder="0"/>
    </xf>
    <xf borderId="45" fillId="8" fontId="2" numFmtId="164" xfId="0" applyAlignment="1" applyBorder="1" applyFont="1" applyNumberFormat="1">
      <alignment horizontal="right" vertical="bottom"/>
    </xf>
    <xf borderId="45" fillId="4" fontId="23" numFmtId="0" xfId="0" applyAlignment="1" applyBorder="1" applyFont="1">
      <alignment horizontal="center" vertical="center"/>
    </xf>
    <xf borderId="44" fillId="0" fontId="1" numFmtId="0" xfId="0" applyBorder="1" applyFont="1"/>
    <xf borderId="54" fillId="0" fontId="1" numFmtId="0" xfId="0" applyBorder="1" applyFont="1"/>
    <xf borderId="38" fillId="0" fontId="1" numFmtId="0" xfId="0" applyBorder="1" applyFont="1"/>
    <xf borderId="0" fillId="4" fontId="2" numFmtId="0" xfId="0" applyAlignment="1" applyFont="1">
      <alignment shrinkToFit="0" vertical="top" wrapText="1"/>
    </xf>
    <xf borderId="0" fillId="4" fontId="2" numFmtId="0" xfId="0" applyAlignment="1" applyFont="1">
      <alignment readingOrder="0" vertical="bottom"/>
    </xf>
    <xf borderId="0" fillId="14" fontId="2" numFmtId="0" xfId="0" applyAlignment="1" applyFill="1" applyFont="1">
      <alignment shrinkToFit="0" wrapText="0"/>
    </xf>
    <xf borderId="0" fillId="4" fontId="27" numFmtId="0" xfId="0" applyAlignment="1" applyFont="1">
      <alignment shrinkToFit="0" vertical="top" wrapText="1"/>
    </xf>
    <xf borderId="54" fillId="11" fontId="2" numFmtId="0" xfId="0" applyAlignment="1" applyBorder="1" applyFont="1">
      <alignment vertical="bottom"/>
    </xf>
    <xf borderId="38" fillId="11" fontId="2" numFmtId="164" xfId="0" applyAlignment="1" applyBorder="1" applyFont="1" applyNumberFormat="1">
      <alignment vertical="bottom"/>
    </xf>
    <xf borderId="0" fillId="4" fontId="6" numFmtId="0" xfId="0" applyAlignment="1" applyFont="1">
      <alignment horizontal="center" shrinkToFit="0" vertical="top" wrapText="1"/>
    </xf>
    <xf borderId="32" fillId="0" fontId="12" numFmtId="0" xfId="0" applyAlignment="1" applyBorder="1" applyFont="1">
      <alignment vertical="bottom"/>
    </xf>
    <xf borderId="0" fillId="4" fontId="15" numFmtId="0" xfId="0" applyAlignment="1" applyFont="1">
      <alignment horizontal="center" shrinkToFit="0" wrapText="1"/>
    </xf>
    <xf borderId="0" fillId="4" fontId="2" numFmtId="0" xfId="0" applyAlignment="1" applyFont="1">
      <alignment vertical="top"/>
    </xf>
    <xf borderId="0" fillId="4" fontId="2" numFmtId="0" xfId="0" applyAlignment="1" applyFont="1">
      <alignment shrinkToFit="0" vertical="top" wrapText="1"/>
    </xf>
    <xf borderId="0" fillId="4" fontId="2" numFmtId="9" xfId="0" applyAlignment="1" applyFont="1" applyNumberFormat="1">
      <alignment horizontal="right" vertical="bottom"/>
    </xf>
    <xf borderId="27" fillId="4" fontId="2" numFmtId="9" xfId="0" applyAlignment="1" applyBorder="1" applyFont="1" applyNumberFormat="1">
      <alignment horizontal="right" vertical="bottom"/>
    </xf>
    <xf borderId="27" fillId="4" fontId="2" numFmtId="10" xfId="0" applyAlignment="1" applyBorder="1" applyFont="1" applyNumberFormat="1">
      <alignment horizontal="right" vertical="bottom"/>
    </xf>
    <xf borderId="0" fillId="0" fontId="1" numFmtId="9" xfId="0" applyFont="1" applyNumberFormat="1"/>
    <xf borderId="0" fillId="0" fontId="1" numFmtId="10" xfId="0" applyFont="1" applyNumberFormat="1"/>
    <xf borderId="27" fillId="0" fontId="1" numFmtId="10" xfId="0" applyBorder="1" applyFont="1" applyNumberFormat="1"/>
    <xf borderId="25" fillId="4" fontId="2" numFmtId="9" xfId="0" applyAlignment="1" applyBorder="1" applyFont="1" applyNumberFormat="1">
      <alignment horizontal="right" vertical="bottom"/>
    </xf>
    <xf borderId="25" fillId="4" fontId="2" numFmtId="10" xfId="0" applyAlignment="1" applyBorder="1" applyFont="1" applyNumberFormat="1">
      <alignment horizontal="right" vertical="bottom"/>
    </xf>
    <xf borderId="26" fillId="4" fontId="2" numFmtId="10" xfId="0" applyAlignment="1" applyBorder="1" applyFont="1" applyNumberFormat="1">
      <alignment horizontal="right" vertical="bottom"/>
    </xf>
    <xf borderId="0" fillId="4" fontId="2" numFmtId="0" xfId="0" applyAlignment="1" applyFont="1">
      <alignment readingOrder="0" vertical="bottom"/>
    </xf>
    <xf borderId="45" fillId="4" fontId="2" numFmtId="0" xfId="0" applyAlignment="1" applyBorder="1" applyFont="1">
      <alignment readingOrder="0" vertical="bottom"/>
    </xf>
    <xf borderId="25" fillId="4" fontId="19" numFmtId="0" xfId="0" applyAlignment="1" applyBorder="1" applyFont="1">
      <alignment readingOrder="0" shrinkToFit="0" wrapText="1"/>
    </xf>
    <xf borderId="25" fillId="4" fontId="19" numFmtId="0" xfId="0" applyAlignment="1" applyBorder="1" applyFont="1">
      <alignment horizontal="left" readingOrder="0"/>
    </xf>
    <xf borderId="0" fillId="4" fontId="20" numFmtId="0" xfId="0" applyAlignment="1" applyFont="1">
      <alignment shrinkToFit="0" vertical="bottom" wrapText="1"/>
    </xf>
    <xf borderId="0" fillId="7" fontId="19" numFmtId="0" xfId="0" applyAlignment="1" applyFont="1">
      <alignment horizontal="left" readingOrder="0"/>
    </xf>
    <xf borderId="28" fillId="0" fontId="21" numFmtId="0" xfId="0" applyAlignment="1" applyBorder="1" applyFont="1">
      <alignment horizontal="center" vertical="center"/>
    </xf>
    <xf borderId="32" fillId="0" fontId="1" numFmtId="0" xfId="0" applyAlignment="1" applyBorder="1" applyFont="1">
      <alignment readingOrder="0"/>
    </xf>
    <xf borderId="0" fillId="4" fontId="0" numFmtId="10" xfId="0" applyFont="1" applyNumberFormat="1"/>
    <xf borderId="0" fillId="4" fontId="20" numFmtId="0" xfId="0" applyAlignment="1" applyFont="1">
      <alignment readingOrder="0" shrinkToFit="0" vertical="bottom" wrapText="1"/>
    </xf>
    <xf borderId="5" fillId="0" fontId="2" numFmtId="0" xfId="0" applyAlignment="1" applyBorder="1" applyFont="1">
      <alignment vertical="bottom"/>
    </xf>
    <xf borderId="34" fillId="0" fontId="1" numFmtId="0" xfId="0" applyAlignment="1" applyBorder="1" applyFont="1">
      <alignment readingOrder="0"/>
    </xf>
    <xf borderId="25" fillId="4" fontId="0" numFmtId="10" xfId="0" applyBorder="1" applyFont="1" applyNumberFormat="1"/>
    <xf borderId="25" fillId="0" fontId="1" numFmtId="10" xfId="0" applyBorder="1" applyFont="1" applyNumberFormat="1"/>
    <xf borderId="26" fillId="0" fontId="1" numFmtId="0" xfId="0" applyBorder="1" applyFont="1"/>
    <xf borderId="0" fillId="0" fontId="32" numFmtId="0" xfId="0" applyAlignment="1" applyFont="1">
      <alignment shrinkToFit="0" vertical="center" wrapText="0"/>
    </xf>
    <xf borderId="0" fillId="0" fontId="9" numFmtId="0" xfId="0" applyFont="1"/>
    <xf borderId="0" fillId="0" fontId="12" numFmtId="0" xfId="0" applyAlignment="1" applyFont="1">
      <alignment shrinkToFit="0" vertical="center" wrapText="0"/>
    </xf>
    <xf borderId="19" fillId="15" fontId="2" numFmtId="0" xfId="0" applyAlignment="1" applyBorder="1" applyFill="1" applyFont="1">
      <alignment vertical="bottom"/>
    </xf>
    <xf borderId="16" fillId="15" fontId="2" numFmtId="0" xfId="0" applyAlignment="1" applyBorder="1" applyFont="1">
      <alignment readingOrder="0" vertical="bottom"/>
    </xf>
    <xf borderId="0" fillId="0" fontId="2" numFmtId="0" xfId="0" applyAlignment="1" applyFont="1">
      <alignment readingOrder="0" vertical="bottom"/>
    </xf>
    <xf borderId="1" fillId="0" fontId="21" numFmtId="0" xfId="0" applyAlignment="1" applyBorder="1" applyFont="1">
      <alignment horizontal="center"/>
    </xf>
    <xf borderId="19" fillId="15" fontId="2" numFmtId="0" xfId="0" applyAlignment="1" applyBorder="1" applyFont="1">
      <alignment readingOrder="0" vertical="bottom"/>
    </xf>
    <xf borderId="19" fillId="15" fontId="33" numFmtId="0" xfId="0" applyAlignment="1" applyBorder="1" applyFont="1">
      <alignment readingOrder="0" vertical="bottom"/>
    </xf>
    <xf borderId="69" fillId="0" fontId="2" numFmtId="0" xfId="0" applyAlignment="1" applyBorder="1" applyFont="1">
      <alignment horizontal="right" vertical="bottom"/>
    </xf>
    <xf borderId="70" fillId="16" fontId="2" numFmtId="0" xfId="0" applyAlignment="1" applyBorder="1" applyFill="1" applyFont="1">
      <alignment vertical="bottom"/>
    </xf>
    <xf borderId="71" fillId="16" fontId="2" numFmtId="0" xfId="0" applyAlignment="1" applyBorder="1" applyFont="1">
      <alignment horizontal="center" readingOrder="0" vertical="bottom"/>
    </xf>
    <xf borderId="71" fillId="16" fontId="2" numFmtId="0" xfId="0" applyAlignment="1" applyBorder="1" applyFont="1">
      <alignment horizontal="center" readingOrder="0" vertical="center"/>
    </xf>
    <xf borderId="71" fillId="16" fontId="2" numFmtId="0" xfId="0" applyAlignment="1" applyBorder="1" applyFont="1">
      <alignment horizontal="right" readingOrder="0" vertical="bottom"/>
    </xf>
    <xf borderId="71" fillId="17" fontId="2" numFmtId="0" xfId="0" applyAlignment="1" applyBorder="1" applyFill="1" applyFont="1">
      <alignment horizontal="right" vertical="bottom"/>
    </xf>
    <xf borderId="71" fillId="18" fontId="2" numFmtId="0" xfId="0" applyAlignment="1" applyBorder="1" applyFill="1" applyFont="1">
      <alignment horizontal="right" vertical="bottom"/>
    </xf>
    <xf borderId="72" fillId="18" fontId="2" numFmtId="0" xfId="0" applyAlignment="1" applyBorder="1" applyFont="1">
      <alignment vertical="bottom"/>
    </xf>
    <xf borderId="69" fillId="0" fontId="2" numFmtId="0" xfId="0" applyAlignment="1" applyBorder="1" applyFont="1">
      <alignment vertical="bottom"/>
    </xf>
    <xf borderId="71" fillId="0" fontId="2" numFmtId="0" xfId="0" applyAlignment="1" applyBorder="1" applyFont="1">
      <alignment vertical="bottom"/>
    </xf>
    <xf borderId="73" fillId="12" fontId="2" numFmtId="0" xfId="0" applyAlignment="1" applyBorder="1" applyFont="1">
      <alignment horizontal="center" vertical="bottom"/>
    </xf>
    <xf borderId="74" fillId="0" fontId="4" numFmtId="0" xfId="0" applyBorder="1" applyFont="1"/>
    <xf borderId="75" fillId="0" fontId="2" numFmtId="0" xfId="0" applyAlignment="1" applyBorder="1" applyFont="1">
      <alignment horizontal="right" vertical="bottom"/>
    </xf>
    <xf borderId="70" fillId="16" fontId="2" numFmtId="0" xfId="0" applyAlignment="1" applyBorder="1" applyFont="1">
      <alignment horizontal="right" readingOrder="0" vertical="bottom"/>
    </xf>
    <xf borderId="75" fillId="12" fontId="2" numFmtId="0" xfId="0" applyAlignment="1" applyBorder="1" applyFont="1">
      <alignment vertical="bottom"/>
    </xf>
    <xf borderId="70" fillId="0" fontId="2" numFmtId="0" xfId="0" applyAlignment="1" applyBorder="1" applyFont="1">
      <alignment horizontal="right" vertical="bottom"/>
    </xf>
    <xf borderId="70" fillId="0" fontId="2" numFmtId="10" xfId="0" applyAlignment="1" applyBorder="1" applyFont="1" applyNumberFormat="1">
      <alignment horizontal="right" vertical="bottom"/>
    </xf>
    <xf borderId="76" fillId="0" fontId="2" numFmtId="10" xfId="0" applyAlignment="1" applyBorder="1" applyFont="1" applyNumberFormat="1">
      <alignment horizontal="center" vertical="bottom"/>
    </xf>
    <xf borderId="76" fillId="12" fontId="2" numFmtId="0" xfId="0" applyAlignment="1" applyBorder="1" applyFont="1">
      <alignment horizontal="center" vertical="bottom"/>
    </xf>
    <xf borderId="75" fillId="12" fontId="2" numFmtId="0" xfId="0" applyAlignment="1" applyBorder="1" applyFont="1">
      <alignment readingOrder="0" vertical="bottom"/>
    </xf>
    <xf borderId="75" fillId="12" fontId="2" numFmtId="0" xfId="0" applyBorder="1" applyFont="1"/>
    <xf borderId="76" fillId="0" fontId="2" numFmtId="0" xfId="0" applyAlignment="1" applyBorder="1" applyFont="1">
      <alignment horizontal="center" vertical="bottom"/>
    </xf>
    <xf borderId="77" fillId="4" fontId="2" numFmtId="0" xfId="0" applyAlignment="1" applyBorder="1" applyFont="1">
      <alignment vertical="bottom"/>
    </xf>
    <xf borderId="78" fillId="0" fontId="4" numFmtId="0" xfId="0" applyBorder="1" applyFont="1"/>
    <xf borderId="79" fillId="0" fontId="4" numFmtId="0" xfId="0" applyBorder="1" applyFont="1"/>
    <xf borderId="75" fillId="12" fontId="2" numFmtId="0" xfId="0" applyAlignment="1" applyBorder="1" applyFont="1">
      <alignment readingOrder="0"/>
    </xf>
    <xf borderId="80" fillId="0" fontId="2" numFmtId="0" xfId="0" applyAlignment="1" applyBorder="1" applyFont="1">
      <alignment shrinkToFit="0" wrapText="1"/>
    </xf>
    <xf borderId="77" fillId="0" fontId="23" numFmtId="0" xfId="0" applyAlignment="1" applyBorder="1" applyFont="1">
      <alignment horizontal="center"/>
    </xf>
    <xf borderId="71" fillId="18" fontId="2" numFmtId="0" xfId="0" applyAlignment="1" applyBorder="1" applyFont="1">
      <alignment vertical="bottom"/>
    </xf>
    <xf borderId="81" fillId="0" fontId="4" numFmtId="0" xfId="0" applyBorder="1" applyFont="1"/>
    <xf borderId="82" fillId="0" fontId="4" numFmtId="0" xfId="0" applyBorder="1" applyFont="1"/>
    <xf borderId="83" fillId="0" fontId="2" numFmtId="0" xfId="0" applyAlignment="1" applyBorder="1" applyFont="1">
      <alignment horizontal="right" vertical="bottom"/>
    </xf>
    <xf borderId="84" fillId="16" fontId="2" numFmtId="0" xfId="0" applyAlignment="1" applyBorder="1" applyFont="1">
      <alignment vertical="bottom"/>
    </xf>
    <xf borderId="85" fillId="16" fontId="2" numFmtId="0" xfId="0" applyAlignment="1" applyBorder="1" applyFont="1">
      <alignment horizontal="center" readingOrder="0" vertical="bottom"/>
    </xf>
    <xf borderId="85" fillId="16" fontId="2" numFmtId="0" xfId="0" applyAlignment="1" applyBorder="1" applyFont="1">
      <alignment horizontal="center" readingOrder="0" vertical="center"/>
    </xf>
    <xf borderId="84" fillId="16" fontId="2" numFmtId="0" xfId="0" applyAlignment="1" applyBorder="1" applyFont="1">
      <alignment horizontal="right" readingOrder="0" vertical="bottom"/>
    </xf>
    <xf borderId="85" fillId="17" fontId="2" numFmtId="0" xfId="0" applyAlignment="1" applyBorder="1" applyFont="1">
      <alignment horizontal="right" vertical="bottom"/>
    </xf>
    <xf borderId="85" fillId="18" fontId="2" numFmtId="0" xfId="0" applyAlignment="1" applyBorder="1" applyFont="1">
      <alignment vertical="bottom"/>
    </xf>
    <xf borderId="86" fillId="18" fontId="2" numFmtId="0" xfId="0" applyAlignment="1" applyBorder="1" applyFont="1">
      <alignment vertical="bottom"/>
    </xf>
    <xf borderId="0" fillId="0" fontId="2" numFmtId="0" xfId="0" applyAlignment="1" applyFont="1">
      <alignment horizontal="right" vertical="bottom"/>
    </xf>
    <xf borderId="87" fillId="19" fontId="16" numFmtId="0" xfId="0" applyAlignment="1" applyBorder="1" applyFill="1" applyFont="1">
      <alignment readingOrder="0" vertical="bottom"/>
    </xf>
    <xf borderId="88" fillId="19" fontId="16" numFmtId="0" xfId="0" applyAlignment="1" applyBorder="1" applyFont="1">
      <alignment horizontal="right" vertical="bottom"/>
    </xf>
    <xf borderId="8" fillId="5" fontId="16" numFmtId="0" xfId="0" applyAlignment="1" applyBorder="1" applyFont="1">
      <alignment horizontal="center" vertical="bottom"/>
    </xf>
    <xf borderId="7" fillId="5" fontId="16" numFmtId="0" xfId="0" applyAlignment="1" applyBorder="1" applyFont="1">
      <alignment vertical="bottom"/>
    </xf>
    <xf borderId="7" fillId="5" fontId="16" numFmtId="0" xfId="0" applyAlignment="1" applyBorder="1" applyFont="1">
      <alignment readingOrder="0" vertical="bottom"/>
    </xf>
    <xf borderId="5" fillId="4" fontId="2" numFmtId="0" xfId="0" applyAlignment="1" applyBorder="1" applyFont="1">
      <alignment horizontal="center" vertical="bottom"/>
    </xf>
    <xf borderId="0" fillId="0" fontId="2" numFmtId="0" xfId="0" applyAlignment="1" applyFont="1">
      <alignment vertical="bottom"/>
    </xf>
    <xf borderId="0" fillId="0" fontId="1" numFmtId="0" xfId="0" applyFont="1"/>
    <xf borderId="0" fillId="0" fontId="1" numFmtId="0" xfId="0" applyAlignment="1" applyFont="1">
      <alignment readingOrder="0"/>
    </xf>
    <xf borderId="5" fillId="20" fontId="2" numFmtId="0" xfId="0" applyAlignment="1" applyBorder="1" applyFill="1" applyFont="1">
      <alignment horizontal="center" vertical="bottom"/>
    </xf>
    <xf borderId="0" fillId="0" fontId="1" numFmtId="0" xfId="0" applyFont="1"/>
    <xf borderId="0" fillId="0" fontId="2" numFmtId="0" xfId="0" applyAlignment="1" applyFont="1">
      <alignment readingOrder="0" vertical="bottom"/>
    </xf>
    <xf borderId="5" fillId="4" fontId="2" numFmtId="0" xfId="0" applyAlignment="1" applyBorder="1" applyFont="1">
      <alignment vertical="bottom"/>
    </xf>
    <xf borderId="5" fillId="20" fontId="2" numFmtId="0" xfId="0" applyAlignment="1" applyBorder="1" applyFont="1">
      <alignment vertical="bottom"/>
    </xf>
    <xf borderId="0" fillId="0" fontId="2" numFmtId="0" xfId="0" applyAlignment="1" applyFont="1">
      <alignment vertical="bottom"/>
    </xf>
    <xf borderId="5" fillId="20" fontId="2" numFmtId="0" xfId="0" applyAlignment="1" applyBorder="1" applyFont="1">
      <alignment readingOrder="0" vertical="bottom"/>
    </xf>
    <xf borderId="0" fillId="4" fontId="2" numFmtId="0" xfId="0" applyAlignment="1" applyFont="1">
      <alignment vertical="bottom"/>
    </xf>
    <xf borderId="0" fillId="20" fontId="2" numFmtId="0" xfId="0" applyAlignment="1" applyFont="1">
      <alignment vertical="bottom"/>
    </xf>
    <xf borderId="7" fillId="5" fontId="16" numFmtId="0" xfId="0" applyAlignment="1" applyBorder="1" applyFont="1">
      <alignment vertical="bottom"/>
    </xf>
    <xf borderId="7" fillId="21" fontId="16" numFmtId="0" xfId="0" applyAlignment="1" applyBorder="1" applyFill="1" applyFont="1">
      <alignment readingOrder="0" vertical="bottom"/>
    </xf>
    <xf borderId="7" fillId="21" fontId="16" numFmtId="0" xfId="0" applyAlignment="1" applyBorder="1" applyFont="1">
      <alignment vertical="bottom"/>
    </xf>
    <xf borderId="0" fillId="4" fontId="2" numFmtId="0" xfId="0" applyAlignment="1" applyFont="1">
      <alignment vertical="bottom"/>
    </xf>
    <xf borderId="0" fillId="20" fontId="2" numFmtId="0" xfId="0" applyAlignment="1" applyFont="1">
      <alignment vertical="bottom"/>
    </xf>
    <xf borderId="0" fillId="20" fontId="2" numFmtId="0" xfId="0" applyAlignment="1" applyFont="1">
      <alignment readingOrder="0" vertical="bottom"/>
    </xf>
    <xf borderId="0" fillId="0" fontId="34" numFmtId="0" xfId="0" applyAlignment="1" applyFont="1">
      <alignment readingOrder="0"/>
    </xf>
    <xf borderId="0" fillId="0" fontId="35" numFmtId="0" xfId="0" applyAlignment="1" applyFont="1">
      <alignment readingOrder="0"/>
    </xf>
    <xf borderId="0" fillId="0" fontId="12" numFmtId="0" xfId="0" applyAlignment="1" applyFont="1">
      <alignment readingOrder="0"/>
    </xf>
    <xf borderId="0" fillId="0" fontId="5" numFmtId="0" xfId="0" applyAlignment="1" applyFont="1">
      <alignment readingOrder="0"/>
    </xf>
    <xf borderId="0" fillId="0" fontId="1" numFmtId="0" xfId="0" applyFont="1"/>
    <xf borderId="7" fillId="0" fontId="2" numFmtId="0" xfId="0" applyAlignment="1" applyBorder="1" applyFont="1">
      <alignment readingOrder="0" vertical="bottom"/>
    </xf>
    <xf borderId="7" fillId="0" fontId="2" numFmtId="0" xfId="0" applyAlignment="1" applyBorder="1" applyFont="1">
      <alignment vertical="bottom"/>
    </xf>
    <xf borderId="28" fillId="4" fontId="2" numFmtId="0" xfId="0" applyAlignment="1" applyBorder="1" applyFont="1">
      <alignment vertical="bottom"/>
    </xf>
    <xf borderId="29" fillId="4" fontId="2" numFmtId="0" xfId="0" applyAlignment="1" applyBorder="1" applyFont="1">
      <alignment horizontal="right" vertical="bottom"/>
    </xf>
    <xf borderId="30" fillId="4" fontId="2" numFmtId="0" xfId="0" applyAlignment="1" applyBorder="1" applyFont="1">
      <alignment horizontal="right" vertical="bottom"/>
    </xf>
    <xf borderId="4" fillId="0" fontId="2" numFmtId="0" xfId="0" applyAlignment="1" applyBorder="1" applyFont="1">
      <alignment readingOrder="0" vertical="bottom"/>
    </xf>
    <xf borderId="79" fillId="0" fontId="1" numFmtId="0" xfId="0" applyAlignment="1" applyBorder="1" applyFont="1">
      <alignment readingOrder="0"/>
    </xf>
    <xf borderId="79" fillId="0" fontId="2" numFmtId="0" xfId="0" applyAlignment="1" applyBorder="1" applyFont="1">
      <alignment readingOrder="0" vertical="bottom"/>
    </xf>
    <xf borderId="89" fillId="0" fontId="2" numFmtId="0" xfId="0" applyAlignment="1" applyBorder="1" applyFont="1">
      <alignment vertical="bottom"/>
    </xf>
    <xf borderId="32" fillId="4" fontId="16" numFmtId="0" xfId="0" applyAlignment="1" applyBorder="1" applyFont="1">
      <alignment vertical="bottom"/>
    </xf>
    <xf borderId="0" fillId="4" fontId="16" numFmtId="9" xfId="0" applyAlignment="1" applyFont="1" applyNumberFormat="1">
      <alignment horizontal="right" vertical="bottom"/>
    </xf>
    <xf borderId="0" fillId="4" fontId="36" numFmtId="9" xfId="0" applyAlignment="1" applyFont="1" applyNumberFormat="1">
      <alignment horizontal="right" vertical="bottom"/>
    </xf>
    <xf borderId="27" fillId="4" fontId="36" numFmtId="9" xfId="0" applyAlignment="1" applyBorder="1" applyFont="1" applyNumberFormat="1">
      <alignment horizontal="right" vertical="bottom"/>
    </xf>
    <xf borderId="4" fillId="0" fontId="2" numFmtId="0" xfId="0" applyAlignment="1" applyBorder="1" applyFont="1">
      <alignment readingOrder="0" shrinkToFit="0" vertical="bottom" wrapText="0"/>
    </xf>
    <xf borderId="79" fillId="0" fontId="2" numFmtId="0" xfId="0" applyAlignment="1" applyBorder="1" applyFont="1">
      <alignment readingOrder="0" shrinkToFit="0" vertical="bottom" wrapText="0"/>
    </xf>
    <xf borderId="27" fillId="4" fontId="16" numFmtId="9" xfId="0" applyAlignment="1" applyBorder="1" applyFont="1" applyNumberFormat="1">
      <alignment horizontal="right" vertical="bottom"/>
    </xf>
    <xf borderId="4" fillId="0" fontId="1" numFmtId="0" xfId="0" applyBorder="1" applyFont="1"/>
    <xf borderId="79" fillId="0" fontId="1" numFmtId="0" xfId="0" applyBorder="1" applyFont="1"/>
    <xf borderId="79" fillId="0" fontId="2" numFmtId="0" xfId="0" applyAlignment="1" applyBorder="1" applyFont="1">
      <alignment vertical="bottom"/>
    </xf>
    <xf borderId="27" fillId="4" fontId="16" numFmtId="10" xfId="0" applyAlignment="1" applyBorder="1" applyFont="1" applyNumberFormat="1">
      <alignment horizontal="right" vertical="bottom"/>
    </xf>
    <xf borderId="32" fillId="4" fontId="37" numFmtId="0" xfId="0" applyAlignment="1" applyBorder="1" applyFont="1">
      <alignment vertical="bottom"/>
    </xf>
    <xf borderId="0" fillId="4" fontId="2" numFmtId="167" xfId="0" applyAlignment="1" applyFont="1" applyNumberFormat="1">
      <alignment horizontal="right" vertical="bottom"/>
    </xf>
    <xf borderId="27" fillId="4" fontId="16" numFmtId="167" xfId="0" applyAlignment="1" applyBorder="1" applyFont="1" applyNumberFormat="1">
      <alignment horizontal="right" vertical="bottom"/>
    </xf>
    <xf borderId="4" fillId="0" fontId="2" numFmtId="0" xfId="0" applyAlignment="1" applyBorder="1" applyFont="1">
      <alignment vertical="bottom"/>
    </xf>
    <xf borderId="34" fillId="4" fontId="37" numFmtId="0" xfId="0" applyAlignment="1" applyBorder="1" applyFont="1">
      <alignment vertical="bottom"/>
    </xf>
    <xf borderId="25" fillId="4" fontId="36" numFmtId="9" xfId="0" applyAlignment="1" applyBorder="1" applyFont="1" applyNumberFormat="1">
      <alignment horizontal="right" vertical="bottom"/>
    </xf>
    <xf borderId="26" fillId="4" fontId="16" numFmtId="10" xfId="0" applyAlignment="1" applyBorder="1" applyFont="1" applyNumberFormat="1">
      <alignment horizontal="right" vertical="bottom"/>
    </xf>
    <xf quotePrefix="1" borderId="30" fillId="4" fontId="2" numFmtId="0" xfId="0" applyAlignment="1" applyBorder="1" applyFont="1">
      <alignment horizontal="right" vertical="bottom"/>
    </xf>
    <xf borderId="27" fillId="4" fontId="16" numFmtId="164" xfId="0" applyAlignment="1" applyBorder="1" applyFont="1" applyNumberFormat="1">
      <alignment horizontal="right" vertical="bottom"/>
    </xf>
    <xf borderId="26" fillId="4" fontId="16" numFmtId="164" xfId="0" applyAlignment="1" applyBorder="1" applyFont="1" applyNumberFormat="1">
      <alignment horizontal="right" vertical="bottom"/>
    </xf>
    <xf borderId="0" fillId="4" fontId="16" numFmtId="164" xfId="0" applyAlignment="1" applyFont="1" applyNumberFormat="1">
      <alignment horizontal="right" vertical="bottom"/>
    </xf>
    <xf borderId="25" fillId="4" fontId="16" numFmtId="164" xfId="0" applyAlignment="1" applyBorder="1" applyFont="1" applyNumberFormat="1">
      <alignment horizontal="right" vertical="bottom"/>
    </xf>
    <xf borderId="0" fillId="4" fontId="16" numFmtId="9" xfId="0" applyAlignment="1" applyFont="1" applyNumberFormat="1">
      <alignment horizontal="right" readingOrder="0" vertical="bottom"/>
    </xf>
    <xf borderId="27" fillId="4" fontId="16" numFmtId="9" xfId="0" applyAlignment="1" applyBorder="1" applyFont="1" applyNumberFormat="1">
      <alignment horizontal="right" readingOrder="0" vertical="bottom"/>
    </xf>
    <xf borderId="0" fillId="4" fontId="2" numFmtId="9" xfId="0" applyAlignment="1" applyFont="1" applyNumberFormat="1">
      <alignment horizontal="right" readingOrder="0" vertical="bottom"/>
    </xf>
    <xf borderId="27" fillId="4" fontId="16" numFmtId="10" xfId="0" applyAlignment="1" applyBorder="1" applyFont="1" applyNumberFormat="1">
      <alignment horizontal="right" readingOrder="0" vertical="bottom"/>
    </xf>
    <xf borderId="0" fillId="4" fontId="2" numFmtId="167" xfId="0" applyAlignment="1" applyFont="1" applyNumberFormat="1">
      <alignment horizontal="right" readingOrder="0" vertical="bottom"/>
    </xf>
    <xf borderId="32" fillId="4" fontId="38" numFmtId="0" xfId="0" applyAlignment="1" applyBorder="1" applyFont="1">
      <alignment vertical="bottom"/>
    </xf>
    <xf borderId="27" fillId="4" fontId="16" numFmtId="164" xfId="0" applyAlignment="1" applyBorder="1" applyFont="1" applyNumberFormat="1">
      <alignment horizontal="right" readingOrder="0" vertical="bottom"/>
    </xf>
    <xf borderId="26" fillId="4" fontId="16" numFmtId="164" xfId="0" applyAlignment="1" applyBorder="1" applyFont="1" applyNumberFormat="1">
      <alignment horizontal="right" readingOrder="0" vertical="bottom"/>
    </xf>
    <xf borderId="0" fillId="4" fontId="16" numFmtId="10" xfId="0" applyAlignment="1" applyFont="1" applyNumberFormat="1">
      <alignment horizontal="right" vertical="bottom"/>
    </xf>
    <xf borderId="25" fillId="4" fontId="2" numFmtId="0" xfId="0" applyAlignment="1" applyBorder="1" applyFont="1">
      <alignment vertical="bottom"/>
    </xf>
    <xf borderId="7" fillId="0" fontId="1" numFmtId="0" xfId="0" applyAlignment="1" applyBorder="1" applyFont="1">
      <alignment readingOrder="0"/>
    </xf>
    <xf borderId="70" fillId="0" fontId="1" numFmtId="0" xfId="0" applyAlignment="1" applyBorder="1" applyFont="1">
      <alignment readingOrder="0"/>
    </xf>
    <xf borderId="0" fillId="8" fontId="2" numFmtId="0" xfId="0" applyAlignment="1" applyFont="1">
      <alignment vertical="bottom"/>
    </xf>
    <xf borderId="77" fillId="0" fontId="1" numFmtId="0" xfId="0" applyAlignment="1" applyBorder="1" applyFont="1">
      <alignment shrinkToFit="0" wrapText="1"/>
    </xf>
    <xf borderId="90" fillId="0" fontId="4" numFmtId="0" xfId="0" applyBorder="1" applyFont="1"/>
    <xf borderId="89" fillId="0" fontId="4" numFmtId="0" xfId="0" applyBorder="1" applyFont="1"/>
    <xf borderId="0" fillId="11" fontId="2" numFmtId="0" xfId="0" applyAlignment="1" applyFont="1">
      <alignment vertical="bottom"/>
    </xf>
    <xf borderId="73" fillId="0" fontId="4" numFmtId="0" xfId="0" applyBorder="1" applyFont="1"/>
    <xf borderId="91" fillId="0" fontId="4" numFmtId="0" xfId="0" applyBorder="1" applyFont="1"/>
    <xf borderId="0" fillId="12" fontId="2" numFmtId="0" xfId="0" applyAlignment="1" applyFont="1">
      <alignment vertical="bottom"/>
    </xf>
    <xf borderId="77" fillId="0" fontId="1" numFmtId="0" xfId="0" applyAlignment="1" applyBorder="1" applyFont="1">
      <alignment readingOrder="0" shrinkToFit="0" wrapText="1"/>
    </xf>
    <xf borderId="0" fillId="13" fontId="2" numFmtId="0" xfId="0" applyAlignment="1" applyFont="1">
      <alignment vertical="bottom"/>
    </xf>
    <xf borderId="0" fillId="0" fontId="1" numFmtId="0" xfId="0" applyAlignment="1" applyFont="1">
      <alignment shrinkToFit="0" wrapText="1"/>
    </xf>
    <xf borderId="0" fillId="12" fontId="2" numFmtId="0" xfId="0" applyAlignment="1" applyFont="1">
      <alignment horizontal="center" readingOrder="0"/>
    </xf>
    <xf borderId="0" fillId="11" fontId="2" numFmtId="0" xfId="0" applyAlignment="1" applyFont="1">
      <alignment horizontal="center" readingOrder="0"/>
    </xf>
    <xf borderId="0" fillId="12" fontId="2" numFmtId="0" xfId="0" applyAlignment="1" applyFont="1">
      <alignment horizontal="center"/>
    </xf>
    <xf borderId="0" fillId="8" fontId="2" numFmtId="0" xfId="0" applyAlignment="1" applyFont="1">
      <alignment horizontal="center"/>
    </xf>
  </cellXfs>
  <cellStyles count="1">
    <cellStyle xfId="0" name="Normal" builtinId="0"/>
  </cellStyles>
  <dxfs count="26">
    <dxf>
      <font/>
      <fill>
        <patternFill patternType="solid">
          <fgColor rgb="FFF4CCCC"/>
          <bgColor rgb="FFF4CCCC"/>
        </patternFill>
      </fill>
      <border/>
    </dxf>
    <dxf>
      <font/>
      <fill>
        <patternFill patternType="solid">
          <fgColor rgb="FFB7E1CD"/>
          <bgColor rgb="FFB7E1CD"/>
        </patternFill>
      </fill>
      <border/>
    </dxf>
    <dxf>
      <font/>
      <fill>
        <patternFill patternType="solid">
          <fgColor rgb="FFB4A7D6"/>
          <bgColor rgb="FFB4A7D6"/>
        </patternFill>
      </fill>
      <border/>
    </dxf>
    <dxf>
      <font/>
      <fill>
        <patternFill patternType="solid">
          <fgColor rgb="FF8E7CC3"/>
          <bgColor rgb="FF8E7CC3"/>
        </patternFill>
      </fill>
      <border/>
    </dxf>
    <dxf>
      <font/>
      <fill>
        <patternFill patternType="solid">
          <fgColor rgb="FFB6D7A8"/>
          <bgColor rgb="FFB6D7A8"/>
        </patternFill>
      </fill>
      <border/>
    </dxf>
    <dxf>
      <font/>
      <fill>
        <patternFill patternType="solid">
          <fgColor rgb="FFD9D9D9"/>
          <bgColor rgb="FFD9D9D9"/>
        </patternFill>
      </fill>
      <border/>
    </dxf>
    <dxf>
      <font/>
      <fill>
        <patternFill patternType="solid">
          <fgColor rgb="FFF1C232"/>
          <bgColor rgb="FFF1C232"/>
        </patternFill>
      </fill>
      <border/>
    </dxf>
    <dxf>
      <font/>
      <fill>
        <patternFill patternType="solid">
          <fgColor rgb="FFF6B26B"/>
          <bgColor rgb="FFF6B26B"/>
        </patternFill>
      </fill>
      <border/>
    </dxf>
    <dxf>
      <font/>
      <fill>
        <patternFill patternType="solid">
          <fgColor rgb="FFFFE599"/>
          <bgColor rgb="FFFFE599"/>
        </patternFill>
      </fill>
      <border/>
    </dxf>
    <dxf>
      <font/>
      <fill>
        <patternFill patternType="solid">
          <fgColor rgb="FFFFC1EA"/>
          <bgColor rgb="FFFFC1EA"/>
        </patternFill>
      </fill>
      <border/>
    </dxf>
    <dxf>
      <font/>
      <fill>
        <patternFill patternType="solid">
          <fgColor rgb="FF9FC5E8"/>
          <bgColor rgb="FF9FC5E8"/>
        </patternFill>
      </fill>
      <border/>
    </dxf>
    <dxf>
      <font/>
      <fill>
        <patternFill patternType="solid">
          <fgColor rgb="FFFFD966"/>
          <bgColor rgb="FFFFD966"/>
        </patternFill>
      </fill>
      <border/>
    </dxf>
    <dxf>
      <font/>
      <fill>
        <patternFill patternType="solid">
          <fgColor rgb="FF00FFFF"/>
          <bgColor rgb="FF00FFFF"/>
        </patternFill>
      </fill>
      <border/>
    </dxf>
    <dxf>
      <font/>
      <fill>
        <patternFill patternType="none"/>
      </fill>
      <border/>
    </dxf>
    <dxf>
      <font/>
      <fill>
        <patternFill patternType="solid">
          <fgColor rgb="FFCCA677"/>
          <bgColor rgb="FFCCA677"/>
        </patternFill>
      </fill>
      <border/>
    </dxf>
    <dxf>
      <font/>
      <fill>
        <patternFill patternType="solid">
          <fgColor rgb="FFFFFFFF"/>
          <bgColor rgb="FFFFFFFF"/>
        </patternFill>
      </fill>
      <border/>
    </dxf>
    <dxf>
      <font/>
      <fill>
        <patternFill patternType="solid">
          <fgColor rgb="FFF8F2EB"/>
          <bgColor rgb="FFF8F2EB"/>
        </patternFill>
      </fill>
      <border/>
    </dxf>
    <dxf>
      <font/>
      <fill>
        <patternFill patternType="solid">
          <fgColor rgb="FFD9EAD3"/>
          <bgColor rgb="FFD9EAD3"/>
        </patternFill>
      </fill>
      <border/>
    </dxf>
    <dxf>
      <font/>
      <fill>
        <patternFill patternType="solid">
          <fgColor rgb="FFD9D2E9"/>
          <bgColor rgb="FFD9D2E9"/>
        </patternFill>
      </fill>
      <border/>
    </dxf>
    <dxf>
      <font/>
      <fill>
        <patternFill patternType="solid">
          <fgColor rgb="FFFFF2CC"/>
          <bgColor rgb="FFFFF2CC"/>
        </patternFill>
      </fill>
      <border/>
    </dxf>
    <dxf>
      <font/>
      <fill>
        <patternFill patternType="solid">
          <fgColor rgb="FFFCE5CD"/>
          <bgColor rgb="FFFCE5CD"/>
        </patternFill>
      </fill>
      <border/>
    </dxf>
    <dxf>
      <font/>
      <fill>
        <patternFill patternType="solid">
          <fgColor rgb="FFF3F3F3"/>
          <bgColor rgb="FFF3F3F3"/>
        </patternFill>
      </fill>
      <border/>
    </dxf>
    <dxf>
      <font/>
      <fill>
        <patternFill patternType="solid">
          <fgColor rgb="FFC9DAF8"/>
          <bgColor rgb="FFC9DAF8"/>
        </patternFill>
      </fill>
      <border/>
    </dxf>
    <dxf>
      <font/>
      <fill>
        <patternFill patternType="solid">
          <fgColor rgb="FFF9CB9C"/>
          <bgColor rgb="FFF9CB9C"/>
        </patternFill>
      </fill>
      <border/>
    </dxf>
    <dxf>
      <font/>
      <fill>
        <patternFill patternType="solid">
          <fgColor rgb="FFEA9999"/>
          <bgColor rgb="FFEA9999"/>
        </patternFill>
      </fill>
      <border/>
    </dxf>
    <dxf>
      <font/>
      <fill>
        <patternFill patternType="solid">
          <fgColor rgb="FFE06666"/>
          <bgColor rgb="FFE06666"/>
        </patternFill>
      </fill>
      <border/>
    </dxf>
  </dxfs>
  <tableStyles count="9">
    <tableStyle count="3" pivot="0" name="HOME-style">
      <tableStyleElement dxfId="14" type="headerRow"/>
      <tableStyleElement dxfId="15" type="firstRowStripe"/>
      <tableStyleElement dxfId="16" type="secondRowStripe"/>
    </tableStyle>
    <tableStyle count="3" pivot="0" name="HOME-style 2">
      <tableStyleElement dxfId="14" type="headerRow"/>
      <tableStyleElement dxfId="15" type="firstRowStripe"/>
      <tableStyleElement dxfId="16" type="secondRowStripe"/>
    </tableStyle>
    <tableStyle count="3" pivot="0" name="HOME-style 3">
      <tableStyleElement dxfId="14" type="headerRow"/>
      <tableStyleElement dxfId="15" type="firstRowStripe"/>
      <tableStyleElement dxfId="16" type="secondRowStripe"/>
    </tableStyle>
    <tableStyle count="2" pivot="0" name="Mythical Island-style">
      <tableStyleElement dxfId="15" type="firstRowStripe"/>
      <tableStyleElement dxfId="16" type="secondRowStripe"/>
    </tableStyle>
    <tableStyle count="2" pivot="0" name="Space-Time Smackdown-style">
      <tableStyleElement dxfId="15" type="firstRowStripe"/>
      <tableStyleElement dxfId="16" type="secondRowStripe"/>
    </tableStyle>
    <tableStyle count="2" pivot="0" name="Triumphant Light-style">
      <tableStyleElement dxfId="15" type="firstRowStripe"/>
      <tableStyleElement dxfId="16" type="secondRowStripe"/>
    </tableStyle>
    <tableStyle count="2" pivot="0" name="Shining Revelry-style">
      <tableStyleElement dxfId="15" type="firstRowStripe"/>
      <tableStyleElement dxfId="16" type="secondRowStripe"/>
    </tableStyle>
    <tableStyle count="3" pivot="0" name="PointerTest-style">
      <tableStyleElement dxfId="14" type="headerRow"/>
      <tableStyleElement dxfId="15" type="firstRowStripe"/>
      <tableStyleElement dxfId="16" type="secondRowStripe"/>
    </tableStyle>
    <tableStyle count="3" pivot="0" name="language&amp;DataTest-style">
      <tableStyleElement dxfId="14" type="headerRow"/>
      <tableStyleElement dxfId="15" type="firstRowStripe"/>
      <tableStyleElement dxfId="16"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M11:N13" displayName="Table_1" name="Table_1" id="1">
  <tableColumns count="2">
    <tableColumn name="Column1" id="1"/>
    <tableColumn name="Column2" id="2"/>
  </tableColumns>
  <tableStyleInfo name="HOME-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24:A25" displayName="Table_2" name="Table_2" id="2">
  <tableColumns count="1">
    <tableColumn name="Language" id="1"/>
  </tableColumns>
  <tableStyleInfo name="HOME-style 2" showColumnStripes="0" showFirstColumn="1" showLastColumn="1" showRowStripes="1"/>
</table>
</file>

<file path=xl/tables/table3.xml><?xml version="1.0" encoding="utf-8"?>
<table xmlns="http://schemas.openxmlformats.org/spreadsheetml/2006/main" ref="A26:A27" displayName="Table_3" name="Table_3" id="3">
  <tableColumns count="1">
    <tableColumn name="Use 2 cards as minimum" id="1"/>
  </tableColumns>
  <tableStyleInfo name="HOME-style 3" showColumnStripes="0" showFirstColumn="1" showLastColumn="1" showRowStripes="1"/>
</table>
</file>

<file path=xl/tables/table4.xml><?xml version="1.0" encoding="utf-8"?>
<table xmlns="http://schemas.openxmlformats.org/spreadsheetml/2006/main" headerRowCount="0" ref="B2:B87" displayName="Table_4" name="Table_4" id="4">
  <tableColumns count="1">
    <tableColumn name="Column1" id="1"/>
  </tableColumns>
  <tableStyleInfo name="Mythical Island-style" showColumnStripes="0" showFirstColumn="1" showLastColumn="1" showRowStripes="1"/>
</table>
</file>

<file path=xl/tables/table5.xml><?xml version="1.0" encoding="utf-8"?>
<table xmlns="http://schemas.openxmlformats.org/spreadsheetml/2006/main" headerRowCount="0" ref="B2:B208" displayName="Table_5" name="Table_5" id="5">
  <tableColumns count="1">
    <tableColumn name="Column1" id="1"/>
  </tableColumns>
  <tableStyleInfo name="Space-Time Smackdown-style" showColumnStripes="0" showFirstColumn="1" showLastColumn="1" showRowStripes="1"/>
</table>
</file>

<file path=xl/tables/table6.xml><?xml version="1.0" encoding="utf-8"?>
<table xmlns="http://schemas.openxmlformats.org/spreadsheetml/2006/main" headerRowCount="0" ref="B2:B97" displayName="Table_6" name="Table_6" id="6">
  <tableColumns count="1">
    <tableColumn name="Column1" id="1"/>
  </tableColumns>
  <tableStyleInfo name="Triumphant Light-style" showColumnStripes="0" showFirstColumn="1" showLastColumn="1" showRowStripes="1"/>
</table>
</file>

<file path=xl/tables/table7.xml><?xml version="1.0" encoding="utf-8"?>
<table xmlns="http://schemas.openxmlformats.org/spreadsheetml/2006/main" headerRowCount="0" ref="B2:B112" displayName="Table_7" name="Table_7" id="7">
  <tableColumns count="1">
    <tableColumn name="Column1" id="1"/>
  </tableColumns>
  <tableStyleInfo name="Shining Revelry-style" showColumnStripes="0" showFirstColumn="1" showLastColumn="1" showRowStripes="1"/>
</table>
</file>

<file path=xl/tables/table8.xml><?xml version="1.0" encoding="utf-8"?>
<table xmlns="http://schemas.openxmlformats.org/spreadsheetml/2006/main" ref="A1:F1033" displayName="Table_8" name="Table_8" id="8">
  <tableColumns count="6">
    <tableColumn name="ID" id="1"/>
    <tableColumn name="Booster Card ID" id="2"/>
    <tableColumn name="Prefix" id="3"/>
    <tableColumn name="Name" id="4"/>
    <tableColumn name="Suffix" id="5"/>
    <tableColumn name="Rarity" id="6"/>
  </tableColumns>
  <tableStyleInfo name="PointerTest-style" showColumnStripes="0" showFirstColumn="1" showLastColumn="1" showRowStripes="1"/>
</table>
</file>

<file path=xl/tables/table9.xml><?xml version="1.0" encoding="utf-8"?>
<table xmlns="http://schemas.openxmlformats.org/spreadsheetml/2006/main" headerRowCount="0" ref="A1:I1106" displayName="Table_9" 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language&amp;DataTest-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5" Type="http://schemas.openxmlformats.org/officeDocument/2006/relationships/table" Target="../tables/table1.xml"/><Relationship Id="rId6" Type="http://schemas.openxmlformats.org/officeDocument/2006/relationships/table" Target="../tables/table2.xml"/><Relationship Id="rId7" Type="http://schemas.openxmlformats.org/officeDocument/2006/relationships/table" Target="../tables/table3.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reddit.com/user/tatufdez/" TargetMode="External"/><Relationship Id="rId3" Type="http://schemas.openxmlformats.org/officeDocument/2006/relationships/drawing" Target="../drawings/drawing5.xml"/><Relationship Id="rId4"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 Id="rId5"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7.xml"/><Relationship Id="rId3" Type="http://schemas.openxmlformats.org/officeDocument/2006/relationships/vmlDrawing" Target="../drawings/vmlDrawing3.vml"/><Relationship Id="rId5"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8.xml"/><Relationship Id="rId3" Type="http://schemas.openxmlformats.org/officeDocument/2006/relationships/vmlDrawing" Target="../drawings/vmlDrawing4.vml"/><Relationship Id="rId5"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9.xml"/><Relationship Id="rId3" Type="http://schemas.openxmlformats.org/officeDocument/2006/relationships/vmlDrawing" Target="../drawings/vmlDrawing5.vml"/><Relationship Id="rId5"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0.xml"/><Relationship Id="rId3"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 Id="rId3"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 Id="rId3" Type="http://schemas.openxmlformats.org/officeDocument/2006/relationships/table" Target="../tables/table9.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3" max="3" width="12.63"/>
  </cols>
  <sheetData>
    <row r="1">
      <c r="A1" s="1"/>
      <c r="B1" s="2"/>
      <c r="C1" s="1"/>
      <c r="D1" s="1"/>
      <c r="E1" s="1"/>
      <c r="F1" s="1"/>
      <c r="G1" s="1"/>
      <c r="H1" s="1"/>
      <c r="I1" s="1"/>
      <c r="J1" s="1"/>
      <c r="K1" s="1"/>
      <c r="L1" s="1"/>
      <c r="M1" s="1"/>
      <c r="N1" s="1"/>
      <c r="O1" s="1"/>
      <c r="P1" s="1"/>
      <c r="Q1" s="1"/>
      <c r="R1" s="1"/>
      <c r="S1" s="1"/>
      <c r="T1" s="1"/>
      <c r="U1" s="1"/>
      <c r="V1" s="1"/>
      <c r="W1" s="1"/>
      <c r="X1" s="1"/>
      <c r="Y1" s="1"/>
      <c r="Z1" s="1"/>
    </row>
    <row r="2">
      <c r="A2" s="3" t="s">
        <v>0</v>
      </c>
      <c r="B2" s="4"/>
      <c r="C2" s="4"/>
      <c r="D2" s="4"/>
      <c r="E2" s="4"/>
      <c r="F2" s="4"/>
      <c r="G2" s="4"/>
      <c r="H2" s="4"/>
      <c r="I2" s="4"/>
      <c r="J2" s="4"/>
      <c r="K2" s="4"/>
      <c r="L2" s="4"/>
      <c r="M2" s="4"/>
      <c r="N2" s="5"/>
      <c r="O2" s="1"/>
      <c r="P2" s="1"/>
      <c r="Q2" s="1"/>
      <c r="R2" s="1"/>
      <c r="S2" s="1"/>
      <c r="T2" s="1"/>
      <c r="U2" s="1"/>
      <c r="V2" s="1"/>
      <c r="W2" s="1"/>
      <c r="X2" s="1"/>
      <c r="Y2" s="1"/>
      <c r="Z2" s="1"/>
    </row>
    <row r="3">
      <c r="A3" s="6"/>
      <c r="N3" s="7"/>
      <c r="O3" s="1"/>
      <c r="P3" s="1"/>
      <c r="Q3" s="1"/>
      <c r="R3" s="1"/>
      <c r="S3" s="1"/>
      <c r="T3" s="1"/>
      <c r="U3" s="1"/>
      <c r="V3" s="1"/>
      <c r="W3" s="1"/>
      <c r="X3" s="1"/>
      <c r="Y3" s="1"/>
      <c r="Z3" s="1"/>
    </row>
    <row r="4">
      <c r="A4" s="6"/>
      <c r="N4" s="7"/>
      <c r="O4" s="1"/>
      <c r="P4" s="1"/>
      <c r="Q4" s="1"/>
      <c r="R4" s="1"/>
      <c r="S4" s="1"/>
      <c r="T4" s="1"/>
      <c r="U4" s="1"/>
      <c r="V4" s="1"/>
      <c r="W4" s="1"/>
      <c r="X4" s="1"/>
      <c r="Y4" s="1"/>
      <c r="Z4" s="1"/>
    </row>
    <row r="5">
      <c r="A5" s="6"/>
      <c r="N5" s="7"/>
      <c r="O5" s="1"/>
      <c r="P5" s="1"/>
      <c r="Q5" s="1"/>
      <c r="R5" s="1"/>
      <c r="S5" s="1"/>
      <c r="T5" s="1"/>
      <c r="U5" s="1"/>
      <c r="V5" s="1"/>
      <c r="W5" s="1"/>
      <c r="X5" s="1"/>
      <c r="Y5" s="1"/>
      <c r="Z5" s="1"/>
    </row>
    <row r="6">
      <c r="A6" s="6"/>
      <c r="N6" s="7"/>
      <c r="O6" s="1"/>
      <c r="P6" s="1"/>
      <c r="Q6" s="1"/>
      <c r="R6" s="1"/>
      <c r="S6" s="1"/>
      <c r="T6" s="1"/>
      <c r="U6" s="1"/>
      <c r="V6" s="1"/>
      <c r="W6" s="1"/>
      <c r="X6" s="1"/>
      <c r="Y6" s="1"/>
      <c r="Z6" s="1"/>
    </row>
    <row r="7">
      <c r="A7" s="6"/>
      <c r="N7" s="7"/>
      <c r="O7" s="1"/>
      <c r="P7" s="1"/>
      <c r="Q7" s="1"/>
      <c r="R7" s="1"/>
      <c r="S7" s="1"/>
      <c r="T7" s="1"/>
      <c r="U7" s="1"/>
      <c r="V7" s="1"/>
      <c r="W7" s="1"/>
      <c r="X7" s="1"/>
      <c r="Y7" s="1"/>
      <c r="Z7" s="1"/>
    </row>
    <row r="8">
      <c r="A8" s="6"/>
      <c r="N8" s="7"/>
      <c r="O8" s="1"/>
      <c r="P8" s="1"/>
      <c r="Q8" s="1"/>
      <c r="R8" s="1"/>
      <c r="S8" s="1"/>
      <c r="T8" s="1"/>
      <c r="U8" s="1"/>
      <c r="V8" s="1"/>
      <c r="W8" s="1"/>
      <c r="X8" s="1"/>
      <c r="Y8" s="1"/>
      <c r="Z8" s="1"/>
    </row>
    <row r="9">
      <c r="A9" s="8"/>
      <c r="B9" s="9"/>
      <c r="C9" s="9"/>
      <c r="D9" s="9"/>
      <c r="E9" s="9"/>
      <c r="F9" s="9"/>
      <c r="G9" s="9"/>
      <c r="H9" s="9"/>
      <c r="I9" s="9"/>
      <c r="J9" s="9"/>
      <c r="K9" s="9"/>
      <c r="L9" s="9"/>
      <c r="M9" s="9"/>
      <c r="N9" s="10"/>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1" t="s">
        <v>1</v>
      </c>
      <c r="C11" s="4"/>
      <c r="D11" s="4"/>
      <c r="E11" s="4"/>
      <c r="F11" s="4"/>
      <c r="G11" s="4"/>
      <c r="H11" s="4"/>
      <c r="I11" s="4"/>
      <c r="J11" s="5"/>
      <c r="K11" s="1"/>
      <c r="L11" s="1"/>
      <c r="M11" s="12" t="s">
        <v>2</v>
      </c>
      <c r="N11" s="13"/>
      <c r="O11" s="1"/>
      <c r="P11" s="1"/>
      <c r="Q11" s="1"/>
      <c r="R11" s="1"/>
      <c r="S11" s="1"/>
      <c r="T11" s="1"/>
      <c r="U11" s="1"/>
      <c r="V11" s="1"/>
      <c r="W11" s="1"/>
      <c r="X11" s="1"/>
      <c r="Y11" s="1"/>
      <c r="Z11" s="1"/>
    </row>
    <row r="12">
      <c r="A12" s="1"/>
      <c r="B12" s="6"/>
      <c r="J12" s="7"/>
      <c r="K12" s="1"/>
      <c r="L12" s="1"/>
      <c r="M12" s="14" t="s">
        <v>3</v>
      </c>
      <c r="N12" s="15" t="s">
        <v>4</v>
      </c>
      <c r="O12" s="1"/>
      <c r="P12" s="1"/>
      <c r="Q12" s="1"/>
      <c r="R12" s="1"/>
      <c r="S12" s="1"/>
      <c r="T12" s="1"/>
      <c r="U12" s="1"/>
      <c r="V12" s="1"/>
      <c r="W12" s="1"/>
      <c r="X12" s="1"/>
      <c r="Y12" s="1"/>
      <c r="Z12" s="1"/>
    </row>
    <row r="13">
      <c r="A13" s="1"/>
      <c r="B13" s="6"/>
      <c r="J13" s="7"/>
      <c r="K13" s="1"/>
      <c r="L13" s="1"/>
      <c r="M13" s="16" t="s">
        <v>5</v>
      </c>
      <c r="N13" s="17" t="s">
        <v>6</v>
      </c>
      <c r="O13" s="1"/>
      <c r="P13" s="1"/>
      <c r="Q13" s="1"/>
      <c r="R13" s="1"/>
      <c r="S13" s="1"/>
      <c r="T13" s="1"/>
      <c r="U13" s="1"/>
      <c r="V13" s="1"/>
      <c r="W13" s="1"/>
      <c r="X13" s="1"/>
      <c r="Y13" s="1"/>
      <c r="Z13" s="1"/>
    </row>
    <row r="14">
      <c r="A14" s="1"/>
      <c r="B14" s="6"/>
      <c r="J14" s="7"/>
      <c r="K14" s="1"/>
      <c r="L14" s="1"/>
      <c r="M14" s="1"/>
      <c r="N14" s="1"/>
      <c r="O14" s="1"/>
      <c r="P14" s="1"/>
      <c r="Q14" s="1"/>
      <c r="R14" s="1"/>
      <c r="S14" s="1"/>
      <c r="T14" s="1"/>
      <c r="U14" s="1"/>
      <c r="V14" s="1"/>
      <c r="W14" s="1"/>
      <c r="X14" s="1"/>
      <c r="Y14" s="1"/>
      <c r="Z14" s="1"/>
    </row>
    <row r="15">
      <c r="A15" s="1"/>
      <c r="B15" s="6"/>
      <c r="J15" s="7"/>
      <c r="K15" s="1"/>
      <c r="L15" s="1"/>
      <c r="M15" s="18" t="s">
        <v>7</v>
      </c>
      <c r="N15" s="4"/>
      <c r="O15" s="4"/>
      <c r="P15" s="5"/>
      <c r="Q15" s="1"/>
      <c r="R15" s="1"/>
      <c r="S15" s="1"/>
      <c r="T15" s="1"/>
      <c r="U15" s="1"/>
      <c r="V15" s="1"/>
      <c r="W15" s="1"/>
      <c r="X15" s="1"/>
      <c r="Y15" s="1"/>
      <c r="Z15" s="1"/>
    </row>
    <row r="16">
      <c r="A16" s="1"/>
      <c r="B16" s="6"/>
      <c r="J16" s="7"/>
      <c r="K16" s="1"/>
      <c r="L16" s="1"/>
      <c r="M16" s="6"/>
      <c r="P16" s="7"/>
      <c r="Q16" s="1"/>
      <c r="R16" s="1"/>
      <c r="S16" s="1"/>
      <c r="T16" s="1"/>
      <c r="U16" s="1"/>
      <c r="V16" s="1"/>
      <c r="W16" s="1"/>
      <c r="X16" s="1"/>
      <c r="Y16" s="1"/>
      <c r="Z16" s="1"/>
    </row>
    <row r="17">
      <c r="A17" s="1"/>
      <c r="B17" s="6"/>
      <c r="J17" s="7"/>
      <c r="K17" s="1"/>
      <c r="L17" s="1"/>
      <c r="M17" s="6"/>
      <c r="P17" s="7"/>
      <c r="Q17" s="1"/>
      <c r="R17" s="1"/>
      <c r="S17" s="1"/>
      <c r="T17" s="1"/>
      <c r="U17" s="1"/>
      <c r="V17" s="1"/>
      <c r="W17" s="1"/>
      <c r="X17" s="1"/>
      <c r="Y17" s="1"/>
      <c r="Z17" s="1"/>
    </row>
    <row r="18">
      <c r="A18" s="1"/>
      <c r="B18" s="6"/>
      <c r="J18" s="7"/>
      <c r="K18" s="1"/>
      <c r="L18" s="1"/>
      <c r="M18" s="6"/>
      <c r="P18" s="7"/>
      <c r="Q18" s="1"/>
      <c r="R18" s="1"/>
      <c r="S18" s="1"/>
      <c r="T18" s="1"/>
      <c r="U18" s="1"/>
      <c r="V18" s="1"/>
      <c r="W18" s="1"/>
      <c r="X18" s="1"/>
      <c r="Y18" s="1"/>
      <c r="Z18" s="1"/>
    </row>
    <row r="19">
      <c r="A19" s="1"/>
      <c r="B19" s="6"/>
      <c r="J19" s="7"/>
      <c r="K19" s="1"/>
      <c r="L19" s="1"/>
      <c r="M19" s="6"/>
      <c r="P19" s="7"/>
      <c r="Q19" s="1"/>
      <c r="R19" s="1"/>
      <c r="S19" s="1"/>
      <c r="T19" s="1"/>
      <c r="U19" s="1"/>
      <c r="V19" s="1"/>
      <c r="W19" s="1"/>
      <c r="X19" s="1"/>
      <c r="Y19" s="1"/>
      <c r="Z19" s="1"/>
    </row>
    <row r="20">
      <c r="A20" s="1"/>
      <c r="B20" s="6"/>
      <c r="J20" s="7"/>
      <c r="K20" s="1"/>
      <c r="L20" s="1"/>
      <c r="M20" s="6"/>
      <c r="P20" s="7"/>
      <c r="Q20" s="1"/>
      <c r="R20" s="1"/>
      <c r="S20" s="1"/>
      <c r="T20" s="1"/>
      <c r="U20" s="1"/>
      <c r="V20" s="1"/>
      <c r="W20" s="1"/>
      <c r="X20" s="1"/>
      <c r="Y20" s="1"/>
      <c r="Z20" s="1"/>
    </row>
    <row r="21">
      <c r="A21" s="1"/>
      <c r="B21" s="8"/>
      <c r="C21" s="9"/>
      <c r="D21" s="9"/>
      <c r="E21" s="9"/>
      <c r="F21" s="9"/>
      <c r="G21" s="9"/>
      <c r="H21" s="9"/>
      <c r="I21" s="9"/>
      <c r="J21" s="10"/>
      <c r="K21" s="1"/>
      <c r="L21" s="1"/>
      <c r="M21" s="6"/>
      <c r="P21" s="7"/>
      <c r="Q21" s="1"/>
      <c r="R21" s="1"/>
      <c r="S21" s="1"/>
      <c r="T21" s="1"/>
      <c r="U21" s="1"/>
      <c r="V21" s="1"/>
      <c r="W21" s="1"/>
      <c r="X21" s="1"/>
      <c r="Y21" s="1"/>
      <c r="Z21" s="1"/>
    </row>
    <row r="22">
      <c r="A22" s="1"/>
      <c r="B22" s="1"/>
      <c r="C22" s="1"/>
      <c r="D22" s="1"/>
      <c r="E22" s="1"/>
      <c r="F22" s="1"/>
      <c r="G22" s="1"/>
      <c r="H22" s="1"/>
      <c r="I22" s="1"/>
      <c r="J22" s="1"/>
      <c r="K22" s="1"/>
      <c r="L22" s="1"/>
      <c r="M22" s="6"/>
      <c r="P22" s="7"/>
      <c r="Q22" s="1"/>
      <c r="R22" s="1"/>
      <c r="S22" s="1"/>
      <c r="T22" s="1"/>
      <c r="U22" s="1"/>
      <c r="V22" s="1"/>
      <c r="W22" s="1"/>
      <c r="X22" s="1"/>
      <c r="Y22" s="1"/>
      <c r="Z22" s="1"/>
    </row>
    <row r="23">
      <c r="A23" s="1"/>
      <c r="B23" s="1"/>
      <c r="C23" s="1"/>
      <c r="D23" s="1"/>
      <c r="E23" s="1"/>
      <c r="F23" s="1"/>
      <c r="G23" s="1"/>
      <c r="H23" s="1"/>
      <c r="I23" s="1"/>
      <c r="J23" s="1"/>
      <c r="K23" s="1"/>
      <c r="L23" s="1"/>
      <c r="M23" s="6"/>
      <c r="P23" s="7"/>
      <c r="Q23" s="1"/>
      <c r="R23" s="1"/>
      <c r="S23" s="1"/>
      <c r="T23" s="1"/>
      <c r="U23" s="1"/>
      <c r="V23" s="1"/>
      <c r="W23" s="1"/>
      <c r="X23" s="1"/>
      <c r="Y23" s="1"/>
      <c r="Z23" s="1"/>
    </row>
    <row r="24">
      <c r="A24" s="19" t="s">
        <v>8</v>
      </c>
      <c r="B24" s="20" t="s">
        <v>9</v>
      </c>
      <c r="C24" s="21"/>
      <c r="D24" s="21"/>
      <c r="E24" s="21"/>
      <c r="F24" s="22"/>
      <c r="G24" s="23" t="s">
        <v>10</v>
      </c>
      <c r="H24" s="21"/>
      <c r="I24" s="22"/>
      <c r="J24" s="24"/>
      <c r="K24" s="1"/>
      <c r="L24" s="1"/>
      <c r="M24" s="6"/>
      <c r="P24" s="7"/>
      <c r="Q24" s="1"/>
      <c r="R24" s="1"/>
      <c r="S24" s="1"/>
      <c r="T24" s="1"/>
      <c r="U24" s="1"/>
      <c r="V24" s="1"/>
      <c r="W24" s="1"/>
      <c r="X24" s="1"/>
      <c r="Y24" s="1"/>
      <c r="Z24" s="1"/>
    </row>
    <row r="25">
      <c r="A25" s="25" t="s">
        <v>11</v>
      </c>
      <c r="B25" s="26" t="str">
        <f>B31</f>
        <v>SHINING REVELRY</v>
      </c>
      <c r="F25" s="7"/>
      <c r="G25" s="27" t="str">
        <f>D31</f>
        <v>Lucario ex</v>
      </c>
      <c r="I25" s="7"/>
      <c r="J25" s="28"/>
      <c r="K25" s="29"/>
      <c r="L25" s="1"/>
      <c r="M25" s="6"/>
      <c r="P25" s="7"/>
      <c r="Q25" s="1"/>
      <c r="R25" s="1"/>
      <c r="S25" s="1"/>
      <c r="T25" s="1"/>
      <c r="U25" s="1"/>
      <c r="V25" s="1"/>
      <c r="W25" s="1"/>
      <c r="X25" s="1"/>
      <c r="Y25" s="1"/>
      <c r="Z25" s="1"/>
    </row>
    <row r="26">
      <c r="A26" s="30" t="s">
        <v>12</v>
      </c>
      <c r="B26" s="6"/>
      <c r="F26" s="7"/>
      <c r="I26" s="7"/>
      <c r="J26" s="28"/>
      <c r="K26" s="29"/>
      <c r="L26" s="1"/>
      <c r="M26" s="6"/>
      <c r="P26" s="7"/>
      <c r="Q26" s="1"/>
      <c r="R26" s="1"/>
      <c r="S26" s="1"/>
      <c r="T26" s="1"/>
      <c r="U26" s="1"/>
      <c r="V26" s="1"/>
      <c r="W26" s="1"/>
      <c r="X26" s="1"/>
      <c r="Y26" s="1"/>
      <c r="Z26" s="1"/>
    </row>
    <row r="27">
      <c r="A27" s="31" t="b">
        <v>0</v>
      </c>
      <c r="B27" s="8"/>
      <c r="C27" s="9"/>
      <c r="D27" s="9"/>
      <c r="E27" s="9"/>
      <c r="F27" s="10"/>
      <c r="G27" s="9"/>
      <c r="H27" s="9"/>
      <c r="I27" s="10"/>
      <c r="J27" s="28"/>
      <c r="K27" s="32"/>
      <c r="L27" s="1"/>
      <c r="M27" s="6"/>
      <c r="P27" s="7"/>
      <c r="Q27" s="1"/>
      <c r="R27" s="1"/>
      <c r="S27" s="1"/>
      <c r="T27" s="1"/>
      <c r="U27" s="1"/>
      <c r="V27" s="1"/>
      <c r="W27" s="1"/>
      <c r="X27" s="1"/>
      <c r="Y27" s="1"/>
      <c r="Z27" s="1"/>
    </row>
    <row r="28">
      <c r="A28" s="1"/>
      <c r="B28" s="1"/>
      <c r="C28" s="1"/>
      <c r="D28" s="1"/>
      <c r="E28" s="1"/>
      <c r="F28" s="1"/>
      <c r="G28" s="24"/>
      <c r="H28" s="24"/>
      <c r="I28" s="24"/>
      <c r="J28" s="24"/>
      <c r="K28" s="1"/>
      <c r="L28" s="1"/>
      <c r="M28" s="6"/>
      <c r="P28" s="7"/>
      <c r="Q28" s="1"/>
      <c r="R28" s="1"/>
      <c r="S28" s="1"/>
      <c r="T28" s="1"/>
      <c r="U28" s="1"/>
      <c r="V28" s="1"/>
      <c r="W28" s="1"/>
      <c r="X28" s="1"/>
      <c r="Y28" s="1"/>
      <c r="Z28" s="1"/>
    </row>
    <row r="29">
      <c r="A29" s="1"/>
      <c r="B29" s="33" t="s">
        <v>13</v>
      </c>
      <c r="C29" s="34"/>
      <c r="D29" s="35"/>
      <c r="E29" s="1"/>
      <c r="F29" s="1"/>
      <c r="G29" s="1"/>
      <c r="H29" s="1"/>
      <c r="I29" s="1"/>
      <c r="J29" s="36"/>
      <c r="K29" s="1"/>
      <c r="L29" s="1"/>
      <c r="M29" s="6"/>
      <c r="P29" s="7"/>
      <c r="Q29" s="1"/>
      <c r="R29" s="1"/>
      <c r="S29" s="1"/>
      <c r="T29" s="1"/>
      <c r="U29" s="1"/>
      <c r="V29" s="1"/>
      <c r="W29" s="1"/>
      <c r="X29" s="1"/>
      <c r="Y29" s="1"/>
      <c r="Z29" s="1"/>
    </row>
    <row r="30">
      <c r="A30" s="1"/>
      <c r="B30" s="33" t="s">
        <v>14</v>
      </c>
      <c r="C30" s="35"/>
      <c r="D30" s="37" t="s">
        <v>15</v>
      </c>
      <c r="E30" s="37" t="s">
        <v>16</v>
      </c>
      <c r="F30" s="1"/>
      <c r="G30" s="38" t="s">
        <v>17</v>
      </c>
      <c r="H30" s="39"/>
      <c r="I30" s="39"/>
      <c r="J30" s="39"/>
      <c r="K30" s="1"/>
      <c r="L30" s="1"/>
      <c r="M30" s="6"/>
      <c r="P30" s="7"/>
      <c r="Q30" s="1"/>
      <c r="R30" s="1"/>
      <c r="S30" s="1"/>
      <c r="T30" s="1"/>
      <c r="U30" s="1"/>
      <c r="V30" s="1"/>
      <c r="W30" s="1"/>
      <c r="X30" s="1"/>
      <c r="Y30" s="1"/>
      <c r="Z30" s="1"/>
    </row>
    <row r="31">
      <c r="A31" s="1"/>
      <c r="B31" s="40" t="str">
        <f t="array" ref="B31:B1003">SORT(G31:G1003, I31:I1003, FALSE)</f>
        <v>SHINING REVELRY</v>
      </c>
      <c r="C31" s="22"/>
      <c r="D31" s="41" t="str">
        <f t="array" ref="D31:D1003">SORT(H31:H1003, I31:I1003, FALSE)</f>
        <v>Lucario ex</v>
      </c>
      <c r="E31" s="42">
        <f t="array" ref="E31:E1003">SORT(I31:I1003, I31:I1003, FALSE)</f>
        <v>0.1464378027</v>
      </c>
      <c r="F31" s="1"/>
      <c r="G31" s="43" t="s">
        <v>18</v>
      </c>
      <c r="H31" s="39" t="str">
        <f t="array" ref="H31">INDEX('Genetic Apex'!$K$44:$K$46, MATCH(MAX('Genetic Apex'!$L$44:$L$46), 'Genetic Apex'!$L$44:$L$46, 0))</f>
        <v>Charizard</v>
      </c>
      <c r="I31" s="44">
        <f>MAX('Genetic Apex'!$L$44:$L$46)</f>
        <v>0.07120674856</v>
      </c>
      <c r="J31" s="39" t="str">
        <f t="array" ref="J31">INDEX('Genetic Apex'!$B2:$B1003, MATCH(INDEX('Genetic Apex'!$K$44:$K$46, MATCH(MAX('Genetic Apex'!$L$44:$L$46), 'Genetic Apex'!$L$44:$L$46, 0)), 'Genetic Apex'!$C$2:C1003, 0))</f>
        <v>A1 035</v>
      </c>
      <c r="K31" s="1"/>
      <c r="L31" s="1"/>
      <c r="M31" s="6"/>
      <c r="P31" s="7"/>
      <c r="Q31" s="1"/>
      <c r="R31" s="1"/>
      <c r="S31" s="1"/>
      <c r="T31" s="1"/>
      <c r="U31" s="1"/>
      <c r="V31" s="1"/>
      <c r="W31" s="1"/>
      <c r="X31" s="1"/>
      <c r="Y31" s="1"/>
      <c r="Z31" s="1"/>
    </row>
    <row r="32">
      <c r="A32" s="1"/>
      <c r="B32" s="45" t="s">
        <v>19</v>
      </c>
      <c r="C32" s="46"/>
      <c r="D32" s="47" t="s">
        <v>20</v>
      </c>
      <c r="E32" s="48">
        <v>0.13862878922651578</v>
      </c>
      <c r="F32" s="1"/>
      <c r="G32" s="43" t="s">
        <v>21</v>
      </c>
      <c r="H32" s="38" t="str">
        <f>'Mythical Island'!$K$33</f>
        <v>Mew</v>
      </c>
      <c r="I32" s="44">
        <f>MAX('Mythical Island'!$L$38)</f>
        <v>0.02291255564</v>
      </c>
      <c r="J32" s="38" t="s">
        <v>22</v>
      </c>
      <c r="K32" s="1"/>
      <c r="L32" s="1"/>
      <c r="M32" s="6"/>
      <c r="P32" s="7"/>
      <c r="Q32" s="1"/>
      <c r="R32" s="1"/>
      <c r="S32" s="1"/>
      <c r="T32" s="1"/>
      <c r="U32" s="1"/>
      <c r="V32" s="1"/>
      <c r="W32" s="1"/>
      <c r="X32" s="1"/>
      <c r="Y32" s="1"/>
      <c r="Z32" s="1"/>
    </row>
    <row r="33">
      <c r="A33" s="1"/>
      <c r="B33" s="45" t="s">
        <v>23</v>
      </c>
      <c r="C33" s="46"/>
      <c r="D33" s="47" t="s">
        <v>24</v>
      </c>
      <c r="E33" s="48">
        <v>0.10974232113918181</v>
      </c>
      <c r="F33" s="1"/>
      <c r="G33" s="43" t="s">
        <v>23</v>
      </c>
      <c r="H33" s="39" t="str">
        <f t="array" ref="H33">INDEX('Space-Time Smackdown'!$K$42:$K$43, MATCH(MAX('Space-Time Smackdown'!$L$42:$L$43), 'Space-Time Smackdown'!$L$42:$L$43, 0))</f>
        <v>Palkia ex</v>
      </c>
      <c r="I33" s="44">
        <f>MAX('Space-Time Smackdown'!$L$42:$L$43)</f>
        <v>0.1097423211</v>
      </c>
      <c r="J33" s="39" t="str">
        <f t="array" ref="J33">INDEX('Space-Time Smackdown'!$B2:$B1003, MATCH(INDEX('Space-Time Smackdown'!$K$42:$K$43, MATCH(MAX('Space-Time Smackdown'!$L$42:$L$43), 'Space-Time Smackdown'!$L$42:$L$43, 0)), 'Space-Time Smackdown'!$C$2:C1003, 0))</f>
        <v>A2 049</v>
      </c>
      <c r="K33" s="1"/>
      <c r="L33" s="1"/>
      <c r="M33" s="6"/>
      <c r="P33" s="7"/>
      <c r="Q33" s="1"/>
      <c r="R33" s="1"/>
      <c r="S33" s="1"/>
      <c r="T33" s="1"/>
      <c r="U33" s="1"/>
      <c r="V33" s="1"/>
      <c r="W33" s="1"/>
      <c r="X33" s="1"/>
      <c r="Y33" s="1"/>
      <c r="Z33" s="1"/>
    </row>
    <row r="34">
      <c r="A34" s="1"/>
      <c r="B34" s="45" t="s">
        <v>18</v>
      </c>
      <c r="C34" s="46"/>
      <c r="D34" s="47" t="s">
        <v>25</v>
      </c>
      <c r="E34" s="48">
        <v>0.071206748556773</v>
      </c>
      <c r="F34" s="1"/>
      <c r="G34" s="38" t="s">
        <v>19</v>
      </c>
      <c r="H34" s="38" t="str">
        <f>'Triumphant Light'!$K$33</f>
        <v>Arceus</v>
      </c>
      <c r="I34" s="49">
        <f>MAX('Triumphant Light'!$L$38)</f>
        <v>0.1386287892</v>
      </c>
      <c r="J34" s="38" t="s">
        <v>26</v>
      </c>
      <c r="K34" s="1"/>
      <c r="L34" s="1"/>
      <c r="M34" s="6"/>
      <c r="P34" s="7"/>
      <c r="Q34" s="1"/>
      <c r="R34" s="1"/>
      <c r="S34" s="1"/>
      <c r="T34" s="1"/>
      <c r="U34" s="1"/>
      <c r="V34" s="1"/>
      <c r="W34" s="1"/>
      <c r="X34" s="1"/>
      <c r="Y34" s="1"/>
      <c r="Z34" s="1"/>
    </row>
    <row r="35">
      <c r="A35" s="1"/>
      <c r="B35" s="50" t="s">
        <v>21</v>
      </c>
      <c r="C35" s="51"/>
      <c r="D35" s="52" t="s">
        <v>27</v>
      </c>
      <c r="E35" s="53">
        <v>0.022912555643673893</v>
      </c>
      <c r="F35" s="1"/>
      <c r="G35" s="38" t="s">
        <v>28</v>
      </c>
      <c r="H35" s="39" t="str">
        <f>'Shining Revelry'!K31</f>
        <v>Lucario ex</v>
      </c>
      <c r="I35" s="49">
        <f>MAX('Shining Revelry'!$L$41)</f>
        <v>0.1464378027</v>
      </c>
      <c r="J35" s="38" t="s">
        <v>29</v>
      </c>
      <c r="K35" s="1"/>
      <c r="L35" s="1"/>
      <c r="M35" s="6"/>
      <c r="P35" s="7"/>
      <c r="Q35" s="1"/>
      <c r="R35" s="1"/>
      <c r="S35" s="1"/>
      <c r="T35" s="1"/>
      <c r="U35" s="1"/>
      <c r="V35" s="1"/>
      <c r="W35" s="1"/>
      <c r="X35" s="1"/>
      <c r="Y35" s="1"/>
      <c r="Z35" s="1"/>
    </row>
    <row r="36">
      <c r="A36" s="1"/>
      <c r="B36" s="1"/>
      <c r="D36" s="1"/>
      <c r="E36" s="1"/>
      <c r="F36" s="1"/>
      <c r="G36" s="1"/>
      <c r="H36" s="1"/>
      <c r="I36" s="1"/>
      <c r="J36" s="1"/>
      <c r="K36" s="1"/>
      <c r="L36" s="1"/>
      <c r="M36" s="8"/>
      <c r="N36" s="9"/>
      <c r="O36" s="9"/>
      <c r="P36" s="10"/>
      <c r="Q36" s="1"/>
      <c r="R36" s="1"/>
      <c r="S36" s="1"/>
      <c r="T36" s="1"/>
      <c r="U36" s="1"/>
      <c r="V36" s="1"/>
      <c r="W36" s="1"/>
      <c r="X36" s="1"/>
      <c r="Y36" s="1"/>
      <c r="Z36" s="1"/>
    </row>
    <row r="37">
      <c r="A37" s="1"/>
      <c r="B37" s="1"/>
      <c r="D37" s="1"/>
      <c r="E37" s="1"/>
      <c r="F37" s="1"/>
      <c r="G37" s="1"/>
      <c r="H37" s="1"/>
      <c r="I37" s="1"/>
      <c r="J37" s="1"/>
      <c r="K37" s="1"/>
      <c r="L37" s="1"/>
      <c r="M37" s="1"/>
      <c r="N37" s="1"/>
      <c r="O37" s="1"/>
      <c r="P37" s="1"/>
      <c r="Q37" s="1"/>
      <c r="R37" s="1"/>
      <c r="S37" s="1"/>
      <c r="T37" s="1"/>
      <c r="U37" s="1"/>
      <c r="V37" s="1"/>
      <c r="W37" s="1"/>
      <c r="X37" s="1"/>
      <c r="Y37" s="1"/>
      <c r="Z37" s="1"/>
    </row>
    <row r="38">
      <c r="A38" s="1"/>
      <c r="B38" s="1"/>
      <c r="D38" s="1"/>
      <c r="E38" s="1"/>
      <c r="F38" s="1"/>
      <c r="G38" s="1"/>
      <c r="H38" s="1"/>
      <c r="I38" s="1"/>
      <c r="J38" s="1"/>
      <c r="K38" s="1"/>
      <c r="L38" s="1"/>
      <c r="M38" s="1"/>
      <c r="N38" s="1"/>
      <c r="O38" s="1"/>
      <c r="P38" s="1"/>
      <c r="Q38" s="1"/>
      <c r="R38" s="1"/>
      <c r="S38" s="1"/>
      <c r="T38" s="1"/>
      <c r="U38" s="1"/>
      <c r="V38" s="1"/>
      <c r="W38" s="1"/>
      <c r="X38" s="1"/>
      <c r="Y38" s="1"/>
      <c r="Z38" s="1"/>
    </row>
    <row r="39">
      <c r="A39" s="1"/>
      <c r="B39" s="1"/>
      <c r="D39" s="1"/>
      <c r="E39" s="1"/>
      <c r="F39" s="1"/>
      <c r="G39" s="1"/>
      <c r="H39" s="1"/>
      <c r="I39" s="1"/>
      <c r="J39" s="1"/>
      <c r="K39" s="1"/>
      <c r="L39" s="1"/>
      <c r="M39" s="1"/>
      <c r="N39" s="1"/>
      <c r="O39" s="1"/>
      <c r="P39" s="1"/>
      <c r="Q39" s="1"/>
      <c r="R39" s="1"/>
      <c r="S39" s="1"/>
      <c r="T39" s="1"/>
      <c r="U39" s="1"/>
      <c r="V39" s="1"/>
      <c r="W39" s="1"/>
      <c r="X39" s="1"/>
      <c r="Y39" s="1"/>
      <c r="Z39" s="1"/>
    </row>
    <row r="40">
      <c r="A40" s="1"/>
      <c r="B40" s="1"/>
      <c r="D40" s="1"/>
      <c r="E40" s="1"/>
      <c r="F40" s="1"/>
      <c r="G40" s="1"/>
      <c r="H40" s="1"/>
      <c r="I40" s="1"/>
      <c r="J40" s="1"/>
      <c r="K40" s="1"/>
      <c r="L40" s="1"/>
      <c r="M40" s="1"/>
      <c r="N40" s="1"/>
      <c r="O40" s="1"/>
      <c r="P40" s="1"/>
      <c r="Q40" s="1"/>
      <c r="R40" s="1"/>
      <c r="S40" s="1"/>
      <c r="T40" s="1"/>
      <c r="U40" s="1"/>
      <c r="V40" s="1"/>
      <c r="W40" s="1"/>
      <c r="X40" s="1"/>
      <c r="Y40" s="1"/>
      <c r="Z40" s="1"/>
    </row>
    <row r="41">
      <c r="A41" s="1"/>
      <c r="B41" s="1"/>
      <c r="D41" s="1"/>
      <c r="E41" s="1"/>
      <c r="F41" s="1"/>
      <c r="G41" s="1"/>
      <c r="H41" s="1"/>
      <c r="I41" s="1"/>
      <c r="J41" s="1"/>
      <c r="K41" s="1"/>
      <c r="L41" s="1"/>
      <c r="M41" s="1"/>
      <c r="N41" s="1"/>
      <c r="O41" s="1"/>
      <c r="P41" s="1"/>
      <c r="Q41" s="1"/>
      <c r="R41" s="1"/>
      <c r="S41" s="1"/>
      <c r="T41" s="1"/>
      <c r="U41" s="1"/>
      <c r="V41" s="1"/>
      <c r="W41" s="1"/>
      <c r="X41" s="1"/>
      <c r="Y41" s="1"/>
      <c r="Z41" s="1"/>
    </row>
    <row r="42">
      <c r="A42" s="1"/>
      <c r="B42" s="1"/>
      <c r="D42" s="1"/>
      <c r="E42" s="1"/>
      <c r="F42" s="1"/>
      <c r="G42" s="1"/>
      <c r="H42" s="1"/>
      <c r="I42" s="1"/>
      <c r="J42" s="1"/>
      <c r="K42" s="1"/>
      <c r="L42" s="1"/>
      <c r="M42" s="1"/>
      <c r="N42" s="1"/>
      <c r="O42" s="1"/>
      <c r="P42" s="1"/>
      <c r="Q42" s="1"/>
      <c r="R42" s="1"/>
      <c r="S42" s="1"/>
      <c r="T42" s="1"/>
      <c r="U42" s="1"/>
      <c r="V42" s="1"/>
      <c r="W42" s="1"/>
      <c r="X42" s="1"/>
      <c r="Y42" s="1"/>
      <c r="Z42" s="1"/>
    </row>
    <row r="43">
      <c r="A43" s="1"/>
      <c r="B43" s="1"/>
      <c r="D43" s="1"/>
      <c r="E43" s="1"/>
      <c r="F43" s="1"/>
      <c r="G43" s="1"/>
      <c r="H43" s="1"/>
      <c r="I43" s="1"/>
      <c r="J43" s="1"/>
      <c r="K43" s="1"/>
      <c r="L43" s="1"/>
      <c r="M43" s="1"/>
      <c r="N43" s="1"/>
      <c r="O43" s="1"/>
      <c r="P43" s="1"/>
      <c r="Q43" s="1"/>
      <c r="R43" s="1"/>
      <c r="S43" s="1"/>
      <c r="T43" s="1"/>
      <c r="U43" s="1"/>
      <c r="V43" s="1"/>
      <c r="W43" s="1"/>
      <c r="X43" s="1"/>
      <c r="Y43" s="1"/>
      <c r="Z43" s="1"/>
    </row>
    <row r="44">
      <c r="A44" s="1"/>
      <c r="B44" s="1"/>
      <c r="D44" s="1"/>
      <c r="E44" s="1"/>
      <c r="F44" s="1"/>
      <c r="G44" s="1"/>
      <c r="H44" s="1"/>
      <c r="I44" s="1"/>
      <c r="J44" s="1"/>
      <c r="K44" s="1"/>
      <c r="L44" s="1"/>
      <c r="M44" s="1"/>
      <c r="N44" s="1"/>
      <c r="O44" s="1"/>
      <c r="P44" s="1"/>
      <c r="Q44" s="1"/>
      <c r="R44" s="1"/>
      <c r="S44" s="1"/>
      <c r="T44" s="1"/>
      <c r="U44" s="1"/>
      <c r="V44" s="1"/>
      <c r="W44" s="1"/>
      <c r="X44" s="1"/>
      <c r="Y44" s="1"/>
      <c r="Z44" s="1"/>
    </row>
    <row r="45">
      <c r="A45" s="1"/>
      <c r="B45" s="1"/>
      <c r="D45" s="1"/>
      <c r="E45" s="1"/>
      <c r="F45" s="1"/>
      <c r="G45" s="1"/>
      <c r="H45" s="1"/>
      <c r="I45" s="1"/>
      <c r="J45" s="1"/>
      <c r="K45" s="1"/>
      <c r="L45" s="1"/>
      <c r="M45" s="1"/>
      <c r="N45" s="1"/>
      <c r="O45" s="1"/>
      <c r="P45" s="1"/>
      <c r="Q45" s="1"/>
      <c r="R45" s="1"/>
      <c r="S45" s="1"/>
      <c r="T45" s="1"/>
      <c r="U45" s="1"/>
      <c r="V45" s="1"/>
      <c r="W45" s="1"/>
      <c r="X45" s="1"/>
      <c r="Y45" s="1"/>
      <c r="Z45" s="1"/>
    </row>
    <row r="46">
      <c r="A46" s="1"/>
      <c r="B46" s="1"/>
      <c r="D46" s="1"/>
      <c r="E46" s="1"/>
      <c r="F46" s="1"/>
      <c r="G46" s="1"/>
      <c r="H46" s="1"/>
      <c r="I46" s="1"/>
      <c r="J46" s="1"/>
      <c r="K46" s="1"/>
      <c r="L46" s="1"/>
      <c r="M46" s="1"/>
      <c r="N46" s="1"/>
      <c r="O46" s="1"/>
      <c r="P46" s="1"/>
      <c r="Q46" s="1"/>
      <c r="R46" s="1"/>
      <c r="S46" s="1"/>
      <c r="T46" s="1"/>
      <c r="U46" s="1"/>
      <c r="V46" s="1"/>
      <c r="W46" s="1"/>
      <c r="X46" s="1"/>
      <c r="Y46" s="1"/>
      <c r="Z46" s="1"/>
    </row>
    <row r="47">
      <c r="A47" s="1"/>
      <c r="B47" s="1"/>
      <c r="D47" s="1"/>
      <c r="E47" s="1"/>
      <c r="F47" s="1"/>
      <c r="G47" s="1"/>
      <c r="H47" s="1"/>
      <c r="I47" s="1"/>
      <c r="J47" s="1"/>
      <c r="K47" s="1"/>
      <c r="L47" s="1"/>
      <c r="M47" s="1"/>
      <c r="N47" s="1"/>
      <c r="O47" s="1"/>
      <c r="P47" s="1"/>
      <c r="Q47" s="1"/>
      <c r="R47" s="1"/>
      <c r="S47" s="1"/>
      <c r="T47" s="1"/>
      <c r="U47" s="1"/>
      <c r="V47" s="1"/>
      <c r="W47" s="1"/>
      <c r="X47" s="1"/>
      <c r="Y47" s="1"/>
      <c r="Z47" s="1"/>
    </row>
    <row r="48">
      <c r="A48" s="1"/>
      <c r="B48" s="1"/>
      <c r="D48" s="1"/>
      <c r="E48" s="1"/>
      <c r="F48" s="1"/>
      <c r="G48" s="1"/>
      <c r="H48" s="1"/>
      <c r="I48" s="1"/>
      <c r="J48" s="1"/>
      <c r="K48" s="1"/>
      <c r="L48" s="1"/>
      <c r="M48" s="1"/>
      <c r="N48" s="1"/>
      <c r="O48" s="1"/>
      <c r="P48" s="1"/>
      <c r="Q48" s="1"/>
      <c r="R48" s="1"/>
      <c r="S48" s="1"/>
      <c r="T48" s="1"/>
      <c r="U48" s="1"/>
      <c r="V48" s="1"/>
      <c r="W48" s="1"/>
      <c r="X48" s="1"/>
      <c r="Y48" s="1"/>
      <c r="Z48" s="1"/>
    </row>
    <row r="49">
      <c r="A49" s="1"/>
      <c r="B49" s="1"/>
      <c r="D49" s="1"/>
      <c r="E49" s="1"/>
      <c r="F49" s="1"/>
      <c r="G49" s="1"/>
      <c r="H49" s="1"/>
      <c r="I49" s="1"/>
      <c r="J49" s="1"/>
      <c r="K49" s="1"/>
      <c r="L49" s="1"/>
      <c r="M49" s="1"/>
      <c r="N49" s="1"/>
      <c r="O49" s="1"/>
      <c r="P49" s="1"/>
      <c r="Q49" s="1"/>
      <c r="R49" s="1"/>
      <c r="S49" s="1"/>
      <c r="T49" s="1"/>
      <c r="U49" s="1"/>
      <c r="V49" s="1"/>
      <c r="W49" s="1"/>
      <c r="X49" s="1"/>
      <c r="Y49" s="1"/>
      <c r="Z49" s="1"/>
    </row>
    <row r="50">
      <c r="A50" s="1"/>
      <c r="B50" s="1"/>
      <c r="D50" s="1"/>
      <c r="E50" s="1"/>
      <c r="F50" s="1"/>
      <c r="G50" s="1"/>
      <c r="H50" s="1"/>
      <c r="I50" s="1"/>
      <c r="J50" s="1"/>
      <c r="K50" s="1"/>
      <c r="L50" s="1"/>
      <c r="M50" s="1"/>
      <c r="N50" s="1"/>
      <c r="O50" s="1"/>
      <c r="P50" s="1"/>
      <c r="Q50" s="1"/>
      <c r="R50" s="1"/>
      <c r="S50" s="1"/>
      <c r="T50" s="1"/>
      <c r="U50" s="1"/>
      <c r="V50" s="1"/>
      <c r="W50" s="1"/>
      <c r="X50" s="1"/>
      <c r="Y50" s="1"/>
      <c r="Z50" s="1"/>
    </row>
    <row r="51">
      <c r="A51" s="1"/>
      <c r="B51" s="1"/>
      <c r="D51" s="1"/>
      <c r="E51" s="1"/>
      <c r="F51" s="1"/>
      <c r="G51" s="1"/>
      <c r="H51" s="1"/>
      <c r="I51" s="1"/>
      <c r="J51" s="1"/>
      <c r="K51" s="1"/>
      <c r="L51" s="1"/>
      <c r="M51" s="1"/>
      <c r="N51" s="1"/>
      <c r="O51" s="1"/>
      <c r="P51" s="1"/>
      <c r="Q51" s="1"/>
      <c r="R51" s="1"/>
      <c r="S51" s="1"/>
      <c r="T51" s="1"/>
      <c r="U51" s="1"/>
      <c r="V51" s="1"/>
      <c r="W51" s="1"/>
      <c r="X51" s="1"/>
      <c r="Y51" s="1"/>
      <c r="Z51" s="1"/>
    </row>
    <row r="52">
      <c r="A52" s="1"/>
      <c r="B52" s="1"/>
      <c r="D52" s="1"/>
      <c r="E52" s="1"/>
      <c r="F52" s="1"/>
      <c r="G52" s="1"/>
      <c r="H52" s="1"/>
      <c r="I52" s="1"/>
      <c r="J52" s="1"/>
      <c r="K52" s="1"/>
      <c r="L52" s="1"/>
      <c r="M52" s="1"/>
      <c r="N52" s="1"/>
      <c r="O52" s="1"/>
      <c r="P52" s="1"/>
      <c r="Q52" s="1"/>
      <c r="R52" s="1"/>
      <c r="S52" s="1"/>
      <c r="T52" s="1"/>
      <c r="U52" s="1"/>
      <c r="V52" s="1"/>
      <c r="W52" s="1"/>
      <c r="X52" s="1"/>
      <c r="Y52" s="1"/>
      <c r="Z52" s="1"/>
    </row>
    <row r="53">
      <c r="A53" s="1"/>
      <c r="B53" s="1"/>
      <c r="D53" s="1"/>
      <c r="E53" s="1"/>
      <c r="F53" s="1"/>
      <c r="G53" s="1"/>
      <c r="H53" s="1"/>
      <c r="I53" s="1"/>
      <c r="J53" s="1"/>
      <c r="K53" s="1"/>
      <c r="L53" s="1"/>
      <c r="M53" s="1"/>
      <c r="N53" s="1"/>
      <c r="O53" s="1"/>
      <c r="P53" s="1"/>
      <c r="Q53" s="1"/>
      <c r="R53" s="1"/>
      <c r="S53" s="1"/>
      <c r="T53" s="1"/>
      <c r="U53" s="1"/>
      <c r="V53" s="1"/>
      <c r="W53" s="1"/>
      <c r="X53" s="1"/>
      <c r="Y53" s="1"/>
      <c r="Z53" s="1"/>
    </row>
    <row r="54">
      <c r="A54" s="1"/>
      <c r="B54" s="1"/>
      <c r="D54" s="1"/>
      <c r="E54" s="1"/>
      <c r="F54" s="1"/>
      <c r="G54" s="1"/>
      <c r="H54" s="1"/>
      <c r="I54" s="1"/>
      <c r="J54" s="1"/>
      <c r="K54" s="1"/>
      <c r="L54" s="1"/>
      <c r="M54" s="1"/>
      <c r="N54" s="1"/>
      <c r="O54" s="1"/>
      <c r="P54" s="1"/>
      <c r="Q54" s="1"/>
      <c r="R54" s="1"/>
      <c r="S54" s="1"/>
      <c r="T54" s="1"/>
      <c r="U54" s="1"/>
      <c r="V54" s="1"/>
      <c r="W54" s="1"/>
      <c r="X54" s="1"/>
      <c r="Y54" s="1"/>
      <c r="Z54" s="1"/>
    </row>
    <row r="55">
      <c r="A55" s="1"/>
      <c r="B55" s="1"/>
      <c r="D55" s="1"/>
      <c r="E55" s="1"/>
      <c r="F55" s="1"/>
      <c r="G55" s="1"/>
      <c r="H55" s="1"/>
      <c r="I55" s="1"/>
      <c r="J55" s="1"/>
      <c r="K55" s="1"/>
      <c r="L55" s="1"/>
      <c r="M55" s="1"/>
      <c r="N55" s="1"/>
      <c r="O55" s="1"/>
      <c r="P55" s="1"/>
      <c r="Q55" s="1"/>
      <c r="R55" s="1"/>
      <c r="S55" s="1"/>
      <c r="T55" s="1"/>
      <c r="U55" s="1"/>
      <c r="V55" s="1"/>
      <c r="W55" s="1"/>
      <c r="X55" s="1"/>
      <c r="Y55" s="1"/>
      <c r="Z55" s="1"/>
    </row>
    <row r="56">
      <c r="A56" s="1"/>
      <c r="B56" s="1"/>
      <c r="D56" s="1"/>
      <c r="E56" s="1"/>
      <c r="F56" s="1"/>
      <c r="G56" s="1"/>
      <c r="H56" s="1"/>
      <c r="I56" s="1"/>
      <c r="J56" s="1"/>
      <c r="K56" s="1"/>
      <c r="L56" s="1"/>
      <c r="M56" s="1"/>
      <c r="N56" s="1"/>
      <c r="O56" s="1"/>
      <c r="P56" s="1"/>
      <c r="Q56" s="1"/>
      <c r="R56" s="1"/>
      <c r="S56" s="1"/>
      <c r="T56" s="1"/>
      <c r="U56" s="1"/>
      <c r="V56" s="1"/>
      <c r="W56" s="1"/>
      <c r="X56" s="1"/>
      <c r="Y56" s="1"/>
      <c r="Z56" s="1"/>
    </row>
    <row r="57">
      <c r="A57" s="1"/>
      <c r="B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sheetData>
  <mergeCells count="36">
    <mergeCell ref="B29:D29"/>
    <mergeCell ref="B30:C30"/>
    <mergeCell ref="B31:C31"/>
    <mergeCell ref="B32:C32"/>
    <mergeCell ref="B33:C33"/>
    <mergeCell ref="B34:C34"/>
    <mergeCell ref="A2:N9"/>
    <mergeCell ref="B11:J21"/>
    <mergeCell ref="M15:P36"/>
    <mergeCell ref="B24:F24"/>
    <mergeCell ref="G24:I24"/>
    <mergeCell ref="B25:F27"/>
    <mergeCell ref="G25:I27"/>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56:C56"/>
    <mergeCell ref="B57:C57"/>
    <mergeCell ref="B49:C49"/>
    <mergeCell ref="B50:C50"/>
    <mergeCell ref="B51:C51"/>
    <mergeCell ref="B52:C52"/>
    <mergeCell ref="B53:C53"/>
    <mergeCell ref="B54:C54"/>
    <mergeCell ref="B55:C55"/>
  </mergeCells>
  <conditionalFormatting sqref="A27">
    <cfRule type="cellIs" dxfId="0" priority="1" operator="equal">
      <formula>"FALSE"</formula>
    </cfRule>
  </conditionalFormatting>
  <conditionalFormatting sqref="A27">
    <cfRule type="cellIs" dxfId="1" priority="2" operator="equal">
      <formula>"TRUE"</formula>
    </cfRule>
  </conditionalFormatting>
  <conditionalFormatting sqref="B25:F27 B31:C1003">
    <cfRule type="cellIs" dxfId="2" priority="3" operator="equal">
      <formula>"GENETIC APEX"</formula>
    </cfRule>
  </conditionalFormatting>
  <conditionalFormatting sqref="B25:F27 B31:C1003">
    <cfRule type="cellIs" dxfId="3" priority="4" operator="equal">
      <formula>"GENETIC APEX"</formula>
    </cfRule>
  </conditionalFormatting>
  <conditionalFormatting sqref="B25:F27 B31:C1003">
    <cfRule type="cellIs" dxfId="4" priority="5" operator="equal">
      <formula>"MYTHICAL ISLAND"</formula>
    </cfRule>
  </conditionalFormatting>
  <conditionalFormatting sqref="B25:F27 B31:C1003">
    <cfRule type="cellIs" dxfId="5" priority="6" operator="equal">
      <formula>"SPACE-TIME SMACKDOWN"</formula>
    </cfRule>
  </conditionalFormatting>
  <conditionalFormatting sqref="B25:F27 B31:C1003">
    <cfRule type="cellIs" dxfId="6" priority="7" operator="equal">
      <formula>"TRIUMPHANT LIGHT"</formula>
    </cfRule>
  </conditionalFormatting>
  <conditionalFormatting sqref="G25">
    <cfRule type="expression" dxfId="2" priority="8">
      <formula>AND(G25=$H$31,$J$31="A1 128")</formula>
    </cfRule>
  </conditionalFormatting>
  <conditionalFormatting sqref="D31:E31 D32:E32 D33:E33 D34:E34 D35:E35">
    <cfRule type="expression" dxfId="2" priority="9">
      <formula>AND($D31=$H$31,$J$31="A1 128")</formula>
    </cfRule>
  </conditionalFormatting>
  <conditionalFormatting sqref="G25">
    <cfRule type="expression" dxfId="7" priority="10">
      <formula>AND(G25=$H$31,$J$31="A1 035")</formula>
    </cfRule>
  </conditionalFormatting>
  <conditionalFormatting sqref="D31:E31 D32:E32 D33:E33 D34:E34 D35:E35">
    <cfRule type="expression" dxfId="7" priority="11">
      <formula>AND($D31=$H$31,$J$31="A1 035")</formula>
    </cfRule>
  </conditionalFormatting>
  <conditionalFormatting sqref="G25">
    <cfRule type="expression" dxfId="8" priority="12">
      <formula>AND(G25=$H$31,$J$31="A1 094")</formula>
    </cfRule>
  </conditionalFormatting>
  <conditionalFormatting sqref="D31:E31 D32:E32 D33:E33 D34:E34 D35:E35">
    <cfRule type="expression" dxfId="8" priority="13">
      <formula>AND($D31=$H$31,$J$31="A1 094")</formula>
    </cfRule>
  </conditionalFormatting>
  <conditionalFormatting sqref="G25">
    <cfRule type="expression" dxfId="2" priority="14">
      <formula>AND(G25=$H$32,$J$32="A1a 031")</formula>
    </cfRule>
  </conditionalFormatting>
  <conditionalFormatting sqref="D31:E31 D32:E32 D33:E33 D34:E34 D35:E35">
    <cfRule type="expression" dxfId="2" priority="15">
      <formula>AND($D31=$H$32,$J$32="A1a 031")</formula>
    </cfRule>
  </conditionalFormatting>
  <conditionalFormatting sqref="G25">
    <cfRule type="expression" dxfId="9" priority="16">
      <formula>AND(G25=$H$33,$J$33="A2 049")</formula>
    </cfRule>
  </conditionalFormatting>
  <conditionalFormatting sqref="D31:E31 D32:E32 D33:E33 D34:E34 D35:E35">
    <cfRule type="expression" dxfId="9" priority="17">
      <formula>AND($D31=$H$33,$J$33="A2 049")</formula>
    </cfRule>
  </conditionalFormatting>
  <conditionalFormatting sqref="G25">
    <cfRule type="expression" dxfId="10" priority="18">
      <formula>AND(G25=$H$33,$J$33="A2 119")</formula>
    </cfRule>
  </conditionalFormatting>
  <conditionalFormatting sqref="D31:E31 D32:E32 D33:E33 D34:E34 D35:E35">
    <cfRule type="expression" dxfId="10" priority="19">
      <formula>AND($D31=$H$33,$J$33="A2 119")</formula>
    </cfRule>
  </conditionalFormatting>
  <conditionalFormatting sqref="G25">
    <cfRule type="expression" dxfId="11" priority="20">
      <formula>AND(G25=$H$34,$J$34="A2a 070")</formula>
    </cfRule>
  </conditionalFormatting>
  <conditionalFormatting sqref="D31:E31 D32:E32 D33:E33 D34:E34 D35:E35">
    <cfRule type="expression" dxfId="11" priority="21">
      <formula>AND($D31=$H$34,$J$34="A2a 070")</formula>
    </cfRule>
  </conditionalFormatting>
  <conditionalFormatting sqref="B25:F27 B31:C1003">
    <cfRule type="cellIs" dxfId="12" priority="22" operator="equal">
      <formula>"SHINING REVELRY"</formula>
    </cfRule>
  </conditionalFormatting>
  <conditionalFormatting sqref="D31:E31 D32:E32 D33:E33 D34:E34 D35:E35">
    <cfRule type="expression" dxfId="12" priority="23">
      <formula>AND($D31=$H$35,$J$35="A2b 043")</formula>
    </cfRule>
  </conditionalFormatting>
  <conditionalFormatting sqref="G25">
    <cfRule type="expression" dxfId="12" priority="24">
      <formula>AND(G25=$H$35,$J$35="A2b 043")</formula>
    </cfRule>
  </conditionalFormatting>
  <dataValidations>
    <dataValidation type="list" allowBlank="1" showErrorMessage="1" sqref="A25">
      <formula1>'language&amp;DataTest'!$A$1:$H$1</formula1>
    </dataValidation>
  </dataValidations>
  <drawing r:id="rId1"/>
  <tableParts count="3">
    <tablePart r:id="rId5"/>
    <tablePart r:id="rId6"/>
    <tablePart r:id="rId7"/>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4" t="s">
        <v>30</v>
      </c>
      <c r="B1" s="54" t="s">
        <v>31</v>
      </c>
      <c r="C1" s="55"/>
      <c r="D1" s="55"/>
      <c r="E1" s="55"/>
    </row>
    <row r="2">
      <c r="A2" s="56" t="s">
        <v>32</v>
      </c>
      <c r="B2" s="4"/>
      <c r="C2" s="4"/>
      <c r="D2" s="4"/>
      <c r="E2" s="5"/>
    </row>
    <row r="3">
      <c r="A3" s="6"/>
      <c r="E3" s="7"/>
    </row>
    <row r="4">
      <c r="A4" s="8"/>
      <c r="B4" s="9"/>
      <c r="C4" s="9"/>
      <c r="D4" s="9"/>
      <c r="E4" s="10"/>
    </row>
    <row r="5">
      <c r="A5" s="54" t="s">
        <v>33</v>
      </c>
      <c r="B5" s="54" t="s">
        <v>34</v>
      </c>
      <c r="C5" s="55"/>
      <c r="D5" s="55"/>
      <c r="E5" s="55"/>
    </row>
    <row r="6">
      <c r="A6" s="56" t="s">
        <v>35</v>
      </c>
      <c r="B6" s="4"/>
      <c r="C6" s="4"/>
      <c r="D6" s="4"/>
      <c r="E6" s="5"/>
    </row>
    <row r="7">
      <c r="A7" s="6"/>
      <c r="E7" s="7"/>
    </row>
    <row r="8">
      <c r="A8" s="6"/>
      <c r="E8" s="7"/>
    </row>
    <row r="9">
      <c r="A9" s="6"/>
      <c r="E9" s="7"/>
    </row>
    <row r="10">
      <c r="A10" s="6"/>
      <c r="E10" s="7"/>
    </row>
    <row r="11">
      <c r="A11" s="8"/>
      <c r="B11" s="9"/>
      <c r="C11" s="9"/>
      <c r="D11" s="9"/>
      <c r="E11" s="10"/>
    </row>
    <row r="12">
      <c r="A12" s="54" t="s">
        <v>36</v>
      </c>
      <c r="B12" s="54" t="s">
        <v>31</v>
      </c>
      <c r="C12" s="55"/>
      <c r="D12" s="55"/>
      <c r="E12" s="55"/>
    </row>
    <row r="13">
      <c r="A13" s="56" t="s">
        <v>37</v>
      </c>
      <c r="B13" s="4"/>
      <c r="C13" s="4"/>
      <c r="D13" s="4"/>
      <c r="E13" s="5"/>
    </row>
    <row r="14">
      <c r="A14" s="6"/>
      <c r="E14" s="7"/>
    </row>
    <row r="15">
      <c r="A15" s="6"/>
      <c r="E15" s="7"/>
    </row>
    <row r="16">
      <c r="A16" s="6"/>
      <c r="E16" s="7"/>
    </row>
    <row r="17">
      <c r="A17" s="6"/>
      <c r="E17" s="7"/>
    </row>
    <row r="18">
      <c r="A18" s="6"/>
      <c r="E18" s="7"/>
    </row>
    <row r="19">
      <c r="A19" s="6"/>
      <c r="E19" s="7"/>
    </row>
    <row r="20">
      <c r="A20" s="6"/>
      <c r="E20" s="7"/>
    </row>
    <row r="21">
      <c r="A21" s="8"/>
      <c r="B21" s="9"/>
      <c r="C21" s="9"/>
      <c r="D21" s="9"/>
      <c r="E21" s="10"/>
    </row>
    <row r="22">
      <c r="A22" s="54" t="s">
        <v>38</v>
      </c>
      <c r="B22" s="54" t="s">
        <v>31</v>
      </c>
      <c r="C22" s="55"/>
      <c r="D22" s="55"/>
      <c r="E22" s="55"/>
    </row>
    <row r="23">
      <c r="A23" s="56" t="s">
        <v>39</v>
      </c>
      <c r="B23" s="4"/>
      <c r="C23" s="4"/>
      <c r="D23" s="4"/>
      <c r="E23" s="5"/>
    </row>
    <row r="24">
      <c r="A24" s="6"/>
      <c r="E24" s="7"/>
    </row>
    <row r="25">
      <c r="A25" s="6"/>
      <c r="E25" s="7"/>
    </row>
    <row r="26">
      <c r="A26" s="6"/>
      <c r="E26" s="7"/>
    </row>
    <row r="27">
      <c r="A27" s="6"/>
      <c r="E27" s="7"/>
    </row>
    <row r="28">
      <c r="A28" s="6"/>
      <c r="E28" s="7"/>
    </row>
    <row r="29">
      <c r="A29" s="6"/>
      <c r="E29" s="7"/>
    </row>
    <row r="30">
      <c r="A30" s="6"/>
      <c r="E30" s="7"/>
    </row>
    <row r="31">
      <c r="A31" s="6"/>
      <c r="E31" s="7"/>
    </row>
    <row r="32">
      <c r="A32" s="6"/>
      <c r="E32" s="7"/>
    </row>
    <row r="33">
      <c r="A33" s="6"/>
      <c r="E33" s="7"/>
    </row>
    <row r="34">
      <c r="A34" s="8"/>
      <c r="B34" s="9"/>
      <c r="C34" s="9"/>
      <c r="D34" s="9"/>
      <c r="E34" s="10"/>
    </row>
    <row r="35">
      <c r="A35" s="54" t="s">
        <v>40</v>
      </c>
      <c r="B35" s="57" t="s">
        <v>41</v>
      </c>
      <c r="C35" s="55"/>
      <c r="D35" s="55"/>
      <c r="E35" s="55"/>
    </row>
    <row r="36">
      <c r="A36" s="56" t="s">
        <v>42</v>
      </c>
      <c r="B36" s="4"/>
      <c r="C36" s="4"/>
      <c r="D36" s="4"/>
      <c r="E36" s="5"/>
    </row>
    <row r="37">
      <c r="A37" s="6"/>
      <c r="E37" s="7"/>
    </row>
    <row r="38">
      <c r="A38" s="6"/>
      <c r="E38" s="7"/>
    </row>
    <row r="39">
      <c r="A39" s="6"/>
      <c r="E39" s="7"/>
    </row>
    <row r="40">
      <c r="A40" s="8"/>
      <c r="B40" s="9"/>
      <c r="C40" s="9"/>
      <c r="D40" s="9"/>
      <c r="E40" s="10"/>
    </row>
    <row r="41">
      <c r="A41" s="57" t="s">
        <v>43</v>
      </c>
      <c r="B41" s="57" t="s">
        <v>41</v>
      </c>
      <c r="C41" s="55"/>
      <c r="D41" s="55"/>
      <c r="E41" s="55"/>
    </row>
    <row r="42">
      <c r="A42" s="56" t="s">
        <v>44</v>
      </c>
      <c r="B42" s="4"/>
      <c r="C42" s="4"/>
      <c r="D42" s="4"/>
      <c r="E42" s="5"/>
    </row>
    <row r="43">
      <c r="A43" s="6"/>
      <c r="E43" s="7"/>
    </row>
    <row r="44">
      <c r="A44" s="6"/>
      <c r="E44" s="7"/>
    </row>
    <row r="45">
      <c r="A45" s="8"/>
      <c r="B45" s="9"/>
      <c r="C45" s="9"/>
      <c r="D45" s="9"/>
      <c r="E45" s="10"/>
    </row>
    <row r="46">
      <c r="A46" s="58" t="s">
        <v>45</v>
      </c>
      <c r="B46" s="58" t="s">
        <v>31</v>
      </c>
    </row>
    <row r="47">
      <c r="A47" s="59" t="s">
        <v>46</v>
      </c>
      <c r="B47" s="4"/>
      <c r="C47" s="4"/>
      <c r="D47" s="4"/>
      <c r="E47" s="5"/>
    </row>
    <row r="48">
      <c r="A48" s="6"/>
      <c r="E48" s="7"/>
    </row>
    <row r="49">
      <c r="A49" s="6"/>
      <c r="E49" s="7"/>
    </row>
    <row r="50">
      <c r="A50" s="6"/>
      <c r="E50" s="7"/>
    </row>
    <row r="51">
      <c r="A51" s="6"/>
      <c r="E51" s="7"/>
    </row>
    <row r="52">
      <c r="A52" s="6"/>
      <c r="E52" s="7"/>
    </row>
    <row r="53">
      <c r="A53" s="6"/>
      <c r="E53" s="7"/>
    </row>
    <row r="54">
      <c r="A54" s="6"/>
      <c r="E54" s="7"/>
    </row>
    <row r="55">
      <c r="A55" s="8"/>
      <c r="B55" s="9"/>
      <c r="C55" s="9"/>
      <c r="D55" s="9"/>
      <c r="E55" s="10"/>
    </row>
    <row r="56">
      <c r="A56" s="58" t="s">
        <v>47</v>
      </c>
      <c r="B56" s="58" t="s">
        <v>34</v>
      </c>
    </row>
    <row r="57">
      <c r="A57" s="11" t="s">
        <v>48</v>
      </c>
      <c r="B57" s="4"/>
      <c r="C57" s="4"/>
      <c r="D57" s="4"/>
      <c r="E57" s="5"/>
    </row>
    <row r="58">
      <c r="A58" s="6"/>
      <c r="E58" s="7"/>
    </row>
    <row r="59">
      <c r="A59" s="6"/>
      <c r="E59" s="7"/>
    </row>
    <row r="60">
      <c r="A60" s="6"/>
      <c r="E60" s="7"/>
    </row>
    <row r="61">
      <c r="A61" s="6"/>
      <c r="E61" s="7"/>
    </row>
    <row r="62">
      <c r="A62" s="6"/>
      <c r="E62" s="7"/>
    </row>
    <row r="63">
      <c r="A63" s="6"/>
      <c r="E63" s="7"/>
    </row>
    <row r="64">
      <c r="A64" s="6"/>
      <c r="E64" s="7"/>
    </row>
    <row r="65">
      <c r="A65" s="6"/>
      <c r="E65" s="7"/>
    </row>
    <row r="66">
      <c r="A66" s="6"/>
      <c r="E66" s="7"/>
    </row>
    <row r="67">
      <c r="A67" s="6"/>
      <c r="E67" s="7"/>
    </row>
    <row r="68">
      <c r="A68" s="6"/>
      <c r="E68" s="7"/>
    </row>
    <row r="69">
      <c r="A69" s="8"/>
      <c r="B69" s="9"/>
      <c r="C69" s="9"/>
      <c r="D69" s="9"/>
      <c r="E69" s="10"/>
    </row>
  </sheetData>
  <mergeCells count="8">
    <mergeCell ref="A2:E4"/>
    <mergeCell ref="A6:E11"/>
    <mergeCell ref="A13:E21"/>
    <mergeCell ref="A23:E34"/>
    <mergeCell ref="A36:E40"/>
    <mergeCell ref="A42:E45"/>
    <mergeCell ref="A47:E55"/>
    <mergeCell ref="A57:E6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6.38"/>
    <col customWidth="1" min="6" max="6" width="6.38"/>
    <col customWidth="1" min="11" max="11" width="6.38"/>
    <col customWidth="1" min="16" max="16" width="6.38"/>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8" t="s">
        <v>49</v>
      </c>
      <c r="C2" s="4"/>
      <c r="D2" s="4"/>
      <c r="E2" s="5"/>
      <c r="F2" s="1"/>
      <c r="G2" s="18" t="s">
        <v>50</v>
      </c>
      <c r="H2" s="4"/>
      <c r="I2" s="4"/>
      <c r="J2" s="5"/>
      <c r="K2" s="1"/>
      <c r="L2" s="18" t="s">
        <v>51</v>
      </c>
      <c r="M2" s="4"/>
      <c r="N2" s="4"/>
      <c r="O2" s="5"/>
      <c r="P2" s="1"/>
      <c r="Q2" s="18" t="s">
        <v>52</v>
      </c>
      <c r="R2" s="4"/>
      <c r="S2" s="4"/>
      <c r="T2" s="5"/>
      <c r="U2" s="1"/>
      <c r="V2" s="1"/>
      <c r="W2" s="1"/>
      <c r="X2" s="1"/>
      <c r="Y2" s="1"/>
      <c r="Z2" s="1"/>
    </row>
    <row r="3">
      <c r="A3" s="1"/>
      <c r="B3" s="6"/>
      <c r="E3" s="7"/>
      <c r="F3" s="1"/>
      <c r="G3" s="6"/>
      <c r="J3" s="7"/>
      <c r="K3" s="1"/>
      <c r="L3" s="6"/>
      <c r="O3" s="7"/>
      <c r="P3" s="1"/>
      <c r="Q3" s="6"/>
      <c r="T3" s="7"/>
      <c r="U3" s="1"/>
      <c r="V3" s="1"/>
      <c r="W3" s="1"/>
      <c r="X3" s="1"/>
      <c r="Y3" s="1"/>
      <c r="Z3" s="1"/>
    </row>
    <row r="4">
      <c r="A4" s="1"/>
      <c r="B4" s="6"/>
      <c r="E4" s="7"/>
      <c r="F4" s="1"/>
      <c r="G4" s="6"/>
      <c r="J4" s="7"/>
      <c r="K4" s="1"/>
      <c r="L4" s="6"/>
      <c r="O4" s="7"/>
      <c r="P4" s="1"/>
      <c r="Q4" s="6"/>
      <c r="T4" s="7"/>
      <c r="U4" s="1"/>
      <c r="V4" s="1"/>
      <c r="W4" s="1"/>
      <c r="X4" s="1"/>
      <c r="Y4" s="1"/>
      <c r="Z4" s="1"/>
    </row>
    <row r="5">
      <c r="A5" s="1"/>
      <c r="B5" s="6"/>
      <c r="E5" s="7"/>
      <c r="F5" s="1"/>
      <c r="G5" s="6"/>
      <c r="J5" s="7"/>
      <c r="K5" s="1"/>
      <c r="L5" s="6"/>
      <c r="O5" s="7"/>
      <c r="P5" s="1"/>
      <c r="Q5" s="6"/>
      <c r="T5" s="7"/>
      <c r="U5" s="1"/>
      <c r="V5" s="1"/>
      <c r="W5" s="1"/>
      <c r="X5" s="1"/>
      <c r="Y5" s="1"/>
      <c r="Z5" s="1"/>
    </row>
    <row r="6">
      <c r="A6" s="1"/>
      <c r="B6" s="6"/>
      <c r="E6" s="7"/>
      <c r="F6" s="1"/>
      <c r="G6" s="6"/>
      <c r="J6" s="7"/>
      <c r="K6" s="1"/>
      <c r="L6" s="6"/>
      <c r="O6" s="7"/>
      <c r="P6" s="1"/>
      <c r="Q6" s="6"/>
      <c r="T6" s="7"/>
      <c r="U6" s="1"/>
      <c r="V6" s="1"/>
      <c r="W6" s="1"/>
      <c r="X6" s="1"/>
      <c r="Y6" s="1"/>
      <c r="Z6" s="1"/>
    </row>
    <row r="7">
      <c r="A7" s="1"/>
      <c r="B7" s="6"/>
      <c r="E7" s="7"/>
      <c r="F7" s="1"/>
      <c r="G7" s="6"/>
      <c r="J7" s="7"/>
      <c r="K7" s="1"/>
      <c r="L7" s="6"/>
      <c r="O7" s="7"/>
      <c r="P7" s="1"/>
      <c r="Q7" s="6"/>
      <c r="T7" s="7"/>
      <c r="U7" s="1"/>
      <c r="V7" s="1"/>
      <c r="W7" s="1"/>
      <c r="X7" s="1"/>
      <c r="Y7" s="1"/>
      <c r="Z7" s="1"/>
    </row>
    <row r="8">
      <c r="A8" s="1"/>
      <c r="B8" s="6"/>
      <c r="E8" s="7"/>
      <c r="F8" s="1"/>
      <c r="G8" s="6"/>
      <c r="J8" s="7"/>
      <c r="K8" s="1"/>
      <c r="L8" s="6"/>
      <c r="O8" s="7"/>
      <c r="P8" s="1"/>
      <c r="Q8" s="6"/>
      <c r="T8" s="7"/>
      <c r="U8" s="1"/>
      <c r="V8" s="1"/>
      <c r="W8" s="1"/>
      <c r="X8" s="1"/>
      <c r="Y8" s="1"/>
      <c r="Z8" s="1"/>
    </row>
    <row r="9">
      <c r="A9" s="1"/>
      <c r="B9" s="6"/>
      <c r="E9" s="7"/>
      <c r="F9" s="1"/>
      <c r="G9" s="6"/>
      <c r="J9" s="7"/>
      <c r="K9" s="1"/>
      <c r="L9" s="6"/>
      <c r="O9" s="7"/>
      <c r="P9" s="1"/>
      <c r="Q9" s="6"/>
      <c r="T9" s="7"/>
      <c r="U9" s="1"/>
      <c r="V9" s="1"/>
      <c r="W9" s="1"/>
      <c r="X9" s="1"/>
      <c r="Y9" s="1"/>
      <c r="Z9" s="1"/>
    </row>
    <row r="10">
      <c r="A10" s="1"/>
      <c r="B10" s="6"/>
      <c r="E10" s="7"/>
      <c r="F10" s="1"/>
      <c r="G10" s="6"/>
      <c r="J10" s="7"/>
      <c r="K10" s="1"/>
      <c r="L10" s="6"/>
      <c r="O10" s="7"/>
      <c r="P10" s="1"/>
      <c r="Q10" s="6"/>
      <c r="T10" s="7"/>
      <c r="U10" s="1"/>
      <c r="V10" s="1"/>
      <c r="W10" s="1"/>
      <c r="X10" s="1"/>
      <c r="Y10" s="1"/>
      <c r="Z10" s="1"/>
    </row>
    <row r="11">
      <c r="A11" s="1"/>
      <c r="B11" s="6"/>
      <c r="E11" s="7"/>
      <c r="F11" s="1"/>
      <c r="G11" s="6"/>
      <c r="J11" s="7"/>
      <c r="K11" s="1"/>
      <c r="L11" s="8"/>
      <c r="M11" s="9"/>
      <c r="N11" s="9"/>
      <c r="O11" s="10"/>
      <c r="P11" s="1"/>
      <c r="Q11" s="8"/>
      <c r="R11" s="9"/>
      <c r="S11" s="9"/>
      <c r="T11" s="10"/>
      <c r="U11" s="1"/>
      <c r="V11" s="1"/>
      <c r="W11" s="1"/>
      <c r="X11" s="1"/>
      <c r="Y11" s="1"/>
      <c r="Z11" s="1"/>
    </row>
    <row r="12">
      <c r="A12" s="1"/>
      <c r="B12" s="6"/>
      <c r="E12" s="7"/>
      <c r="F12" s="1"/>
      <c r="G12" s="8"/>
      <c r="H12" s="9"/>
      <c r="I12" s="9"/>
      <c r="J12" s="10"/>
      <c r="K12" s="1"/>
      <c r="L12" s="1"/>
      <c r="M12" s="1"/>
      <c r="N12" s="1"/>
      <c r="O12" s="1"/>
      <c r="P12" s="1"/>
      <c r="Q12" s="1"/>
      <c r="R12" s="1"/>
      <c r="S12" s="1"/>
      <c r="T12" s="1"/>
      <c r="U12" s="1"/>
      <c r="V12" s="1"/>
      <c r="W12" s="1"/>
      <c r="X12" s="1"/>
      <c r="Y12" s="1"/>
      <c r="Z12" s="1"/>
    </row>
    <row r="13">
      <c r="A13" s="1"/>
      <c r="B13" s="6"/>
      <c r="E13" s="7"/>
      <c r="F13" s="1"/>
      <c r="G13" s="1"/>
      <c r="H13" s="1"/>
      <c r="I13" s="1"/>
      <c r="J13" s="1"/>
      <c r="K13" s="1"/>
      <c r="L13" s="1"/>
      <c r="M13" s="1"/>
      <c r="N13" s="1"/>
      <c r="O13" s="1"/>
      <c r="P13" s="1"/>
      <c r="Q13" s="1"/>
      <c r="R13" s="1"/>
      <c r="S13" s="1"/>
      <c r="T13" s="1"/>
      <c r="U13" s="1"/>
      <c r="V13" s="1"/>
      <c r="W13" s="1"/>
      <c r="X13" s="1"/>
      <c r="Y13" s="1"/>
      <c r="Z13" s="1"/>
    </row>
    <row r="14">
      <c r="A14" s="1"/>
      <c r="B14" s="6"/>
      <c r="E14" s="7"/>
      <c r="F14" s="1"/>
      <c r="G14" s="1"/>
      <c r="H14" s="1"/>
      <c r="I14" s="1"/>
      <c r="J14" s="1"/>
      <c r="K14" s="1"/>
      <c r="L14" s="1"/>
      <c r="M14" s="1"/>
      <c r="N14" s="1"/>
      <c r="O14" s="1"/>
      <c r="P14" s="1"/>
      <c r="Q14" s="1"/>
      <c r="R14" s="1"/>
      <c r="S14" s="1"/>
      <c r="T14" s="1"/>
      <c r="U14" s="1"/>
      <c r="V14" s="1"/>
      <c r="W14" s="1"/>
      <c r="X14" s="1"/>
      <c r="Y14" s="1"/>
      <c r="Z14" s="1"/>
    </row>
    <row r="15">
      <c r="A15" s="1"/>
      <c r="B15" s="6"/>
      <c r="E15" s="7"/>
      <c r="F15" s="1"/>
      <c r="G15" s="1"/>
      <c r="H15" s="1"/>
      <c r="I15" s="1"/>
      <c r="J15" s="1"/>
      <c r="K15" s="1"/>
      <c r="L15" s="1"/>
      <c r="M15" s="1"/>
      <c r="N15" s="1"/>
      <c r="O15" s="1"/>
      <c r="P15" s="1"/>
      <c r="Q15" s="1"/>
      <c r="R15" s="1"/>
      <c r="S15" s="1"/>
      <c r="T15" s="1"/>
      <c r="U15" s="1"/>
      <c r="V15" s="1"/>
      <c r="W15" s="1"/>
      <c r="X15" s="1"/>
      <c r="Y15" s="1"/>
      <c r="Z15" s="1"/>
    </row>
    <row r="16">
      <c r="A16" s="1"/>
      <c r="B16" s="6"/>
      <c r="E16" s="7"/>
      <c r="F16" s="1"/>
      <c r="G16" s="1"/>
      <c r="H16" s="1"/>
      <c r="I16" s="1"/>
      <c r="J16" s="1"/>
      <c r="K16" s="1"/>
      <c r="L16" s="1"/>
      <c r="M16" s="1"/>
      <c r="N16" s="1"/>
      <c r="O16" s="1"/>
      <c r="P16" s="1"/>
      <c r="Q16" s="1"/>
      <c r="R16" s="1"/>
      <c r="S16" s="1"/>
      <c r="T16" s="1"/>
      <c r="U16" s="1"/>
      <c r="V16" s="1"/>
      <c r="W16" s="1"/>
      <c r="X16" s="1"/>
      <c r="Y16" s="1"/>
      <c r="Z16" s="1"/>
    </row>
    <row r="17">
      <c r="A17" s="1"/>
      <c r="B17" s="6"/>
      <c r="E17" s="7"/>
      <c r="F17" s="1"/>
      <c r="G17" s="1"/>
      <c r="H17" s="1"/>
      <c r="I17" s="1"/>
      <c r="J17" s="1"/>
      <c r="K17" s="1"/>
      <c r="L17" s="1"/>
      <c r="M17" s="1"/>
      <c r="N17" s="1"/>
      <c r="O17" s="1"/>
      <c r="P17" s="1"/>
      <c r="Q17" s="1"/>
      <c r="R17" s="1"/>
      <c r="S17" s="1"/>
      <c r="T17" s="1"/>
      <c r="U17" s="1"/>
      <c r="V17" s="1"/>
      <c r="W17" s="1"/>
      <c r="X17" s="1"/>
      <c r="Y17" s="1"/>
      <c r="Z17" s="1"/>
    </row>
    <row r="18">
      <c r="A18" s="1"/>
      <c r="B18" s="6"/>
      <c r="E18" s="7"/>
      <c r="F18" s="1"/>
      <c r="G18" s="1"/>
      <c r="H18" s="1"/>
      <c r="I18" s="1"/>
      <c r="J18" s="1"/>
      <c r="K18" s="1"/>
      <c r="L18" s="1"/>
      <c r="M18" s="1"/>
      <c r="N18" s="1"/>
      <c r="O18" s="1"/>
      <c r="P18" s="1"/>
      <c r="Q18" s="1"/>
      <c r="R18" s="1"/>
      <c r="S18" s="1"/>
      <c r="T18" s="1"/>
      <c r="U18" s="1"/>
      <c r="V18" s="1"/>
      <c r="W18" s="1"/>
      <c r="X18" s="1"/>
      <c r="Y18" s="1"/>
      <c r="Z18" s="1"/>
    </row>
    <row r="19">
      <c r="A19" s="1"/>
      <c r="B19" s="8"/>
      <c r="C19" s="9"/>
      <c r="D19" s="9"/>
      <c r="E19" s="10"/>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B2:E19"/>
    <mergeCell ref="G2:J12"/>
    <mergeCell ref="L2:O11"/>
    <mergeCell ref="Q2:T1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5.63"/>
    <col customWidth="1" min="2" max="2" width="7.13"/>
    <col customWidth="1" min="10" max="10" width="8.25"/>
    <col customWidth="1" min="15" max="15" width="36.38"/>
  </cols>
  <sheetData>
    <row r="1">
      <c r="A1" s="60" t="s">
        <v>53</v>
      </c>
      <c r="B1" s="60" t="s">
        <v>54</v>
      </c>
      <c r="C1" s="60" t="s">
        <v>55</v>
      </c>
      <c r="D1" s="60" t="s">
        <v>56</v>
      </c>
      <c r="E1" s="60" t="s">
        <v>57</v>
      </c>
      <c r="F1" s="60" t="s">
        <v>58</v>
      </c>
      <c r="G1" s="60" t="s">
        <v>59</v>
      </c>
      <c r="H1" s="60" t="s">
        <v>60</v>
      </c>
      <c r="I1" s="60" t="s">
        <v>61</v>
      </c>
      <c r="J1" s="61" t="s">
        <v>62</v>
      </c>
      <c r="K1" s="62" t="s">
        <v>63</v>
      </c>
      <c r="L1" s="63"/>
      <c r="O1" s="64" t="s">
        <v>64</v>
      </c>
      <c r="P1" s="65" t="s">
        <v>65</v>
      </c>
      <c r="R1" s="65" t="s">
        <v>57</v>
      </c>
      <c r="S1" s="66" t="str">
        <f>"Points (" &amp; TEXT(SUM(S2:S287),"##,###") &amp; ")"</f>
        <v>Points (43,350)</v>
      </c>
      <c r="T1" s="67" t="s">
        <v>66</v>
      </c>
    </row>
    <row r="2">
      <c r="A2" s="68" t="b">
        <v>1</v>
      </c>
      <c r="B2" s="69" t="s">
        <v>67</v>
      </c>
      <c r="C2" s="69" t="str">
        <f t="array" ref="C2">TEXTJOIN("", TRUE, IFERROR(INDEX('language&amp;DataTest'!A:J, MATCH(INDEX( PointerTest!C:C, MATCH(B2, PointerTest!A:A, 0), 0), 'language&amp;DataTest'!A:A, 0), MATCH(HOME!$A$25, 'language&amp;DataTest'!$A$1:$H$1, 0))),                      IFERROR(INDEX('language&amp;DataTest'!A:J, MATCH(INDEX( PointerTest!D:D, MATCH(B2, PointerTest!A:A, 0), 0), 'language&amp;DataTest'!A:A, 0), MATCH(HOME!$A$25, 'language&amp;DataTest'!$A$1:$H$1, 0))),                                          
IFERROR(INDEX('language&amp;DataTest'!A:J, MATCH(INDEX( PointerTest!E:E, MATCH(B2, PointerTest!A:A, 0), 0), 'language&amp;DataTest'!A:A, 0), MATCH(HOME!$A$25, 'language&amp;DataTest'!$A$1:$H$1, 0))))</f>
        <v>Bulbasaur</v>
      </c>
      <c r="D2" s="69" t="str">
        <f t="array" ref="D2">INDEX('language&amp;DataTest'!A:J, MATCH(INDEX( PointerTest!D:D, MATCH(INDEX(PointerTest!B:B, MATCH(B2, PointerTest!A:A, 0)), PointerTest!A:A, 0), 0), 'language&amp;DataTest'!A:A, 0), MATCH(HOME!$A$25, 'language&amp;DataTest'!$A$1:$H$1, 0))</f>
        <v>Mewtwo</v>
      </c>
      <c r="E2" s="69" t="str">
        <f t="array" ref="E2">INDEX( PointerTest!F:F, MATCH(B2, PointerTest!A:A, 0), 0)</f>
        <v>♢</v>
      </c>
      <c r="F2" s="70">
        <f t="array" ref="F2">LET(percentage,XLOOKUP($E2,$K$2:$K$10,L$2:L$10,"",0)/(COUNTIFS($E:$E,$E2,$D:$D,RegularFormula!$D$2)+COUNTIFS($E:$E,$E2,$D:$D,IF($D2=RegularFormula!$D$2,$K$15,$D2))),IFERROR(IF(percentage,percentage,""),""))
</f>
        <v>0.02</v>
      </c>
      <c r="G2" s="71" t="str">
        <f t="array" ref="G2">LET(percentage,XLOOKUP($E2,$K$2:$K$10,M$2:M$10,"",0)/(COUNTIFS($E:$E,$E2,$D:$D,RegularFormula!$D$2)+COUNTIFS($E:$E,$E2,$D:$D,IF($D2=RegularFormula!$D$2,$K$15,$D2))),IFERROR(IF(percentage,percentage,""),""))
</f>
        <v/>
      </c>
      <c r="H2" s="71" t="str">
        <f t="array" ref="H2">LET(percentage,XLOOKUP($E2,$K$2:$K$10,N$2:N$10,"",0)/(COUNTIFS($E:$E,$E2,$D:$D,RegularFormula!$D$2)+COUNTIFS($E:$E,$E2,$D:$D,IF($D2=RegularFormula!$D$2,$K$15,$D2))),IFERROR(IF(percentage,percentage,""),""))
</f>
        <v/>
      </c>
      <c r="I2" s="72" t="str">
        <f t="shared" ref="I2:I283" si="1">IF(D2 = "All", "*Based on " &amp; $D$2 &amp; " pack", "")
</f>
        <v/>
      </c>
      <c r="J2" s="73">
        <v>0.0</v>
      </c>
      <c r="K2" s="74" t="s">
        <v>68</v>
      </c>
      <c r="L2" s="75">
        <v>45294.0</v>
      </c>
      <c r="M2" s="76">
        <v>4.0</v>
      </c>
      <c r="N2" s="77">
        <v>5.0</v>
      </c>
      <c r="O2" s="78" t="s">
        <v>69</v>
      </c>
      <c r="P2" s="79" t="str">
        <f>IFERROR(__xludf.DUMMYFUNCTION("IFERROR(
IF($K$26,
  FILTER(
    $B$2:$B287,
    (
      (($K$22*($E$2:$E287=""♢"")) +
       ($K$23*($E$2:$E287=""♢♢"")) +
       ($K$24*($E$2:$E287=""♢♢♢"")) +
       ($K$25*($E$2:$E287=""♢♢♢♢"")) +
       ($M$22*($E$2:$E287=""☆"")) +
       ($M$23*($E$"&amp;"2:$E287=""☆☆"")) +
       ($M$24*($E$2:$E287=""☆☆☆"")) +
       ($M$25*($E$2:$E287=""♛""))
      ) &gt; 0
    )
    *
    (
      BYROW($C$2:$C287,
        LAMBDA(card, COUNTIFS($C$2:$C287, card, IF($M$26, $J$2:$J287, $A$2:$A287), TRUE))
      ) = 0
    )
  "&amp;"),
  FILTER(
    $B$2:$B287,
    (
      (($K$22*($E$2:$E287=""♢"")) +
       ($K$23*($E$2:$E287=""♢♢"")) +
       ($K$24*($E$2:$E287=""♢♢♢"")) +
       ($K$25*($E$2:$E287=""♢♢♢♢"")) +
       ($M$22*($E$2:$E287=""☆"")) +
       ($M$23*($E$2:$E287=""☆☆""))"&amp;" +
       ($M$24*($E$2:$E287=""☆☆☆"")) +
       ($M$25*($E$2:$E287=""♛""))
      ) &gt; 0
    )
    *
    IF($M$26, ($J$2:$J287 &lt;= 1), ($A$2:$A287 = FALSE))
  )
)
)"),"A1 047")</f>
        <v>A1 047</v>
      </c>
      <c r="Q2" s="79" t="str">
        <f>IFERROR(__xludf.DUMMYFUNCTION("IFERROR(
IF($K$26,
  FILTER(
    $C$2:$C287,
    (
      (($K$22*($E$2:$E287=""♢"")) +
       ($K$23*($E$2:$E287=""♢♢"")) +
       ($K$24*($E$2:$E287=""♢♢♢"")) +
       ($K$25*($E$2:$E287=""♢♢♢♢"")) +
       ($M$22*($E$2:$E287=""☆"")) +
       ($M$23*($E$"&amp;"2:$E287=""☆☆"")) +
       ($M$24*($E$2:$E287=""☆☆☆"")) +
       ($M$25*($E$2:$E287=""♛""))
      ) &gt; 0
    )
    *
    (
      BYROW($C$2:$C287,
        LAMBDA(card, COUNTIFS($C$2:$C287, card, IF($M$26, $J$2:$J287, $A$2:$A287), TRUE))
      ) = 0
    )
  "&amp;"),
  FILTER(
    $C$2:$C287,
    (
      (($K$22*($E$2:$E287=""♢"")) +
       ($K$23*($E$2:$E287=""♢♢"")) +
       ($K$24*($E$2:$E287=""♢♢♢"")) +
       ($K$25*($E$2:$E287=""♢♢♢♢"")) +
       ($M$22*($E$2:$E287=""☆"")) +
       ($M$23*($E$2:$E287=""☆☆""))"&amp;" +
       ($M$24*($E$2:$E287=""☆☆☆"")) +
       ($M$25*($E$2:$E287=""♛""))
      ) &gt; 0
    )
    *
    IF($M$26, ($J$2:$J287 &lt;= 1), ($A$2:$A287 = FALSE))
  )
)
)"),"Moltres ex")</f>
        <v>Moltres ex</v>
      </c>
      <c r="R2" s="79" t="str">
        <f>IFERROR(__xludf.DUMMYFUNCTION("IFERROR(
IF($K$26,
  FILTER(
    $E$2:$E287,
    (
      (($K$22*($E$2:$E287=""♢"")) +
       ($K$23*($E$2:$E287=""♢♢"")) +
       ($K$24*($E$2:$E287=""♢♢♢"")) +
       ($K$25*($E$2:$E287=""♢♢♢♢"")) +
       ($M$22*($E$2:$E287=""☆"")) +
       ($M$23*($E$"&amp;"2:$E287=""☆☆"")) +
       ($M$24*($E$2:$E287=""☆☆☆"")) +
       ($M$25*($E$2:$E287=""♛""))
      ) &gt; 0
    )
    *
    (
      BYROW($C$2:$C287,
        LAMBDA(card, COUNTIFS($C$2:$C287, card, IF($M$26, $J$2:$J287, $A$2:$A287), TRUE))
      ) = 0
    )
  "&amp;"),
  FILTER(
    $E$2:$E287,
    (
      (($K$22*($E$2:$E287=""♢"")) +
       ($K$23*($E$2:$E287=""♢♢"")) +
       ($K$24*($E$2:$E287=""♢♢♢"")) +
       ($K$25*($E$2:$E287=""♢♢♢♢"")) +
       ($M$22*($E$2:$E287=""☆"")) +
       ($M$23*($E$2:$E287=""☆☆""))"&amp;" +
       ($M$24*($E$2:$E287=""☆☆☆"")) +
       ($M$25*($E$2:$E287=""♛""))
      ) &gt; 0
    )
    *
    IF($M$26, ($J$2:$J287 &lt;= 1), ($A$2:$A287 = FALSE))
  )
)
)"),"♢♢♢♢")</f>
        <v>♢♢♢♢</v>
      </c>
      <c r="S2" s="79">
        <f t="shared" ref="S2:S287" si="2">IFERROR(IFS(R2="♢",35,R2="♢♢",70,R2="♢♢♢",150,R2="♢♢♢♢",500,R2="☆",400,R2="☆☆",1250,R2="☆☆☆",1500,R2="♛",2500),"")</f>
        <v>500</v>
      </c>
      <c r="T2" s="80" t="str">
        <f>IFERROR(__xludf.DUMMYFUNCTION("IF(
  Q2="""",
  """",
  IF(
   REGEXMATCH(SUBSTITUTE(Q2, "" ex"", """"), TEXTJOIN(""|"", TRUE, INDEX('language&amp;DataTest'!$A$33:$AB$182, , MATCH(HOME!$A$25, 'language&amp;DataTest'!$A$1:$G$1, 0)))),
   IF($M$26,
     IF(COUNTIFS(ARRAYFORMULA(SUBSTITUTE($C$2:$"&amp;"C287, "" ex"", """")), SUBSTITUTE(Q2, "" ex"", """"), $J$2:$J287, ""&gt;0"")=0, ""Yes"", ""No""),
     IF(COUNTIFS(ARRAYFORMULA(SUBSTITUTE($C$2:$C287, "" ex"", """")), SUBSTITUTE(Q2, "" ex"", """"), $A$2:$A287, TRUE)=0, ""Yes"", ""No"")
   ),
   ""No""
 )
)"),"No")</f>
        <v>No</v>
      </c>
    </row>
    <row r="3">
      <c r="A3" s="68" t="b">
        <v>1</v>
      </c>
      <c r="B3" s="69" t="s">
        <v>70</v>
      </c>
      <c r="C3" s="69" t="str">
        <f t="array" ref="C3">TEXTJOIN("", TRUE, IFERROR(INDEX('language&amp;DataTest'!A:J, MATCH(INDEX( PointerTest!C:C, MATCH(B3, PointerTest!A:A, 0), 0), 'language&amp;DataTest'!A:A, 0), MATCH(HOME!$A$25, 'language&amp;DataTest'!$A$1:$H$1, 0))),                      IFERROR(INDEX('language&amp;DataTest'!A:J, MATCH(INDEX( PointerTest!D:D, MATCH(B3, PointerTest!A:A, 0), 0), 'language&amp;DataTest'!A:A, 0), MATCH(HOME!$A$25, 'language&amp;DataTest'!$A$1:$H$1, 0))),                                          
IFERROR(INDEX('language&amp;DataTest'!A:J, MATCH(INDEX( PointerTest!E:E, MATCH(B3, PointerTest!A:A, 0), 0), 'language&amp;DataTest'!A:A, 0), MATCH(HOME!$A$25, 'language&amp;DataTest'!$A$1:$H$1, 0))))</f>
        <v>Ivysaur</v>
      </c>
      <c r="D3" s="69" t="str">
        <f t="array" ref="D3">INDEX('language&amp;DataTest'!A:J, MATCH(INDEX( PointerTest!D:D, MATCH(INDEX(PointerTest!B:B, MATCH(B3, PointerTest!A:A, 0)), PointerTest!A:A, 0), 0), 'language&amp;DataTest'!A:A, 0), MATCH(HOME!$A$25, 'language&amp;DataTest'!$A$1:$H$1, 0))</f>
        <v>Mewtwo</v>
      </c>
      <c r="E3" s="69" t="str">
        <f t="array" ref="E3">INDEX( PointerTest!F:F, MATCH(B3, PointerTest!A:A, 0), 0)</f>
        <v>♢♢</v>
      </c>
      <c r="F3" s="70" t="str">
        <f t="array" ref="F3">LET(percentage,XLOOKUP($E3,$K$2:$K$10,L$2:L$10,"",0)/(COUNTIFS($E:$E,$E3,$D:$D,RegularFormula!$D$2)+COUNTIFS($E:$E,$E3,$D:$D,IF($D3=RegularFormula!$D$2,$K$15,$D3))),IFERROR(IF(percentage,percentage,""),""))
</f>
        <v/>
      </c>
      <c r="G3" s="71">
        <f t="array" ref="G3">LET(percentage,XLOOKUP($E3,$K$2:$K$10,M$2:M$10,"",0)/(COUNTIFS($E:$E,$E3,$D:$D,RegularFormula!$D$2)+COUNTIFS($E:$E,$E3,$D:$D,IF($D3=RegularFormula!$D$2,$K$15,$D3))),IFERROR(IF(percentage,percentage,""),""))
</f>
        <v>0.02571428571</v>
      </c>
      <c r="H3" s="71">
        <f t="array" ref="H3">LET(percentage,XLOOKUP($E3,$K$2:$K$10,N$2:N$10,"",0)/(COUNTIFS($E:$E,$E3,$D:$D,RegularFormula!$D$2)+COUNTIFS($E:$E,$E3,$D:$D,IF($D3=RegularFormula!$D$2,$K$15,$D3))),IFERROR(IF(percentage,percentage,""),""))
</f>
        <v>0.01714285714</v>
      </c>
      <c r="I3" s="72" t="str">
        <f t="shared" si="1"/>
        <v/>
      </c>
      <c r="J3" s="73">
        <v>0.0</v>
      </c>
      <c r="K3" s="81" t="s">
        <v>71</v>
      </c>
      <c r="L3" s="82">
        <v>1.0</v>
      </c>
      <c r="M3" s="83">
        <v>0.0</v>
      </c>
      <c r="N3" s="84">
        <v>0.0</v>
      </c>
      <c r="O3" s="85"/>
      <c r="P3" s="86" t="str">
        <f>IFERROR(__xludf.DUMMYFUNCTION("""COMPUTED_VALUE"""),"A1 231")</f>
        <v>A1 231</v>
      </c>
      <c r="Q3" s="86" t="str">
        <f>IFERROR(__xludf.DUMMYFUNCTION("""COMPUTED_VALUE"""),"Rapidash")</f>
        <v>Rapidash</v>
      </c>
      <c r="R3" s="86" t="str">
        <f>IFERROR(__xludf.DUMMYFUNCTION("""COMPUTED_VALUE"""),"☆")</f>
        <v>☆</v>
      </c>
      <c r="S3" s="79">
        <f t="shared" si="2"/>
        <v>400</v>
      </c>
      <c r="T3" s="80" t="str">
        <f>IFERROR(__xludf.DUMMYFUNCTION("IF(
  Q3="""",
  """",
  IF(
   REGEXMATCH(SUBSTITUTE(Q3, "" ex"", """"), TEXTJOIN(""|"", TRUE, INDEX('language&amp;DataTest'!$A$33:$AB$182, , MATCH(HOME!$A$25, 'language&amp;DataTest'!$A$1:$G$1, 0)))),
   IF($M$26,
     IF(COUNTIFS(ARRAYFORMULA(SUBSTITUTE($C$2:$"&amp;"C287, "" ex"", """")), SUBSTITUTE(Q3, "" ex"", """"), $J$2:$J287, ""&gt;0"")=0, ""Yes"", ""No""),
     IF(COUNTIFS(ARRAYFORMULA(SUBSTITUTE($C$2:$C287, "" ex"", """")), SUBSTITUTE(Q3, "" ex"", """"), $A$2:$A287, TRUE)=0, ""Yes"", ""No"")
   ),
   ""No""
 )
)"),"No")</f>
        <v>No</v>
      </c>
    </row>
    <row r="4">
      <c r="A4" s="68" t="b">
        <v>1</v>
      </c>
      <c r="B4" s="69" t="s">
        <v>72</v>
      </c>
      <c r="C4" s="69" t="str">
        <f t="array" ref="C4">TEXTJOIN("", TRUE, IFERROR(INDEX('language&amp;DataTest'!A:J, MATCH(INDEX( PointerTest!C:C, MATCH(B4, PointerTest!A:A, 0), 0), 'language&amp;DataTest'!A:A, 0), MATCH(HOME!$A$25, 'language&amp;DataTest'!$A$1:$H$1, 0))),                      IFERROR(INDEX('language&amp;DataTest'!A:J, MATCH(INDEX( PointerTest!D:D, MATCH(B4, PointerTest!A:A, 0), 0), 'language&amp;DataTest'!A:A, 0), MATCH(HOME!$A$25, 'language&amp;DataTest'!$A$1:$H$1, 0))),                                          
IFERROR(INDEX('language&amp;DataTest'!A:J, MATCH(INDEX( PointerTest!E:E, MATCH(B4, PointerTest!A:A, 0), 0), 'language&amp;DataTest'!A:A, 0), MATCH(HOME!$A$25, 'language&amp;DataTest'!$A$1:$H$1, 0))))</f>
        <v>Venusaur</v>
      </c>
      <c r="D4" s="69" t="str">
        <f t="array" ref="D4">INDEX('language&amp;DataTest'!A:J, MATCH(INDEX( PointerTest!D:D, MATCH(INDEX(PointerTest!B:B, MATCH(B4, PointerTest!A:A, 0)), PointerTest!A:A, 0), 0), 'language&amp;DataTest'!A:A, 0), MATCH(HOME!$A$25, 'language&amp;DataTest'!$A$1:$H$1, 0))</f>
        <v>Mewtwo</v>
      </c>
      <c r="E4" s="69" t="str">
        <f t="array" ref="E4">INDEX( PointerTest!F:F, MATCH(B4, PointerTest!A:A, 0), 0)</f>
        <v>♢♢♢</v>
      </c>
      <c r="F4" s="70" t="str">
        <f t="array" ref="F4">LET(percentage,XLOOKUP($E4,$K$2:$K$10,L$2:L$10,"",0)/(COUNTIFS($E:$E,$E4,$D:$D,RegularFormula!$D$2)+COUNTIFS($E:$E,$E4,$D:$D,IF($D4=RegularFormula!$D$2,$K$15,$D4))),IFERROR(IF(percentage,percentage,""),""))
</f>
        <v/>
      </c>
      <c r="G4" s="71">
        <f t="array" ref="G4">LET(percentage,XLOOKUP($E4,$K$2:$K$10,M$2:M$10,"",0)/(COUNTIFS($E:$E,$E4,$D:$D,RegularFormula!$D$2)+COUNTIFS($E:$E,$E4,$D:$D,IF($D4=RegularFormula!$D$2,$K$15,$D4))),IFERROR(IF(percentage,percentage,""),""))
</f>
        <v>0.003571428571</v>
      </c>
      <c r="H4" s="71">
        <f t="array" ref="H4">LET(percentage,XLOOKUP($E4,$K$2:$K$10,N$2:N$10,"",0)/(COUNTIFS($E:$E,$E4,$D:$D,RegularFormula!$D$2)+COUNTIFS($E:$E,$E4,$D:$D,IF($D4=RegularFormula!$D$2,$K$15,$D4))),IFERROR(IF(percentage,percentage,""),""))
</f>
        <v>0.01428571429</v>
      </c>
      <c r="I4" s="72" t="str">
        <f t="shared" si="1"/>
        <v/>
      </c>
      <c r="J4" s="73">
        <v>0.0</v>
      </c>
      <c r="K4" s="81" t="s">
        <v>73</v>
      </c>
      <c r="L4" s="83">
        <v>0.0</v>
      </c>
      <c r="M4" s="82">
        <v>0.9</v>
      </c>
      <c r="N4" s="87">
        <v>0.6</v>
      </c>
      <c r="O4" s="85"/>
      <c r="P4" s="86" t="str">
        <f>IFERROR(__xludf.DUMMYFUNCTION("""COMPUTED_VALUE"""),"A1 241")</f>
        <v>A1 241</v>
      </c>
      <c r="Q4" s="86" t="str">
        <f>IFERROR(__xludf.DUMMYFUNCTION("""COMPUTED_VALUE"""),"Nidoking")</f>
        <v>Nidoking</v>
      </c>
      <c r="R4" s="86" t="str">
        <f>IFERROR(__xludf.DUMMYFUNCTION("""COMPUTED_VALUE"""),"☆")</f>
        <v>☆</v>
      </c>
      <c r="S4" s="79">
        <f t="shared" si="2"/>
        <v>400</v>
      </c>
      <c r="T4" s="80" t="str">
        <f>IFERROR(__xludf.DUMMYFUNCTION("IF(
  Q4="""",
  """",
  IF(
   REGEXMATCH(SUBSTITUTE(Q4, "" ex"", """"), TEXTJOIN(""|"", TRUE, INDEX('language&amp;DataTest'!$A$33:$AB$182, , MATCH(HOME!$A$25, 'language&amp;DataTest'!$A$1:$G$1, 0)))),
   IF($M$26,
     IF(COUNTIFS(ARRAYFORMULA(SUBSTITUTE($C$2:$"&amp;"C287, "" ex"", """")), SUBSTITUTE(Q4, "" ex"", """"), $J$2:$J287, ""&gt;0"")=0, ""Yes"", ""No""),
     IF(COUNTIFS(ARRAYFORMULA(SUBSTITUTE($C$2:$C287, "" ex"", """")), SUBSTITUTE(Q4, "" ex"", """"), $A$2:$A287, TRUE)=0, ""Yes"", ""No"")
   ),
   ""No""
 )
)"),"No")</f>
        <v>No</v>
      </c>
    </row>
    <row r="5">
      <c r="A5" s="68" t="b">
        <v>1</v>
      </c>
      <c r="B5" s="69" t="s">
        <v>74</v>
      </c>
      <c r="C5" s="69" t="str">
        <f t="array" ref="C5">TEXTJOIN("", TRUE, IFERROR(INDEX('language&amp;DataTest'!A:J, MATCH(INDEX( PointerTest!C:C, MATCH(B5, PointerTest!A:A, 0), 0), 'language&amp;DataTest'!A:A, 0), MATCH(HOME!$A$25, 'language&amp;DataTest'!$A$1:$H$1, 0))),                      IFERROR(INDEX('language&amp;DataTest'!A:J, MATCH(INDEX( PointerTest!D:D, MATCH(B5, PointerTest!A:A, 0), 0), 'language&amp;DataTest'!A:A, 0), MATCH(HOME!$A$25, 'language&amp;DataTest'!$A$1:$H$1, 0))),                                          
IFERROR(INDEX('language&amp;DataTest'!A:J, MATCH(INDEX( PointerTest!E:E, MATCH(B5, PointerTest!A:A, 0), 0), 'language&amp;DataTest'!A:A, 0), MATCH(HOME!$A$25, 'language&amp;DataTest'!$A$1:$H$1, 0))))</f>
        <v>Venusaur ex</v>
      </c>
      <c r="D5" s="69" t="str">
        <f t="array" ref="D5">INDEX('language&amp;DataTest'!A:J, MATCH(INDEX( PointerTest!D:D, MATCH(INDEX(PointerTest!B:B, MATCH(B5, PointerTest!A:A, 0)), PointerTest!A:A, 0), 0), 'language&amp;DataTest'!A:A, 0), MATCH(HOME!$A$25, 'language&amp;DataTest'!$A$1:$H$1, 0))</f>
        <v>Mewtwo</v>
      </c>
      <c r="E5" s="69" t="str">
        <f t="array" ref="E5">INDEX( PointerTest!F:F, MATCH(B5, PointerTest!A:A, 0), 0)</f>
        <v>♢♢♢♢</v>
      </c>
      <c r="F5" s="70" t="str">
        <f t="array" ref="F5">LET(percentage,XLOOKUP($E5,$K$2:$K$10,L$2:L$10,"",0)/(COUNTIFS($E:$E,$E5,$D:$D,RegularFormula!$D$2)+COUNTIFS($E:$E,$E5,$D:$D,IF($D5=RegularFormula!$D$2,$K$15,$D5))),IFERROR(IF(percentage,percentage,""),""))
</f>
        <v/>
      </c>
      <c r="G5" s="71">
        <f t="array" ref="G5">LET(percentage,XLOOKUP($E5,$K$2:$K$10,M$2:M$10,"",0)/(COUNTIFS($E:$E,$E5,$D:$D,RegularFormula!$D$2)+COUNTIFS($E:$E,$E5,$D:$D,IF($D5=RegularFormula!$D$2,$K$15,$D5))),IFERROR(IF(percentage,percentage,""),""))
</f>
        <v>0.003332</v>
      </c>
      <c r="H5" s="71">
        <f t="array" ref="H5">LET(percentage,XLOOKUP($E5,$K$2:$K$10,N$2:N$10,"",0)/(COUNTIFS($E:$E,$E5,$D:$D,RegularFormula!$D$2)+COUNTIFS($E:$E,$E5,$D:$D,IF($D5=RegularFormula!$D$2,$K$15,$D5))),IFERROR(IF(percentage,percentage,""),""))
</f>
        <v>0.013328</v>
      </c>
      <c r="I5" s="72" t="str">
        <f t="shared" si="1"/>
        <v/>
      </c>
      <c r="J5" s="73">
        <v>0.0</v>
      </c>
      <c r="K5" s="81" t="s">
        <v>75</v>
      </c>
      <c r="L5" s="83">
        <v>0.0</v>
      </c>
      <c r="M5" s="82">
        <v>0.05</v>
      </c>
      <c r="N5" s="87">
        <v>0.2</v>
      </c>
      <c r="O5" s="85"/>
      <c r="P5" s="86" t="str">
        <f>IFERROR(__xludf.DUMMYFUNCTION("""COMPUTED_VALUE"""),"A1 245")</f>
        <v>A1 245</v>
      </c>
      <c r="Q5" s="86" t="str">
        <f>IFERROR(__xludf.DUMMYFUNCTION("""COMPUTED_VALUE"""),"Pidgeot")</f>
        <v>Pidgeot</v>
      </c>
      <c r="R5" s="86" t="str">
        <f>IFERROR(__xludf.DUMMYFUNCTION("""COMPUTED_VALUE"""),"☆")</f>
        <v>☆</v>
      </c>
      <c r="S5" s="79">
        <f t="shared" si="2"/>
        <v>400</v>
      </c>
      <c r="T5" s="80" t="str">
        <f>IFERROR(__xludf.DUMMYFUNCTION("IF(
  Q5="""",
  """",
  IF(
   REGEXMATCH(SUBSTITUTE(Q5, "" ex"", """"), TEXTJOIN(""|"", TRUE, INDEX('language&amp;DataTest'!$A$33:$AB$182, , MATCH(HOME!$A$25, 'language&amp;DataTest'!$A$1:$G$1, 0)))),
   IF($M$26,
     IF(COUNTIFS(ARRAYFORMULA(SUBSTITUTE($C$2:$"&amp;"C287, "" ex"", """")), SUBSTITUTE(Q5, "" ex"", """"), $J$2:$J287, ""&gt;0"")=0, ""Yes"", ""No""),
     IF(COUNTIFS(ARRAYFORMULA(SUBSTITUTE($C$2:$C287, "" ex"", """")), SUBSTITUTE(Q5, "" ex"", """"), $A$2:$A287, TRUE)=0, ""Yes"", ""No"")
   ),
   ""No""
 )
)"),"No")</f>
        <v>No</v>
      </c>
    </row>
    <row r="6">
      <c r="A6" s="68" t="b">
        <v>1</v>
      </c>
      <c r="B6" s="69" t="s">
        <v>76</v>
      </c>
      <c r="C6" s="69" t="str">
        <f t="array" ref="C6">TEXTJOIN("", TRUE, IFERROR(INDEX('language&amp;DataTest'!A:J, MATCH(INDEX( PointerTest!C:C, MATCH(B6, PointerTest!A:A, 0), 0), 'language&amp;DataTest'!A:A, 0), MATCH(HOME!$A$25, 'language&amp;DataTest'!$A$1:$H$1, 0))),                      IFERROR(INDEX('language&amp;DataTest'!A:J, MATCH(INDEX( PointerTest!D:D, MATCH(B6, PointerTest!A:A, 0), 0), 'language&amp;DataTest'!A:A, 0), MATCH(HOME!$A$25, 'language&amp;DataTest'!$A$1:$H$1, 0))),                                          
IFERROR(INDEX('language&amp;DataTest'!A:J, MATCH(INDEX( PointerTest!E:E, MATCH(B6, PointerTest!A:A, 0), 0), 'language&amp;DataTest'!A:A, 0), MATCH(HOME!$A$25, 'language&amp;DataTest'!$A$1:$H$1, 0))))</f>
        <v>Caterpie</v>
      </c>
      <c r="D6" s="69" t="str">
        <f t="array" ref="D6">INDEX('language&amp;DataTest'!A:J, MATCH(INDEX( PointerTest!D:D, MATCH(INDEX(PointerTest!B:B, MATCH(B6, PointerTest!A:A, 0)), PointerTest!A:A, 0), 0), 'language&amp;DataTest'!A:A, 0), MATCH(HOME!$A$25, 'language&amp;DataTest'!$A$1:$H$1, 0))</f>
        <v>Pikachu</v>
      </c>
      <c r="E6" s="69" t="str">
        <f t="array" ref="E6">INDEX( PointerTest!F:F, MATCH(B6, PointerTest!A:A, 0), 0)</f>
        <v>♢</v>
      </c>
      <c r="F6" s="70">
        <f t="array" ref="F6">LET(percentage,XLOOKUP($E6,$K$2:$K$10,L$2:L$10,"",0)/(COUNTIFS($E:$E,$E6,$D:$D,RegularFormula!$D$2)+COUNTIFS($E:$E,$E6,$D:$D,IF($D6=RegularFormula!$D$2,$K$15,$D6))),IFERROR(IF(percentage,percentage,""),""))
</f>
        <v>0.02</v>
      </c>
      <c r="G6" s="71" t="str">
        <f t="array" ref="G6">LET(percentage,XLOOKUP($E6,$K$2:$K$10,M$2:M$10,"",0)/(COUNTIFS($E:$E,$E6,$D:$D,RegularFormula!$D$2)+COUNTIFS($E:$E,$E6,$D:$D,IF($D6=RegularFormula!$D$2,$K$15,$D6))),IFERROR(IF(percentage,percentage,""),""))
</f>
        <v/>
      </c>
      <c r="H6" s="71" t="str">
        <f t="array" ref="H6">LET(percentage,XLOOKUP($E6,$K$2:$K$10,N$2:N$10,"",0)/(COUNTIFS($E:$E,$E6,$D:$D,RegularFormula!$D$2)+COUNTIFS($E:$E,$E6,$D:$D,IF($D6=RegularFormula!$D$2,$K$15,$D6))),IFERROR(IF(percentage,percentage,""),""))
</f>
        <v/>
      </c>
      <c r="I6" s="72" t="str">
        <f t="shared" si="1"/>
        <v/>
      </c>
      <c r="J6" s="73">
        <v>0.0</v>
      </c>
      <c r="K6" s="81" t="s">
        <v>77</v>
      </c>
      <c r="L6" s="83">
        <v>0.0</v>
      </c>
      <c r="M6" s="82">
        <v>0.01666</v>
      </c>
      <c r="N6" s="87">
        <v>0.06664</v>
      </c>
      <c r="O6" s="85"/>
      <c r="P6" s="86" t="str">
        <f>IFERROR(__xludf.DUMMYFUNCTION("""COMPUTED_VALUE"""),"A1 246")</f>
        <v>A1 246</v>
      </c>
      <c r="Q6" s="86" t="str">
        <f>IFERROR(__xludf.DUMMYFUNCTION("""COMPUTED_VALUE"""),"Meowth")</f>
        <v>Meowth</v>
      </c>
      <c r="R6" s="86" t="str">
        <f>IFERROR(__xludf.DUMMYFUNCTION("""COMPUTED_VALUE"""),"☆")</f>
        <v>☆</v>
      </c>
      <c r="S6" s="79">
        <f t="shared" si="2"/>
        <v>400</v>
      </c>
      <c r="T6" s="80" t="str">
        <f>IFERROR(__xludf.DUMMYFUNCTION("IF(
  Q6="""",
  """",
  IF(
   REGEXMATCH(SUBSTITUTE(Q6, "" ex"", """"), TEXTJOIN(""|"", TRUE, INDEX('language&amp;DataTest'!$A$33:$AB$182, , MATCH(HOME!$A$25, 'language&amp;DataTest'!$A$1:$G$1, 0)))),
   IF($M$26,
     IF(COUNTIFS(ARRAYFORMULA(SUBSTITUTE($C$2:$"&amp;"C287, "" ex"", """")), SUBSTITUTE(Q6, "" ex"", """"), $J$2:$J287, ""&gt;0"")=0, ""Yes"", ""No""),
     IF(COUNTIFS(ARRAYFORMULA(SUBSTITUTE($C$2:$C287, "" ex"", """")), SUBSTITUTE(Q6, "" ex"", """"), $A$2:$A287, TRUE)=0, ""Yes"", ""No"")
   ),
   ""No""
 )
)"),"No")</f>
        <v>No</v>
      </c>
    </row>
    <row r="7">
      <c r="A7" s="68" t="b">
        <v>1</v>
      </c>
      <c r="B7" s="69" t="s">
        <v>78</v>
      </c>
      <c r="C7" s="69" t="str">
        <f t="array" ref="C7">TEXTJOIN("", TRUE, IFERROR(INDEX('language&amp;DataTest'!A:J, MATCH(INDEX( PointerTest!C:C, MATCH(B7, PointerTest!A:A, 0), 0), 'language&amp;DataTest'!A:A, 0), MATCH(HOME!$A$25, 'language&amp;DataTest'!$A$1:$H$1, 0))),                      IFERROR(INDEX('language&amp;DataTest'!A:J, MATCH(INDEX( PointerTest!D:D, MATCH(B7, PointerTest!A:A, 0), 0), 'language&amp;DataTest'!A:A, 0), MATCH(HOME!$A$25, 'language&amp;DataTest'!$A$1:$H$1, 0))),                                          
IFERROR(INDEX('language&amp;DataTest'!A:J, MATCH(INDEX( PointerTest!E:E, MATCH(B7, PointerTest!A:A, 0), 0), 'language&amp;DataTest'!A:A, 0), MATCH(HOME!$A$25, 'language&amp;DataTest'!$A$1:$H$1, 0))))</f>
        <v>Metapod</v>
      </c>
      <c r="D7" s="69" t="str">
        <f t="array" ref="D7">INDEX('language&amp;DataTest'!A:J, MATCH(INDEX( PointerTest!D:D, MATCH(INDEX(PointerTest!B:B, MATCH(B7, PointerTest!A:A, 0)), PointerTest!A:A, 0), 0), 'language&amp;DataTest'!A:A, 0), MATCH(HOME!$A$25, 'language&amp;DataTest'!$A$1:$H$1, 0))</f>
        <v>Pikachu</v>
      </c>
      <c r="E7" s="69" t="str">
        <f t="array" ref="E7">INDEX( PointerTest!F:F, MATCH(B7, PointerTest!A:A, 0), 0)</f>
        <v>♢</v>
      </c>
      <c r="F7" s="70">
        <f t="array" ref="F7">LET(percentage,XLOOKUP($E7,$K$2:$K$10,L$2:L$10,"",0)/(COUNTIFS($E:$E,$E7,$D:$D,RegularFormula!$D$2)+COUNTIFS($E:$E,$E7,$D:$D,IF($D7=RegularFormula!$D$2,$K$15,$D7))),IFERROR(IF(percentage,percentage,""),""))
</f>
        <v>0.02</v>
      </c>
      <c r="G7" s="71" t="str">
        <f t="array" ref="G7">LET(percentage,XLOOKUP($E7,$K$2:$K$10,M$2:M$10,"",0)/(COUNTIFS($E:$E,$E7,$D:$D,RegularFormula!$D$2)+COUNTIFS($E:$E,$E7,$D:$D,IF($D7=RegularFormula!$D$2,$K$15,$D7))),IFERROR(IF(percentage,percentage,""),""))
</f>
        <v/>
      </c>
      <c r="H7" s="71" t="str">
        <f t="array" ref="H7">LET(percentage,XLOOKUP($E7,$K$2:$K$10,N$2:N$10,"",0)/(COUNTIFS($E:$E,$E7,$D:$D,RegularFormula!$D$2)+COUNTIFS($E:$E,$E7,$D:$D,IF($D7=RegularFormula!$D$2,$K$15,$D7))),IFERROR(IF(percentage,percentage,""),""))
</f>
        <v/>
      </c>
      <c r="I7" s="72" t="str">
        <f t="shared" si="1"/>
        <v/>
      </c>
      <c r="J7" s="73">
        <v>0.0</v>
      </c>
      <c r="K7" s="81" t="s">
        <v>79</v>
      </c>
      <c r="L7" s="83">
        <v>0.0</v>
      </c>
      <c r="M7" s="82">
        <v>0.02572</v>
      </c>
      <c r="N7" s="87">
        <v>0.10288</v>
      </c>
      <c r="O7" s="85"/>
      <c r="P7" s="86" t="str">
        <f>IFERROR(__xludf.DUMMYFUNCTION("""COMPUTED_VALUE"""),"A1 251")</f>
        <v>A1 251</v>
      </c>
      <c r="Q7" s="86" t="str">
        <f>IFERROR(__xludf.DUMMYFUNCTION("""COMPUTED_VALUE"""),"Venusaur ex")</f>
        <v>Venusaur ex</v>
      </c>
      <c r="R7" s="86" t="str">
        <f>IFERROR(__xludf.DUMMYFUNCTION("""COMPUTED_VALUE"""),"☆☆")</f>
        <v>☆☆</v>
      </c>
      <c r="S7" s="79">
        <f t="shared" si="2"/>
        <v>1250</v>
      </c>
      <c r="T7" s="80" t="str">
        <f>IFERROR(__xludf.DUMMYFUNCTION("IF(
  Q7="""",
  """",
  IF(
   REGEXMATCH(SUBSTITUTE(Q7, "" ex"", """"), TEXTJOIN(""|"", TRUE, INDEX('language&amp;DataTest'!$A$33:$AB$182, , MATCH(HOME!$A$25, 'language&amp;DataTest'!$A$1:$G$1, 0)))),
   IF($M$26,
     IF(COUNTIFS(ARRAYFORMULA(SUBSTITUTE($C$2:$"&amp;"C287, "" ex"", """")), SUBSTITUTE(Q7, "" ex"", """"), $J$2:$J287, ""&gt;0"")=0, ""Yes"", ""No""),
     IF(COUNTIFS(ARRAYFORMULA(SUBSTITUTE($C$2:$C287, "" ex"", """")), SUBSTITUTE(Q7, "" ex"", """"), $A$2:$A287, TRUE)=0, ""Yes"", ""No"")
   ),
   ""No""
 )
)"),"No")</f>
        <v>No</v>
      </c>
    </row>
    <row r="8">
      <c r="A8" s="68" t="b">
        <v>1</v>
      </c>
      <c r="B8" s="69" t="s">
        <v>80</v>
      </c>
      <c r="C8" s="69" t="str">
        <f t="array" ref="C8">TEXTJOIN("", TRUE, IFERROR(INDEX('language&amp;DataTest'!A:J, MATCH(INDEX( PointerTest!C:C, MATCH(B8, PointerTest!A:A, 0), 0), 'language&amp;DataTest'!A:A, 0), MATCH(HOME!$A$25, 'language&amp;DataTest'!$A$1:$H$1, 0))),                      IFERROR(INDEX('language&amp;DataTest'!A:J, MATCH(INDEX( PointerTest!D:D, MATCH(B8, PointerTest!A:A, 0), 0), 'language&amp;DataTest'!A:A, 0), MATCH(HOME!$A$25, 'language&amp;DataTest'!$A$1:$H$1, 0))),                                          
IFERROR(INDEX('language&amp;DataTest'!A:J, MATCH(INDEX( PointerTest!E:E, MATCH(B8, PointerTest!A:A, 0), 0), 'language&amp;DataTest'!A:A, 0), MATCH(HOME!$A$25, 'language&amp;DataTest'!$A$1:$H$1, 0))))</f>
        <v>Butterfree</v>
      </c>
      <c r="D8" s="69" t="str">
        <f t="array" ref="D8">INDEX('language&amp;DataTest'!A:J, MATCH(INDEX( PointerTest!D:D, MATCH(INDEX(PointerTest!B:B, MATCH(B8, PointerTest!A:A, 0)), PointerTest!A:A, 0), 0), 'language&amp;DataTest'!A:A, 0), MATCH(HOME!$A$25, 'language&amp;DataTest'!$A$1:$H$1, 0))</f>
        <v>Pikachu</v>
      </c>
      <c r="E8" s="69" t="str">
        <f t="array" ref="E8">INDEX( PointerTest!F:F, MATCH(B8, PointerTest!A:A, 0), 0)</f>
        <v>♢♢♢</v>
      </c>
      <c r="F8" s="70" t="str">
        <f t="array" ref="F8">LET(percentage,XLOOKUP($E8,$K$2:$K$10,L$2:L$10,"",0)/(COUNTIFS($E:$E,$E8,$D:$D,RegularFormula!$D$2)+COUNTIFS($E:$E,$E8,$D:$D,IF($D8=RegularFormula!$D$2,$K$15,$D8))),IFERROR(IF(percentage,percentage,""),""))
</f>
        <v/>
      </c>
      <c r="G8" s="71">
        <f t="array" ref="G8">LET(percentage,XLOOKUP($E8,$K$2:$K$10,M$2:M$10,"",0)/(COUNTIFS($E:$E,$E8,$D:$D,RegularFormula!$D$2)+COUNTIFS($E:$E,$E8,$D:$D,IF($D8=RegularFormula!$D$2,$K$15,$D8))),IFERROR(IF(percentage,percentage,""),""))
</f>
        <v>0.003571428571</v>
      </c>
      <c r="H8" s="71">
        <f t="array" ref="H8">LET(percentage,XLOOKUP($E8,$K$2:$K$10,N$2:N$10,"",0)/(COUNTIFS($E:$E,$E8,$D:$D,RegularFormula!$D$2)+COUNTIFS($E:$E,$E8,$D:$D,IF($D8=RegularFormula!$D$2,$K$15,$D8))),IFERROR(IF(percentage,percentage,""),""))
</f>
        <v>0.01428571429</v>
      </c>
      <c r="I8" s="72" t="str">
        <f t="shared" si="1"/>
        <v/>
      </c>
      <c r="J8" s="73">
        <v>0.0</v>
      </c>
      <c r="K8" s="81" t="s">
        <v>81</v>
      </c>
      <c r="L8" s="83">
        <v>0.0</v>
      </c>
      <c r="M8" s="82">
        <v>0.005</v>
      </c>
      <c r="N8" s="87">
        <v>0.02</v>
      </c>
      <c r="O8" s="85"/>
      <c r="P8" s="86" t="str">
        <f>IFERROR(__xludf.DUMMYFUNCTION("""COMPUTED_VALUE"""),"A1 252")</f>
        <v>A1 252</v>
      </c>
      <c r="Q8" s="86" t="str">
        <f>IFERROR(__xludf.DUMMYFUNCTION("""COMPUTED_VALUE"""),"Exeggutor ex")</f>
        <v>Exeggutor ex</v>
      </c>
      <c r="R8" s="86" t="str">
        <f>IFERROR(__xludf.DUMMYFUNCTION("""COMPUTED_VALUE"""),"☆☆")</f>
        <v>☆☆</v>
      </c>
      <c r="S8" s="79">
        <f t="shared" si="2"/>
        <v>1250</v>
      </c>
      <c r="T8" s="80" t="str">
        <f>IFERROR(__xludf.DUMMYFUNCTION("IF(
  Q8="""",
  """",
  IF(
   REGEXMATCH(SUBSTITUTE(Q8, "" ex"", """"), TEXTJOIN(""|"", TRUE, INDEX('language&amp;DataTest'!$A$33:$AB$182, , MATCH(HOME!$A$25, 'language&amp;DataTest'!$A$1:$G$1, 0)))),
   IF($M$26,
     IF(COUNTIFS(ARRAYFORMULA(SUBSTITUTE($C$2:$"&amp;"C287, "" ex"", """")), SUBSTITUTE(Q8, "" ex"", """"), $J$2:$J287, ""&gt;0"")=0, ""Yes"", ""No""),
     IF(COUNTIFS(ARRAYFORMULA(SUBSTITUTE($C$2:$C287, "" ex"", """")), SUBSTITUTE(Q8, "" ex"", """"), $A$2:$A287, TRUE)=0, ""Yes"", ""No"")
   ),
   ""No""
 )
)"),"No")</f>
        <v>No</v>
      </c>
    </row>
    <row r="9">
      <c r="A9" s="68" t="b">
        <v>1</v>
      </c>
      <c r="B9" s="69" t="s">
        <v>82</v>
      </c>
      <c r="C9" s="69" t="str">
        <f t="array" ref="C9">TEXTJOIN("", TRUE, IFERROR(INDEX('language&amp;DataTest'!A:J, MATCH(INDEX( PointerTest!C:C, MATCH(B9, PointerTest!A:A, 0), 0), 'language&amp;DataTest'!A:A, 0), MATCH(HOME!$A$25, 'language&amp;DataTest'!$A$1:$H$1, 0))),                      IFERROR(INDEX('language&amp;DataTest'!A:J, MATCH(INDEX( PointerTest!D:D, MATCH(B9, PointerTest!A:A, 0), 0), 'language&amp;DataTest'!A:A, 0), MATCH(HOME!$A$25, 'language&amp;DataTest'!$A$1:$H$1, 0))),                                          
IFERROR(INDEX('language&amp;DataTest'!A:J, MATCH(INDEX( PointerTest!E:E, MATCH(B9, PointerTest!A:A, 0), 0), 'language&amp;DataTest'!A:A, 0), MATCH(HOME!$A$25, 'language&amp;DataTest'!$A$1:$H$1, 0))))</f>
        <v>Weedle</v>
      </c>
      <c r="D9" s="69" t="str">
        <f t="array" ref="D9">INDEX('language&amp;DataTest'!A:J, MATCH(INDEX( PointerTest!D:D, MATCH(INDEX(PointerTest!B:B, MATCH(B9, PointerTest!A:A, 0)), PointerTest!A:A, 0), 0), 'language&amp;DataTest'!A:A, 0), MATCH(HOME!$A$25, 'language&amp;DataTest'!$A$1:$H$1, 0))</f>
        <v>Mewtwo</v>
      </c>
      <c r="E9" s="69" t="str">
        <f t="array" ref="E9">INDEX( PointerTest!F:F, MATCH(B9, PointerTest!A:A, 0), 0)</f>
        <v>♢</v>
      </c>
      <c r="F9" s="70">
        <f t="array" ref="F9">LET(percentage,XLOOKUP($E9,$K$2:$K$10,L$2:L$10,"",0)/(COUNTIFS($E:$E,$E9,$D:$D,RegularFormula!$D$2)+COUNTIFS($E:$E,$E9,$D:$D,IF($D9=RegularFormula!$D$2,$K$15,$D9))),IFERROR(IF(percentage,percentage,""),""))
</f>
        <v>0.02</v>
      </c>
      <c r="G9" s="71" t="str">
        <f t="array" ref="G9">LET(percentage,XLOOKUP($E9,$K$2:$K$10,M$2:M$10,"",0)/(COUNTIFS($E:$E,$E9,$D:$D,RegularFormula!$D$2)+COUNTIFS($E:$E,$E9,$D:$D,IF($D9=RegularFormula!$D$2,$K$15,$D9))),IFERROR(IF(percentage,percentage,""),""))
</f>
        <v/>
      </c>
      <c r="H9" s="71" t="str">
        <f t="array" ref="H9">LET(percentage,XLOOKUP($E9,$K$2:$K$10,N$2:N$10,"",0)/(COUNTIFS($E:$E,$E9,$D:$D,RegularFormula!$D$2)+COUNTIFS($E:$E,$E9,$D:$D,IF($D9=RegularFormula!$D$2,$K$15,$D9))),IFERROR(IF(percentage,percentage,""),""))
</f>
        <v/>
      </c>
      <c r="I9" s="72" t="str">
        <f t="shared" si="1"/>
        <v/>
      </c>
      <c r="J9" s="73">
        <v>0.0</v>
      </c>
      <c r="K9" s="81" t="s">
        <v>83</v>
      </c>
      <c r="L9" s="83">
        <v>0.0</v>
      </c>
      <c r="M9" s="82">
        <v>0.00222</v>
      </c>
      <c r="N9" s="87">
        <v>0.00888</v>
      </c>
      <c r="O9" s="85"/>
      <c r="P9" s="86" t="str">
        <f>IFERROR(__xludf.DUMMYFUNCTION("""COMPUTED_VALUE"""),"A1 253")</f>
        <v>A1 253</v>
      </c>
      <c r="Q9" s="86" t="str">
        <f>IFERROR(__xludf.DUMMYFUNCTION("""COMPUTED_VALUE"""),"Charizard ex")</f>
        <v>Charizard ex</v>
      </c>
      <c r="R9" s="86" t="str">
        <f>IFERROR(__xludf.DUMMYFUNCTION("""COMPUTED_VALUE"""),"☆☆")</f>
        <v>☆☆</v>
      </c>
      <c r="S9" s="79">
        <f t="shared" si="2"/>
        <v>1250</v>
      </c>
      <c r="T9" s="80" t="str">
        <f>IFERROR(__xludf.DUMMYFUNCTION("IF(
  Q9="""",
  """",
  IF(
   REGEXMATCH(SUBSTITUTE(Q9, "" ex"", """"), TEXTJOIN(""|"", TRUE, INDEX('language&amp;DataTest'!$A$33:$AB$182, , MATCH(HOME!$A$25, 'language&amp;DataTest'!$A$1:$G$1, 0)))),
   IF($M$26,
     IF(COUNTIFS(ARRAYFORMULA(SUBSTITUTE($C$2:$"&amp;"C287, "" ex"", """")), SUBSTITUTE(Q9, "" ex"", """"), $J$2:$J287, ""&gt;0"")=0, ""Yes"", ""No""),
     IF(COUNTIFS(ARRAYFORMULA(SUBSTITUTE($C$2:$C287, "" ex"", """")), SUBSTITUTE(Q9, "" ex"", """"), $A$2:$A287, TRUE)=0, ""Yes"", ""No"")
   ),
   ""No""
 )
)"),"No")</f>
        <v>No</v>
      </c>
    </row>
    <row r="10">
      <c r="A10" s="68" t="b">
        <v>1</v>
      </c>
      <c r="B10" s="69" t="s">
        <v>84</v>
      </c>
      <c r="C10" s="69" t="str">
        <f t="array" ref="C10">TEXTJOIN("", TRUE, IFERROR(INDEX('language&amp;DataTest'!A:J, MATCH(INDEX( PointerTest!C:C, MATCH(B10, PointerTest!A:A, 0), 0), 'language&amp;DataTest'!A:A, 0), MATCH(HOME!$A$25, 'language&amp;DataTest'!$A$1:$H$1, 0))),                      IFERROR(INDEX('language&amp;DataTest'!A:J, MATCH(INDEX( PointerTest!D:D, MATCH(B10, PointerTest!A:A, 0), 0), 'language&amp;DataTest'!A:A, 0), MATCH(HOME!$A$25, 'language&amp;DataTest'!$A$1:$H$1, 0))),                                          
IFERROR(INDEX('language&amp;DataTest'!A:J, MATCH(INDEX( PointerTest!E:E, MATCH(B10, PointerTest!A:A, 0), 0), 'language&amp;DataTest'!A:A, 0), MATCH(HOME!$A$25, 'language&amp;DataTest'!$A$1:$H$1, 0))))</f>
        <v>Kakuna</v>
      </c>
      <c r="D10" s="69" t="str">
        <f t="array" ref="D10">INDEX('language&amp;DataTest'!A:J, MATCH(INDEX( PointerTest!D:D, MATCH(INDEX(PointerTest!B:B, MATCH(B10, PointerTest!A:A, 0)), PointerTest!A:A, 0), 0), 'language&amp;DataTest'!A:A, 0), MATCH(HOME!$A$25, 'language&amp;DataTest'!$A$1:$H$1, 0))</f>
        <v>Mewtwo</v>
      </c>
      <c r="E10" s="69" t="str">
        <f t="array" ref="E10">INDEX( PointerTest!F:F, MATCH(B10, PointerTest!A:A, 0), 0)</f>
        <v>♢</v>
      </c>
      <c r="F10" s="70">
        <f t="array" ref="F10">LET(percentage,XLOOKUP($E10,$K$2:$K$10,L$2:L$10,"",0)/(COUNTIFS($E:$E,$E10,$D:$D,RegularFormula!$D$2)+COUNTIFS($E:$E,$E10,$D:$D,IF($D10=RegularFormula!$D$2,$K$15,$D10))),IFERROR(IF(percentage,percentage,""),""))
</f>
        <v>0.02</v>
      </c>
      <c r="G10" s="71" t="str">
        <f t="array" ref="G10">LET(percentage,XLOOKUP($E10,$K$2:$K$10,M$2:M$10,"",0)/(COUNTIFS($E:$E,$E10,$D:$D,RegularFormula!$D$2)+COUNTIFS($E:$E,$E10,$D:$D,IF($D10=RegularFormula!$D$2,$K$15,$D10))),IFERROR(IF(percentage,percentage,""),""))
</f>
        <v/>
      </c>
      <c r="H10" s="71" t="str">
        <f t="array" ref="H10">LET(percentage,XLOOKUP($E10,$K$2:$K$10,N$2:N$10,"",0)/(COUNTIFS($E:$E,$E10,$D:$D,RegularFormula!$D$2)+COUNTIFS($E:$E,$E10,$D:$D,IF($D10=RegularFormula!$D$2,$K$15,$D10))),IFERROR(IF(percentage,percentage,""),""))
</f>
        <v/>
      </c>
      <c r="I10" s="72" t="str">
        <f t="shared" si="1"/>
        <v/>
      </c>
      <c r="J10" s="73">
        <v>0.0</v>
      </c>
      <c r="K10" s="88" t="s">
        <v>85</v>
      </c>
      <c r="L10" s="89">
        <v>0.0</v>
      </c>
      <c r="M10" s="90">
        <v>4.0E-4</v>
      </c>
      <c r="N10" s="91">
        <v>0.0016</v>
      </c>
      <c r="O10" s="92"/>
      <c r="P10" s="86" t="str">
        <f>IFERROR(__xludf.DUMMYFUNCTION("""COMPUTED_VALUE"""),"A1 254")</f>
        <v>A1 254</v>
      </c>
      <c r="Q10" s="86" t="str">
        <f>IFERROR(__xludf.DUMMYFUNCTION("""COMPUTED_VALUE"""),"Arcanine ex")</f>
        <v>Arcanine ex</v>
      </c>
      <c r="R10" s="86" t="str">
        <f>IFERROR(__xludf.DUMMYFUNCTION("""COMPUTED_VALUE"""),"☆☆")</f>
        <v>☆☆</v>
      </c>
      <c r="S10" s="79">
        <f t="shared" si="2"/>
        <v>1250</v>
      </c>
      <c r="T10" s="80" t="str">
        <f>IFERROR(__xludf.DUMMYFUNCTION("IF(
  Q10="""",
  """",
  IF(
   REGEXMATCH(SUBSTITUTE(Q10, "" ex"", """"), TEXTJOIN(""|"", TRUE, INDEX('language&amp;DataTest'!$A$33:$AB$182, , MATCH(HOME!$A$25, 'language&amp;DataTest'!$A$1:$G$1, 0)))),
   IF($M$26,
     IF(COUNTIFS(ARRAYFORMULA(SUBSTITUTE($C$2"&amp;":$C287, "" ex"", """")), SUBSTITUTE(Q10, "" ex"", """"), $J$2:$J287, ""&gt;0"")=0, ""Yes"", ""No""),
     IF(COUNTIFS(ARRAYFORMULA(SUBSTITUTE($C$2:$C287, "" ex"", """")), SUBSTITUTE(Q10, "" ex"", """"), $A$2:$A287, TRUE)=0, ""Yes"", ""No"")
   ),
   ""No""
 "&amp;")
)"),"No")</f>
        <v>No</v>
      </c>
    </row>
    <row r="11">
      <c r="A11" s="68" t="b">
        <v>1</v>
      </c>
      <c r="B11" s="69" t="s">
        <v>86</v>
      </c>
      <c r="C11" s="69" t="str">
        <f t="array" ref="C11">TEXTJOIN("", TRUE, IFERROR(INDEX('language&amp;DataTest'!A:J, MATCH(INDEX( PointerTest!C:C, MATCH(B11, PointerTest!A:A, 0), 0), 'language&amp;DataTest'!A:A, 0), MATCH(HOME!$A$25, 'language&amp;DataTest'!$A$1:$H$1, 0))),                      IFERROR(INDEX('language&amp;DataTest'!A:J, MATCH(INDEX( PointerTest!D:D, MATCH(B11, PointerTest!A:A, 0), 0), 'language&amp;DataTest'!A:A, 0), MATCH(HOME!$A$25, 'language&amp;DataTest'!$A$1:$H$1, 0))),                                          
IFERROR(INDEX('language&amp;DataTest'!A:J, MATCH(INDEX( PointerTest!E:E, MATCH(B11, PointerTest!A:A, 0), 0), 'language&amp;DataTest'!A:A, 0), MATCH(HOME!$A$25, 'language&amp;DataTest'!$A$1:$H$1, 0))))</f>
        <v>Beedrill</v>
      </c>
      <c r="D11" s="69" t="str">
        <f t="array" ref="D11">INDEX('language&amp;DataTest'!A:J, MATCH(INDEX( PointerTest!D:D, MATCH(INDEX(PointerTest!B:B, MATCH(B11, PointerTest!A:A, 0)), PointerTest!A:A, 0), 0), 'language&amp;DataTest'!A:A, 0), MATCH(HOME!$A$25, 'language&amp;DataTest'!$A$1:$H$1, 0))</f>
        <v>Mewtwo</v>
      </c>
      <c r="E11" s="69" t="str">
        <f t="array" ref="E11">INDEX( PointerTest!F:F, MATCH(B11, PointerTest!A:A, 0), 0)</f>
        <v>♢♢♢</v>
      </c>
      <c r="F11" s="70" t="str">
        <f t="array" ref="F11">LET(percentage,XLOOKUP($E11,$K$2:$K$10,L$2:L$10,"",0)/(COUNTIFS($E:$E,$E11,$D:$D,RegularFormula!$D$2)+COUNTIFS($E:$E,$E11,$D:$D,IF($D11=RegularFormula!$D$2,$K$15,$D11))),IFERROR(IF(percentage,percentage,""),""))
</f>
        <v/>
      </c>
      <c r="G11" s="71">
        <f t="array" ref="G11">LET(percentage,XLOOKUP($E11,$K$2:$K$10,M$2:M$10,"",0)/(COUNTIFS($E:$E,$E11,$D:$D,RegularFormula!$D$2)+COUNTIFS($E:$E,$E11,$D:$D,IF($D11=RegularFormula!$D$2,$K$15,$D11))),IFERROR(IF(percentage,percentage,""),""))
</f>
        <v>0.003571428571</v>
      </c>
      <c r="H11" s="71">
        <f t="array" ref="H11">LET(percentage,XLOOKUP($E11,$K$2:$K$10,N$2:N$10,"",0)/(COUNTIFS($E:$E,$E11,$D:$D,RegularFormula!$D$2)+COUNTIFS($E:$E,$E11,$D:$D,IF($D11=RegularFormula!$D$2,$K$15,$D11))),IFERROR(IF(percentage,percentage,""),""))
</f>
        <v>0.01428571429</v>
      </c>
      <c r="I11" s="72" t="str">
        <f t="shared" si="1"/>
        <v/>
      </c>
      <c r="J11" s="73">
        <v>0.0</v>
      </c>
      <c r="K11" s="93" t="s">
        <v>87</v>
      </c>
      <c r="N11" s="94"/>
      <c r="O11" s="95" t="s">
        <v>88</v>
      </c>
      <c r="P11" s="86" t="str">
        <f>IFERROR(__xludf.DUMMYFUNCTION("""COMPUTED_VALUE"""),"A1 255")</f>
        <v>A1 255</v>
      </c>
      <c r="Q11" s="86" t="str">
        <f>IFERROR(__xludf.DUMMYFUNCTION("""COMPUTED_VALUE"""),"Moltres ex")</f>
        <v>Moltres ex</v>
      </c>
      <c r="R11" s="86" t="str">
        <f>IFERROR(__xludf.DUMMYFUNCTION("""COMPUTED_VALUE"""),"☆☆")</f>
        <v>☆☆</v>
      </c>
      <c r="S11" s="79">
        <f t="shared" si="2"/>
        <v>1250</v>
      </c>
      <c r="T11" s="80" t="str">
        <f>IFERROR(__xludf.DUMMYFUNCTION("IF(
  Q11="""",
  """",
  IF(
   REGEXMATCH(SUBSTITUTE(Q11, "" ex"", """"), TEXTJOIN(""|"", TRUE, INDEX('language&amp;DataTest'!$A$33:$AB$182, , MATCH(HOME!$A$25, 'language&amp;DataTest'!$A$1:$G$1, 0)))),
   IF($M$26,
     IF(COUNTIFS(ARRAYFORMULA(SUBSTITUTE($C$2"&amp;":$C287, "" ex"", """")), SUBSTITUTE(Q11, "" ex"", """"), $J$2:$J287, ""&gt;0"")=0, ""Yes"", ""No""),
     IF(COUNTIFS(ARRAYFORMULA(SUBSTITUTE($C$2:$C287, "" ex"", """")), SUBSTITUTE(Q11, "" ex"", """"), $A$2:$A287, TRUE)=0, ""Yes"", ""No"")
   ),
   ""No""
 "&amp;")
)"),"No")</f>
        <v>No</v>
      </c>
    </row>
    <row r="12">
      <c r="A12" s="68" t="b">
        <v>1</v>
      </c>
      <c r="B12" s="69" t="s">
        <v>89</v>
      </c>
      <c r="C12" s="69" t="str">
        <f t="array" ref="C12">TEXTJOIN("", TRUE, IFERROR(INDEX('language&amp;DataTest'!A:J, MATCH(INDEX( PointerTest!C:C, MATCH(B12, PointerTest!A:A, 0), 0), 'language&amp;DataTest'!A:A, 0), MATCH(HOME!$A$25, 'language&amp;DataTest'!$A$1:$H$1, 0))),                      IFERROR(INDEX('language&amp;DataTest'!A:J, MATCH(INDEX( PointerTest!D:D, MATCH(B12, PointerTest!A:A, 0), 0), 'language&amp;DataTest'!A:A, 0), MATCH(HOME!$A$25, 'language&amp;DataTest'!$A$1:$H$1, 0))),                                          
IFERROR(INDEX('language&amp;DataTest'!A:J, MATCH(INDEX( PointerTest!E:E, MATCH(B12, PointerTest!A:A, 0), 0), 'language&amp;DataTest'!A:A, 0), MATCH(HOME!$A$25, 'language&amp;DataTest'!$A$1:$H$1, 0))))</f>
        <v>Oddish</v>
      </c>
      <c r="D12" s="69" t="str">
        <f t="array" ref="D12">INDEX('language&amp;DataTest'!A:J, MATCH(INDEX( PointerTest!D:D, MATCH(INDEX(PointerTest!B:B, MATCH(B12, PointerTest!A:A, 0)), PointerTest!A:A, 0), 0), 'language&amp;DataTest'!A:A, 0), MATCH(HOME!$A$25, 'language&amp;DataTest'!$A$1:$H$1, 0))</f>
        <v>Charizard</v>
      </c>
      <c r="E12" s="69" t="str">
        <f t="array" ref="E12">INDEX( PointerTest!F:F, MATCH(B12, PointerTest!A:A, 0), 0)</f>
        <v>♢</v>
      </c>
      <c r="F12" s="70">
        <f t="array" ref="F12">LET(percentage,XLOOKUP($E12,$K$2:$K$10,L$2:L$10,"",0)/(COUNTIFS($E:$E,$E12,$D:$D,RegularFormula!$D$2)+COUNTIFS($E:$E,$E12,$D:$D,IF($D12=RegularFormula!$D$2,$K$15,$D12))),IFERROR(IF(percentage,percentage,""),""))
</f>
        <v>0.02</v>
      </c>
      <c r="G12" s="71" t="str">
        <f t="array" ref="G12">LET(percentage,XLOOKUP($E12,$K$2:$K$10,M$2:M$10,"",0)/(COUNTIFS($E:$E,$E12,$D:$D,RegularFormula!$D$2)+COUNTIFS($E:$E,$E12,$D:$D,IF($D12=RegularFormula!$D$2,$K$15,$D12))),IFERROR(IF(percentage,percentage,""),""))
</f>
        <v/>
      </c>
      <c r="H12" s="71" t="str">
        <f t="array" ref="H12">LET(percentage,XLOOKUP($E12,$K$2:$K$10,N$2:N$10,"",0)/(COUNTIFS($E:$E,$E12,$D:$D,RegularFormula!$D$2)+COUNTIFS($E:$E,$E12,$D:$D,IF($D12=RegularFormula!$D$2,$K$15,$D12))),IFERROR(IF(percentage,percentage,""),""))
</f>
        <v/>
      </c>
      <c r="I12" s="72" t="str">
        <f t="shared" si="1"/>
        <v/>
      </c>
      <c r="J12" s="73">
        <v>0.0</v>
      </c>
      <c r="K12" s="96"/>
      <c r="N12" s="94"/>
      <c r="O12" s="85"/>
      <c r="P12" s="86" t="str">
        <f>IFERROR(__xludf.DUMMYFUNCTION("""COMPUTED_VALUE"""),"A1 256")</f>
        <v>A1 256</v>
      </c>
      <c r="Q12" s="86" t="str">
        <f>IFERROR(__xludf.DUMMYFUNCTION("""COMPUTED_VALUE"""),"Blastoise ex")</f>
        <v>Blastoise ex</v>
      </c>
      <c r="R12" s="86" t="str">
        <f>IFERROR(__xludf.DUMMYFUNCTION("""COMPUTED_VALUE"""),"☆☆")</f>
        <v>☆☆</v>
      </c>
      <c r="S12" s="79">
        <f t="shared" si="2"/>
        <v>1250</v>
      </c>
      <c r="T12" s="80" t="str">
        <f>IFERROR(__xludf.DUMMYFUNCTION("IF(
  Q12="""",
  """",
  IF(
   REGEXMATCH(SUBSTITUTE(Q12, "" ex"", """"), TEXTJOIN(""|"", TRUE, INDEX('language&amp;DataTest'!$A$33:$AB$182, , MATCH(HOME!$A$25, 'language&amp;DataTest'!$A$1:$G$1, 0)))),
   IF($M$26,
     IF(COUNTIFS(ARRAYFORMULA(SUBSTITUTE($C$2"&amp;":$C287, "" ex"", """")), SUBSTITUTE(Q12, "" ex"", """"), $J$2:$J287, ""&gt;0"")=0, ""Yes"", ""No""),
     IF(COUNTIFS(ARRAYFORMULA(SUBSTITUTE($C$2:$C287, "" ex"", """")), SUBSTITUTE(Q12, "" ex"", """"), $A$2:$A287, TRUE)=0, ""Yes"", ""No"")
   ),
   ""No""
 "&amp;")
)"),"No")</f>
        <v>No</v>
      </c>
    </row>
    <row r="13">
      <c r="A13" s="68" t="b">
        <v>1</v>
      </c>
      <c r="B13" s="69" t="s">
        <v>90</v>
      </c>
      <c r="C13" s="69" t="str">
        <f t="array" ref="C13">TEXTJOIN("", TRUE, IFERROR(INDEX('language&amp;DataTest'!A:J, MATCH(INDEX( PointerTest!C:C, MATCH(B13, PointerTest!A:A, 0), 0), 'language&amp;DataTest'!A:A, 0), MATCH(HOME!$A$25, 'language&amp;DataTest'!$A$1:$H$1, 0))),                      IFERROR(INDEX('language&amp;DataTest'!A:J, MATCH(INDEX( PointerTest!D:D, MATCH(B13, PointerTest!A:A, 0), 0), 'language&amp;DataTest'!A:A, 0), MATCH(HOME!$A$25, 'language&amp;DataTest'!$A$1:$H$1, 0))),                                          
IFERROR(INDEX('language&amp;DataTest'!A:J, MATCH(INDEX( PointerTest!E:E, MATCH(B13, PointerTest!A:A, 0), 0), 'language&amp;DataTest'!A:A, 0), MATCH(HOME!$A$25, 'language&amp;DataTest'!$A$1:$H$1, 0))))</f>
        <v>Gloom</v>
      </c>
      <c r="D13" s="69" t="str">
        <f t="array" ref="D13">INDEX('language&amp;DataTest'!A:J, MATCH(INDEX( PointerTest!D:D, MATCH(INDEX(PointerTest!B:B, MATCH(B13, PointerTest!A:A, 0)), PointerTest!A:A, 0), 0), 'language&amp;DataTest'!A:A, 0), MATCH(HOME!$A$25, 'language&amp;DataTest'!$A$1:$H$1, 0))</f>
        <v>Charizard</v>
      </c>
      <c r="E13" s="69" t="str">
        <f t="array" ref="E13">INDEX( PointerTest!F:F, MATCH(B13, PointerTest!A:A, 0), 0)</f>
        <v>♢♢</v>
      </c>
      <c r="F13" s="70" t="str">
        <f t="array" ref="F13">LET(percentage,XLOOKUP($E13,$K$2:$K$10,L$2:L$10,"",0)/(COUNTIFS($E:$E,$E13,$D:$D,RegularFormula!$D$2)+COUNTIFS($E:$E,$E13,$D:$D,IF($D13=RegularFormula!$D$2,$K$15,$D13))),IFERROR(IF(percentage,percentage,""),""))
</f>
        <v/>
      </c>
      <c r="G13" s="71">
        <f t="array" ref="G13">LET(percentage,XLOOKUP($E13,$K$2:$K$10,M$2:M$10,"",0)/(COUNTIFS($E:$E,$E13,$D:$D,RegularFormula!$D$2)+COUNTIFS($E:$E,$E13,$D:$D,IF($D13=RegularFormula!$D$2,$K$15,$D13))),IFERROR(IF(percentage,percentage,""),""))
</f>
        <v>0.02571428571</v>
      </c>
      <c r="H13" s="71">
        <f t="array" ref="H13">LET(percentage,XLOOKUP($E13,$K$2:$K$10,N$2:N$10,"",0)/(COUNTIFS($E:$E,$E13,$D:$D,RegularFormula!$D$2)+COUNTIFS($E:$E,$E13,$D:$D,IF($D13=RegularFormula!$D$2,$K$15,$D13))),IFERROR(IF(percentage,percentage,""),""))
</f>
        <v>0.01714285714</v>
      </c>
      <c r="I13" s="72" t="str">
        <f t="shared" si="1"/>
        <v/>
      </c>
      <c r="J13" s="73">
        <v>0.0</v>
      </c>
      <c r="K13" s="97" t="s">
        <v>91</v>
      </c>
      <c r="L13" s="98" t="s">
        <v>92</v>
      </c>
      <c r="M13" s="98" t="s">
        <v>93</v>
      </c>
      <c r="N13" s="99" t="s">
        <v>94</v>
      </c>
      <c r="O13" s="85"/>
      <c r="P13" s="86" t="str">
        <f>IFERROR(__xludf.DUMMYFUNCTION("""COMPUTED_VALUE"""),"A1 257")</f>
        <v>A1 257</v>
      </c>
      <c r="Q13" s="86" t="str">
        <f>IFERROR(__xludf.DUMMYFUNCTION("""COMPUTED_VALUE"""),"Starmie ex")</f>
        <v>Starmie ex</v>
      </c>
      <c r="R13" s="86" t="str">
        <f>IFERROR(__xludf.DUMMYFUNCTION("""COMPUTED_VALUE"""),"☆☆")</f>
        <v>☆☆</v>
      </c>
      <c r="S13" s="79">
        <f t="shared" si="2"/>
        <v>1250</v>
      </c>
      <c r="T13" s="80" t="str">
        <f>IFERROR(__xludf.DUMMYFUNCTION("IF(
  Q13="""",
  """",
  IF(
   REGEXMATCH(SUBSTITUTE(Q13, "" ex"", """"), TEXTJOIN(""|"", TRUE, INDEX('language&amp;DataTest'!$A$33:$AB$182, , MATCH(HOME!$A$25, 'language&amp;DataTest'!$A$1:$G$1, 0)))),
   IF($M$26,
     IF(COUNTIFS(ARRAYFORMULA(SUBSTITUTE($C$2"&amp;":$C287, "" ex"", """")), SUBSTITUTE(Q13, "" ex"", """"), $J$2:$J287, ""&gt;0"")=0, ""Yes"", ""No""),
     IF(COUNTIFS(ARRAYFORMULA(SUBSTITUTE($C$2:$C287, "" ex"", """")), SUBSTITUTE(Q13, "" ex"", """"), $A$2:$A287, TRUE)=0, ""Yes"", ""No"")
   ),
   ""No""
 "&amp;")
)"),"No")</f>
        <v>No</v>
      </c>
    </row>
    <row r="14">
      <c r="A14" s="68" t="b">
        <v>1</v>
      </c>
      <c r="B14" s="69" t="s">
        <v>95</v>
      </c>
      <c r="C14" s="69" t="str">
        <f t="array" ref="C14">TEXTJOIN("", TRUE, IFERROR(INDEX('language&amp;DataTest'!A:J, MATCH(INDEX( PointerTest!C:C, MATCH(B14, PointerTest!A:A, 0), 0), 'language&amp;DataTest'!A:A, 0), MATCH(HOME!$A$25, 'language&amp;DataTest'!$A$1:$H$1, 0))),                      IFERROR(INDEX('language&amp;DataTest'!A:J, MATCH(INDEX( PointerTest!D:D, MATCH(B14, PointerTest!A:A, 0), 0), 'language&amp;DataTest'!A:A, 0), MATCH(HOME!$A$25, 'language&amp;DataTest'!$A$1:$H$1, 0))),                                          
IFERROR(INDEX('language&amp;DataTest'!A:J, MATCH(INDEX( PointerTest!E:E, MATCH(B14, PointerTest!A:A, 0), 0), 'language&amp;DataTest'!A:A, 0), MATCH(HOME!$A$25, 'language&amp;DataTest'!$A$1:$H$1, 0))))</f>
        <v>Vileplume</v>
      </c>
      <c r="D14" s="69" t="str">
        <f t="array" ref="D14">INDEX('language&amp;DataTest'!A:J, MATCH(INDEX( PointerTest!D:D, MATCH(INDEX(PointerTest!B:B, MATCH(B14, PointerTest!A:A, 0)), PointerTest!A:A, 0), 0), 'language&amp;DataTest'!A:A, 0), MATCH(HOME!$A$25, 'language&amp;DataTest'!$A$1:$H$1, 0))</f>
        <v>Charizard</v>
      </c>
      <c r="E14" s="69" t="str">
        <f t="array" ref="E14">INDEX( PointerTest!F:F, MATCH(B14, PointerTest!A:A, 0), 0)</f>
        <v>♢♢♢</v>
      </c>
      <c r="F14" s="70" t="str">
        <f t="array" ref="F14">LET(percentage,XLOOKUP($E14,$K$2:$K$10,L$2:L$10,"",0)/(COUNTIFS($E:$E,$E14,$D:$D,RegularFormula!$D$2)+COUNTIFS($E:$E,$E14,$D:$D,IF($D14=RegularFormula!$D$2,$K$15,$D14))),IFERROR(IF(percentage,percentage,""),""))
</f>
        <v/>
      </c>
      <c r="G14" s="71">
        <f t="array" ref="G14">LET(percentage,XLOOKUP($E14,$K$2:$K$10,M$2:M$10,"",0)/(COUNTIFS($E:$E,$E14,$D:$D,RegularFormula!$D$2)+COUNTIFS($E:$E,$E14,$D:$D,IF($D14=RegularFormula!$D$2,$K$15,$D14))),IFERROR(IF(percentage,percentage,""),""))
</f>
        <v>0.003571428571</v>
      </c>
      <c r="H14" s="71">
        <f t="array" ref="H14">LET(percentage,XLOOKUP($E14,$K$2:$K$10,N$2:N$10,"",0)/(COUNTIFS($E:$E,$E14,$D:$D,RegularFormula!$D$2)+COUNTIFS($E:$E,$E14,$D:$D,IF($D14=RegularFormula!$D$2,$K$15,$D14))),IFERROR(IF(percentage,percentage,""),""))
</f>
        <v>0.01428571429</v>
      </c>
      <c r="I14" s="72" t="str">
        <f t="shared" si="1"/>
        <v/>
      </c>
      <c r="J14" s="73">
        <v>0.0</v>
      </c>
      <c r="K14" s="100" t="s">
        <v>96</v>
      </c>
      <c r="L14" s="101">
        <f t="shared" ref="L14:L17" si="3">IFERROR(LEFT($N14,SEARCH("/",$N14)-1)/RIGHT($N14,LEN($N14)-SEARCH("/",$N14)),0)</f>
        <v>0.8776223776</v>
      </c>
      <c r="M14" s="101">
        <f t="shared" ref="M14:M17" si="4">1-$L14</f>
        <v>0.1223776224</v>
      </c>
      <c r="N14" s="102" t="str">
        <f>COUNTIF($A2:$A287, TRUE) &amp; "/" &amp; COUNTA($A2:$A287)</f>
        <v>251/286</v>
      </c>
      <c r="O14" s="85"/>
      <c r="P14" s="103" t="str">
        <f>IFERROR(__xludf.DUMMYFUNCTION("""COMPUTED_VALUE"""),"A1 258")</f>
        <v>A1 258</v>
      </c>
      <c r="Q14" s="103" t="str">
        <f>IFERROR(__xludf.DUMMYFUNCTION("""COMPUTED_VALUE"""),"Articuno ex")</f>
        <v>Articuno ex</v>
      </c>
      <c r="R14" s="103" t="str">
        <f>IFERROR(__xludf.DUMMYFUNCTION("""COMPUTED_VALUE"""),"☆☆")</f>
        <v>☆☆</v>
      </c>
      <c r="S14" s="79">
        <f t="shared" si="2"/>
        <v>1250</v>
      </c>
      <c r="T14" s="80" t="str">
        <f>IFERROR(__xludf.DUMMYFUNCTION("IF(
  Q14="""",
  """",
  IF(
   REGEXMATCH(SUBSTITUTE(Q14, "" ex"", """"), TEXTJOIN(""|"", TRUE, INDEX('language&amp;DataTest'!$A$33:$AB$182, , MATCH(HOME!$A$25, 'language&amp;DataTest'!$A$1:$G$1, 0)))),
   IF($M$26,
     IF(COUNTIFS(ARRAYFORMULA(SUBSTITUTE($C$2"&amp;":$C287, "" ex"", """")), SUBSTITUTE(Q14, "" ex"", """"), $J$2:$J287, ""&gt;0"")=0, ""Yes"", ""No""),
     IF(COUNTIFS(ARRAYFORMULA(SUBSTITUTE($C$2:$C287, "" ex"", """")), SUBSTITUTE(Q14, "" ex"", """"), $A$2:$A287, TRUE)=0, ""Yes"", ""No"")
   ),
   ""No""
 "&amp;")
)"),"No")</f>
        <v>No</v>
      </c>
    </row>
    <row r="15">
      <c r="A15" s="68" t="b">
        <v>1</v>
      </c>
      <c r="B15" s="69" t="s">
        <v>97</v>
      </c>
      <c r="C15" s="69" t="str">
        <f t="array" ref="C15">TEXTJOIN("", TRUE, IFERROR(INDEX('language&amp;DataTest'!A:J, MATCH(INDEX( PointerTest!C:C, MATCH(B15, PointerTest!A:A, 0), 0), 'language&amp;DataTest'!A:A, 0), MATCH(HOME!$A$25, 'language&amp;DataTest'!$A$1:$H$1, 0))),                      IFERROR(INDEX('language&amp;DataTest'!A:J, MATCH(INDEX( PointerTest!D:D, MATCH(B15, PointerTest!A:A, 0), 0), 'language&amp;DataTest'!A:A, 0), MATCH(HOME!$A$25, 'language&amp;DataTest'!$A$1:$H$1, 0))),                                          
IFERROR(INDEX('language&amp;DataTest'!A:J, MATCH(INDEX( PointerTest!E:E, MATCH(B15, PointerTest!A:A, 0), 0), 'language&amp;DataTest'!A:A, 0), MATCH(HOME!$A$25, 'language&amp;DataTest'!$A$1:$H$1, 0))))</f>
        <v>Paras</v>
      </c>
      <c r="D15" s="69" t="str">
        <f t="array" ref="D15">INDEX('language&amp;DataTest'!A:J, MATCH(INDEX( PointerTest!D:D, MATCH(INDEX(PointerTest!B:B, MATCH(B15, PointerTest!A:A, 0)), PointerTest!A:A, 0), 0), 'language&amp;DataTest'!A:A, 0), MATCH(HOME!$A$25, 'language&amp;DataTest'!$A$1:$H$1, 0))</f>
        <v>Pikachu</v>
      </c>
      <c r="E15" s="69" t="str">
        <f t="array" ref="E15">INDEX( PointerTest!F:F, MATCH(B15, PointerTest!A:A, 0), 0)</f>
        <v>♢</v>
      </c>
      <c r="F15" s="70">
        <f t="array" ref="F15">LET(percentage,XLOOKUP($E15,$K$2:$K$10,L$2:L$10,"",0)/(COUNTIFS($E:$E,$E15,$D:$D,RegularFormula!$D$2)+COUNTIFS($E:$E,$E15,$D:$D,IF($D15=RegularFormula!$D$2,$K$15,$D15))),IFERROR(IF(percentage,percentage,""),""))
</f>
        <v>0.02</v>
      </c>
      <c r="G15" s="71" t="str">
        <f t="array" ref="G15">LET(percentage,XLOOKUP($E15,$K$2:$K$10,M$2:M$10,"",0)/(COUNTIFS($E:$E,$E15,$D:$D,RegularFormula!$D$2)+COUNTIFS($E:$E,$E15,$D:$D,IF($D15=RegularFormula!$D$2,$K$15,$D15))),IFERROR(IF(percentage,percentage,""),""))
</f>
        <v/>
      </c>
      <c r="H15" s="71" t="str">
        <f t="array" ref="H15">LET(percentage,XLOOKUP($E15,$K$2:$K$10,N$2:N$10,"",0)/(COUNTIFS($E:$E,$E15,$D:$D,RegularFormula!$D$2)+COUNTIFS($E:$E,$E15,$D:$D,IF($D15=RegularFormula!$D$2,$K$15,$D15))),IFERROR(IF(percentage,percentage,""),""))
</f>
        <v/>
      </c>
      <c r="I15" s="72" t="str">
        <f t="shared" si="1"/>
        <v/>
      </c>
      <c r="J15" s="73">
        <v>0.0</v>
      </c>
      <c r="K15" s="104" t="str">
        <f>C129</f>
        <v>Mewtwo</v>
      </c>
      <c r="L15" s="105">
        <f t="shared" si="3"/>
        <v>0.896</v>
      </c>
      <c r="M15" s="105">
        <f t="shared" si="4"/>
        <v>0.104</v>
      </c>
      <c r="N15" s="106" t="str">
        <f>(COUNTIFS($A$2:$A287,TRUE,$D$2:$D287,$K15)+COUNTIFS($A$2:$A287,TRUE,$D$2:$D287,RegularFormula!$D$2)&amp; "/" &amp; (COUNTIFS($D$2:$D287,$K15)+COUNTIFS($D$2:$D287,RegularFormula!$D$2)))</f>
        <v>112/125</v>
      </c>
      <c r="O15" s="85"/>
      <c r="P15" s="103" t="str">
        <f>IFERROR(__xludf.DUMMYFUNCTION("""COMPUTED_VALUE"""),"A1 259")</f>
        <v>A1 259</v>
      </c>
      <c r="Q15" s="103" t="str">
        <f>IFERROR(__xludf.DUMMYFUNCTION("""COMPUTED_VALUE"""),"Pikachu ex")</f>
        <v>Pikachu ex</v>
      </c>
      <c r="R15" s="103" t="str">
        <f>IFERROR(__xludf.DUMMYFUNCTION("""COMPUTED_VALUE"""),"☆☆")</f>
        <v>☆☆</v>
      </c>
      <c r="S15" s="79">
        <f t="shared" si="2"/>
        <v>1250</v>
      </c>
      <c r="T15" s="80" t="str">
        <f>IFERROR(__xludf.DUMMYFUNCTION("IF(
  Q15="""",
  """",
  IF(
   REGEXMATCH(SUBSTITUTE(Q15, "" ex"", """"), TEXTJOIN(""|"", TRUE, INDEX('language&amp;DataTest'!$A$33:$AB$182, , MATCH(HOME!$A$25, 'language&amp;DataTest'!$A$1:$G$1, 0)))),
   IF($M$26,
     IF(COUNTIFS(ARRAYFORMULA(SUBSTITUTE($C$2"&amp;":$C287, "" ex"", """")), SUBSTITUTE(Q15, "" ex"", """"), $J$2:$J287, ""&gt;0"")=0, ""Yes"", ""No""),
     IF(COUNTIFS(ARRAYFORMULA(SUBSTITUTE($C$2:$C287, "" ex"", """")), SUBSTITUTE(Q15, "" ex"", """"), $A$2:$A287, TRUE)=0, ""Yes"", ""No"")
   ),
   ""No""
 "&amp;")
)"),"No")</f>
        <v>No</v>
      </c>
    </row>
    <row r="16">
      <c r="A16" s="68" t="b">
        <v>1</v>
      </c>
      <c r="B16" s="69" t="s">
        <v>98</v>
      </c>
      <c r="C16" s="69" t="str">
        <f t="array" ref="C16">TEXTJOIN("", TRUE, IFERROR(INDEX('language&amp;DataTest'!A:J, MATCH(INDEX( PointerTest!C:C, MATCH(B16, PointerTest!A:A, 0), 0), 'language&amp;DataTest'!A:A, 0), MATCH(HOME!$A$25, 'language&amp;DataTest'!$A$1:$H$1, 0))),                      IFERROR(INDEX('language&amp;DataTest'!A:J, MATCH(INDEX( PointerTest!D:D, MATCH(B16, PointerTest!A:A, 0), 0), 'language&amp;DataTest'!A:A, 0), MATCH(HOME!$A$25, 'language&amp;DataTest'!$A$1:$H$1, 0))),                                          
IFERROR(INDEX('language&amp;DataTest'!A:J, MATCH(INDEX( PointerTest!E:E, MATCH(B16, PointerTest!A:A, 0), 0), 'language&amp;DataTest'!A:A, 0), MATCH(HOME!$A$25, 'language&amp;DataTest'!$A$1:$H$1, 0))))</f>
        <v>Parasect</v>
      </c>
      <c r="D16" s="69" t="str">
        <f t="array" ref="D16">INDEX('language&amp;DataTest'!A:J, MATCH(INDEX( PointerTest!D:D, MATCH(INDEX(PointerTest!B:B, MATCH(B16, PointerTest!A:A, 0)), PointerTest!A:A, 0), 0), 'language&amp;DataTest'!A:A, 0), MATCH(HOME!$A$25, 'language&amp;DataTest'!$A$1:$H$1, 0))</f>
        <v>Pikachu</v>
      </c>
      <c r="E16" s="69" t="str">
        <f t="array" ref="E16">INDEX( PointerTest!F:F, MATCH(B16, PointerTest!A:A, 0), 0)</f>
        <v>♢♢</v>
      </c>
      <c r="F16" s="70" t="str">
        <f t="array" ref="F16">LET(percentage,XLOOKUP($E16,$K$2:$K$10,L$2:L$10,"",0)/(COUNTIFS($E:$E,$E16,$D:$D,RegularFormula!$D$2)+COUNTIFS($E:$E,$E16,$D:$D,IF($D16=RegularFormula!$D$2,$K$15,$D16))),IFERROR(IF(percentage,percentage,""),""))
</f>
        <v/>
      </c>
      <c r="G16" s="71">
        <f t="array" ref="G16">LET(percentage,XLOOKUP($E16,$K$2:$K$10,M$2:M$10,"",0)/(COUNTIFS($E:$E,$E16,$D:$D,RegularFormula!$D$2)+COUNTIFS($E:$E,$E16,$D:$D,IF($D16=RegularFormula!$D$2,$K$15,$D16))),IFERROR(IF(percentage,percentage,""),""))
</f>
        <v>0.02571428571</v>
      </c>
      <c r="H16" s="71">
        <f t="array" ref="H16">LET(percentage,XLOOKUP($E16,$K$2:$K$10,N$2:N$10,"",0)/(COUNTIFS($E:$E,$E16,$D:$D,RegularFormula!$D$2)+COUNTIFS($E:$E,$E16,$D:$D,IF($D16=RegularFormula!$D$2,$K$15,$D16))),IFERROR(IF(percentage,percentage,""),""))
</f>
        <v>0.01714285714</v>
      </c>
      <c r="I16" s="72" t="str">
        <f t="shared" si="1"/>
        <v/>
      </c>
      <c r="J16" s="73">
        <v>0.0</v>
      </c>
      <c r="K16" s="107" t="str">
        <f>C95</f>
        <v>Pikachu</v>
      </c>
      <c r="L16" s="105">
        <f t="shared" si="3"/>
        <v>0.8888888889</v>
      </c>
      <c r="M16" s="105">
        <f t="shared" si="4"/>
        <v>0.1111111111</v>
      </c>
      <c r="N16" s="106" t="str">
        <f>(COUNTIFS($A$2:$A287,TRUE,$D$2:$D287,$K16)+COUNTIFS($A$2:$A287,TRUE,$D$2:$D287,RegularFormula!$D$2)&amp; "/" &amp; (COUNTIFS($D$2:$D287,$K16)+COUNTIFS($D$2:$D287,RegularFormula!$D$2)))</f>
        <v>112/126</v>
      </c>
      <c r="O16" s="85"/>
      <c r="P16" s="103" t="str">
        <f>IFERROR(__xludf.DUMMYFUNCTION("""COMPUTED_VALUE"""),"A1 260")</f>
        <v>A1 260</v>
      </c>
      <c r="Q16" s="103" t="str">
        <f>IFERROR(__xludf.DUMMYFUNCTION("""COMPUTED_VALUE"""),"Zapdos ex")</f>
        <v>Zapdos ex</v>
      </c>
      <c r="R16" s="103" t="str">
        <f>IFERROR(__xludf.DUMMYFUNCTION("""COMPUTED_VALUE"""),"☆☆")</f>
        <v>☆☆</v>
      </c>
      <c r="S16" s="79">
        <f t="shared" si="2"/>
        <v>1250</v>
      </c>
      <c r="T16" s="80" t="str">
        <f>IFERROR(__xludf.DUMMYFUNCTION("IF(
  Q16="""",
  """",
  IF(
   REGEXMATCH(SUBSTITUTE(Q16, "" ex"", """"), TEXTJOIN(""|"", TRUE, INDEX('language&amp;DataTest'!$A$33:$AB$182, , MATCH(HOME!$A$25, 'language&amp;DataTest'!$A$1:$G$1, 0)))),
   IF($M$26,
     IF(COUNTIFS(ARRAYFORMULA(SUBSTITUTE($C$2"&amp;":$C287, "" ex"", """")), SUBSTITUTE(Q16, "" ex"", """"), $J$2:$J287, ""&gt;0"")=0, ""Yes"", ""No""),
     IF(COUNTIFS(ARRAYFORMULA(SUBSTITUTE($C$2:$C287, "" ex"", """")), SUBSTITUTE(Q16, "" ex"", """"), $A$2:$A287, TRUE)=0, ""Yes"", ""No"")
   ),
   ""No""
 "&amp;")
)"),"No")</f>
        <v>No</v>
      </c>
    </row>
    <row r="17">
      <c r="A17" s="68" t="b">
        <v>1</v>
      </c>
      <c r="B17" s="69" t="s">
        <v>99</v>
      </c>
      <c r="C17" s="69" t="str">
        <f t="array" ref="C17">TEXTJOIN("", TRUE, IFERROR(INDEX('language&amp;DataTest'!A:J, MATCH(INDEX( PointerTest!C:C, MATCH(B17, PointerTest!A:A, 0), 0), 'language&amp;DataTest'!A:A, 0), MATCH(HOME!$A$25, 'language&amp;DataTest'!$A$1:$H$1, 0))),                      IFERROR(INDEX('language&amp;DataTest'!A:J, MATCH(INDEX( PointerTest!D:D, MATCH(B17, PointerTest!A:A, 0), 0), 'language&amp;DataTest'!A:A, 0), MATCH(HOME!$A$25, 'language&amp;DataTest'!$A$1:$H$1, 0))),                                          
IFERROR(INDEX('language&amp;DataTest'!A:J, MATCH(INDEX( PointerTest!E:E, MATCH(B17, PointerTest!A:A, 0), 0), 'language&amp;DataTest'!A:A, 0), MATCH(HOME!$A$25, 'language&amp;DataTest'!$A$1:$H$1, 0))))</f>
        <v>Venonat</v>
      </c>
      <c r="D17" s="69" t="str">
        <f t="array" ref="D17">INDEX('language&amp;DataTest'!A:J, MATCH(INDEX( PointerTest!D:D, MATCH(INDEX(PointerTest!B:B, MATCH(B17, PointerTest!A:A, 0)), PointerTest!A:A, 0), 0), 'language&amp;DataTest'!A:A, 0), MATCH(HOME!$A$25, 'language&amp;DataTest'!$A$1:$H$1, 0))</f>
        <v>Mewtwo</v>
      </c>
      <c r="E17" s="69" t="str">
        <f t="array" ref="E17">INDEX( PointerTest!F:F, MATCH(B17, PointerTest!A:A, 0), 0)</f>
        <v>♢</v>
      </c>
      <c r="F17" s="70">
        <f t="array" ref="F17">LET(percentage,XLOOKUP($E17,$K$2:$K$10,L$2:L$10,"",0)/(COUNTIFS($E:$E,$E17,$D:$D,RegularFormula!$D$2)+COUNTIFS($E:$E,$E17,$D:$D,IF($D17=RegularFormula!$D$2,$K$15,$D17))),IFERROR(IF(percentage,percentage,""),""))
</f>
        <v>0.02</v>
      </c>
      <c r="G17" s="71" t="str">
        <f t="array" ref="G17">LET(percentage,XLOOKUP($E17,$K$2:$K$10,M$2:M$10,"",0)/(COUNTIFS($E:$E,$E17,$D:$D,RegularFormula!$D$2)+COUNTIFS($E:$E,$E17,$D:$D,IF($D17=RegularFormula!$D$2,$K$15,$D17))),IFERROR(IF(percentage,percentage,""),""))
</f>
        <v/>
      </c>
      <c r="H17" s="71" t="str">
        <f t="array" ref="H17">LET(percentage,XLOOKUP($E17,$K$2:$K$10,N$2:N$10,"",0)/(COUNTIFS($E:$E,$E17,$D:$D,RegularFormula!$D$2)+COUNTIFS($E:$E,$E17,$D:$D,IF($D17=RegularFormula!$D$2,$K$15,$D17))),IFERROR(IF(percentage,percentage,""),""))
</f>
        <v/>
      </c>
      <c r="I17" s="72" t="str">
        <f t="shared" si="1"/>
        <v/>
      </c>
      <c r="J17" s="73">
        <v>0.0</v>
      </c>
      <c r="K17" s="108" t="str">
        <f>C36</f>
        <v>Charizard</v>
      </c>
      <c r="L17" s="105">
        <f t="shared" si="3"/>
        <v>0.8888888889</v>
      </c>
      <c r="M17" s="105">
        <f t="shared" si="4"/>
        <v>0.1111111111</v>
      </c>
      <c r="N17" s="106" t="str">
        <f>(COUNTIFS($A$2:$A287,TRUE,$D$2:$D287,$K17)+COUNTIFS($A$2:$A287,TRUE,$D$2:$D287,RegularFormula!$D$2)&amp; "/" &amp; (COUNTIFS($D$2:$D287,$K17)+COUNTIFS($D$2:$D287,RegularFormula!$D$2)))</f>
        <v>112/126</v>
      </c>
      <c r="O17" s="85"/>
      <c r="P17" s="103" t="str">
        <f>IFERROR(__xludf.DUMMYFUNCTION("""COMPUTED_VALUE"""),"A1 261")</f>
        <v>A1 261</v>
      </c>
      <c r="Q17" s="103" t="str">
        <f>IFERROR(__xludf.DUMMYFUNCTION("""COMPUTED_VALUE"""),"Gengar ex")</f>
        <v>Gengar ex</v>
      </c>
      <c r="R17" s="103" t="str">
        <f>IFERROR(__xludf.DUMMYFUNCTION("""COMPUTED_VALUE"""),"☆☆")</f>
        <v>☆☆</v>
      </c>
      <c r="S17" s="79">
        <f t="shared" si="2"/>
        <v>1250</v>
      </c>
      <c r="T17" s="80" t="str">
        <f>IFERROR(__xludf.DUMMYFUNCTION("IF(
  Q17="""",
  """",
  IF(
   REGEXMATCH(SUBSTITUTE(Q17, "" ex"", """"), TEXTJOIN(""|"", TRUE, INDEX('language&amp;DataTest'!$A$33:$AB$182, , MATCH(HOME!$A$25, 'language&amp;DataTest'!$A$1:$G$1, 0)))),
   IF($M$26,
     IF(COUNTIFS(ARRAYFORMULA(SUBSTITUTE($C$2"&amp;":$C287, "" ex"", """")), SUBSTITUTE(Q17, "" ex"", """"), $J$2:$J287, ""&gt;0"")=0, ""Yes"", ""No""),
     IF(COUNTIFS(ARRAYFORMULA(SUBSTITUTE($C$2:$C287, "" ex"", """")), SUBSTITUTE(Q17, "" ex"", """"), $A$2:$A287, TRUE)=0, ""Yes"", ""No"")
   ),
   ""No""
 "&amp;")
)"),"No")</f>
        <v>No</v>
      </c>
    </row>
    <row r="18">
      <c r="A18" s="68" t="b">
        <v>1</v>
      </c>
      <c r="B18" s="69" t="s">
        <v>100</v>
      </c>
      <c r="C18" s="69" t="str">
        <f t="array" ref="C18">TEXTJOIN("", TRUE, IFERROR(INDEX('language&amp;DataTest'!A:J, MATCH(INDEX( PointerTest!C:C, MATCH(B18, PointerTest!A:A, 0), 0), 'language&amp;DataTest'!A:A, 0), MATCH(HOME!$A$25, 'language&amp;DataTest'!$A$1:$H$1, 0))),                      IFERROR(INDEX('language&amp;DataTest'!A:J, MATCH(INDEX( PointerTest!D:D, MATCH(B18, PointerTest!A:A, 0), 0), 'language&amp;DataTest'!A:A, 0), MATCH(HOME!$A$25, 'language&amp;DataTest'!$A$1:$H$1, 0))),                                          
IFERROR(INDEX('language&amp;DataTest'!A:J, MATCH(INDEX( PointerTest!E:E, MATCH(B18, PointerTest!A:A, 0), 0), 'language&amp;DataTest'!A:A, 0), MATCH(HOME!$A$25, 'language&amp;DataTest'!$A$1:$H$1, 0))))</f>
        <v>Venomoth</v>
      </c>
      <c r="D18" s="69" t="str">
        <f t="array" ref="D18">INDEX('language&amp;DataTest'!A:J, MATCH(INDEX( PointerTest!D:D, MATCH(INDEX(PointerTest!B:B, MATCH(B18, PointerTest!A:A, 0)), PointerTest!A:A, 0), 0), 'language&amp;DataTest'!A:A, 0), MATCH(HOME!$A$25, 'language&amp;DataTest'!$A$1:$H$1, 0))</f>
        <v>Mewtwo</v>
      </c>
      <c r="E18" s="69" t="str">
        <f t="array" ref="E18">INDEX( PointerTest!F:F, MATCH(B18, PointerTest!A:A, 0), 0)</f>
        <v>♢♢</v>
      </c>
      <c r="F18" s="70" t="str">
        <f t="array" ref="F18">LET(percentage,XLOOKUP($E18,$K$2:$K$10,L$2:L$10,"",0)/(COUNTIFS($E:$E,$E18,$D:$D,RegularFormula!$D$2)+COUNTIFS($E:$E,$E18,$D:$D,IF($D18=RegularFormula!$D$2,$K$15,$D18))),IFERROR(IF(percentage,percentage,""),""))
</f>
        <v/>
      </c>
      <c r="G18" s="71">
        <f t="array" ref="G18">LET(percentage,XLOOKUP($E18,$K$2:$K$10,M$2:M$10,"",0)/(COUNTIFS($E:$E,$E18,$D:$D,RegularFormula!$D$2)+COUNTIFS($E:$E,$E18,$D:$D,IF($D18=RegularFormula!$D$2,$K$15,$D18))),IFERROR(IF(percentage,percentage,""),""))
</f>
        <v>0.02571428571</v>
      </c>
      <c r="H18" s="71">
        <f t="array" ref="H18">LET(percentage,XLOOKUP($E18,$K$2:$K$10,N$2:N$10,"",0)/(COUNTIFS($E:$E,$E18,$D:$D,RegularFormula!$D$2)+COUNTIFS($E:$E,$E18,$D:$D,IF($D18=RegularFormula!$D$2,$K$15,$D18))),IFERROR(IF(percentage,percentage,""),""))
</f>
        <v>0.01714285714</v>
      </c>
      <c r="I18" s="72" t="str">
        <f t="shared" si="1"/>
        <v/>
      </c>
      <c r="J18" s="73">
        <v>0.0</v>
      </c>
      <c r="K18" s="109" t="s">
        <v>101</v>
      </c>
      <c r="L18" s="110" t="str">
        <f>IF(M15 = MAX(M15:M17), K15, IF(M16 = MAX(M15:M17), K16, K17))</f>
        <v>Pikachu</v>
      </c>
      <c r="N18" s="94"/>
      <c r="O18" s="85"/>
      <c r="P18" s="103" t="str">
        <f>IFERROR(__xludf.DUMMYFUNCTION("""COMPUTED_VALUE"""),"A1 262")</f>
        <v>A1 262</v>
      </c>
      <c r="Q18" s="103" t="str">
        <f>IFERROR(__xludf.DUMMYFUNCTION("""COMPUTED_VALUE"""),"Mewtwo ex")</f>
        <v>Mewtwo ex</v>
      </c>
      <c r="R18" s="103" t="str">
        <f>IFERROR(__xludf.DUMMYFUNCTION("""COMPUTED_VALUE"""),"☆☆")</f>
        <v>☆☆</v>
      </c>
      <c r="S18" s="79">
        <f t="shared" si="2"/>
        <v>1250</v>
      </c>
      <c r="T18" s="80" t="str">
        <f>IFERROR(__xludf.DUMMYFUNCTION("IF(
  Q18="""",
  """",
  IF(
   REGEXMATCH(SUBSTITUTE(Q18, "" ex"", """"), TEXTJOIN(""|"", TRUE, INDEX('language&amp;DataTest'!$A$33:$AB$182, , MATCH(HOME!$A$25, 'language&amp;DataTest'!$A$1:$G$1, 0)))),
   IF($M$26,
     IF(COUNTIFS(ARRAYFORMULA(SUBSTITUTE($C$2"&amp;":$C287, "" ex"", """")), SUBSTITUTE(Q18, "" ex"", """"), $J$2:$J287, ""&gt;0"")=0, ""Yes"", ""No""),
     IF(COUNTIFS(ARRAYFORMULA(SUBSTITUTE($C$2:$C287, "" ex"", """")), SUBSTITUTE(Q18, "" ex"", """"), $A$2:$A287, TRUE)=0, ""Yes"", ""No"")
   ),
   ""No""
 "&amp;")
)"),"No")</f>
        <v>No</v>
      </c>
    </row>
    <row r="19">
      <c r="A19" s="68" t="b">
        <v>1</v>
      </c>
      <c r="B19" s="69" t="s">
        <v>102</v>
      </c>
      <c r="C19" s="69" t="str">
        <f t="array" ref="C19">TEXTJOIN("", TRUE, IFERROR(INDEX('language&amp;DataTest'!A:J, MATCH(INDEX( PointerTest!C:C, MATCH(B19, PointerTest!A:A, 0), 0), 'language&amp;DataTest'!A:A, 0), MATCH(HOME!$A$25, 'language&amp;DataTest'!$A$1:$H$1, 0))),                      IFERROR(INDEX('language&amp;DataTest'!A:J, MATCH(INDEX( PointerTest!D:D, MATCH(B19, PointerTest!A:A, 0), 0), 'language&amp;DataTest'!A:A, 0), MATCH(HOME!$A$25, 'language&amp;DataTest'!$A$1:$H$1, 0))),                                          
IFERROR(INDEX('language&amp;DataTest'!A:J, MATCH(INDEX( PointerTest!E:E, MATCH(B19, PointerTest!A:A, 0), 0), 'language&amp;DataTest'!A:A, 0), MATCH(HOME!$A$25, 'language&amp;DataTest'!$A$1:$H$1, 0))))</f>
        <v>Bellsprout</v>
      </c>
      <c r="D19" s="69" t="str">
        <f t="array" ref="D19">INDEX('language&amp;DataTest'!A:J, MATCH(INDEX( PointerTest!D:D, MATCH(INDEX(PointerTest!B:B, MATCH(B19, PointerTest!A:A, 0)), PointerTest!A:A, 0), 0), 'language&amp;DataTest'!A:A, 0), MATCH(HOME!$A$25, 'language&amp;DataTest'!$A$1:$H$1, 0))</f>
        <v>Charizard</v>
      </c>
      <c r="E19" s="69" t="str">
        <f t="array" ref="E19">INDEX( PointerTest!F:F, MATCH(B19, PointerTest!A:A, 0), 0)</f>
        <v>♢</v>
      </c>
      <c r="F19" s="70">
        <f t="array" ref="F19">LET(percentage,XLOOKUP($E19,$K$2:$K$10,L$2:L$10,"",0)/(COUNTIFS($E:$E,$E19,$D:$D,RegularFormula!$D$2)+COUNTIFS($E:$E,$E19,$D:$D,IF($D19=RegularFormula!$D$2,$K$15,$D19))),IFERROR(IF(percentage,percentage,""),""))
</f>
        <v>0.02</v>
      </c>
      <c r="G19" s="71" t="str">
        <f t="array" ref="G19">LET(percentage,XLOOKUP($E19,$K$2:$K$10,M$2:M$10,"",0)/(COUNTIFS($E:$E,$E19,$D:$D,RegularFormula!$D$2)+COUNTIFS($E:$E,$E19,$D:$D,IF($D19=RegularFormula!$D$2,$K$15,$D19))),IFERROR(IF(percentage,percentage,""),""))
</f>
        <v/>
      </c>
      <c r="H19" s="71" t="str">
        <f t="array" ref="H19">LET(percentage,XLOOKUP($E19,$K$2:$K$10,N$2:N$10,"",0)/(COUNTIFS($E:$E,$E19,$D:$D,RegularFormula!$D$2)+COUNTIFS($E:$E,$E19,$D:$D,IF($D19=RegularFormula!$D$2,$K$15,$D19))),IFERROR(IF(percentage,percentage,""),""))
</f>
        <v/>
      </c>
      <c r="I19" s="72" t="str">
        <f t="shared" si="1"/>
        <v/>
      </c>
      <c r="J19" s="73">
        <v>0.0</v>
      </c>
      <c r="K19" s="111"/>
      <c r="L19" s="112"/>
      <c r="M19" s="112"/>
      <c r="N19" s="113"/>
      <c r="O19" s="92"/>
      <c r="P19" s="103" t="str">
        <f>IFERROR(__xludf.DUMMYFUNCTION("""COMPUTED_VALUE"""),"A1 263")</f>
        <v>A1 263</v>
      </c>
      <c r="Q19" s="103" t="str">
        <f>IFERROR(__xludf.DUMMYFUNCTION("""COMPUTED_VALUE"""),"Machamp ex")</f>
        <v>Machamp ex</v>
      </c>
      <c r="R19" s="103" t="str">
        <f>IFERROR(__xludf.DUMMYFUNCTION("""COMPUTED_VALUE"""),"☆☆")</f>
        <v>☆☆</v>
      </c>
      <c r="S19" s="79">
        <f t="shared" si="2"/>
        <v>1250</v>
      </c>
      <c r="T19" s="80" t="str">
        <f>IFERROR(__xludf.DUMMYFUNCTION("IF(
  Q19="""",
  """",
  IF(
   REGEXMATCH(SUBSTITUTE(Q19, "" ex"", """"), TEXTJOIN(""|"", TRUE, INDEX('language&amp;DataTest'!$A$33:$AB$182, , MATCH(HOME!$A$25, 'language&amp;DataTest'!$A$1:$G$1, 0)))),
   IF($M$26,
     IF(COUNTIFS(ARRAYFORMULA(SUBSTITUTE($C$2"&amp;":$C287, "" ex"", """")), SUBSTITUTE(Q19, "" ex"", """"), $J$2:$J287, ""&gt;0"")=0, ""Yes"", ""No""),
     IF(COUNTIFS(ARRAYFORMULA(SUBSTITUTE($C$2:$C287, "" ex"", """")), SUBSTITUTE(Q19, "" ex"", """"), $A$2:$A287, TRUE)=0, ""Yes"", ""No"")
   ),
   ""No""
 "&amp;")
)"),"No")</f>
        <v>No</v>
      </c>
    </row>
    <row r="20">
      <c r="A20" s="68" t="b">
        <v>1</v>
      </c>
      <c r="B20" s="69" t="s">
        <v>103</v>
      </c>
      <c r="C20" s="69" t="str">
        <f t="array" ref="C20">TEXTJOIN("", TRUE, IFERROR(INDEX('language&amp;DataTest'!A:J, MATCH(INDEX( PointerTest!C:C, MATCH(B20, PointerTest!A:A, 0), 0), 'language&amp;DataTest'!A:A, 0), MATCH(HOME!$A$25, 'language&amp;DataTest'!$A$1:$H$1, 0))),                      IFERROR(INDEX('language&amp;DataTest'!A:J, MATCH(INDEX( PointerTest!D:D, MATCH(B20, PointerTest!A:A, 0), 0), 'language&amp;DataTest'!A:A, 0), MATCH(HOME!$A$25, 'language&amp;DataTest'!$A$1:$H$1, 0))),                                          
IFERROR(INDEX('language&amp;DataTest'!A:J, MATCH(INDEX( PointerTest!E:E, MATCH(B20, PointerTest!A:A, 0), 0), 'language&amp;DataTest'!A:A, 0), MATCH(HOME!$A$25, 'language&amp;DataTest'!$A$1:$H$1, 0))))</f>
        <v>Weepinbell</v>
      </c>
      <c r="D20" s="69" t="str">
        <f t="array" ref="D20">INDEX('language&amp;DataTest'!A:J, MATCH(INDEX( PointerTest!D:D, MATCH(INDEX(PointerTest!B:B, MATCH(B20, PointerTest!A:A, 0)), PointerTest!A:A, 0), 0), 'language&amp;DataTest'!A:A, 0), MATCH(HOME!$A$25, 'language&amp;DataTest'!$A$1:$H$1, 0))</f>
        <v>Charizard</v>
      </c>
      <c r="E20" s="69" t="str">
        <f t="array" ref="E20">INDEX( PointerTest!F:F, MATCH(B20, PointerTest!A:A, 0), 0)</f>
        <v>♢♢</v>
      </c>
      <c r="F20" s="70" t="str">
        <f t="array" ref="F20">LET(percentage,XLOOKUP($E20,$K$2:$K$10,L$2:L$10,"",0)/(COUNTIFS($E:$E,$E20,$D:$D,RegularFormula!$D$2)+COUNTIFS($E:$E,$E20,$D:$D,IF($D20=RegularFormula!$D$2,$K$15,$D20))),IFERROR(IF(percentage,percentage,""),""))
</f>
        <v/>
      </c>
      <c r="G20" s="71">
        <f t="array" ref="G20">LET(percentage,XLOOKUP($E20,$K$2:$K$10,M$2:M$10,"",0)/(COUNTIFS($E:$E,$E20,$D:$D,RegularFormula!$D$2)+COUNTIFS($E:$E,$E20,$D:$D,IF($D20=RegularFormula!$D$2,$K$15,$D20))),IFERROR(IF(percentage,percentage,""),""))
</f>
        <v>0.02571428571</v>
      </c>
      <c r="H20" s="71">
        <f t="array" ref="H20">LET(percentage,XLOOKUP($E20,$K$2:$K$10,N$2:N$10,"",0)/(COUNTIFS($E:$E,$E20,$D:$D,RegularFormula!$D$2)+COUNTIFS($E:$E,$E20,$D:$D,IF($D20=RegularFormula!$D$2,$K$15,$D20))),IFERROR(IF(percentage,percentage,""),""))
</f>
        <v>0.01714285714</v>
      </c>
      <c r="I20" s="72" t="str">
        <f t="shared" si="1"/>
        <v/>
      </c>
      <c r="J20" s="73">
        <v>0.0</v>
      </c>
      <c r="K20" s="114" t="s">
        <v>104</v>
      </c>
      <c r="L20" s="115"/>
      <c r="M20" s="115"/>
      <c r="N20" s="116"/>
      <c r="O20" s="117" t="s">
        <v>105</v>
      </c>
      <c r="P20" s="86" t="str">
        <f>IFERROR(__xludf.DUMMYFUNCTION("""COMPUTED_VALUE"""),"A1 264")</f>
        <v>A1 264</v>
      </c>
      <c r="Q20" s="86" t="str">
        <f>IFERROR(__xludf.DUMMYFUNCTION("""COMPUTED_VALUE"""),"Marowak ex")</f>
        <v>Marowak ex</v>
      </c>
      <c r="R20" s="86" t="str">
        <f>IFERROR(__xludf.DUMMYFUNCTION("""COMPUTED_VALUE"""),"☆☆")</f>
        <v>☆☆</v>
      </c>
      <c r="S20" s="79">
        <f t="shared" si="2"/>
        <v>1250</v>
      </c>
      <c r="T20" s="80" t="str">
        <f>IFERROR(__xludf.DUMMYFUNCTION("IF(
  Q20="""",
  """",
  IF(
   REGEXMATCH(SUBSTITUTE(Q20, "" ex"", """"), TEXTJOIN(""|"", TRUE, INDEX('language&amp;DataTest'!$A$33:$AB$182, , MATCH(HOME!$A$25, 'language&amp;DataTest'!$A$1:$G$1, 0)))),
   IF($M$26,
     IF(COUNTIFS(ARRAYFORMULA(SUBSTITUTE($C$2"&amp;":$C287, "" ex"", """")), SUBSTITUTE(Q20, "" ex"", """"), $J$2:$J287, ""&gt;0"")=0, ""Yes"", ""No""),
     IF(COUNTIFS(ARRAYFORMULA(SUBSTITUTE($C$2:$C287, "" ex"", """")), SUBSTITUTE(Q20, "" ex"", """"), $A$2:$A287, TRUE)=0, ""Yes"", ""No"")
   ),
   ""No""
 "&amp;")
)"),"No")</f>
        <v>No</v>
      </c>
    </row>
    <row r="21">
      <c r="A21" s="68" t="b">
        <v>1</v>
      </c>
      <c r="B21" s="69" t="s">
        <v>106</v>
      </c>
      <c r="C21" s="69" t="str">
        <f t="array" ref="C21">TEXTJOIN("", TRUE, IFERROR(INDEX('language&amp;DataTest'!A:J, MATCH(INDEX( PointerTest!C:C, MATCH(B21, PointerTest!A:A, 0), 0), 'language&amp;DataTest'!A:A, 0), MATCH(HOME!$A$25, 'language&amp;DataTest'!$A$1:$H$1, 0))),                      IFERROR(INDEX('language&amp;DataTest'!A:J, MATCH(INDEX( PointerTest!D:D, MATCH(B21, PointerTest!A:A, 0), 0), 'language&amp;DataTest'!A:A, 0), MATCH(HOME!$A$25, 'language&amp;DataTest'!$A$1:$H$1, 0))),                                          
IFERROR(INDEX('language&amp;DataTest'!A:J, MATCH(INDEX( PointerTest!E:E, MATCH(B21, PointerTest!A:A, 0), 0), 'language&amp;DataTest'!A:A, 0), MATCH(HOME!$A$25, 'language&amp;DataTest'!$A$1:$H$1, 0))))</f>
        <v>Victreebel</v>
      </c>
      <c r="D21" s="69" t="str">
        <f t="array" ref="D21">INDEX('language&amp;DataTest'!A:J, MATCH(INDEX( PointerTest!D:D, MATCH(INDEX(PointerTest!B:B, MATCH(B21, PointerTest!A:A, 0)), PointerTest!A:A, 0), 0), 'language&amp;DataTest'!A:A, 0), MATCH(HOME!$A$25, 'language&amp;DataTest'!$A$1:$H$1, 0))</f>
        <v>Charizard</v>
      </c>
      <c r="E21" s="69" t="str">
        <f t="array" ref="E21">INDEX( PointerTest!F:F, MATCH(B21, PointerTest!A:A, 0), 0)</f>
        <v>♢♢♢</v>
      </c>
      <c r="F21" s="70" t="str">
        <f t="array" ref="F21">LET(percentage,XLOOKUP($E21,$K$2:$K$10,L$2:L$10,"",0)/(COUNTIFS($E:$E,$E21,$D:$D,RegularFormula!$D$2)+COUNTIFS($E:$E,$E21,$D:$D,IF($D21=RegularFormula!$D$2,$K$15,$D21))),IFERROR(IF(percentage,percentage,""),""))
</f>
        <v/>
      </c>
      <c r="G21" s="71">
        <f t="array" ref="G21">LET(percentage,XLOOKUP($E21,$K$2:$K$10,M$2:M$10,"",0)/(COUNTIFS($E:$E,$E21,$D:$D,RegularFormula!$D$2)+COUNTIFS($E:$E,$E21,$D:$D,IF($D21=RegularFormula!$D$2,$K$15,$D21))),IFERROR(IF(percentage,percentage,""),""))
</f>
        <v>0.003571428571</v>
      </c>
      <c r="H21" s="71">
        <f t="array" ref="H21">LET(percentage,XLOOKUP($E21,$K$2:$K$10,N$2:N$10,"",0)/(COUNTIFS($E:$E,$E21,$D:$D,RegularFormula!$D$2)+COUNTIFS($E:$E,$E21,$D:$D,IF($D21=RegularFormula!$D$2,$K$15,$D21))),IFERROR(IF(percentage,percentage,""),""))
</f>
        <v>0.01428571429</v>
      </c>
      <c r="I21" s="72" t="str">
        <f t="shared" si="1"/>
        <v/>
      </c>
      <c r="J21" s="73">
        <v>0.0</v>
      </c>
      <c r="K21" s="118"/>
      <c r="N21" s="119"/>
      <c r="O21" s="120"/>
      <c r="P21" s="86" t="str">
        <f>IFERROR(__xludf.DUMMYFUNCTION("""COMPUTED_VALUE"""),"A1 265")</f>
        <v>A1 265</v>
      </c>
      <c r="Q21" s="86" t="str">
        <f>IFERROR(__xludf.DUMMYFUNCTION("""COMPUTED_VALUE"""),"Wigglytuff ex")</f>
        <v>Wigglytuff ex</v>
      </c>
      <c r="R21" s="86" t="str">
        <f>IFERROR(__xludf.DUMMYFUNCTION("""COMPUTED_VALUE"""),"☆☆")</f>
        <v>☆☆</v>
      </c>
      <c r="S21" s="79">
        <f t="shared" si="2"/>
        <v>1250</v>
      </c>
      <c r="T21" s="80" t="str">
        <f>IFERROR(__xludf.DUMMYFUNCTION("IF(
  Q21="""",
  """",
  IF(
   REGEXMATCH(SUBSTITUTE(Q21, "" ex"", """"), TEXTJOIN(""|"", TRUE, INDEX('language&amp;DataTest'!$A$33:$AB$182, , MATCH(HOME!$A$25, 'language&amp;DataTest'!$A$1:$G$1, 0)))),
   IF($M$26,
     IF(COUNTIFS(ARRAYFORMULA(SUBSTITUTE($C$2"&amp;":$C287, "" ex"", """")), SUBSTITUTE(Q21, "" ex"", """"), $J$2:$J287, ""&gt;0"")=0, ""Yes"", ""No""),
     IF(COUNTIFS(ARRAYFORMULA(SUBSTITUTE($C$2:$C287, "" ex"", """")), SUBSTITUTE(Q21, "" ex"", """"), $A$2:$A287, TRUE)=0, ""Yes"", ""No"")
   ),
   ""No""
 "&amp;")
)"),"No")</f>
        <v>No</v>
      </c>
    </row>
    <row r="22">
      <c r="A22" s="68" t="b">
        <v>1</v>
      </c>
      <c r="B22" s="69" t="s">
        <v>107</v>
      </c>
      <c r="C22" s="69" t="str">
        <f t="array" ref="C22">TEXTJOIN("", TRUE, IFERROR(INDEX('language&amp;DataTest'!A:J, MATCH(INDEX( PointerTest!C:C, MATCH(B22, PointerTest!A:A, 0), 0), 'language&amp;DataTest'!A:A, 0), MATCH(HOME!$A$25, 'language&amp;DataTest'!$A$1:$H$1, 0))),                      IFERROR(INDEX('language&amp;DataTest'!A:J, MATCH(INDEX( PointerTest!D:D, MATCH(B22, PointerTest!A:A, 0), 0), 'language&amp;DataTest'!A:A, 0), MATCH(HOME!$A$25, 'language&amp;DataTest'!$A$1:$H$1, 0))),                                          
IFERROR(INDEX('language&amp;DataTest'!A:J, MATCH(INDEX( PointerTest!E:E, MATCH(B22, PointerTest!A:A, 0), 0), 'language&amp;DataTest'!A:A, 0), MATCH(HOME!$A$25, 'language&amp;DataTest'!$A$1:$H$1, 0))))</f>
        <v>Exeggcute</v>
      </c>
      <c r="D22" s="69" t="str">
        <f t="array" ref="D22">INDEX('language&amp;DataTest'!A:J, MATCH(INDEX( PointerTest!D:D, MATCH(INDEX(PointerTest!B:B, MATCH(B22, PointerTest!A:A, 0)), PointerTest!A:A, 0), 0), 'language&amp;DataTest'!A:A, 0), MATCH(HOME!$A$25, 'language&amp;DataTest'!$A$1:$H$1, 0))</f>
        <v>Charizard</v>
      </c>
      <c r="E22" s="69" t="str">
        <f t="array" ref="E22">INDEX( PointerTest!F:F, MATCH(B22, PointerTest!A:A, 0), 0)</f>
        <v>♢</v>
      </c>
      <c r="F22" s="70">
        <f t="array" ref="F22">LET(percentage,XLOOKUP($E22,$K$2:$K$10,L$2:L$10,"",0)/(COUNTIFS($E:$E,$E22,$D:$D,RegularFormula!$D$2)+COUNTIFS($E:$E,$E22,$D:$D,IF($D22=RegularFormula!$D$2,$K$15,$D22))),IFERROR(IF(percentage,percentage,""),""))
</f>
        <v>0.02</v>
      </c>
      <c r="G22" s="71" t="str">
        <f t="array" ref="G22">LET(percentage,XLOOKUP($E22,$K$2:$K$10,M$2:M$10,"",0)/(COUNTIFS($E:$E,$E22,$D:$D,RegularFormula!$D$2)+COUNTIFS($E:$E,$E22,$D:$D,IF($D22=RegularFormula!$D$2,$K$15,$D22))),IFERROR(IF(percentage,percentage,""),""))
</f>
        <v/>
      </c>
      <c r="H22" s="71" t="str">
        <f t="array" ref="H22">LET(percentage,XLOOKUP($E22,$K$2:$K$10,N$2:N$10,"",0)/(COUNTIFS($E:$E,$E22,$D:$D,RegularFormula!$D$2)+COUNTIFS($E:$E,$E22,$D:$D,IF($D22=RegularFormula!$D$2,$K$15,$D22))),IFERROR(IF(percentage,percentage,""),""))
</f>
        <v/>
      </c>
      <c r="I22" s="72" t="str">
        <f t="shared" si="1"/>
        <v/>
      </c>
      <c r="J22" s="73">
        <v>0.0</v>
      </c>
      <c r="K22" s="121" t="b">
        <v>1</v>
      </c>
      <c r="L22" s="69" t="s">
        <v>71</v>
      </c>
      <c r="M22" s="122" t="b">
        <v>1</v>
      </c>
      <c r="N22" s="69" t="s">
        <v>79</v>
      </c>
      <c r="O22" s="120"/>
      <c r="P22" s="86" t="str">
        <f>IFERROR(__xludf.DUMMYFUNCTION("""COMPUTED_VALUE"""),"A1 266")</f>
        <v>A1 266</v>
      </c>
      <c r="Q22" s="86" t="str">
        <f>IFERROR(__xludf.DUMMYFUNCTION("""COMPUTED_VALUE"""),"Erika")</f>
        <v>Erika</v>
      </c>
      <c r="R22" s="86" t="str">
        <f>IFERROR(__xludf.DUMMYFUNCTION("""COMPUTED_VALUE"""),"☆☆")</f>
        <v>☆☆</v>
      </c>
      <c r="S22" s="79">
        <f t="shared" si="2"/>
        <v>1250</v>
      </c>
      <c r="T22" s="80" t="str">
        <f>IFERROR(__xludf.DUMMYFUNCTION("IF(
  Q22="""",
  """",
  IF(
   REGEXMATCH(SUBSTITUTE(Q22, "" ex"", """"), TEXTJOIN(""|"", TRUE, INDEX('language&amp;DataTest'!$A$33:$AB$182, , MATCH(HOME!$A$25, 'language&amp;DataTest'!$A$1:$G$1, 0)))),
   IF($M$26,
     IF(COUNTIFS(ARRAYFORMULA(SUBSTITUTE($C$2"&amp;":$C287, "" ex"", """")), SUBSTITUTE(Q22, "" ex"", """"), $J$2:$J287, ""&gt;0"")=0, ""Yes"", ""No""),
     IF(COUNTIFS(ARRAYFORMULA(SUBSTITUTE($C$2:$C287, "" ex"", """")), SUBSTITUTE(Q22, "" ex"", """"), $A$2:$A287, TRUE)=0, ""Yes"", ""No"")
   ),
   ""No""
 "&amp;")
)"),"No")</f>
        <v>No</v>
      </c>
    </row>
    <row r="23">
      <c r="A23" s="68" t="b">
        <v>1</v>
      </c>
      <c r="B23" s="69" t="s">
        <v>108</v>
      </c>
      <c r="C23" s="69" t="str">
        <f t="array" ref="C23">TEXTJOIN("", TRUE, IFERROR(INDEX('language&amp;DataTest'!A:J, MATCH(INDEX( PointerTest!C:C, MATCH(B23, PointerTest!A:A, 0), 0), 'language&amp;DataTest'!A:A, 0), MATCH(HOME!$A$25, 'language&amp;DataTest'!$A$1:$H$1, 0))),                      IFERROR(INDEX('language&amp;DataTest'!A:J, MATCH(INDEX( PointerTest!D:D, MATCH(B23, PointerTest!A:A, 0), 0), 'language&amp;DataTest'!A:A, 0), MATCH(HOME!$A$25, 'language&amp;DataTest'!$A$1:$H$1, 0))),                                          
IFERROR(INDEX('language&amp;DataTest'!A:J, MATCH(INDEX( PointerTest!E:E, MATCH(B23, PointerTest!A:A, 0), 0), 'language&amp;DataTest'!A:A, 0), MATCH(HOME!$A$25, 'language&amp;DataTest'!$A$1:$H$1, 0))))</f>
        <v>Exeggutor</v>
      </c>
      <c r="D23" s="69" t="str">
        <f t="array" ref="D23">INDEX('language&amp;DataTest'!A:J, MATCH(INDEX( PointerTest!D:D, MATCH(INDEX(PointerTest!B:B, MATCH(B23, PointerTest!A:A, 0)), PointerTest!A:A, 0), 0), 'language&amp;DataTest'!A:A, 0), MATCH(HOME!$A$25, 'language&amp;DataTest'!$A$1:$H$1, 0))</f>
        <v>Charizard</v>
      </c>
      <c r="E23" s="69" t="str">
        <f t="array" ref="E23">INDEX( PointerTest!F:F, MATCH(B23, PointerTest!A:A, 0), 0)</f>
        <v>♢♢♢</v>
      </c>
      <c r="F23" s="70" t="str">
        <f t="array" ref="F23">LET(percentage,XLOOKUP($E23,$K$2:$K$10,L$2:L$10,"",0)/(COUNTIFS($E:$E,$E23,$D:$D,RegularFormula!$D$2)+COUNTIFS($E:$E,$E23,$D:$D,IF($D23=RegularFormula!$D$2,$K$15,$D23))),IFERROR(IF(percentage,percentage,""),""))
</f>
        <v/>
      </c>
      <c r="G23" s="71">
        <f t="array" ref="G23">LET(percentage,XLOOKUP($E23,$K$2:$K$10,M$2:M$10,"",0)/(COUNTIFS($E:$E,$E23,$D:$D,RegularFormula!$D$2)+COUNTIFS($E:$E,$E23,$D:$D,IF($D23=RegularFormula!$D$2,$K$15,$D23))),IFERROR(IF(percentage,percentage,""),""))
</f>
        <v>0.003571428571</v>
      </c>
      <c r="H23" s="71">
        <f t="array" ref="H23">LET(percentage,XLOOKUP($E23,$K$2:$K$10,N$2:N$10,"",0)/(COUNTIFS($E:$E,$E23,$D:$D,RegularFormula!$D$2)+COUNTIFS($E:$E,$E23,$D:$D,IF($D23=RegularFormula!$D$2,$K$15,$D23))),IFERROR(IF(percentage,percentage,""),""))
</f>
        <v>0.01428571429</v>
      </c>
      <c r="I23" s="72" t="str">
        <f t="shared" si="1"/>
        <v/>
      </c>
      <c r="J23" s="73">
        <v>0.0</v>
      </c>
      <c r="K23" s="121" t="b">
        <v>1</v>
      </c>
      <c r="L23" s="69" t="s">
        <v>73</v>
      </c>
      <c r="M23" s="122" t="b">
        <v>1</v>
      </c>
      <c r="N23" s="69" t="s">
        <v>81</v>
      </c>
      <c r="O23" s="120"/>
      <c r="P23" s="86" t="str">
        <f>IFERROR(__xludf.DUMMYFUNCTION("""COMPUTED_VALUE"""),"A1 267")</f>
        <v>A1 267</v>
      </c>
      <c r="Q23" s="86" t="str">
        <f>IFERROR(__xludf.DUMMYFUNCTION("""COMPUTED_VALUE"""),"Misty")</f>
        <v>Misty</v>
      </c>
      <c r="R23" s="86" t="str">
        <f>IFERROR(__xludf.DUMMYFUNCTION("""COMPUTED_VALUE"""),"☆☆")</f>
        <v>☆☆</v>
      </c>
      <c r="S23" s="79">
        <f t="shared" si="2"/>
        <v>1250</v>
      </c>
      <c r="T23" s="80" t="str">
        <f>IFERROR(__xludf.DUMMYFUNCTION("IF(
  Q23="""",
  """",
  IF(
   REGEXMATCH(SUBSTITUTE(Q23, "" ex"", """"), TEXTJOIN(""|"", TRUE, INDEX('language&amp;DataTest'!$A$33:$AB$182, , MATCH(HOME!$A$25, 'language&amp;DataTest'!$A$1:$G$1, 0)))),
   IF($M$26,
     IF(COUNTIFS(ARRAYFORMULA(SUBSTITUTE($C$2"&amp;":$C287, "" ex"", """")), SUBSTITUTE(Q23, "" ex"", """"), $J$2:$J287, ""&gt;0"")=0, ""Yes"", ""No""),
     IF(COUNTIFS(ARRAYFORMULA(SUBSTITUTE($C$2:$C287, "" ex"", """")), SUBSTITUTE(Q23, "" ex"", """"), $A$2:$A287, TRUE)=0, ""Yes"", ""No"")
   ),
   ""No""
 "&amp;")
)"),"No")</f>
        <v>No</v>
      </c>
    </row>
    <row r="24">
      <c r="A24" s="68" t="b">
        <v>1</v>
      </c>
      <c r="B24" s="69" t="s">
        <v>109</v>
      </c>
      <c r="C24" s="69" t="str">
        <f t="array" ref="C24">TEXTJOIN("", TRUE, IFERROR(INDEX('language&amp;DataTest'!A:J, MATCH(INDEX( PointerTest!C:C, MATCH(B24, PointerTest!A:A, 0), 0), 'language&amp;DataTest'!A:A, 0), MATCH(HOME!$A$25, 'language&amp;DataTest'!$A$1:$H$1, 0))),                      IFERROR(INDEX('language&amp;DataTest'!A:J, MATCH(INDEX( PointerTest!D:D, MATCH(B24, PointerTest!A:A, 0), 0), 'language&amp;DataTest'!A:A, 0), MATCH(HOME!$A$25, 'language&amp;DataTest'!$A$1:$H$1, 0))),                                          
IFERROR(INDEX('language&amp;DataTest'!A:J, MATCH(INDEX( PointerTest!E:E, MATCH(B24, PointerTest!A:A, 0), 0), 'language&amp;DataTest'!A:A, 0), MATCH(HOME!$A$25, 'language&amp;DataTest'!$A$1:$H$1, 0))))</f>
        <v>Exeggutor ex</v>
      </c>
      <c r="D24" s="69" t="str">
        <f t="array" ref="D24">INDEX('language&amp;DataTest'!A:J, MATCH(INDEX( PointerTest!D:D, MATCH(INDEX(PointerTest!B:B, MATCH(B24, PointerTest!A:A, 0)), PointerTest!A:A, 0), 0), 'language&amp;DataTest'!A:A, 0), MATCH(HOME!$A$25, 'language&amp;DataTest'!$A$1:$H$1, 0))</f>
        <v>Charizard</v>
      </c>
      <c r="E24" s="69" t="str">
        <f t="array" ref="E24">INDEX( PointerTest!F:F, MATCH(B24, PointerTest!A:A, 0), 0)</f>
        <v>♢♢♢♢</v>
      </c>
      <c r="F24" s="70" t="str">
        <f t="array" ref="F24">LET(percentage,XLOOKUP($E24,$K$2:$K$10,L$2:L$10,"",0)/(COUNTIFS($E:$E,$E24,$D:$D,RegularFormula!$D$2)+COUNTIFS($E:$E,$E24,$D:$D,IF($D24=RegularFormula!$D$2,$K$15,$D24))),IFERROR(IF(percentage,percentage,""),""))
</f>
        <v/>
      </c>
      <c r="G24" s="71">
        <f t="array" ref="G24">LET(percentage,XLOOKUP($E24,$K$2:$K$10,M$2:M$10,"",0)/(COUNTIFS($E:$E,$E24,$D:$D,RegularFormula!$D$2)+COUNTIFS($E:$E,$E24,$D:$D,IF($D24=RegularFormula!$D$2,$K$15,$D24))),IFERROR(IF(percentage,percentage,""),""))
</f>
        <v>0.003332</v>
      </c>
      <c r="H24" s="71">
        <f t="array" ref="H24">LET(percentage,XLOOKUP($E24,$K$2:$K$10,N$2:N$10,"",0)/(COUNTIFS($E:$E,$E24,$D:$D,RegularFormula!$D$2)+COUNTIFS($E:$E,$E24,$D:$D,IF($D24=RegularFormula!$D$2,$K$15,$D24))),IFERROR(IF(percentage,percentage,""),""))
</f>
        <v>0.013328</v>
      </c>
      <c r="I24" s="72" t="str">
        <f t="shared" si="1"/>
        <v/>
      </c>
      <c r="J24" s="73">
        <v>0.0</v>
      </c>
      <c r="K24" s="121" t="b">
        <v>1</v>
      </c>
      <c r="L24" s="69" t="s">
        <v>75</v>
      </c>
      <c r="M24" s="122" t="b">
        <v>1</v>
      </c>
      <c r="N24" s="69" t="s">
        <v>83</v>
      </c>
      <c r="O24" s="120"/>
      <c r="P24" s="86" t="str">
        <f>IFERROR(__xludf.DUMMYFUNCTION("""COMPUTED_VALUE"""),"A1 268")</f>
        <v>A1 268</v>
      </c>
      <c r="Q24" s="86" t="str">
        <f>IFERROR(__xludf.DUMMYFUNCTION("""COMPUTED_VALUE"""),"Blaine")</f>
        <v>Blaine</v>
      </c>
      <c r="R24" s="86" t="str">
        <f>IFERROR(__xludf.DUMMYFUNCTION("""COMPUTED_VALUE"""),"☆☆")</f>
        <v>☆☆</v>
      </c>
      <c r="S24" s="79">
        <f t="shared" si="2"/>
        <v>1250</v>
      </c>
      <c r="T24" s="80" t="str">
        <f>IFERROR(__xludf.DUMMYFUNCTION("IF(
  Q24="""",
  """",
  IF(
   REGEXMATCH(SUBSTITUTE(Q24, "" ex"", """"), TEXTJOIN(""|"", TRUE, INDEX('language&amp;DataTest'!$A$33:$AB$182, , MATCH(HOME!$A$25, 'language&amp;DataTest'!$A$1:$G$1, 0)))),
   IF($M$26,
     IF(COUNTIFS(ARRAYFORMULA(SUBSTITUTE($C$2"&amp;":$C287, "" ex"", """")), SUBSTITUTE(Q24, "" ex"", """"), $J$2:$J287, ""&gt;0"")=0, ""Yes"", ""No""),
     IF(COUNTIFS(ARRAYFORMULA(SUBSTITUTE($C$2:$C287, "" ex"", """")), SUBSTITUTE(Q24, "" ex"", """"), $A$2:$A287, TRUE)=0, ""Yes"", ""No"")
   ),
   ""No""
 "&amp;")
)"),"No")</f>
        <v>No</v>
      </c>
    </row>
    <row r="25">
      <c r="A25" s="68" t="b">
        <v>1</v>
      </c>
      <c r="B25" s="69" t="s">
        <v>110</v>
      </c>
      <c r="C25" s="69" t="str">
        <f t="array" ref="C25">TEXTJOIN("", TRUE, IFERROR(INDEX('language&amp;DataTest'!A:J, MATCH(INDEX( PointerTest!C:C, MATCH(B25, PointerTest!A:A, 0), 0), 'language&amp;DataTest'!A:A, 0), MATCH(HOME!$A$25, 'language&amp;DataTest'!$A$1:$H$1, 0))),                      IFERROR(INDEX('language&amp;DataTest'!A:J, MATCH(INDEX( PointerTest!D:D, MATCH(B25, PointerTest!A:A, 0), 0), 'language&amp;DataTest'!A:A, 0), MATCH(HOME!$A$25, 'language&amp;DataTest'!$A$1:$H$1, 0))),                                          
IFERROR(INDEX('language&amp;DataTest'!A:J, MATCH(INDEX( PointerTest!E:E, MATCH(B25, PointerTest!A:A, 0), 0), 'language&amp;DataTest'!A:A, 0), MATCH(HOME!$A$25, 'language&amp;DataTest'!$A$1:$H$1, 0))))</f>
        <v>Tangela</v>
      </c>
      <c r="D25" s="69" t="str">
        <f t="array" ref="D25">INDEX('language&amp;DataTest'!A:J, MATCH(INDEX( PointerTest!D:D, MATCH(INDEX(PointerTest!B:B, MATCH(B25, PointerTest!A:A, 0)), PointerTest!A:A, 0), 0), 'language&amp;DataTest'!A:A, 0), MATCH(HOME!$A$25, 'language&amp;DataTest'!$A$1:$H$1, 0))</f>
        <v>Charizard</v>
      </c>
      <c r="E25" s="69" t="str">
        <f t="array" ref="E25">INDEX( PointerTest!F:F, MATCH(B25, PointerTest!A:A, 0), 0)</f>
        <v>♢</v>
      </c>
      <c r="F25" s="70">
        <f t="array" ref="F25">LET(percentage,XLOOKUP($E25,$K$2:$K$10,L$2:L$10,"",0)/(COUNTIFS($E:$E,$E25,$D:$D,RegularFormula!$D$2)+COUNTIFS($E:$E,$E25,$D:$D,IF($D25=RegularFormula!$D$2,$K$15,$D25))),IFERROR(IF(percentage,percentage,""),""))
</f>
        <v>0.02</v>
      </c>
      <c r="G25" s="71" t="str">
        <f t="array" ref="G25">LET(percentage,XLOOKUP($E25,$K$2:$K$10,M$2:M$10,"",0)/(COUNTIFS($E:$E,$E25,$D:$D,RegularFormula!$D$2)+COUNTIFS($E:$E,$E25,$D:$D,IF($D25=RegularFormula!$D$2,$K$15,$D25))),IFERROR(IF(percentage,percentage,""),""))
</f>
        <v/>
      </c>
      <c r="H25" s="71" t="str">
        <f t="array" ref="H25">LET(percentage,XLOOKUP($E25,$K$2:$K$10,N$2:N$10,"",0)/(COUNTIFS($E:$E,$E25,$D:$D,RegularFormula!$D$2)+COUNTIFS($E:$E,$E25,$D:$D,IF($D25=RegularFormula!$D$2,$K$15,$D25))),IFERROR(IF(percentage,percentage,""),""))
</f>
        <v/>
      </c>
      <c r="I25" s="72" t="str">
        <f t="shared" si="1"/>
        <v/>
      </c>
      <c r="J25" s="73">
        <v>0.0</v>
      </c>
      <c r="K25" s="121" t="b">
        <v>1</v>
      </c>
      <c r="L25" s="69" t="s">
        <v>77</v>
      </c>
      <c r="M25" s="122" t="b">
        <v>1</v>
      </c>
      <c r="N25" s="69" t="s">
        <v>85</v>
      </c>
      <c r="O25" s="120"/>
      <c r="P25" s="86" t="str">
        <f>IFERROR(__xludf.DUMMYFUNCTION("""COMPUTED_VALUE"""),"A1 269")</f>
        <v>A1 269</v>
      </c>
      <c r="Q25" s="86" t="str">
        <f>IFERROR(__xludf.DUMMYFUNCTION("""COMPUTED_VALUE"""),"Koga")</f>
        <v>Koga</v>
      </c>
      <c r="R25" s="86" t="str">
        <f>IFERROR(__xludf.DUMMYFUNCTION("""COMPUTED_VALUE"""),"☆☆")</f>
        <v>☆☆</v>
      </c>
      <c r="S25" s="79">
        <f t="shared" si="2"/>
        <v>1250</v>
      </c>
      <c r="T25" s="80" t="str">
        <f>IFERROR(__xludf.DUMMYFUNCTION("IF(
  Q25="""",
  """",
  IF(
   REGEXMATCH(SUBSTITUTE(Q25, "" ex"", """"), TEXTJOIN(""|"", TRUE, INDEX('language&amp;DataTest'!$A$33:$AB$182, , MATCH(HOME!$A$25, 'language&amp;DataTest'!$A$1:$G$1, 0)))),
   IF($M$26,
     IF(COUNTIFS(ARRAYFORMULA(SUBSTITUTE($C$2"&amp;":$C287, "" ex"", """")), SUBSTITUTE(Q25, "" ex"", """"), $J$2:$J287, ""&gt;0"")=0, ""Yes"", ""No""),
     IF(COUNTIFS(ARRAYFORMULA(SUBSTITUTE($C$2:$C287, "" ex"", """")), SUBSTITUTE(Q25, "" ex"", """"), $A$2:$A287, TRUE)=0, ""Yes"", ""No"")
   ),
   ""No""
 "&amp;")
)"),"No")</f>
        <v>No</v>
      </c>
    </row>
    <row r="26">
      <c r="A26" s="68" t="b">
        <v>1</v>
      </c>
      <c r="B26" s="69" t="s">
        <v>111</v>
      </c>
      <c r="C26" s="69" t="str">
        <f t="array" ref="C26">TEXTJOIN("", TRUE, IFERROR(INDEX('language&amp;DataTest'!A:J, MATCH(INDEX( PointerTest!C:C, MATCH(B26, PointerTest!A:A, 0), 0), 'language&amp;DataTest'!A:A, 0), MATCH(HOME!$A$25, 'language&amp;DataTest'!$A$1:$H$1, 0))),                      IFERROR(INDEX('language&amp;DataTest'!A:J, MATCH(INDEX( PointerTest!D:D, MATCH(B26, PointerTest!A:A, 0), 0), 'language&amp;DataTest'!A:A, 0), MATCH(HOME!$A$25, 'language&amp;DataTest'!$A$1:$H$1, 0))),                                          
IFERROR(INDEX('language&amp;DataTest'!A:J, MATCH(INDEX( PointerTest!E:E, MATCH(B26, PointerTest!A:A, 0), 0), 'language&amp;DataTest'!A:A, 0), MATCH(HOME!$A$25, 'language&amp;DataTest'!$A$1:$H$1, 0))))</f>
        <v>Scyther</v>
      </c>
      <c r="D26" s="69" t="str">
        <f t="array" ref="D26">INDEX('language&amp;DataTest'!A:J, MATCH(INDEX( PointerTest!D:D, MATCH(INDEX(PointerTest!B:B, MATCH(B26, PointerTest!A:A, 0)), PointerTest!A:A, 0), 0), 'language&amp;DataTest'!A:A, 0), MATCH(HOME!$A$25, 'language&amp;DataTest'!$A$1:$H$1, 0))</f>
        <v>Mewtwo</v>
      </c>
      <c r="E26" s="69" t="str">
        <f t="array" ref="E26">INDEX( PointerTest!F:F, MATCH(B26, PointerTest!A:A, 0), 0)</f>
        <v>♢</v>
      </c>
      <c r="F26" s="70">
        <f t="array" ref="F26">LET(percentage,XLOOKUP($E26,$K$2:$K$10,L$2:L$10,"",0)/(COUNTIFS($E:$E,$E26,$D:$D,RegularFormula!$D$2)+COUNTIFS($E:$E,$E26,$D:$D,IF($D26=RegularFormula!$D$2,$K$15,$D26))),IFERROR(IF(percentage,percentage,""),""))
</f>
        <v>0.02</v>
      </c>
      <c r="G26" s="71" t="str">
        <f t="array" ref="G26">LET(percentage,XLOOKUP($E26,$K$2:$K$10,M$2:M$10,"",0)/(COUNTIFS($E:$E,$E26,$D:$D,RegularFormula!$D$2)+COUNTIFS($E:$E,$E26,$D:$D,IF($D26=RegularFormula!$D$2,$K$15,$D26))),IFERROR(IF(percentage,percentage,""),""))
</f>
        <v/>
      </c>
      <c r="H26" s="71" t="str">
        <f t="array" ref="H26">LET(percentage,XLOOKUP($E26,$K$2:$K$10,N$2:N$10,"",0)/(COUNTIFS($E:$E,$E26,$D:$D,RegularFormula!$D$2)+COUNTIFS($E:$E,$E26,$D:$D,IF($D26=RegularFormula!$D$2,$K$15,$D26))),IFERROR(IF(percentage,percentage,""),""))
</f>
        <v/>
      </c>
      <c r="I26" s="72" t="str">
        <f t="shared" si="1"/>
        <v/>
      </c>
      <c r="J26" s="73">
        <v>0.0</v>
      </c>
      <c r="K26" s="123" t="b">
        <v>0</v>
      </c>
      <c r="L26" s="124" t="s">
        <v>112</v>
      </c>
      <c r="M26" s="124" t="b">
        <f>HOME!A27</f>
        <v>0</v>
      </c>
      <c r="N26" s="124" t="s">
        <v>113</v>
      </c>
      <c r="O26" s="125"/>
      <c r="P26" s="86" t="str">
        <f>IFERROR(__xludf.DUMMYFUNCTION("""COMPUTED_VALUE"""),"A1 270")</f>
        <v>A1 270</v>
      </c>
      <c r="Q26" s="86" t="str">
        <f>IFERROR(__xludf.DUMMYFUNCTION("""COMPUTED_VALUE"""),"Giovanni")</f>
        <v>Giovanni</v>
      </c>
      <c r="R26" s="86" t="str">
        <f>IFERROR(__xludf.DUMMYFUNCTION("""COMPUTED_VALUE"""),"☆☆")</f>
        <v>☆☆</v>
      </c>
      <c r="S26" s="79">
        <f t="shared" si="2"/>
        <v>1250</v>
      </c>
      <c r="T26" s="80" t="str">
        <f>IFERROR(__xludf.DUMMYFUNCTION("IF(
  Q26="""",
  """",
  IF(
   REGEXMATCH(SUBSTITUTE(Q26, "" ex"", """"), TEXTJOIN(""|"", TRUE, INDEX('language&amp;DataTest'!$A$33:$AB$182, , MATCH(HOME!$A$25, 'language&amp;DataTest'!$A$1:$G$1, 0)))),
   IF($M$26,
     IF(COUNTIFS(ARRAYFORMULA(SUBSTITUTE($C$2"&amp;":$C287, "" ex"", """")), SUBSTITUTE(Q26, "" ex"", """"), $J$2:$J287, ""&gt;0"")=0, ""Yes"", ""No""),
     IF(COUNTIFS(ARRAYFORMULA(SUBSTITUTE($C$2:$C287, "" ex"", """")), SUBSTITUTE(Q26, "" ex"", """"), $A$2:$A287, TRUE)=0, ""Yes"", ""No"")
   ),
   ""No""
 "&amp;")
)"),"No")</f>
        <v>No</v>
      </c>
    </row>
    <row r="27">
      <c r="A27" s="68" t="b">
        <v>1</v>
      </c>
      <c r="B27" s="69" t="s">
        <v>114</v>
      </c>
      <c r="C27" s="69" t="str">
        <f t="array" ref="C27">TEXTJOIN("", TRUE, IFERROR(INDEX('language&amp;DataTest'!A:J, MATCH(INDEX( PointerTest!C:C, MATCH(B27, PointerTest!A:A, 0), 0), 'language&amp;DataTest'!A:A, 0), MATCH(HOME!$A$25, 'language&amp;DataTest'!$A$1:$H$1, 0))),                      IFERROR(INDEX('language&amp;DataTest'!A:J, MATCH(INDEX( PointerTest!D:D, MATCH(B27, PointerTest!A:A, 0), 0), 'language&amp;DataTest'!A:A, 0), MATCH(HOME!$A$25, 'language&amp;DataTest'!$A$1:$H$1, 0))),                                          
IFERROR(INDEX('language&amp;DataTest'!A:J, MATCH(INDEX( PointerTest!E:E, MATCH(B27, PointerTest!A:A, 0), 0), 'language&amp;DataTest'!A:A, 0), MATCH(HOME!$A$25, 'language&amp;DataTest'!$A$1:$H$1, 0))))</f>
        <v>Pinsir</v>
      </c>
      <c r="D27" s="69" t="str">
        <f t="array" ref="D27">INDEX('language&amp;DataTest'!A:J, MATCH(INDEX( PointerTest!D:D, MATCH(INDEX(PointerTest!B:B, MATCH(B27, PointerTest!A:A, 0)), PointerTest!A:A, 0), 0), 'language&amp;DataTest'!A:A, 0), MATCH(HOME!$A$25, 'language&amp;DataTest'!$A$1:$H$1, 0))</f>
        <v>All</v>
      </c>
      <c r="E27" s="69" t="str">
        <f t="array" ref="E27">INDEX( PointerTest!F:F, MATCH(B27, PointerTest!A:A, 0), 0)</f>
        <v>♢♢</v>
      </c>
      <c r="F27" s="70" t="str">
        <f t="array" ref="F27">LET(percentage,XLOOKUP($E27,$K$2:$K$10,L$2:L$10,"",0)/(COUNTIFS($E:$E,$E27,$D:$D,RegularFormula!$D$2)+COUNTIFS($E:$E,$E27,$D:$D,IF($D27=RegularFormula!$D$2,$K$15,$D27))),IFERROR(IF(percentage,percentage,""),""))
</f>
        <v/>
      </c>
      <c r="G27" s="71">
        <f t="array" ref="G27">LET(percentage,XLOOKUP($E27,$K$2:$K$10,M$2:M$10,"",0)/(COUNTIFS($E:$E,$E27,$D:$D,RegularFormula!$D$2)+COUNTIFS($E:$E,$E27,$D:$D,IF($D27=RegularFormula!$D$2,$K$15,$D27))),IFERROR(IF(percentage,percentage,""),""))
</f>
        <v>0.02571428571</v>
      </c>
      <c r="H27" s="71">
        <f t="array" ref="H27">LET(percentage,XLOOKUP($E27,$K$2:$K$10,N$2:N$10,"",0)/(COUNTIFS($E:$E,$E27,$D:$D,RegularFormula!$D$2)+COUNTIFS($E:$E,$E27,$D:$D,IF($D27=RegularFormula!$D$2,$K$15,$D27))),IFERROR(IF(percentage,percentage,""),""))
</f>
        <v>0.01714285714</v>
      </c>
      <c r="I27" s="72" t="str">
        <f t="shared" si="1"/>
        <v>*Based on Mewtwo pack</v>
      </c>
      <c r="J27" s="73">
        <v>0.0</v>
      </c>
      <c r="K27" s="126" t="s">
        <v>115</v>
      </c>
      <c r="L27" s="127"/>
      <c r="M27" s="127"/>
      <c r="N27" s="128"/>
      <c r="O27" s="117" t="s">
        <v>116</v>
      </c>
      <c r="P27" s="103" t="str">
        <f>IFERROR(__xludf.DUMMYFUNCTION("""COMPUTED_VALUE"""),"A1 271")</f>
        <v>A1 271</v>
      </c>
      <c r="Q27" s="103" t="str">
        <f>IFERROR(__xludf.DUMMYFUNCTION("""COMPUTED_VALUE"""),"Brock")</f>
        <v>Brock</v>
      </c>
      <c r="R27" s="103" t="str">
        <f>IFERROR(__xludf.DUMMYFUNCTION("""COMPUTED_VALUE"""),"☆☆")</f>
        <v>☆☆</v>
      </c>
      <c r="S27" s="79">
        <f t="shared" si="2"/>
        <v>1250</v>
      </c>
      <c r="T27" s="80" t="str">
        <f>IFERROR(__xludf.DUMMYFUNCTION("IF(
  Q27="""",
  """",
  IF(
   REGEXMATCH(SUBSTITUTE(Q27, "" ex"", """"), TEXTJOIN(""|"", TRUE, INDEX('language&amp;DataTest'!$A$33:$AB$182, , MATCH(HOME!$A$25, 'language&amp;DataTest'!$A$1:$G$1, 0)))),
   IF($M$26,
     IF(COUNTIFS(ARRAYFORMULA(SUBSTITUTE($C$2"&amp;":$C287, "" ex"", """")), SUBSTITUTE(Q27, "" ex"", """"), $J$2:$J287, ""&gt;0"")=0, ""Yes"", ""No""),
     IF(COUNTIFS(ARRAYFORMULA(SUBSTITUTE($C$2:$C287, "" ex"", """")), SUBSTITUTE(Q27, "" ex"", """"), $A$2:$A287, TRUE)=0, ""Yes"", ""No"")
   ),
   ""No""
 "&amp;")
)"),"No")</f>
        <v>No</v>
      </c>
    </row>
    <row r="28">
      <c r="A28" s="68" t="b">
        <v>1</v>
      </c>
      <c r="B28" s="69" t="s">
        <v>117</v>
      </c>
      <c r="C28" s="69" t="str">
        <f t="array" ref="C28">TEXTJOIN("", TRUE, IFERROR(INDEX('language&amp;DataTest'!A:J, MATCH(INDEX( PointerTest!C:C, MATCH(B28, PointerTest!A:A, 0), 0), 'language&amp;DataTest'!A:A, 0), MATCH(HOME!$A$25, 'language&amp;DataTest'!$A$1:$H$1, 0))),                      IFERROR(INDEX('language&amp;DataTest'!A:J, MATCH(INDEX( PointerTest!D:D, MATCH(B28, PointerTest!A:A, 0), 0), 'language&amp;DataTest'!A:A, 0), MATCH(HOME!$A$25, 'language&amp;DataTest'!$A$1:$H$1, 0))),                                          
IFERROR(INDEX('language&amp;DataTest'!A:J, MATCH(INDEX( PointerTest!E:E, MATCH(B28, PointerTest!A:A, 0), 0), 'language&amp;DataTest'!A:A, 0), MATCH(HOME!$A$25, 'language&amp;DataTest'!$A$1:$H$1, 0))))</f>
        <v>Cottonee</v>
      </c>
      <c r="D28" s="69" t="str">
        <f t="array" ref="D28">INDEX('language&amp;DataTest'!A:J, MATCH(INDEX( PointerTest!D:D, MATCH(INDEX(PointerTest!B:B, MATCH(B28, PointerTest!A:A, 0)), PointerTest!A:A, 0), 0), 'language&amp;DataTest'!A:A, 0), MATCH(HOME!$A$25, 'language&amp;DataTest'!$A$1:$H$1, 0))</f>
        <v>All</v>
      </c>
      <c r="E28" s="69" t="str">
        <f t="array" ref="E28">INDEX( PointerTest!F:F, MATCH(B28, PointerTest!A:A, 0), 0)</f>
        <v>♢</v>
      </c>
      <c r="F28" s="70">
        <f t="array" ref="F28">LET(percentage,XLOOKUP($E28,$K$2:$K$10,L$2:L$10,"",0)/(COUNTIFS($E:$E,$E28,$D:$D,RegularFormula!$D$2)+COUNTIFS($E:$E,$E28,$D:$D,IF($D28=RegularFormula!$D$2,$K$15,$D28))),IFERROR(IF(percentage,percentage,""),""))
</f>
        <v>0.02</v>
      </c>
      <c r="G28" s="71" t="str">
        <f t="array" ref="G28">LET(percentage,XLOOKUP($E28,$K$2:$K$10,M$2:M$10,"",0)/(COUNTIFS($E:$E,$E28,$D:$D,RegularFormula!$D$2)+COUNTIFS($E:$E,$E28,$D:$D,IF($D28=RegularFormula!$D$2,$K$15,$D28))),IFERROR(IF(percentage,percentage,""),""))
</f>
        <v/>
      </c>
      <c r="H28" s="71" t="str">
        <f t="array" ref="H28">LET(percentage,XLOOKUP($E28,$K$2:$K$10,N$2:N$10,"",0)/(COUNTIFS($E:$E,$E28,$D:$D,RegularFormula!$D$2)+COUNTIFS($E:$E,$E28,$D:$D,IF($D28=RegularFormula!$D$2,$K$15,$D28))),IFERROR(IF(percentage,percentage,""),""))
</f>
        <v/>
      </c>
      <c r="I28" s="72" t="str">
        <f t="shared" si="1"/>
        <v>*Based on Mewtwo pack</v>
      </c>
      <c r="J28" s="73">
        <v>0.0</v>
      </c>
      <c r="K28" s="129" t="s">
        <v>118</v>
      </c>
      <c r="L28" s="130" t="s">
        <v>92</v>
      </c>
      <c r="M28" s="130" t="s">
        <v>93</v>
      </c>
      <c r="N28" s="130" t="s">
        <v>94</v>
      </c>
      <c r="O28" s="120"/>
      <c r="P28" s="103" t="str">
        <f>IFERROR(__xludf.DUMMYFUNCTION("""COMPUTED_VALUE"""),"A1 272")</f>
        <v>A1 272</v>
      </c>
      <c r="Q28" s="103" t="str">
        <f>IFERROR(__xludf.DUMMYFUNCTION("""COMPUTED_VALUE"""),"Sabrina")</f>
        <v>Sabrina</v>
      </c>
      <c r="R28" s="103" t="str">
        <f>IFERROR(__xludf.DUMMYFUNCTION("""COMPUTED_VALUE"""),"☆☆")</f>
        <v>☆☆</v>
      </c>
      <c r="S28" s="79">
        <f t="shared" si="2"/>
        <v>1250</v>
      </c>
      <c r="T28" s="80" t="str">
        <f>IFERROR(__xludf.DUMMYFUNCTION("IF(
  Q28="""",
  """",
  IF(
   REGEXMATCH(SUBSTITUTE(Q28, "" ex"", """"), TEXTJOIN(""|"", TRUE, INDEX('language&amp;DataTest'!$A$33:$AB$182, , MATCH(HOME!$A$25, 'language&amp;DataTest'!$A$1:$G$1, 0)))),
   IF($M$26,
     IF(COUNTIFS(ARRAYFORMULA(SUBSTITUTE($C$2"&amp;":$C287, "" ex"", """")), SUBSTITUTE(Q28, "" ex"", """"), $J$2:$J287, ""&gt;0"")=0, ""Yes"", ""No""),
     IF(COUNTIFS(ARRAYFORMULA(SUBSTITUTE($C$2:$C287, "" ex"", """")), SUBSTITUTE(Q28, "" ex"", """"), $A$2:$A287, TRUE)=0, ""Yes"", ""No"")
   ),
   ""No""
 "&amp;")
)"),"No")</f>
        <v>No</v>
      </c>
    </row>
    <row r="29">
      <c r="A29" s="68" t="b">
        <v>1</v>
      </c>
      <c r="B29" s="69" t="s">
        <v>119</v>
      </c>
      <c r="C29" s="69" t="str">
        <f t="array" ref="C29">TEXTJOIN("", TRUE, IFERROR(INDEX('language&amp;DataTest'!A:J, MATCH(INDEX( PointerTest!C:C, MATCH(B29, PointerTest!A:A, 0), 0), 'language&amp;DataTest'!A:A, 0), MATCH(HOME!$A$25, 'language&amp;DataTest'!$A$1:$H$1, 0))),                      IFERROR(INDEX('language&amp;DataTest'!A:J, MATCH(INDEX( PointerTest!D:D, MATCH(B29, PointerTest!A:A, 0), 0), 'language&amp;DataTest'!A:A, 0), MATCH(HOME!$A$25, 'language&amp;DataTest'!$A$1:$H$1, 0))),                                          
IFERROR(INDEX('language&amp;DataTest'!A:J, MATCH(INDEX( PointerTest!E:E, MATCH(B29, PointerTest!A:A, 0), 0), 'language&amp;DataTest'!A:A, 0), MATCH(HOME!$A$25, 'language&amp;DataTest'!$A$1:$H$1, 0))))</f>
        <v>Whimsicott</v>
      </c>
      <c r="D29" s="69" t="str">
        <f t="array" ref="D29">INDEX('language&amp;DataTest'!A:J, MATCH(INDEX( PointerTest!D:D, MATCH(INDEX(PointerTest!B:B, MATCH(B29, PointerTest!A:A, 0)), PointerTest!A:A, 0), 0), 'language&amp;DataTest'!A:A, 0), MATCH(HOME!$A$25, 'language&amp;DataTest'!$A$1:$H$1, 0))</f>
        <v>All</v>
      </c>
      <c r="E29" s="69" t="str">
        <f t="array" ref="E29">INDEX( PointerTest!F:F, MATCH(B29, PointerTest!A:A, 0), 0)</f>
        <v>♢♢</v>
      </c>
      <c r="F29" s="70" t="str">
        <f t="array" ref="F29">LET(percentage,XLOOKUP($E29,$K$2:$K$10,L$2:L$10,"",0)/(COUNTIFS($E:$E,$E29,$D:$D,RegularFormula!$D$2)+COUNTIFS($E:$E,$E29,$D:$D,IF($D29=RegularFormula!$D$2,$K$15,$D29))),IFERROR(IF(percentage,percentage,""),""))
</f>
        <v/>
      </c>
      <c r="G29" s="71">
        <f t="array" ref="G29">LET(percentage,XLOOKUP($E29,$K$2:$K$10,M$2:M$10,"",0)/(COUNTIFS($E:$E,$E29,$D:$D,RegularFormula!$D$2)+COUNTIFS($E:$E,$E29,$D:$D,IF($D29=RegularFormula!$D$2,$K$15,$D29))),IFERROR(IF(percentage,percentage,""),""))
</f>
        <v>0.02571428571</v>
      </c>
      <c r="H29" s="71">
        <f t="array" ref="H29">LET(percentage,XLOOKUP($E29,$K$2:$K$10,N$2:N$10,"",0)/(COUNTIFS($E:$E,$E29,$D:$D,RegularFormula!$D$2)+COUNTIFS($E:$E,$E29,$D:$D,IF($D29=RegularFormula!$D$2,$K$15,$D29))),IFERROR(IF(percentage,percentage,""),""))
</f>
        <v>0.01714285714</v>
      </c>
      <c r="I29" s="72" t="str">
        <f t="shared" si="1"/>
        <v>*Based on Mewtwo pack</v>
      </c>
      <c r="J29" s="73">
        <v>0.0</v>
      </c>
      <c r="K29" s="131" t="s">
        <v>96</v>
      </c>
      <c r="L29" s="132">
        <f t="shared" ref="L29:L33" si="5">IFERROR(LEFT($N29,SEARCH("/",$N29)-1)/RIGHT($N29,LEN($N29)-SEARCH("/",$N29)),0)</f>
        <v>0.8771929825</v>
      </c>
      <c r="M29" s="132">
        <f t="shared" ref="M29:M33" si="6">1-$L29</f>
        <v>0.1228070175</v>
      </c>
      <c r="N29" s="133" t="str">
        <f t="array" ref="N29">SUMPRODUCT(COUNTIFS($A$2:$A287,TRUE,$E$2:$E287,CardCategories),{$K$22:$K$25;$M$22:$M$25}) &amp; "/" &amp; SUMPRODUCT(COUNTIFS($E$2:$E287,CardCategories),{$K$22:$K$25;$M$22:$M$25})</f>
        <v>250/285</v>
      </c>
      <c r="O29" s="120"/>
      <c r="P29" s="103" t="str">
        <f>IFERROR(__xludf.DUMMYFUNCTION("""COMPUTED_VALUE"""),"A1 273")</f>
        <v>A1 273</v>
      </c>
      <c r="Q29" s="103" t="str">
        <f>IFERROR(__xludf.DUMMYFUNCTION("""COMPUTED_VALUE"""),"Lt. Surge")</f>
        <v>Lt. Surge</v>
      </c>
      <c r="R29" s="103" t="str">
        <f>IFERROR(__xludf.DUMMYFUNCTION("""COMPUTED_VALUE"""),"☆☆")</f>
        <v>☆☆</v>
      </c>
      <c r="S29" s="79">
        <f t="shared" si="2"/>
        <v>1250</v>
      </c>
      <c r="T29" s="80" t="str">
        <f>IFERROR(__xludf.DUMMYFUNCTION("IF(
  Q29="""",
  """",
  IF(
   REGEXMATCH(SUBSTITUTE(Q29, "" ex"", """"), TEXTJOIN(""|"", TRUE, INDEX('language&amp;DataTest'!$A$33:$AB$182, , MATCH(HOME!$A$25, 'language&amp;DataTest'!$A$1:$G$1, 0)))),
   IF($M$26,
     IF(COUNTIFS(ARRAYFORMULA(SUBSTITUTE($C$2"&amp;":$C287, "" ex"", """")), SUBSTITUTE(Q29, "" ex"", """"), $J$2:$J287, ""&gt;0"")=0, ""Yes"", ""No""),
     IF(COUNTIFS(ARRAYFORMULA(SUBSTITUTE($C$2:$C287, "" ex"", """")), SUBSTITUTE(Q29, "" ex"", """"), $A$2:$A287, TRUE)=0, ""Yes"", ""No"")
   ),
   ""No""
 "&amp;")
)"),"No")</f>
        <v>No</v>
      </c>
    </row>
    <row r="30">
      <c r="A30" s="68" t="b">
        <v>1</v>
      </c>
      <c r="B30" s="69" t="s">
        <v>120</v>
      </c>
      <c r="C30" s="69" t="str">
        <f t="array" ref="C30">TEXTJOIN("", TRUE, IFERROR(INDEX('language&amp;DataTest'!A:J, MATCH(INDEX( PointerTest!C:C, MATCH(B30, PointerTest!A:A, 0), 0), 'language&amp;DataTest'!A:A, 0), MATCH(HOME!$A$25, 'language&amp;DataTest'!$A$1:$H$1, 0))),                      IFERROR(INDEX('language&amp;DataTest'!A:J, MATCH(INDEX( PointerTest!D:D, MATCH(B30, PointerTest!A:A, 0), 0), 'language&amp;DataTest'!A:A, 0), MATCH(HOME!$A$25, 'language&amp;DataTest'!$A$1:$H$1, 0))),                                          
IFERROR(INDEX('language&amp;DataTest'!A:J, MATCH(INDEX( PointerTest!E:E, MATCH(B30, PointerTest!A:A, 0), 0), 'language&amp;DataTest'!A:A, 0), MATCH(HOME!$A$25, 'language&amp;DataTest'!$A$1:$H$1, 0))))</f>
        <v>Petilil</v>
      </c>
      <c r="D30" s="69" t="str">
        <f t="array" ref="D30">INDEX('language&amp;DataTest'!A:J, MATCH(INDEX( PointerTest!D:D, MATCH(INDEX(PointerTest!B:B, MATCH(B30, PointerTest!A:A, 0)), PointerTest!A:A, 0), 0), 'language&amp;DataTest'!A:A, 0), MATCH(HOME!$A$25, 'language&amp;DataTest'!$A$1:$H$1, 0))</f>
        <v>All</v>
      </c>
      <c r="E30" s="69" t="str">
        <f t="array" ref="E30">INDEX( PointerTest!F:F, MATCH(B30, PointerTest!A:A, 0), 0)</f>
        <v>♢</v>
      </c>
      <c r="F30" s="70">
        <f t="array" ref="F30">LET(percentage,XLOOKUP($E30,$K$2:$K$10,L$2:L$10,"",0)/(COUNTIFS($E:$E,$E30,$D:$D,RegularFormula!$D$2)+COUNTIFS($E:$E,$E30,$D:$D,IF($D30=RegularFormula!$D$2,$K$15,$D30))),IFERROR(IF(percentage,percentage,""),""))
</f>
        <v>0.02</v>
      </c>
      <c r="G30" s="71" t="str">
        <f t="array" ref="G30">LET(percentage,XLOOKUP($E30,$K$2:$K$10,M$2:M$10,"",0)/(COUNTIFS($E:$E,$E30,$D:$D,RegularFormula!$D$2)+COUNTIFS($E:$E,$E30,$D:$D,IF($D30=RegularFormula!$D$2,$K$15,$D30))),IFERROR(IF(percentage,percentage,""),""))
</f>
        <v/>
      </c>
      <c r="H30" s="71" t="str">
        <f t="array" ref="H30">LET(percentage,XLOOKUP($E30,$K$2:$K$10,N$2:N$10,"",0)/(COUNTIFS($E:$E,$E30,$D:$D,RegularFormula!$D$2)+COUNTIFS($E:$E,$E30,$D:$D,IF($D30=RegularFormula!$D$2,$K$15,$D30))),IFERROR(IF(percentage,percentage,""),""))
</f>
        <v/>
      </c>
      <c r="I30" s="72" t="str">
        <f t="shared" si="1"/>
        <v>*Based on Mewtwo pack</v>
      </c>
      <c r="J30" s="73">
        <v>0.0</v>
      </c>
      <c r="K30" s="134" t="str">
        <f>C129</f>
        <v>Mewtwo</v>
      </c>
      <c r="L30" s="132">
        <f t="shared" si="5"/>
        <v>0.8734177215</v>
      </c>
      <c r="M30" s="132">
        <f t="shared" si="6"/>
        <v>0.1265822785</v>
      </c>
      <c r="N30" s="135" t="str">
        <f t="array" ref="N30">SUMPRODUCT(COUNTIFS($A$2:$A287,TRUE,$E$2:$E287,CardCategories,$D$2:$D287,$K30),{$K$22:$K$25;$M$22:$M$25}) &amp; "/" &amp; SUMPRODUCT(COUNTIFS($E$2:$E287,CardCategories,$D$2:$D287,$K30),{$K$22:$K$25;$M$22:$M$25})</f>
        <v>69/79</v>
      </c>
      <c r="O30" s="120"/>
      <c r="P30" s="103" t="str">
        <f>IFERROR(__xludf.DUMMYFUNCTION("""COMPUTED_VALUE"""),"A1 275")</f>
        <v>A1 275</v>
      </c>
      <c r="Q30" s="103" t="str">
        <f>IFERROR(__xludf.DUMMYFUNCTION("""COMPUTED_VALUE"""),"Articuno ex")</f>
        <v>Articuno ex</v>
      </c>
      <c r="R30" s="103" t="str">
        <f>IFERROR(__xludf.DUMMYFUNCTION("""COMPUTED_VALUE"""),"☆☆")</f>
        <v>☆☆</v>
      </c>
      <c r="S30" s="79">
        <f t="shared" si="2"/>
        <v>1250</v>
      </c>
      <c r="T30" s="80" t="str">
        <f>IFERROR(__xludf.DUMMYFUNCTION("IF(
  Q30="""",
  """",
  IF(
   REGEXMATCH(SUBSTITUTE(Q30, "" ex"", """"), TEXTJOIN(""|"", TRUE, INDEX('language&amp;DataTest'!$A$33:$AB$182, , MATCH(HOME!$A$25, 'language&amp;DataTest'!$A$1:$G$1, 0)))),
   IF($M$26,
     IF(COUNTIFS(ARRAYFORMULA(SUBSTITUTE($C$2"&amp;":$C287, "" ex"", """")), SUBSTITUTE(Q30, "" ex"", """"), $J$2:$J287, ""&gt;0"")=0, ""Yes"", ""No""),
     IF(COUNTIFS(ARRAYFORMULA(SUBSTITUTE($C$2:$C287, "" ex"", """")), SUBSTITUTE(Q30, "" ex"", """"), $A$2:$A287, TRUE)=0, ""Yes"", ""No"")
   ),
   ""No""
 "&amp;")
)"),"No")</f>
        <v>No</v>
      </c>
    </row>
    <row r="31">
      <c r="A31" s="68" t="b">
        <v>1</v>
      </c>
      <c r="B31" s="69" t="s">
        <v>121</v>
      </c>
      <c r="C31" s="69" t="str">
        <f t="array" ref="C31">TEXTJOIN("", TRUE, IFERROR(INDEX('language&amp;DataTest'!A:J, MATCH(INDEX( PointerTest!C:C, MATCH(B31, PointerTest!A:A, 0), 0), 'language&amp;DataTest'!A:A, 0), MATCH(HOME!$A$25, 'language&amp;DataTest'!$A$1:$H$1, 0))),                      IFERROR(INDEX('language&amp;DataTest'!A:J, MATCH(INDEX( PointerTest!D:D, MATCH(B31, PointerTest!A:A, 0), 0), 'language&amp;DataTest'!A:A, 0), MATCH(HOME!$A$25, 'language&amp;DataTest'!$A$1:$H$1, 0))),                                          
IFERROR(INDEX('language&amp;DataTest'!A:J, MATCH(INDEX( PointerTest!E:E, MATCH(B31, PointerTest!A:A, 0), 0), 'language&amp;DataTest'!A:A, 0), MATCH(HOME!$A$25, 'language&amp;DataTest'!$A$1:$H$1, 0))))</f>
        <v>Lilligant</v>
      </c>
      <c r="D31" s="69" t="str">
        <f t="array" ref="D31">INDEX('language&amp;DataTest'!A:J, MATCH(INDEX( PointerTest!D:D, MATCH(INDEX(PointerTest!B:B, MATCH(B31, PointerTest!A:A, 0)), PointerTest!A:A, 0), 0), 'language&amp;DataTest'!A:A, 0), MATCH(HOME!$A$25, 'language&amp;DataTest'!$A$1:$H$1, 0))</f>
        <v>All</v>
      </c>
      <c r="E31" s="69" t="str">
        <f t="array" ref="E31">INDEX( PointerTest!F:F, MATCH(B31, PointerTest!A:A, 0), 0)</f>
        <v>♢♢</v>
      </c>
      <c r="F31" s="70" t="str">
        <f t="array" ref="F31">LET(percentage,XLOOKUP($E31,$K$2:$K$10,L$2:L$10,"",0)/(COUNTIFS($E:$E,$E31,$D:$D,RegularFormula!$D$2)+COUNTIFS($E:$E,$E31,$D:$D,IF($D31=RegularFormula!$D$2,$K$15,$D31))),IFERROR(IF(percentage,percentage,""),""))
</f>
        <v/>
      </c>
      <c r="G31" s="71">
        <f t="array" ref="G31">LET(percentage,XLOOKUP($E31,$K$2:$K$10,M$2:M$10,"",0)/(COUNTIFS($E:$E,$E31,$D:$D,RegularFormula!$D$2)+COUNTIFS($E:$E,$E31,$D:$D,IF($D31=RegularFormula!$D$2,$K$15,$D31))),IFERROR(IF(percentage,percentage,""),""))
</f>
        <v>0.02571428571</v>
      </c>
      <c r="H31" s="71">
        <f t="array" ref="H31">LET(percentage,XLOOKUP($E31,$K$2:$K$10,N$2:N$10,"",0)/(COUNTIFS($E:$E,$E31,$D:$D,RegularFormula!$D$2)+COUNTIFS($E:$E,$E31,$D:$D,IF($D31=RegularFormula!$D$2,$K$15,$D31))),IFERROR(IF(percentage,percentage,""),""))
</f>
        <v>0.01714285714</v>
      </c>
      <c r="I31" s="72" t="str">
        <f t="shared" si="1"/>
        <v>*Based on Mewtwo pack</v>
      </c>
      <c r="J31" s="73">
        <v>0.0</v>
      </c>
      <c r="K31" s="136" t="str">
        <f>C95</f>
        <v>Pikachu</v>
      </c>
      <c r="L31" s="132">
        <f t="shared" si="5"/>
        <v>0.8625</v>
      </c>
      <c r="M31" s="132">
        <f t="shared" si="6"/>
        <v>0.1375</v>
      </c>
      <c r="N31" s="135" t="str">
        <f t="array" ref="N31">SUMPRODUCT(COUNTIFS($A$2:$A287,TRUE,$E$2:$E287,CardCategories,$D$2:$D287,$K31),{$K$22:$K$25;$M$22:$M$25}) &amp; "/" &amp; SUMPRODUCT(COUNTIFS($E$2:$E287,CardCategories,$D$2:$D287,$K31),{$K$22:$K$25;$M$22:$M$25})</f>
        <v>69/80</v>
      </c>
      <c r="O31" s="120"/>
      <c r="P31" s="103" t="str">
        <f>IFERROR(__xludf.DUMMYFUNCTION("""COMPUTED_VALUE"""),"A1 276")</f>
        <v>A1 276</v>
      </c>
      <c r="Q31" s="103" t="str">
        <f>IFERROR(__xludf.DUMMYFUNCTION("""COMPUTED_VALUE"""),"Zapdos ex")</f>
        <v>Zapdos ex</v>
      </c>
      <c r="R31" s="103" t="str">
        <f>IFERROR(__xludf.DUMMYFUNCTION("""COMPUTED_VALUE"""),"☆☆")</f>
        <v>☆☆</v>
      </c>
      <c r="S31" s="79">
        <f t="shared" si="2"/>
        <v>1250</v>
      </c>
      <c r="T31" s="80" t="str">
        <f>IFERROR(__xludf.DUMMYFUNCTION("IF(
  Q31="""",
  """",
  IF(
   REGEXMATCH(SUBSTITUTE(Q31, "" ex"", """"), TEXTJOIN(""|"", TRUE, INDEX('language&amp;DataTest'!$A$33:$AB$182, , MATCH(HOME!$A$25, 'language&amp;DataTest'!$A$1:$G$1, 0)))),
   IF($M$26,
     IF(COUNTIFS(ARRAYFORMULA(SUBSTITUTE($C$2"&amp;":$C287, "" ex"", """")), SUBSTITUTE(Q31, "" ex"", """"), $J$2:$J287, ""&gt;0"")=0, ""Yes"", ""No""),
     IF(COUNTIFS(ARRAYFORMULA(SUBSTITUTE($C$2:$C287, "" ex"", """")), SUBSTITUTE(Q31, "" ex"", """"), $A$2:$A287, TRUE)=0, ""Yes"", ""No"")
   ),
   ""No""
 "&amp;")
)"),"No")</f>
        <v>No</v>
      </c>
    </row>
    <row r="32">
      <c r="A32" s="68" t="b">
        <v>1</v>
      </c>
      <c r="B32" s="69" t="s">
        <v>122</v>
      </c>
      <c r="C32" s="69" t="str">
        <f t="array" ref="C32">TEXTJOIN("", TRUE, IFERROR(INDEX('language&amp;DataTest'!A:J, MATCH(INDEX( PointerTest!C:C, MATCH(B32, PointerTest!A:A, 0), 0), 'language&amp;DataTest'!A:A, 0), MATCH(HOME!$A$25, 'language&amp;DataTest'!$A$1:$H$1, 0))),                      IFERROR(INDEX('language&amp;DataTest'!A:J, MATCH(INDEX( PointerTest!D:D, MATCH(B32, PointerTest!A:A, 0), 0), 'language&amp;DataTest'!A:A, 0), MATCH(HOME!$A$25, 'language&amp;DataTest'!$A$1:$H$1, 0))),                                          
IFERROR(INDEX('language&amp;DataTest'!A:J, MATCH(INDEX( PointerTest!E:E, MATCH(B32, PointerTest!A:A, 0), 0), 'language&amp;DataTest'!A:A, 0), MATCH(HOME!$A$25, 'language&amp;DataTest'!$A$1:$H$1, 0))))</f>
        <v>Skiddo</v>
      </c>
      <c r="D32" s="69" t="str">
        <f t="array" ref="D32">INDEX('language&amp;DataTest'!A:J, MATCH(INDEX( PointerTest!D:D, MATCH(INDEX(PointerTest!B:B, MATCH(B32, PointerTest!A:A, 0)), PointerTest!A:A, 0), 0), 'language&amp;DataTest'!A:A, 0), MATCH(HOME!$A$25, 'language&amp;DataTest'!$A$1:$H$1, 0))</f>
        <v>Charizard</v>
      </c>
      <c r="E32" s="69" t="str">
        <f t="array" ref="E32">INDEX( PointerTest!F:F, MATCH(B32, PointerTest!A:A, 0), 0)</f>
        <v>♢</v>
      </c>
      <c r="F32" s="70">
        <f t="array" ref="F32">LET(percentage,XLOOKUP($E32,$K$2:$K$10,L$2:L$10,"",0)/(COUNTIFS($E:$E,$E32,$D:$D,RegularFormula!$D$2)+COUNTIFS($E:$E,$E32,$D:$D,IF($D32=RegularFormula!$D$2,$K$15,$D32))),IFERROR(IF(percentage,percentage,""),""))
</f>
        <v>0.02</v>
      </c>
      <c r="G32" s="71" t="str">
        <f t="array" ref="G32">LET(percentage,XLOOKUP($E32,$K$2:$K$10,M$2:M$10,"",0)/(COUNTIFS($E:$E,$E32,$D:$D,RegularFormula!$D$2)+COUNTIFS($E:$E,$E32,$D:$D,IF($D32=RegularFormula!$D$2,$K$15,$D32))),IFERROR(IF(percentage,percentage,""),""))
</f>
        <v/>
      </c>
      <c r="H32" s="71" t="str">
        <f t="array" ref="H32">LET(percentage,XLOOKUP($E32,$K$2:$K$10,N$2:N$10,"",0)/(COUNTIFS($E:$E,$E32,$D:$D,RegularFormula!$D$2)+COUNTIFS($E:$E,$E32,$D:$D,IF($D32=RegularFormula!$D$2,$K$15,$D32))),IFERROR(IF(percentage,percentage,""),""))
</f>
        <v/>
      </c>
      <c r="I32" s="72" t="str">
        <f t="shared" si="1"/>
        <v/>
      </c>
      <c r="J32" s="73">
        <v>0.0</v>
      </c>
      <c r="K32" s="137" t="str">
        <f>C36</f>
        <v>Charizard</v>
      </c>
      <c r="L32" s="132">
        <f t="shared" si="5"/>
        <v>0.8625</v>
      </c>
      <c r="M32" s="132">
        <f t="shared" si="6"/>
        <v>0.1375</v>
      </c>
      <c r="N32" s="135" t="str">
        <f t="array" ref="N32">SUMPRODUCT(COUNTIFS($A$2:$A287,TRUE,$E$2:$E287,CardCategories,$D$2:$D287,$K32),{$K$22:$K$25;$M$22:$M$25}) &amp; "/" &amp; SUMPRODUCT(COUNTIFS($E$2:$E287,CardCategories,$D$2:$D287,$K32),{$K$22:$K$25;$M$22:$M$25})</f>
        <v>69/80</v>
      </c>
      <c r="O32" s="120"/>
      <c r="P32" s="103" t="str">
        <f>IFERROR(__xludf.DUMMYFUNCTION("""COMPUTED_VALUE"""),"A1 277")</f>
        <v>A1 277</v>
      </c>
      <c r="Q32" s="103" t="str">
        <f>IFERROR(__xludf.DUMMYFUNCTION("""COMPUTED_VALUE"""),"Gengar ex")</f>
        <v>Gengar ex</v>
      </c>
      <c r="R32" s="103" t="str">
        <f>IFERROR(__xludf.DUMMYFUNCTION("""COMPUTED_VALUE"""),"☆☆")</f>
        <v>☆☆</v>
      </c>
      <c r="S32" s="79">
        <f t="shared" si="2"/>
        <v>1250</v>
      </c>
      <c r="T32" s="80" t="str">
        <f>IFERROR(__xludf.DUMMYFUNCTION("IF(
  Q32="""",
  """",
  IF(
   REGEXMATCH(SUBSTITUTE(Q32, "" ex"", """"), TEXTJOIN(""|"", TRUE, INDEX('language&amp;DataTest'!$A$33:$AB$182, , MATCH(HOME!$A$25, 'language&amp;DataTest'!$A$1:$G$1, 0)))),
   IF($M$26,
     IF(COUNTIFS(ARRAYFORMULA(SUBSTITUTE($C$2"&amp;":$C287, "" ex"", """")), SUBSTITUTE(Q32, "" ex"", """"), $J$2:$J287, ""&gt;0"")=0, ""Yes"", ""No""),
     IF(COUNTIFS(ARRAYFORMULA(SUBSTITUTE($C$2:$C287, "" ex"", """")), SUBSTITUTE(Q32, "" ex"", """"), $A$2:$A287, TRUE)=0, ""Yes"", ""No"")
   ),
   ""No""
 "&amp;")
)"),"No")</f>
        <v>No</v>
      </c>
    </row>
    <row r="33">
      <c r="A33" s="68" t="b">
        <v>1</v>
      </c>
      <c r="B33" s="69" t="s">
        <v>123</v>
      </c>
      <c r="C33" s="69" t="str">
        <f t="array" ref="C33">TEXTJOIN("", TRUE, IFERROR(INDEX('language&amp;DataTest'!A:J, MATCH(INDEX( PointerTest!C:C, MATCH(B33, PointerTest!A:A, 0), 0), 'language&amp;DataTest'!A:A, 0), MATCH(HOME!$A$25, 'language&amp;DataTest'!$A$1:$H$1, 0))),                      IFERROR(INDEX('language&amp;DataTest'!A:J, MATCH(INDEX( PointerTest!D:D, MATCH(B33, PointerTest!A:A, 0), 0), 'language&amp;DataTest'!A:A, 0), MATCH(HOME!$A$25, 'language&amp;DataTest'!$A$1:$H$1, 0))),                                          
IFERROR(INDEX('language&amp;DataTest'!A:J, MATCH(INDEX( PointerTest!E:E, MATCH(B33, PointerTest!A:A, 0), 0), 'language&amp;DataTest'!A:A, 0), MATCH(HOME!$A$25, 'language&amp;DataTest'!$A$1:$H$1, 0))))</f>
        <v>Gogoat</v>
      </c>
      <c r="D33" s="69" t="str">
        <f t="array" ref="D33">INDEX('language&amp;DataTest'!A:J, MATCH(INDEX( PointerTest!D:D, MATCH(INDEX(PointerTest!B:B, MATCH(B33, PointerTest!A:A, 0)), PointerTest!A:A, 0), 0), 'language&amp;DataTest'!A:A, 0), MATCH(HOME!$A$25, 'language&amp;DataTest'!$A$1:$H$1, 0))</f>
        <v>Charizard</v>
      </c>
      <c r="E33" s="69" t="str">
        <f t="array" ref="E33">INDEX( PointerTest!F:F, MATCH(B33, PointerTest!A:A, 0), 0)</f>
        <v>♢</v>
      </c>
      <c r="F33" s="70">
        <f t="array" ref="F33">LET(percentage,XLOOKUP($E33,$K$2:$K$10,L$2:L$10,"",0)/(COUNTIFS($E:$E,$E33,$D:$D,RegularFormula!$D$2)+COUNTIFS($E:$E,$E33,$D:$D,IF($D33=RegularFormula!$D$2,$K$15,$D33))),IFERROR(IF(percentage,percentage,""),""))
</f>
        <v>0.02</v>
      </c>
      <c r="G33" s="71" t="str">
        <f t="array" ref="G33">LET(percentage,XLOOKUP($E33,$K$2:$K$10,M$2:M$10,"",0)/(COUNTIFS($E:$E,$E33,$D:$D,RegularFormula!$D$2)+COUNTIFS($E:$E,$E33,$D:$D,IF($D33=RegularFormula!$D$2,$K$15,$D33))),IFERROR(IF(percentage,percentage,""),""))
</f>
        <v/>
      </c>
      <c r="H33" s="71" t="str">
        <f t="array" ref="H33">LET(percentage,XLOOKUP($E33,$K$2:$K$10,N$2:N$10,"",0)/(COUNTIFS($E:$E,$E33,$D:$D,RegularFormula!$D$2)+COUNTIFS($E:$E,$E33,$D:$D,IF($D33=RegularFormula!$D$2,$K$15,$D33))),IFERROR(IF(percentage,percentage,""),""))
</f>
        <v/>
      </c>
      <c r="I33" s="72" t="str">
        <f t="shared" si="1"/>
        <v/>
      </c>
      <c r="J33" s="73">
        <v>0.0</v>
      </c>
      <c r="K33" s="138" t="str">
        <f>D27</f>
        <v>All</v>
      </c>
      <c r="L33" s="132">
        <f t="shared" si="5"/>
        <v>0.9347826087</v>
      </c>
      <c r="M33" s="132">
        <f t="shared" si="6"/>
        <v>0.0652173913</v>
      </c>
      <c r="N33" s="135" t="str">
        <f t="array" ref="N33">SUMPRODUCT(COUNTIFS($A$2:$A287,TRUE,$E$2:$E287,CardCategories,$D$2:$D287,$K33),{$K$22:$K$25;$M$22:$M$25}) &amp; "/" &amp; SUMPRODUCT(COUNTIFS($E$2:$E287,CardCategories,$D$2:$D287,$K33),{$K$22:$K$25;$M$22:$M$25})</f>
        <v>43/46</v>
      </c>
      <c r="O33" s="120"/>
      <c r="P33" s="103" t="str">
        <f>IFERROR(__xludf.DUMMYFUNCTION("""COMPUTED_VALUE"""),"A1 279")</f>
        <v>A1 279</v>
      </c>
      <c r="Q33" s="103" t="str">
        <f>IFERROR(__xludf.DUMMYFUNCTION("""COMPUTED_VALUE"""),"Wigglytuff ex")</f>
        <v>Wigglytuff ex</v>
      </c>
      <c r="R33" s="103" t="str">
        <f>IFERROR(__xludf.DUMMYFUNCTION("""COMPUTED_VALUE"""),"☆☆")</f>
        <v>☆☆</v>
      </c>
      <c r="S33" s="79">
        <f t="shared" si="2"/>
        <v>1250</v>
      </c>
      <c r="T33" s="80" t="str">
        <f>IFERROR(__xludf.DUMMYFUNCTION("IF(
  Q33="""",
  """",
  IF(
   REGEXMATCH(SUBSTITUTE(Q33, "" ex"", """"), TEXTJOIN(""|"", TRUE, INDEX('language&amp;DataTest'!$A$33:$AB$182, , MATCH(HOME!$A$25, 'language&amp;DataTest'!$A$1:$G$1, 0)))),
   IF($M$26,
     IF(COUNTIFS(ARRAYFORMULA(SUBSTITUTE($C$2"&amp;":$C287, "" ex"", """")), SUBSTITUTE(Q33, "" ex"", """"), $J$2:$J287, ""&gt;0"")=0, ""Yes"", ""No""),
     IF(COUNTIFS(ARRAYFORMULA(SUBSTITUTE($C$2:$C287, "" ex"", """")), SUBSTITUTE(Q33, "" ex"", """"), $A$2:$A287, TRUE)=0, ""Yes"", ""No"")
   ),
   ""No""
 "&amp;")
)"),"No")</f>
        <v>No</v>
      </c>
    </row>
    <row r="34">
      <c r="A34" s="68" t="b">
        <v>1</v>
      </c>
      <c r="B34" s="69" t="s">
        <v>124</v>
      </c>
      <c r="C34" s="69" t="str">
        <f t="array" ref="C34">TEXTJOIN("", TRUE, IFERROR(INDEX('language&amp;DataTest'!A:J, MATCH(INDEX( PointerTest!C:C, MATCH(B34, PointerTest!A:A, 0), 0), 'language&amp;DataTest'!A:A, 0), MATCH(HOME!$A$25, 'language&amp;DataTest'!$A$1:$H$1, 0))),                      IFERROR(INDEX('language&amp;DataTest'!A:J, MATCH(INDEX( PointerTest!D:D, MATCH(B34, PointerTest!A:A, 0), 0), 'language&amp;DataTest'!A:A, 0), MATCH(HOME!$A$25, 'language&amp;DataTest'!$A$1:$H$1, 0))),                                          
IFERROR(INDEX('language&amp;DataTest'!A:J, MATCH(INDEX( PointerTest!E:E, MATCH(B34, PointerTest!A:A, 0), 0), 'language&amp;DataTest'!A:A, 0), MATCH(HOME!$A$25, 'language&amp;DataTest'!$A$1:$H$1, 0))))</f>
        <v>Charmander</v>
      </c>
      <c r="D34" s="69" t="str">
        <f t="array" ref="D34">INDEX('language&amp;DataTest'!A:J, MATCH(INDEX( PointerTest!D:D, MATCH(INDEX(PointerTest!B:B, MATCH(B34, PointerTest!A:A, 0)), PointerTest!A:A, 0), 0), 'language&amp;DataTest'!A:A, 0), MATCH(HOME!$A$25, 'language&amp;DataTest'!$A$1:$H$1, 0))</f>
        <v>Charizard</v>
      </c>
      <c r="E34" s="69" t="str">
        <f t="array" ref="E34">INDEX( PointerTest!F:F, MATCH(B34, PointerTest!A:A, 0), 0)</f>
        <v>♢</v>
      </c>
      <c r="F34" s="70">
        <f t="array" ref="F34">LET(percentage,XLOOKUP($E34,$K$2:$K$10,L$2:L$10,"",0)/(COUNTIFS($E:$E,$E34,$D:$D,RegularFormula!$D$2)+COUNTIFS($E:$E,$E34,$D:$D,IF($D34=RegularFormula!$D$2,$K$15,$D34))),IFERROR(IF(percentage,percentage,""),""))
</f>
        <v>0.02</v>
      </c>
      <c r="G34" s="71" t="str">
        <f t="array" ref="G34">LET(percentage,XLOOKUP($E34,$K$2:$K$10,M$2:M$10,"",0)/(COUNTIFS($E:$E,$E34,$D:$D,RegularFormula!$D$2)+COUNTIFS($E:$E,$E34,$D:$D,IF($D34=RegularFormula!$D$2,$K$15,$D34))),IFERROR(IF(percentage,percentage,""),""))
</f>
        <v/>
      </c>
      <c r="H34" s="71" t="str">
        <f t="array" ref="H34">LET(percentage,XLOOKUP($E34,$K$2:$K$10,N$2:N$10,"",0)/(COUNTIFS($E:$E,$E34,$D:$D,RegularFormula!$D$2)+COUNTIFS($E:$E,$E34,$D:$D,IF($D34=RegularFormula!$D$2,$K$15,$D34))),IFERROR(IF(percentage,percentage,""),""))
</f>
        <v/>
      </c>
      <c r="I34" s="72" t="str">
        <f t="shared" si="1"/>
        <v/>
      </c>
      <c r="J34" s="73">
        <v>0.0</v>
      </c>
      <c r="K34" s="139" t="s">
        <v>101</v>
      </c>
      <c r="L34" s="140" t="str">
        <f>IF(M30 = MAX(M30:M32), K30, IF(M31 = MAX(M30:M32), K31, K32))</f>
        <v>Pikachu</v>
      </c>
      <c r="N34" s="119"/>
      <c r="O34" s="120"/>
      <c r="P34" s="103" t="str">
        <f>IFERROR(__xludf.DUMMYFUNCTION("""COMPUTED_VALUE"""),"A1 284")</f>
        <v>A1 284</v>
      </c>
      <c r="Q34" s="103" t="str">
        <f>IFERROR(__xludf.DUMMYFUNCTION("""COMPUTED_VALUE"""),"Charizard ex")</f>
        <v>Charizard ex</v>
      </c>
      <c r="R34" s="103" t="str">
        <f>IFERROR(__xludf.DUMMYFUNCTION("""COMPUTED_VALUE"""),"♛")</f>
        <v>♛</v>
      </c>
      <c r="S34" s="79">
        <f t="shared" si="2"/>
        <v>2500</v>
      </c>
      <c r="T34" s="80" t="str">
        <f>IFERROR(__xludf.DUMMYFUNCTION("IF(
  Q34="""",
  """",
  IF(
   REGEXMATCH(SUBSTITUTE(Q34, "" ex"", """"), TEXTJOIN(""|"", TRUE, INDEX('language&amp;DataTest'!$A$33:$AB$182, , MATCH(HOME!$A$25, 'language&amp;DataTest'!$A$1:$G$1, 0)))),
   IF($M$26,
     IF(COUNTIFS(ARRAYFORMULA(SUBSTITUTE($C$2"&amp;":$C287, "" ex"", """")), SUBSTITUTE(Q34, "" ex"", """"), $J$2:$J287, ""&gt;0"")=0, ""Yes"", ""No""),
     IF(COUNTIFS(ARRAYFORMULA(SUBSTITUTE($C$2:$C287, "" ex"", """")), SUBSTITUTE(Q34, "" ex"", """"), $A$2:$A287, TRUE)=0, ""Yes"", ""No"")
   ),
   ""No""
 "&amp;")
)"),"No")</f>
        <v>No</v>
      </c>
    </row>
    <row r="35">
      <c r="A35" s="68" t="b">
        <v>1</v>
      </c>
      <c r="B35" s="69" t="s">
        <v>125</v>
      </c>
      <c r="C35" s="69" t="str">
        <f t="array" ref="C35">TEXTJOIN("", TRUE, IFERROR(INDEX('language&amp;DataTest'!A:J, MATCH(INDEX( PointerTest!C:C, MATCH(B35, PointerTest!A:A, 0), 0), 'language&amp;DataTest'!A:A, 0), MATCH(HOME!$A$25, 'language&amp;DataTest'!$A$1:$H$1, 0))),                      IFERROR(INDEX('language&amp;DataTest'!A:J, MATCH(INDEX( PointerTest!D:D, MATCH(B35, PointerTest!A:A, 0), 0), 'language&amp;DataTest'!A:A, 0), MATCH(HOME!$A$25, 'language&amp;DataTest'!$A$1:$H$1, 0))),                                          
IFERROR(INDEX('language&amp;DataTest'!A:J, MATCH(INDEX( PointerTest!E:E, MATCH(B35, PointerTest!A:A, 0), 0), 'language&amp;DataTest'!A:A, 0), MATCH(HOME!$A$25, 'language&amp;DataTest'!$A$1:$H$1, 0))))</f>
        <v>Charmeleon</v>
      </c>
      <c r="D35" s="69" t="str">
        <f t="array" ref="D35">INDEX('language&amp;DataTest'!A:J, MATCH(INDEX( PointerTest!D:D, MATCH(INDEX(PointerTest!B:B, MATCH(B35, PointerTest!A:A, 0)), PointerTest!A:A, 0), 0), 'language&amp;DataTest'!A:A, 0), MATCH(HOME!$A$25, 'language&amp;DataTest'!$A$1:$H$1, 0))</f>
        <v>Charizard</v>
      </c>
      <c r="E35" s="69" t="str">
        <f t="array" ref="E35">INDEX( PointerTest!F:F, MATCH(B35, PointerTest!A:A, 0), 0)</f>
        <v>♢♢</v>
      </c>
      <c r="F35" s="70" t="str">
        <f t="array" ref="F35">LET(percentage,XLOOKUP($E35,$K$2:$K$10,L$2:L$10,"",0)/(COUNTIFS($E:$E,$E35,$D:$D,RegularFormula!$D$2)+COUNTIFS($E:$E,$E35,$D:$D,IF($D35=RegularFormula!$D$2,$K$15,$D35))),IFERROR(IF(percentage,percentage,""),""))
</f>
        <v/>
      </c>
      <c r="G35" s="71">
        <f t="array" ref="G35">LET(percentage,XLOOKUP($E35,$K$2:$K$10,M$2:M$10,"",0)/(COUNTIFS($E:$E,$E35,$D:$D,RegularFormula!$D$2)+COUNTIFS($E:$E,$E35,$D:$D,IF($D35=RegularFormula!$D$2,$K$15,$D35))),IFERROR(IF(percentage,percentage,""),""))
</f>
        <v>0.02571428571</v>
      </c>
      <c r="H35" s="71">
        <f t="array" ref="H35">LET(percentage,XLOOKUP($E35,$K$2:$K$10,N$2:N$10,"",0)/(COUNTIFS($E:$E,$E35,$D:$D,RegularFormula!$D$2)+COUNTIFS($E:$E,$E35,$D:$D,IF($D35=RegularFormula!$D$2,$K$15,$D35))),IFERROR(IF(percentage,percentage,""),""))
</f>
        <v>0.01714285714</v>
      </c>
      <c r="I35" s="72" t="str">
        <f t="shared" si="1"/>
        <v/>
      </c>
      <c r="J35" s="73">
        <v>0.0</v>
      </c>
      <c r="K35" s="141"/>
      <c r="L35" s="142"/>
      <c r="M35" s="142"/>
      <c r="N35" s="143"/>
      <c r="O35" s="125"/>
      <c r="P35" s="86" t="str">
        <f>IFERROR(__xludf.DUMMYFUNCTION("""COMPUTED_VALUE"""),"A1 285")</f>
        <v>A1 285</v>
      </c>
      <c r="Q35" s="86" t="str">
        <f>IFERROR(__xludf.DUMMYFUNCTION("""COMPUTED_VALUE"""),"Pikachu ex")</f>
        <v>Pikachu ex</v>
      </c>
      <c r="R35" s="86" t="str">
        <f>IFERROR(__xludf.DUMMYFUNCTION("""COMPUTED_VALUE"""),"♛")</f>
        <v>♛</v>
      </c>
      <c r="S35" s="79">
        <f t="shared" si="2"/>
        <v>2500</v>
      </c>
      <c r="T35" s="80" t="str">
        <f>IFERROR(__xludf.DUMMYFUNCTION("IF(
  Q35="""",
  """",
  IF(
   REGEXMATCH(SUBSTITUTE(Q35, "" ex"", """"), TEXTJOIN(""|"", TRUE, INDEX('language&amp;DataTest'!$A$33:$AB$182, , MATCH(HOME!$A$25, 'language&amp;DataTest'!$A$1:$G$1, 0)))),
   IF($M$26,
     IF(COUNTIFS(ARRAYFORMULA(SUBSTITUTE($C$2"&amp;":$C287, "" ex"", """")), SUBSTITUTE(Q35, "" ex"", """"), $J$2:$J287, ""&gt;0"")=0, ""Yes"", ""No""),
     IF(COUNTIFS(ARRAYFORMULA(SUBSTITUTE($C$2:$C287, "" ex"", """")), SUBSTITUTE(Q35, "" ex"", """"), $A$2:$A287, TRUE)=0, ""Yes"", ""No"")
   ),
   ""No""
 "&amp;")
)"),"No")</f>
        <v>No</v>
      </c>
    </row>
    <row r="36">
      <c r="A36" s="68" t="b">
        <v>1</v>
      </c>
      <c r="B36" s="69" t="s">
        <v>126</v>
      </c>
      <c r="C36" s="69" t="str">
        <f t="array" ref="C36">TEXTJOIN("", TRUE, IFERROR(INDEX('language&amp;DataTest'!A:J, MATCH(INDEX( PointerTest!C:C, MATCH(B36, PointerTest!A:A, 0), 0), 'language&amp;DataTest'!A:A, 0), MATCH(HOME!$A$25, 'language&amp;DataTest'!$A$1:$H$1, 0))),                      IFERROR(INDEX('language&amp;DataTest'!A:J, MATCH(INDEX( PointerTest!D:D, MATCH(B36, PointerTest!A:A, 0), 0), 'language&amp;DataTest'!A:A, 0), MATCH(HOME!$A$25, 'language&amp;DataTest'!$A$1:$H$1, 0))),                                          
IFERROR(INDEX('language&amp;DataTest'!A:J, MATCH(INDEX( PointerTest!E:E, MATCH(B36, PointerTest!A:A, 0), 0), 'language&amp;DataTest'!A:A, 0), MATCH(HOME!$A$25, 'language&amp;DataTest'!$A$1:$H$1, 0))))</f>
        <v>Charizard</v>
      </c>
      <c r="D36" s="69" t="str">
        <f t="array" ref="D36">INDEX('language&amp;DataTest'!A:J, MATCH(INDEX( PointerTest!D:D, MATCH(INDEX(PointerTest!B:B, MATCH(B36, PointerTest!A:A, 0)), PointerTest!A:A, 0), 0), 'language&amp;DataTest'!A:A, 0), MATCH(HOME!$A$25, 'language&amp;DataTest'!$A$1:$H$1, 0))</f>
        <v>Charizard</v>
      </c>
      <c r="E36" s="69" t="str">
        <f t="array" ref="E36">INDEX( PointerTest!F:F, MATCH(B36, PointerTest!A:A, 0), 0)</f>
        <v>♢♢♢</v>
      </c>
      <c r="F36" s="70" t="str">
        <f t="array" ref="F36">LET(percentage,XLOOKUP($E36,$K$2:$K$10,L$2:L$10,"",0)/(COUNTIFS($E:$E,$E36,$D:$D,RegularFormula!$D$2)+COUNTIFS($E:$E,$E36,$D:$D,IF($D36=RegularFormula!$D$2,$K$15,$D36))),IFERROR(IF(percentage,percentage,""),""))
</f>
        <v/>
      </c>
      <c r="G36" s="71">
        <f t="array" ref="G36">LET(percentage,XLOOKUP($E36,$K$2:$K$10,M$2:M$10,"",0)/(COUNTIFS($E:$E,$E36,$D:$D,RegularFormula!$D$2)+COUNTIFS($E:$E,$E36,$D:$D,IF($D36=RegularFormula!$D$2,$K$15,$D36))),IFERROR(IF(percentage,percentage,""),""))
</f>
        <v>0.003571428571</v>
      </c>
      <c r="H36" s="71">
        <f t="array" ref="H36">LET(percentage,XLOOKUP($E36,$K$2:$K$10,N$2:N$10,"",0)/(COUNTIFS($E:$E,$E36,$D:$D,RegularFormula!$D$2)+COUNTIFS($E:$E,$E36,$D:$D,IF($D36=RegularFormula!$D$2,$K$15,$D36))),IFERROR(IF(percentage,percentage,""),""))
</f>
        <v>0.01428571429</v>
      </c>
      <c r="I36" s="72" t="str">
        <f t="shared" si="1"/>
        <v/>
      </c>
      <c r="J36" s="73">
        <v>0.0</v>
      </c>
      <c r="K36" s="144" t="s">
        <v>127</v>
      </c>
      <c r="N36" s="119"/>
      <c r="O36" s="117" t="s">
        <v>128</v>
      </c>
      <c r="P36" s="86" t="str">
        <f>IFERROR(__xludf.DUMMYFUNCTION("""COMPUTED_VALUE"""),"A1 286")</f>
        <v>A1 286</v>
      </c>
      <c r="Q36" s="86" t="str">
        <f>IFERROR(__xludf.DUMMYFUNCTION("""COMPUTED_VALUE"""),"Mewtwo ex")</f>
        <v>Mewtwo ex</v>
      </c>
      <c r="R36" s="86" t="str">
        <f>IFERROR(__xludf.DUMMYFUNCTION("""COMPUTED_VALUE"""),"♛")</f>
        <v>♛</v>
      </c>
      <c r="S36" s="79">
        <f t="shared" si="2"/>
        <v>2500</v>
      </c>
      <c r="T36" s="80" t="str">
        <f>IFERROR(__xludf.DUMMYFUNCTION("IF(
  Q36="""",
  """",
  IF(
   REGEXMATCH(SUBSTITUTE(Q36, "" ex"", """"), TEXTJOIN(""|"", TRUE, INDEX('language&amp;DataTest'!$A$33:$AB$182, , MATCH(HOME!$A$25, 'language&amp;DataTest'!$A$1:$G$1, 0)))),
   IF($M$26,
     IF(COUNTIFS(ARRAYFORMULA(SUBSTITUTE($C$2"&amp;":$C287, "" ex"", """")), SUBSTITUTE(Q36, "" ex"", """"), $J$2:$J287, ""&gt;0"")=0, ""Yes"", ""No""),
     IF(COUNTIFS(ARRAYFORMULA(SUBSTITUTE($C$2:$C287, "" ex"", """")), SUBSTITUTE(Q36, "" ex"", """"), $A$2:$A287, TRUE)=0, ""Yes"", ""No"")
   ),
   ""No""
 "&amp;")
)"),"No")</f>
        <v>No</v>
      </c>
    </row>
    <row r="37">
      <c r="A37" s="68" t="b">
        <v>1</v>
      </c>
      <c r="B37" s="69" t="s">
        <v>129</v>
      </c>
      <c r="C37" s="69" t="str">
        <f t="array" ref="C37">TEXTJOIN("", TRUE, IFERROR(INDEX('language&amp;DataTest'!A:J, MATCH(INDEX( PointerTest!C:C, MATCH(B37, PointerTest!A:A, 0), 0), 'language&amp;DataTest'!A:A, 0), MATCH(HOME!$A$25, 'language&amp;DataTest'!$A$1:$H$1, 0))),                      IFERROR(INDEX('language&amp;DataTest'!A:J, MATCH(INDEX( PointerTest!D:D, MATCH(B37, PointerTest!A:A, 0), 0), 'language&amp;DataTest'!A:A, 0), MATCH(HOME!$A$25, 'language&amp;DataTest'!$A$1:$H$1, 0))),                                          
IFERROR(INDEX('language&amp;DataTest'!A:J, MATCH(INDEX( PointerTest!E:E, MATCH(B37, PointerTest!A:A, 0), 0), 'language&amp;DataTest'!A:A, 0), MATCH(HOME!$A$25, 'language&amp;DataTest'!$A$1:$H$1, 0))))</f>
        <v>Charizard ex</v>
      </c>
      <c r="D37" s="69" t="str">
        <f t="array" ref="D37">INDEX('language&amp;DataTest'!A:J, MATCH(INDEX( PointerTest!D:D, MATCH(INDEX(PointerTest!B:B, MATCH(B37, PointerTest!A:A, 0)), PointerTest!A:A, 0), 0), 'language&amp;DataTest'!A:A, 0), MATCH(HOME!$A$25, 'language&amp;DataTest'!$A$1:$H$1, 0))</f>
        <v>Charizard</v>
      </c>
      <c r="E37" s="69" t="str">
        <f t="array" ref="E37">INDEX( PointerTest!F:F, MATCH(B37, PointerTest!A:A, 0), 0)</f>
        <v>♢♢♢♢</v>
      </c>
      <c r="F37" s="70" t="str">
        <f t="array" ref="F37">LET(percentage,XLOOKUP($E37,$K$2:$K$10,L$2:L$10,"",0)/(COUNTIFS($E:$E,$E37,$D:$D,RegularFormula!$D$2)+COUNTIFS($E:$E,$E37,$D:$D,IF($D37=RegularFormula!$D$2,$K$15,$D37))),IFERROR(IF(percentage,percentage,""),""))
</f>
        <v/>
      </c>
      <c r="G37" s="71">
        <f t="array" ref="G37">LET(percentage,XLOOKUP($E37,$K$2:$K$10,M$2:M$10,"",0)/(COUNTIFS($E:$E,$E37,$D:$D,RegularFormula!$D$2)+COUNTIFS($E:$E,$E37,$D:$D,IF($D37=RegularFormula!$D$2,$K$15,$D37))),IFERROR(IF(percentage,percentage,""),""))
</f>
        <v>0.003332</v>
      </c>
      <c r="H37" s="71">
        <f t="array" ref="H37">LET(percentage,XLOOKUP($E37,$K$2:$K$10,N$2:N$10,"",0)/(COUNTIFS($E:$E,$E37,$D:$D,RegularFormula!$D$2)+COUNTIFS($E:$E,$E37,$D:$D,IF($D37=RegularFormula!$D$2,$K$15,$D37))),IFERROR(IF(percentage,percentage,""),""))
</f>
        <v>0.013328</v>
      </c>
      <c r="I37" s="72" t="str">
        <f t="shared" si="1"/>
        <v/>
      </c>
      <c r="J37" s="73">
        <v>0.0</v>
      </c>
      <c r="K37" s="145" t="s">
        <v>91</v>
      </c>
      <c r="L37" s="69" t="s">
        <v>58</v>
      </c>
      <c r="M37" s="69" t="s">
        <v>59</v>
      </c>
      <c r="N37" s="69" t="s">
        <v>60</v>
      </c>
      <c r="O37" s="120"/>
      <c r="P37" s="146"/>
      <c r="Q37" s="146"/>
      <c r="R37" s="146"/>
      <c r="S37" s="79" t="str">
        <f t="shared" si="2"/>
        <v/>
      </c>
      <c r="T37" s="80" t="str">
        <f>IFERROR(__xludf.DUMMYFUNCTION("IF(
  Q37="""",
  """",
  IF(
   REGEXMATCH(SUBSTITUTE(Q37, "" ex"", """"), TEXTJOIN(""|"", TRUE, INDEX('language&amp;DataTest'!$A$33:$AB$182, , MATCH(HOME!$A$25, 'language&amp;DataTest'!$A$1:$G$1, 0)))),
   IF($M$26,
     IF(COUNTIFS(ARRAYFORMULA(SUBSTITUTE($C$2"&amp;":$C287, "" ex"", """")), SUBSTITUTE(Q37, "" ex"", """"), $J$2:$J287, ""&gt;0"")=0, ""Yes"", ""No""),
     IF(COUNTIFS(ARRAYFORMULA(SUBSTITUTE($C$2:$C287, "" ex"", """")), SUBSTITUTE(Q37, "" ex"", """"), $A$2:$A287, TRUE)=0, ""Yes"", ""No"")
   ),
   ""No""
 "&amp;")
)"),"")</f>
        <v/>
      </c>
    </row>
    <row r="38">
      <c r="A38" s="68" t="b">
        <v>1</v>
      </c>
      <c r="B38" s="69" t="s">
        <v>130</v>
      </c>
      <c r="C38" s="69" t="str">
        <f t="array" ref="C38">TEXTJOIN("", TRUE, IFERROR(INDEX('language&amp;DataTest'!A:J, MATCH(INDEX( PointerTest!C:C, MATCH(B38, PointerTest!A:A, 0), 0), 'language&amp;DataTest'!A:A, 0), MATCH(HOME!$A$25, 'language&amp;DataTest'!$A$1:$H$1, 0))),                      IFERROR(INDEX('language&amp;DataTest'!A:J, MATCH(INDEX( PointerTest!D:D, MATCH(B38, PointerTest!A:A, 0), 0), 'language&amp;DataTest'!A:A, 0), MATCH(HOME!$A$25, 'language&amp;DataTest'!$A$1:$H$1, 0))),                                          
IFERROR(INDEX('language&amp;DataTest'!A:J, MATCH(INDEX( PointerTest!E:E, MATCH(B38, PointerTest!A:A, 0), 0), 'language&amp;DataTest'!A:A, 0), MATCH(HOME!$A$25, 'language&amp;DataTest'!$A$1:$H$1, 0))))</f>
        <v>Vulpix</v>
      </c>
      <c r="D38" s="69" t="str">
        <f t="array" ref="D38">INDEX('language&amp;DataTest'!A:J, MATCH(INDEX( PointerTest!D:D, MATCH(INDEX(PointerTest!B:B, MATCH(B38, PointerTest!A:A, 0)), PointerTest!A:A, 0), 0), 'language&amp;DataTest'!A:A, 0), MATCH(HOME!$A$25, 'language&amp;DataTest'!$A$1:$H$1, 0))</f>
        <v>Charizard</v>
      </c>
      <c r="E38" s="69" t="str">
        <f t="array" ref="E38">INDEX( PointerTest!F:F, MATCH(B38, PointerTest!A:A, 0), 0)</f>
        <v>♢</v>
      </c>
      <c r="F38" s="70">
        <f t="array" ref="F38">LET(percentage,XLOOKUP($E38,$K$2:$K$10,L$2:L$10,"",0)/(COUNTIFS($E:$E,$E38,$D:$D,RegularFormula!$D$2)+COUNTIFS($E:$E,$E38,$D:$D,IF($D38=RegularFormula!$D$2,$K$15,$D38))),IFERROR(IF(percentage,percentage,""),""))
</f>
        <v>0.02</v>
      </c>
      <c r="G38" s="71" t="str">
        <f t="array" ref="G38">LET(percentage,XLOOKUP($E38,$K$2:$K$10,M$2:M$10,"",0)/(COUNTIFS($E:$E,$E38,$D:$D,RegularFormula!$D$2)+COUNTIFS($E:$E,$E38,$D:$D,IF($D38=RegularFormula!$D$2,$K$15,$D38))),IFERROR(IF(percentage,percentage,""),""))
</f>
        <v/>
      </c>
      <c r="H38" s="71" t="str">
        <f t="array" ref="H38">LET(percentage,XLOOKUP($E38,$K$2:$K$10,N$2:N$10,"",0)/(COUNTIFS($E:$E,$E38,$D:$D,RegularFormula!$D$2)+COUNTIFS($E:$E,$E38,$D:$D,IF($D38=RegularFormula!$D$2,$K$15,$D38))),IFERROR(IF(percentage,percentage,""),""))
</f>
        <v/>
      </c>
      <c r="I38" s="72" t="str">
        <f t="shared" si="1"/>
        <v/>
      </c>
      <c r="J38" s="73">
        <v>0.0</v>
      </c>
      <c r="K38" s="134" t="str">
        <f>C129</f>
        <v>Mewtwo</v>
      </c>
      <c r="L38" s="70">
        <f t="array" ref="L38">SUMPRODUCT((COUNTIFS($A$2:$A287,FALSE,$D$2:$D287,$K38,$E$2:$E287,CardCategories)+COUNTIFS($A$2:$A287,FALSE,$D$2:$D287,RegularFormula!$D$2,$E$2:$E287,CardCategories))/(COUNTIFS($D$2:$D287,$K38,$E$2:$E287,CardCategories)+COUNTIFS($D$2:$D287,RegularFormula!$D$2,$E$2:$E287,CardCategories)),{$K$22:$K$25;$M$22:$M$25}*Probabilities13)</f>
        <v>0.000278840625</v>
      </c>
      <c r="M38" s="70">
        <f t="array" ref="M38">SUMPRODUCT((COUNTIFS($A$2:$A287,FALSE,$D$2:$D287,$K38,$E$2:$E287,CardCategories)+COUNTIFS($A$2:$A287,FALSE,$D$2:$D287,RegularFormula!$D$2,$E$2:$E287,CardCategories))/(COUNTIFS($D$2:$D287,$K38,$E$2:$E287,CardCategories)+COUNTIFS($D$2:$D287,RegularFormula!$D$2,$E$2:$E287,CardCategories)),{$K$22:$K$25;$M$22:$M$25}*Probabilities4)</f>
        <v>0.008889533125</v>
      </c>
      <c r="N38" s="70">
        <f t="array" ref="N38">SUMPRODUCT((COUNTIFS($A$2:$A287,FALSE,$D$2:$D287,$K38,$E$2:$E287,CardCategories)+COUNTIFS($A$2:$A287,FALSE,$D$2:$D287,RegularFormula!$D$2,$E$2:$E287,CardCategories))/(COUNTIFS($D$2:$D287,$K38,$E$2:$E287,CardCategories)+COUNTIFS($D$2:$D287,RegularFormula!$D$2,$E$2:$E287,CardCategories)),{$K$22:$K$25;$M$22:$M$25}*Probabilities5)</f>
        <v>0.03472161063</v>
      </c>
      <c r="O38" s="120"/>
      <c r="P38" s="146"/>
      <c r="Q38" s="146"/>
      <c r="R38" s="146"/>
      <c r="S38" s="79" t="str">
        <f t="shared" si="2"/>
        <v/>
      </c>
      <c r="T38" s="80" t="str">
        <f>IFERROR(__xludf.DUMMYFUNCTION("IF(
  Q38="""",
  """",
  IF(
   REGEXMATCH(SUBSTITUTE(Q38, "" ex"", """"), TEXTJOIN(""|"", TRUE, INDEX('language&amp;DataTest'!$A$33:$AB$182, , MATCH(HOME!$A$25, 'language&amp;DataTest'!$A$1:$G$1, 0)))),
   IF($M$26,
     IF(COUNTIFS(ARRAYFORMULA(SUBSTITUTE($C$2"&amp;":$C287, "" ex"", """")), SUBSTITUTE(Q38, "" ex"", """"), $J$2:$J287, ""&gt;0"")=0, ""Yes"", ""No""),
     IF(COUNTIFS(ARRAYFORMULA(SUBSTITUTE($C$2:$C287, "" ex"", """")), SUBSTITUTE(Q38, "" ex"", """"), $A$2:$A287, TRUE)=0, ""Yes"", ""No"")
   ),
   ""No""
 "&amp;")
)"),"")</f>
        <v/>
      </c>
    </row>
    <row r="39">
      <c r="A39" s="68" t="b">
        <v>1</v>
      </c>
      <c r="B39" s="69" t="s">
        <v>131</v>
      </c>
      <c r="C39" s="69" t="str">
        <f t="array" ref="C39">TEXTJOIN("", TRUE, IFERROR(INDEX('language&amp;DataTest'!A:J, MATCH(INDEX( PointerTest!C:C, MATCH(B39, PointerTest!A:A, 0), 0), 'language&amp;DataTest'!A:A, 0), MATCH(HOME!$A$25, 'language&amp;DataTest'!$A$1:$H$1, 0))),                      IFERROR(INDEX('language&amp;DataTest'!A:J, MATCH(INDEX( PointerTest!D:D, MATCH(B39, PointerTest!A:A, 0), 0), 'language&amp;DataTest'!A:A, 0), MATCH(HOME!$A$25, 'language&amp;DataTest'!$A$1:$H$1, 0))),                                          
IFERROR(INDEX('language&amp;DataTest'!A:J, MATCH(INDEX( PointerTest!E:E, MATCH(B39, PointerTest!A:A, 0), 0), 'language&amp;DataTest'!A:A, 0), MATCH(HOME!$A$25, 'language&amp;DataTest'!$A$1:$H$1, 0))))</f>
        <v>Ninetales</v>
      </c>
      <c r="D39" s="69" t="str">
        <f t="array" ref="D39">INDEX('language&amp;DataTest'!A:J, MATCH(INDEX( PointerTest!D:D, MATCH(INDEX(PointerTest!B:B, MATCH(B39, PointerTest!A:A, 0)), PointerTest!A:A, 0), 0), 'language&amp;DataTest'!A:A, 0), MATCH(HOME!$A$25, 'language&amp;DataTest'!$A$1:$H$1, 0))</f>
        <v>Charizard</v>
      </c>
      <c r="E39" s="69" t="str">
        <f t="array" ref="E39">INDEX( PointerTest!F:F, MATCH(B39, PointerTest!A:A, 0), 0)</f>
        <v>♢♢</v>
      </c>
      <c r="F39" s="70" t="str">
        <f t="array" ref="F39">LET(percentage,XLOOKUP($E39,$K$2:$K$10,L$2:L$10,"",0)/(COUNTIFS($E:$E,$E39,$D:$D,RegularFormula!$D$2)+COUNTIFS($E:$E,$E39,$D:$D,IF($D39=RegularFormula!$D$2,$K$15,$D39))),IFERROR(IF(percentage,percentage,""),""))
</f>
        <v/>
      </c>
      <c r="G39" s="71">
        <f t="array" ref="G39">LET(percentage,XLOOKUP($E39,$K$2:$K$10,M$2:M$10,"",0)/(COUNTIFS($E:$E,$E39,$D:$D,RegularFormula!$D$2)+COUNTIFS($E:$E,$E39,$D:$D,IF($D39=RegularFormula!$D$2,$K$15,$D39))),IFERROR(IF(percentage,percentage,""),""))
</f>
        <v>0.02571428571</v>
      </c>
      <c r="H39" s="71">
        <f t="array" ref="H39">LET(percentage,XLOOKUP($E39,$K$2:$K$10,N$2:N$10,"",0)/(COUNTIFS($E:$E,$E39,$D:$D,RegularFormula!$D$2)+COUNTIFS($E:$E,$E39,$D:$D,IF($D39=RegularFormula!$D$2,$K$15,$D39))),IFERROR(IF(percentage,percentage,""),""))
</f>
        <v>0.01714285714</v>
      </c>
      <c r="I39" s="72" t="str">
        <f t="shared" si="1"/>
        <v/>
      </c>
      <c r="J39" s="73">
        <v>0.0</v>
      </c>
      <c r="K39" s="136" t="str">
        <f>C95</f>
        <v>Pikachu</v>
      </c>
      <c r="L39" s="70">
        <f t="array" ref="L39">SUMPRODUCT((COUNTIFS($A$2:$A287,FALSE,$D$2:$D287,$K39,$E$2:$E287,CardCategories)+COUNTIFS($A$2:$A287,FALSE,$D$2:$D287,RegularFormula!$D$2,$E$2:$E287,CardCategories))/(COUNTIFS($D$2:$D287,$K39,$E$2:$E287,CardCategories)+COUNTIFS($D$2:$D287,RegularFormula!$D$2,$E$2:$E287,CardCategories)),{$K$22:$K$25;$M$22:$M$25}*Probabilities13)</f>
        <v>0.000278840625</v>
      </c>
      <c r="M39" s="70">
        <f t="array" ref="M39">SUMPRODUCT((COUNTIFS($A$2:$A287,FALSE,$D$2:$D287,$K39,$E$2:$E287,CardCategories)+COUNTIFS($A$2:$A287,FALSE,$D$2:$D287,RegularFormula!$D$2,$E$2:$E287,CardCategories))/(COUNTIFS($D$2:$D287,$K39,$E$2:$E287,CardCategories)+COUNTIFS($D$2:$D287,RegularFormula!$D$2,$E$2:$E287,CardCategories)),{$K$22:$K$25;$M$22:$M$25}*Probabilities4)</f>
        <v>0.008889533125</v>
      </c>
      <c r="N39" s="70">
        <f t="array" ref="N39">SUMPRODUCT((COUNTIFS($A$2:$A287,FALSE,$D$2:$D287,$K39,$E$2:$E287,CardCategories)+COUNTIFS($A$2:$A287,FALSE,$D$2:$D287,RegularFormula!$D$2,$E$2:$E287,CardCategories))/(COUNTIFS($D$2:$D287,$K39,$E$2:$E287,CardCategories)+COUNTIFS($D$2:$D287,RegularFormula!$D$2,$E$2:$E287,CardCategories)),{$K$22:$K$25;$M$22:$M$25}*Probabilities5)</f>
        <v>0.03472161063</v>
      </c>
      <c r="O39" s="120"/>
      <c r="P39" s="146"/>
      <c r="Q39" s="146"/>
      <c r="R39" s="146"/>
      <c r="S39" s="79" t="str">
        <f t="shared" si="2"/>
        <v/>
      </c>
      <c r="T39" s="80" t="str">
        <f>IFERROR(__xludf.DUMMYFUNCTION("IF(
  Q39="""",
  """",
  IF(
   REGEXMATCH(SUBSTITUTE(Q39, "" ex"", """"), TEXTJOIN(""|"", TRUE, INDEX('language&amp;DataTest'!$A$33:$AB$182, , MATCH(HOME!$A$25, 'language&amp;DataTest'!$A$1:$G$1, 0)))),
   IF($M$26,
     IF(COUNTIFS(ARRAYFORMULA(SUBSTITUTE($C$2"&amp;":$C287, "" ex"", """")), SUBSTITUTE(Q39, "" ex"", """"), $J$2:$J287, ""&gt;0"")=0, ""Yes"", ""No""),
     IF(COUNTIFS(ARRAYFORMULA(SUBSTITUTE($C$2:$C287, "" ex"", """")), SUBSTITUTE(Q39, "" ex"", """"), $A$2:$A287, TRUE)=0, ""Yes"", ""No"")
   ),
   ""No""
 "&amp;")
)"),"")</f>
        <v/>
      </c>
    </row>
    <row r="40">
      <c r="A40" s="68" t="b">
        <v>1</v>
      </c>
      <c r="B40" s="69" t="s">
        <v>132</v>
      </c>
      <c r="C40" s="69" t="str">
        <f t="array" ref="C40">TEXTJOIN("", TRUE, IFERROR(INDEX('language&amp;DataTest'!A:J, MATCH(INDEX( PointerTest!C:C, MATCH(B40, PointerTest!A:A, 0), 0), 'language&amp;DataTest'!A:A, 0), MATCH(HOME!$A$25, 'language&amp;DataTest'!$A$1:$H$1, 0))),                      IFERROR(INDEX('language&amp;DataTest'!A:J, MATCH(INDEX( PointerTest!D:D, MATCH(B40, PointerTest!A:A, 0), 0), 'language&amp;DataTest'!A:A, 0), MATCH(HOME!$A$25, 'language&amp;DataTest'!$A$1:$H$1, 0))),                                          
IFERROR(INDEX('language&amp;DataTest'!A:J, MATCH(INDEX( PointerTest!E:E, MATCH(B40, PointerTest!A:A, 0), 0), 'language&amp;DataTest'!A:A, 0), MATCH(HOME!$A$25, 'language&amp;DataTest'!$A$1:$H$1, 0))))</f>
        <v>Growlithe</v>
      </c>
      <c r="D40" s="69" t="str">
        <f t="array" ref="D40">INDEX('language&amp;DataTest'!A:J, MATCH(INDEX( PointerTest!D:D, MATCH(INDEX(PointerTest!B:B, MATCH(B40, PointerTest!A:A, 0)), PointerTest!A:A, 0), 0), 'language&amp;DataTest'!A:A, 0), MATCH(HOME!$A$25, 'language&amp;DataTest'!$A$1:$H$1, 0))</f>
        <v>Pikachu</v>
      </c>
      <c r="E40" s="69" t="str">
        <f t="array" ref="E40">INDEX( PointerTest!F:F, MATCH(B40, PointerTest!A:A, 0), 0)</f>
        <v>♢</v>
      </c>
      <c r="F40" s="70">
        <f t="array" ref="F40">LET(percentage,XLOOKUP($E40,$K$2:$K$10,L$2:L$10,"",0)/(COUNTIFS($E:$E,$E40,$D:$D,RegularFormula!$D$2)+COUNTIFS($E:$E,$E40,$D:$D,IF($D40=RegularFormula!$D$2,$K$15,$D40))),IFERROR(IF(percentage,percentage,""),""))
</f>
        <v>0.02</v>
      </c>
      <c r="G40" s="71" t="str">
        <f t="array" ref="G40">LET(percentage,XLOOKUP($E40,$K$2:$K$10,M$2:M$10,"",0)/(COUNTIFS($E:$E,$E40,$D:$D,RegularFormula!$D$2)+COUNTIFS($E:$E,$E40,$D:$D,IF($D40=RegularFormula!$D$2,$K$15,$D40))),IFERROR(IF(percentage,percentage,""),""))
</f>
        <v/>
      </c>
      <c r="H40" s="71" t="str">
        <f t="array" ref="H40">LET(percentage,XLOOKUP($E40,$K$2:$K$10,N$2:N$10,"",0)/(COUNTIFS($E:$E,$E40,$D:$D,RegularFormula!$D$2)+COUNTIFS($E:$E,$E40,$D:$D,IF($D40=RegularFormula!$D$2,$K$15,$D40))),IFERROR(IF(percentage,percentage,""),""))
</f>
        <v/>
      </c>
      <c r="I40" s="72" t="str">
        <f t="shared" si="1"/>
        <v/>
      </c>
      <c r="J40" s="73">
        <v>0.0</v>
      </c>
      <c r="K40" s="137" t="str">
        <f>C36</f>
        <v>Charizard</v>
      </c>
      <c r="L40" s="70">
        <f t="array" ref="L40">SUMPRODUCT((COUNTIFS($A$2:$A287,FALSE,$D$2:$D287,$K40,$E$2:$E287,CardCategories)+COUNTIFS($A$2:$A287,FALSE,$D$2:$D287,RegularFormula!$D$2,$E$2:$E287,CardCategories))/(COUNTIFS($D$2:$D287,$K40,$E$2:$E287,CardCategories)+COUNTIFS($D$2:$D287,RegularFormula!$D$2,$E$2:$E287,CardCategories)),{$K$22:$K$25;$M$22:$M$25}*Probabilities13)</f>
        <v>0.00026153325</v>
      </c>
      <c r="M40" s="70">
        <f t="array" ref="M40">SUMPRODUCT((COUNTIFS($A$2:$A287,FALSE,$D$2:$D287,$K40,$E$2:$E287,CardCategories)+COUNTIFS($A$2:$A287,FALSE,$D$2:$D287,RegularFormula!$D$2,$E$2:$E287,CardCategories))/(COUNTIFS($D$2:$D287,$K40,$E$2:$E287,CardCategories)+COUNTIFS($D$2:$D287,RegularFormula!$D$2,$E$2:$E287,CardCategories)),{$K$22:$K$25;$M$22:$M$25}*Probabilities4)</f>
        <v>0.01441645225</v>
      </c>
      <c r="N40" s="70">
        <f t="array" ref="N40">SUMPRODUCT((COUNTIFS($A$2:$A287,FALSE,$D$2:$D287,$K40,$E$2:$E287,CardCategories)+COUNTIFS($A$2:$A287,FALSE,$D$2:$D287,RegularFormula!$D$2,$E$2:$E287,CardCategories))/(COUNTIFS($D$2:$D287,$K40,$E$2:$E287,CardCategories)+COUNTIFS($D$2:$D287,RegularFormula!$D$2,$E$2:$E287,CardCategories)),{$K$22:$K$25;$M$22:$M$25}*Probabilities5)</f>
        <v>0.05688120925</v>
      </c>
      <c r="O40" s="120"/>
      <c r="P40" s="103"/>
      <c r="Q40" s="103"/>
      <c r="R40" s="103"/>
      <c r="S40" s="79" t="str">
        <f t="shared" si="2"/>
        <v/>
      </c>
      <c r="T40" s="80" t="str">
        <f>IFERROR(__xludf.DUMMYFUNCTION("IF(
  Q40="""",
  """",
  IF(
   REGEXMATCH(SUBSTITUTE(Q40, "" ex"", """"), TEXTJOIN(""|"", TRUE, INDEX('language&amp;DataTest'!$A$33:$AB$182, , MATCH(HOME!$A$25, 'language&amp;DataTest'!$A$1:$G$1, 0)))),
   IF($M$26,
     IF(COUNTIFS(ARRAYFORMULA(SUBSTITUTE($C$2"&amp;":$C287, "" ex"", """")), SUBSTITUTE(Q40, "" ex"", """"), $J$2:$J287, ""&gt;0"")=0, ""Yes"", ""No""),
     IF(COUNTIFS(ARRAYFORMULA(SUBSTITUTE($C$2:$C287, "" ex"", """")), SUBSTITUTE(Q40, "" ex"", """"), $A$2:$A287, TRUE)=0, ""Yes"", ""No"")
   ),
   ""No""
 "&amp;")
)"),"")</f>
        <v/>
      </c>
    </row>
    <row r="41">
      <c r="A41" s="68" t="b">
        <v>1</v>
      </c>
      <c r="B41" s="69" t="s">
        <v>133</v>
      </c>
      <c r="C41" s="69" t="str">
        <f t="array" ref="C41">TEXTJOIN("", TRUE, IFERROR(INDEX('language&amp;DataTest'!A:J, MATCH(INDEX( PointerTest!C:C, MATCH(B41, PointerTest!A:A, 0), 0), 'language&amp;DataTest'!A:A, 0), MATCH(HOME!$A$25, 'language&amp;DataTest'!$A$1:$H$1, 0))),                      IFERROR(INDEX('language&amp;DataTest'!A:J, MATCH(INDEX( PointerTest!D:D, MATCH(B41, PointerTest!A:A, 0), 0), 'language&amp;DataTest'!A:A, 0), MATCH(HOME!$A$25, 'language&amp;DataTest'!$A$1:$H$1, 0))),                                          
IFERROR(INDEX('language&amp;DataTest'!A:J, MATCH(INDEX( PointerTest!E:E, MATCH(B41, PointerTest!A:A, 0), 0), 'language&amp;DataTest'!A:A, 0), MATCH(HOME!$A$25, 'language&amp;DataTest'!$A$1:$H$1, 0))))</f>
        <v>Arcanine</v>
      </c>
      <c r="D41" s="69" t="str">
        <f t="array" ref="D41">INDEX('language&amp;DataTest'!A:J, MATCH(INDEX( PointerTest!D:D, MATCH(INDEX(PointerTest!B:B, MATCH(B41, PointerTest!A:A, 0)), PointerTest!A:A, 0), 0), 'language&amp;DataTest'!A:A, 0), MATCH(HOME!$A$25, 'language&amp;DataTest'!$A$1:$H$1, 0))</f>
        <v>Pikachu</v>
      </c>
      <c r="E41" s="69" t="str">
        <f t="array" ref="E41">INDEX( PointerTest!F:F, MATCH(B41, PointerTest!A:A, 0), 0)</f>
        <v>♢♢♢</v>
      </c>
      <c r="F41" s="70" t="str">
        <f t="array" ref="F41">LET(percentage,XLOOKUP($E41,$K$2:$K$10,L$2:L$10,"",0)/(COUNTIFS($E:$E,$E41,$D:$D,RegularFormula!$D$2)+COUNTIFS($E:$E,$E41,$D:$D,IF($D41=RegularFormula!$D$2,$K$15,$D41))),IFERROR(IF(percentage,percentage,""),""))
</f>
        <v/>
      </c>
      <c r="G41" s="71">
        <f t="array" ref="G41">LET(percentage,XLOOKUP($E41,$K$2:$K$10,M$2:M$10,"",0)/(COUNTIFS($E:$E,$E41,$D:$D,RegularFormula!$D$2)+COUNTIFS($E:$E,$E41,$D:$D,IF($D41=RegularFormula!$D$2,$K$15,$D41))),IFERROR(IF(percentage,percentage,""),""))
</f>
        <v>0.003571428571</v>
      </c>
      <c r="H41" s="71">
        <f t="array" ref="H41">LET(percentage,XLOOKUP($E41,$K$2:$K$10,N$2:N$10,"",0)/(COUNTIFS($E:$E,$E41,$D:$D,RegularFormula!$D$2)+COUNTIFS($E:$E,$E41,$D:$D,IF($D41=RegularFormula!$D$2,$K$15,$D41))),IFERROR(IF(percentage,percentage,""),""))
</f>
        <v>0.01428571429</v>
      </c>
      <c r="I41" s="72" t="str">
        <f t="shared" si="1"/>
        <v/>
      </c>
      <c r="J41" s="73">
        <v>0.0</v>
      </c>
      <c r="K41" s="147" t="s">
        <v>134</v>
      </c>
      <c r="L41" s="140" t="str">
        <f>IF(L38 = MAX(L38:L40), K38, IF(L39 = MAX(L38:L40), K39, K40))</f>
        <v>Mewtwo</v>
      </c>
      <c r="M41" s="140" t="str">
        <f>IF(M38 = MAX(M38:M40), K38, IF(M39 = MAX(M38:M40), K39, K40))</f>
        <v>Charizard</v>
      </c>
      <c r="N41" s="140" t="str">
        <f>IF(N38 = MAX(N38:N40), K38, IF(N39 = MAX(N38:N40), K39, K40))</f>
        <v>Charizard</v>
      </c>
      <c r="O41" s="120"/>
      <c r="P41" s="103"/>
      <c r="Q41" s="103"/>
      <c r="R41" s="103"/>
      <c r="S41" s="79" t="str">
        <f t="shared" si="2"/>
        <v/>
      </c>
      <c r="T41" s="80" t="str">
        <f>IFERROR(__xludf.DUMMYFUNCTION("IF(
  Q41="""",
  """",
  IF(
   REGEXMATCH(SUBSTITUTE(Q41, "" ex"", """"), TEXTJOIN(""|"", TRUE, INDEX('language&amp;DataTest'!$A$33:$AB$182, , MATCH(HOME!$A$25, 'language&amp;DataTest'!$A$1:$G$1, 0)))),
   IF($M$26,
     IF(COUNTIFS(ARRAYFORMULA(SUBSTITUTE($C$2"&amp;":$C287, "" ex"", """")), SUBSTITUTE(Q41, "" ex"", """"), $J$2:$J287, ""&gt;0"")=0, ""Yes"", ""No""),
     IF(COUNTIFS(ARRAYFORMULA(SUBSTITUTE($C$2:$C287, "" ex"", """")), SUBSTITUTE(Q41, "" ex"", """"), $A$2:$A287, TRUE)=0, ""Yes"", ""No"")
   ),
   ""No""
 "&amp;")
)"),"")</f>
        <v/>
      </c>
    </row>
    <row r="42">
      <c r="A42" s="68" t="b">
        <v>1</v>
      </c>
      <c r="B42" s="69" t="s">
        <v>135</v>
      </c>
      <c r="C42" s="69" t="str">
        <f t="array" ref="C42">TEXTJOIN("", TRUE, IFERROR(INDEX('language&amp;DataTest'!A:J, MATCH(INDEX( PointerTest!C:C, MATCH(B42, PointerTest!A:A, 0), 0), 'language&amp;DataTest'!A:A, 0), MATCH(HOME!$A$25, 'language&amp;DataTest'!$A$1:$H$1, 0))),                      IFERROR(INDEX('language&amp;DataTest'!A:J, MATCH(INDEX( PointerTest!D:D, MATCH(B42, PointerTest!A:A, 0), 0), 'language&amp;DataTest'!A:A, 0), MATCH(HOME!$A$25, 'language&amp;DataTest'!$A$1:$H$1, 0))),                                          
IFERROR(INDEX('language&amp;DataTest'!A:J, MATCH(INDEX( PointerTest!E:E, MATCH(B42, PointerTest!A:A, 0), 0), 'language&amp;DataTest'!A:A, 0), MATCH(HOME!$A$25, 'language&amp;DataTest'!$A$1:$H$1, 0))))</f>
        <v>Arcanine ex</v>
      </c>
      <c r="D42" s="69" t="str">
        <f t="array" ref="D42">INDEX('language&amp;DataTest'!A:J, MATCH(INDEX( PointerTest!D:D, MATCH(INDEX(PointerTest!B:B, MATCH(B42, PointerTest!A:A, 0)), PointerTest!A:A, 0), 0), 'language&amp;DataTest'!A:A, 0), MATCH(HOME!$A$25, 'language&amp;DataTest'!$A$1:$H$1, 0))</f>
        <v>Pikachu</v>
      </c>
      <c r="E42" s="69" t="str">
        <f t="array" ref="E42">INDEX( PointerTest!F:F, MATCH(B42, PointerTest!A:A, 0), 0)</f>
        <v>♢♢♢♢</v>
      </c>
      <c r="F42" s="70" t="str">
        <f t="array" ref="F42">LET(percentage,XLOOKUP($E42,$K$2:$K$10,L$2:L$10,"",0)/(COUNTIFS($E:$E,$E42,$D:$D,RegularFormula!$D$2)+COUNTIFS($E:$E,$E42,$D:$D,IF($D42=RegularFormula!$D$2,$K$15,$D42))),IFERROR(IF(percentage,percentage,""),""))
</f>
        <v/>
      </c>
      <c r="G42" s="71">
        <f t="array" ref="G42">LET(percentage,XLOOKUP($E42,$K$2:$K$10,M$2:M$10,"",0)/(COUNTIFS($E:$E,$E42,$D:$D,RegularFormula!$D$2)+COUNTIFS($E:$E,$E42,$D:$D,IF($D42=RegularFormula!$D$2,$K$15,$D42))),IFERROR(IF(percentage,percentage,""),""))
</f>
        <v>0.003332</v>
      </c>
      <c r="H42" s="71">
        <f t="array" ref="H42">LET(percentage,XLOOKUP($E42,$K$2:$K$10,N$2:N$10,"",0)/(COUNTIFS($E:$E,$E42,$D:$D,RegularFormula!$D$2)+COUNTIFS($E:$E,$E42,$D:$D,IF($D42=RegularFormula!$D$2,$K$15,$D42))),IFERROR(IF(percentage,percentage,""),""))
</f>
        <v>0.013328</v>
      </c>
      <c r="I42" s="72" t="str">
        <f t="shared" si="1"/>
        <v/>
      </c>
      <c r="J42" s="73">
        <v>0.0</v>
      </c>
      <c r="K42" s="141"/>
      <c r="L42" s="142"/>
      <c r="M42" s="142"/>
      <c r="N42" s="142"/>
      <c r="O42" s="125"/>
      <c r="P42" s="148"/>
      <c r="Q42" s="148"/>
      <c r="R42" s="148"/>
      <c r="S42" s="79" t="str">
        <f t="shared" si="2"/>
        <v/>
      </c>
      <c r="T42" s="80" t="str">
        <f>IFERROR(__xludf.DUMMYFUNCTION("IF(
  Q42="""",
  """",
  IF(
   REGEXMATCH(SUBSTITUTE(Q42, "" ex"", """"), TEXTJOIN(""|"", TRUE, INDEX('language&amp;DataTest'!$A$33:$AB$182, , MATCH(HOME!$A$25, 'language&amp;DataTest'!$A$1:$G$1, 0)))),
   IF($M$26,
     IF(COUNTIFS(ARRAYFORMULA(SUBSTITUTE($C$2"&amp;":$C287, "" ex"", """")), SUBSTITUTE(Q42, "" ex"", """"), $J$2:$J287, ""&gt;0"")=0, ""Yes"", ""No""),
     IF(COUNTIFS(ARRAYFORMULA(SUBSTITUTE($C$2:$C287, "" ex"", """")), SUBSTITUTE(Q42, "" ex"", """"), $A$2:$A287, TRUE)=0, ""Yes"", ""No"")
   ),
   ""No""
 "&amp;")
)"),"")</f>
        <v/>
      </c>
    </row>
    <row r="43">
      <c r="A43" s="68" t="b">
        <v>1</v>
      </c>
      <c r="B43" s="69" t="s">
        <v>136</v>
      </c>
      <c r="C43" s="69" t="str">
        <f t="array" ref="C43">TEXTJOIN("", TRUE, IFERROR(INDEX('language&amp;DataTest'!A:J, MATCH(INDEX( PointerTest!C:C, MATCH(B43, PointerTest!A:A, 0), 0), 'language&amp;DataTest'!A:A, 0), MATCH(HOME!$A$25, 'language&amp;DataTest'!$A$1:$H$1, 0))),                      IFERROR(INDEX('language&amp;DataTest'!A:J, MATCH(INDEX( PointerTest!D:D, MATCH(B43, PointerTest!A:A, 0), 0), 'language&amp;DataTest'!A:A, 0), MATCH(HOME!$A$25, 'language&amp;DataTest'!$A$1:$H$1, 0))),                                          
IFERROR(INDEX('language&amp;DataTest'!A:J, MATCH(INDEX( PointerTest!E:E, MATCH(B43, PointerTest!A:A, 0), 0), 'language&amp;DataTest'!A:A, 0), MATCH(HOME!$A$25, 'language&amp;DataTest'!$A$1:$H$1, 0))))</f>
        <v>Ponyta</v>
      </c>
      <c r="D43" s="69" t="str">
        <f t="array" ref="D43">INDEX('language&amp;DataTest'!A:J, MATCH(INDEX( PointerTest!D:D, MATCH(INDEX(PointerTest!B:B, MATCH(B43, PointerTest!A:A, 0)), PointerTest!A:A, 0), 0), 'language&amp;DataTest'!A:A, 0), MATCH(HOME!$A$25, 'language&amp;DataTest'!$A$1:$H$1, 0))</f>
        <v>All</v>
      </c>
      <c r="E43" s="69" t="str">
        <f t="array" ref="E43">INDEX( PointerTest!F:F, MATCH(B43, PointerTest!A:A, 0), 0)</f>
        <v>♢</v>
      </c>
      <c r="F43" s="70">
        <f t="array" ref="F43">LET(percentage,XLOOKUP($E43,$K$2:$K$10,L$2:L$10,"",0)/(COUNTIFS($E:$E,$E43,$D:$D,RegularFormula!$D$2)+COUNTIFS($E:$E,$E43,$D:$D,IF($D43=RegularFormula!$D$2,$K$15,$D43))),IFERROR(IF(percentage,percentage,""),""))
</f>
        <v>0.02</v>
      </c>
      <c r="G43" s="71" t="str">
        <f t="array" ref="G43">LET(percentage,XLOOKUP($E43,$K$2:$K$10,M$2:M$10,"",0)/(COUNTIFS($E:$E,$E43,$D:$D,RegularFormula!$D$2)+COUNTIFS($E:$E,$E43,$D:$D,IF($D43=RegularFormula!$D$2,$K$15,$D43))),IFERROR(IF(percentage,percentage,""),""))
</f>
        <v/>
      </c>
      <c r="H43" s="71" t="str">
        <f t="array" ref="H43">LET(percentage,XLOOKUP($E43,$K$2:$K$10,N$2:N$10,"",0)/(COUNTIFS($E:$E,$E43,$D:$D,RegularFormula!$D$2)+COUNTIFS($E:$E,$E43,$D:$D,IF($D43=RegularFormula!$D$2,$K$15,$D43))),IFERROR(IF(percentage,percentage,""),""))
</f>
        <v/>
      </c>
      <c r="I43" s="72" t="str">
        <f t="shared" si="1"/>
        <v>*Based on Mewtwo pack</v>
      </c>
      <c r="J43" s="73">
        <v>0.0</v>
      </c>
      <c r="K43" s="149" t="s">
        <v>137</v>
      </c>
      <c r="N43" s="119"/>
      <c r="O43" s="117" t="s">
        <v>138</v>
      </c>
      <c r="P43" s="148"/>
      <c r="Q43" s="148"/>
      <c r="R43" s="148"/>
      <c r="S43" s="79" t="str">
        <f t="shared" si="2"/>
        <v/>
      </c>
      <c r="T43" s="80" t="str">
        <f>IFERROR(__xludf.DUMMYFUNCTION("IF(
  Q43="""",
  """",
  IF(
   REGEXMATCH(SUBSTITUTE(Q43, "" ex"", """"), TEXTJOIN(""|"", TRUE, INDEX('language&amp;DataTest'!$A$33:$AB$182, , MATCH(HOME!$A$25, 'language&amp;DataTest'!$A$1:$G$1, 0)))),
   IF($M$26,
     IF(COUNTIFS(ARRAYFORMULA(SUBSTITUTE($C$2"&amp;":$C287, "" ex"", """")), SUBSTITUTE(Q43, "" ex"", """"), $J$2:$J287, ""&gt;0"")=0, ""Yes"", ""No""),
     IF(COUNTIFS(ARRAYFORMULA(SUBSTITUTE($C$2:$C287, "" ex"", """")), SUBSTITUTE(Q43, "" ex"", """"), $A$2:$A287, TRUE)=0, ""Yes"", ""No"")
   ),
   ""No""
 "&amp;")
)"),"")</f>
        <v/>
      </c>
    </row>
    <row r="44">
      <c r="A44" s="68" t="b">
        <v>1</v>
      </c>
      <c r="B44" s="69" t="s">
        <v>139</v>
      </c>
      <c r="C44" s="69" t="str">
        <f t="array" ref="C44">TEXTJOIN("", TRUE, IFERROR(INDEX('language&amp;DataTest'!A:J, MATCH(INDEX( PointerTest!C:C, MATCH(B44, PointerTest!A:A, 0), 0), 'language&amp;DataTest'!A:A, 0), MATCH(HOME!$A$25, 'language&amp;DataTest'!$A$1:$H$1, 0))),                      IFERROR(INDEX('language&amp;DataTest'!A:J, MATCH(INDEX( PointerTest!D:D, MATCH(B44, PointerTest!A:A, 0), 0), 'language&amp;DataTest'!A:A, 0), MATCH(HOME!$A$25, 'language&amp;DataTest'!$A$1:$H$1, 0))),                                          
IFERROR(INDEX('language&amp;DataTest'!A:J, MATCH(INDEX( PointerTest!E:E, MATCH(B44, PointerTest!A:A, 0), 0), 'language&amp;DataTest'!A:A, 0), MATCH(HOME!$A$25, 'language&amp;DataTest'!$A$1:$H$1, 0))))</f>
        <v>Rapidash</v>
      </c>
      <c r="D44" s="69" t="str">
        <f t="array" ref="D44">INDEX('language&amp;DataTest'!A:J, MATCH(INDEX( PointerTest!D:D, MATCH(INDEX(PointerTest!B:B, MATCH(B44, PointerTest!A:A, 0)), PointerTest!A:A, 0), 0), 'language&amp;DataTest'!A:A, 0), MATCH(HOME!$A$25, 'language&amp;DataTest'!$A$1:$H$1, 0))</f>
        <v>All</v>
      </c>
      <c r="E44" s="69" t="str">
        <f t="array" ref="E44">INDEX( PointerTest!F:F, MATCH(B44, PointerTest!A:A, 0), 0)</f>
        <v>♢♢</v>
      </c>
      <c r="F44" s="70" t="str">
        <f t="array" ref="F44">LET(percentage,XLOOKUP($E44,$K$2:$K$10,L$2:L$10,"",0)/(COUNTIFS($E:$E,$E44,$D:$D,RegularFormula!$D$2)+COUNTIFS($E:$E,$E44,$D:$D,IF($D44=RegularFormula!$D$2,$K$15,$D44))),IFERROR(IF(percentage,percentage,""),""))
</f>
        <v/>
      </c>
      <c r="G44" s="71">
        <f t="array" ref="G44">LET(percentage,XLOOKUP($E44,$K$2:$K$10,M$2:M$10,"",0)/(COUNTIFS($E:$E,$E44,$D:$D,RegularFormula!$D$2)+COUNTIFS($E:$E,$E44,$D:$D,IF($D44=RegularFormula!$D$2,$K$15,$D44))),IFERROR(IF(percentage,percentage,""),""))
</f>
        <v>0.02571428571</v>
      </c>
      <c r="H44" s="71">
        <f t="array" ref="H44">LET(percentage,XLOOKUP($E44,$K$2:$K$10,N$2:N$10,"",0)/(COUNTIFS($E:$E,$E44,$D:$D,RegularFormula!$D$2)+COUNTIFS($E:$E,$E44,$D:$D,IF($D44=RegularFormula!$D$2,$K$15,$D44))),IFERROR(IF(percentage,percentage,""),""))
</f>
        <v>0.01714285714</v>
      </c>
      <c r="I44" s="72" t="str">
        <f t="shared" si="1"/>
        <v>*Based on Mewtwo pack</v>
      </c>
      <c r="J44" s="73">
        <v>0.0</v>
      </c>
      <c r="K44" s="134" t="str">
        <f>C129</f>
        <v>Mewtwo</v>
      </c>
      <c r="L44" s="71">
        <f t="shared" ref="L44:L46" si="7">1-((1-L38)^3*(1-M38)*(1-N38))</f>
        <v>0.04410256011</v>
      </c>
      <c r="M44" s="150" t="s">
        <v>140</v>
      </c>
      <c r="N44" s="119"/>
      <c r="O44" s="120"/>
      <c r="P44" s="103"/>
      <c r="Q44" s="103"/>
      <c r="R44" s="103"/>
      <c r="S44" s="79" t="str">
        <f t="shared" si="2"/>
        <v/>
      </c>
      <c r="T44" s="80" t="str">
        <f>IFERROR(__xludf.DUMMYFUNCTION("IF(
  Q44="""",
  """",
  IF(
   REGEXMATCH(SUBSTITUTE(Q44, "" ex"", """"), TEXTJOIN(""|"", TRUE, INDEX('language&amp;DataTest'!$A$33:$AB$182, , MATCH(HOME!$A$25, 'language&amp;DataTest'!$A$1:$G$1, 0)))),
   IF($M$26,
     IF(COUNTIFS(ARRAYFORMULA(SUBSTITUTE($C$2"&amp;":$C287, "" ex"", """")), SUBSTITUTE(Q44, "" ex"", """"), $J$2:$J287, ""&gt;0"")=0, ""Yes"", ""No""),
     IF(COUNTIFS(ARRAYFORMULA(SUBSTITUTE($C$2:$C287, "" ex"", """")), SUBSTITUTE(Q44, "" ex"", """"), $A$2:$A287, TRUE)=0, ""Yes"", ""No"")
   ),
   ""No""
 "&amp;")
)"),"")</f>
        <v/>
      </c>
    </row>
    <row r="45">
      <c r="A45" s="68" t="b">
        <v>1</v>
      </c>
      <c r="B45" s="69" t="s">
        <v>141</v>
      </c>
      <c r="C45" s="69" t="str">
        <f t="array" ref="C45">TEXTJOIN("", TRUE, IFERROR(INDEX('language&amp;DataTest'!A:J, MATCH(INDEX( PointerTest!C:C, MATCH(B45, PointerTest!A:A, 0), 0), 'language&amp;DataTest'!A:A, 0), MATCH(HOME!$A$25, 'language&amp;DataTest'!$A$1:$H$1, 0))),                      IFERROR(INDEX('language&amp;DataTest'!A:J, MATCH(INDEX( PointerTest!D:D, MATCH(B45, PointerTest!A:A, 0), 0), 'language&amp;DataTest'!A:A, 0), MATCH(HOME!$A$25, 'language&amp;DataTest'!$A$1:$H$1, 0))),                                          
IFERROR(INDEX('language&amp;DataTest'!A:J, MATCH(INDEX( PointerTest!E:E, MATCH(B45, PointerTest!A:A, 0), 0), 'language&amp;DataTest'!A:A, 0), MATCH(HOME!$A$25, 'language&amp;DataTest'!$A$1:$H$1, 0))))</f>
        <v>Magmar</v>
      </c>
      <c r="D45" s="69" t="str">
        <f t="array" ref="D45">INDEX('language&amp;DataTest'!A:J, MATCH(INDEX( PointerTest!D:D, MATCH(INDEX(PointerTest!B:B, MATCH(B45, PointerTest!A:A, 0)), PointerTest!A:A, 0), 0), 'language&amp;DataTest'!A:A, 0), MATCH(HOME!$A$25, 'language&amp;DataTest'!$A$1:$H$1, 0))</f>
        <v>Charizard</v>
      </c>
      <c r="E45" s="69" t="str">
        <f t="array" ref="E45">INDEX( PointerTest!F:F, MATCH(B45, PointerTest!A:A, 0), 0)</f>
        <v>♢</v>
      </c>
      <c r="F45" s="70">
        <f t="array" ref="F45">LET(percentage,XLOOKUP($E45,$K$2:$K$10,L$2:L$10,"",0)/(COUNTIFS($E:$E,$E45,$D:$D,RegularFormula!$D$2)+COUNTIFS($E:$E,$E45,$D:$D,IF($D45=RegularFormula!$D$2,$K$15,$D45))),IFERROR(IF(percentage,percentage,""),""))
</f>
        <v>0.02</v>
      </c>
      <c r="G45" s="71" t="str">
        <f t="array" ref="G45">LET(percentage,XLOOKUP($E45,$K$2:$K$10,M$2:M$10,"",0)/(COUNTIFS($E:$E,$E45,$D:$D,RegularFormula!$D$2)+COUNTIFS($E:$E,$E45,$D:$D,IF($D45=RegularFormula!$D$2,$K$15,$D45))),IFERROR(IF(percentage,percentage,""),""))
</f>
        <v/>
      </c>
      <c r="H45" s="71" t="str">
        <f t="array" ref="H45">LET(percentage,XLOOKUP($E45,$K$2:$K$10,N$2:N$10,"",0)/(COUNTIFS($E:$E,$E45,$D:$D,RegularFormula!$D$2)+COUNTIFS($E:$E,$E45,$D:$D,IF($D45=RegularFormula!$D$2,$K$15,$D45))),IFERROR(IF(percentage,percentage,""),""))
</f>
        <v/>
      </c>
      <c r="I45" s="72" t="str">
        <f t="shared" si="1"/>
        <v/>
      </c>
      <c r="J45" s="73">
        <v>0.0</v>
      </c>
      <c r="K45" s="136" t="str">
        <f>C95</f>
        <v>Pikachu</v>
      </c>
      <c r="L45" s="151">
        <f t="shared" si="7"/>
        <v>0.04410256011</v>
      </c>
      <c r="M45" s="140" t="str">
        <f>IF(L44 = MAX(L44:L46), K44, IF(L45 = MAX(L44:L46), K45, K46))</f>
        <v>Charizard</v>
      </c>
      <c r="N45" s="119"/>
      <c r="O45" s="120"/>
      <c r="P45" s="103"/>
      <c r="Q45" s="103"/>
      <c r="R45" s="103"/>
      <c r="S45" s="79" t="str">
        <f t="shared" si="2"/>
        <v/>
      </c>
      <c r="T45" s="80" t="str">
        <f>IFERROR(__xludf.DUMMYFUNCTION("IF(
  Q45="""",
  """",
  IF(
   REGEXMATCH(SUBSTITUTE(Q45, "" ex"", """"), TEXTJOIN(""|"", TRUE, INDEX('language&amp;DataTest'!$A$33:$AB$182, , MATCH(HOME!$A$25, 'language&amp;DataTest'!$A$1:$G$1, 0)))),
   IF($M$26,
     IF(COUNTIFS(ARRAYFORMULA(SUBSTITUTE($C$2"&amp;":$C287, "" ex"", """")), SUBSTITUTE(Q45, "" ex"", """"), $J$2:$J287, ""&gt;0"")=0, ""Yes"", ""No""),
     IF(COUNTIFS(ARRAYFORMULA(SUBSTITUTE($C$2:$C287, "" ex"", """")), SUBSTITUTE(Q45, "" ex"", """"), $A$2:$A287, TRUE)=0, ""Yes"", ""No"")
   ),
   ""No""
 "&amp;")
)"),"")</f>
        <v/>
      </c>
    </row>
    <row r="46">
      <c r="A46" s="68" t="b">
        <v>1</v>
      </c>
      <c r="B46" s="69" t="s">
        <v>142</v>
      </c>
      <c r="C46" s="69" t="str">
        <f t="array" ref="C46">TEXTJOIN("", TRUE, IFERROR(INDEX('language&amp;DataTest'!A:J, MATCH(INDEX( PointerTest!C:C, MATCH(B46, PointerTest!A:A, 0), 0), 'language&amp;DataTest'!A:A, 0), MATCH(HOME!$A$25, 'language&amp;DataTest'!$A$1:$H$1, 0))),                      IFERROR(INDEX('language&amp;DataTest'!A:J, MATCH(INDEX( PointerTest!D:D, MATCH(B46, PointerTest!A:A, 0), 0), 'language&amp;DataTest'!A:A, 0), MATCH(HOME!$A$25, 'language&amp;DataTest'!$A$1:$H$1, 0))),                                          
IFERROR(INDEX('language&amp;DataTest'!A:J, MATCH(INDEX( PointerTest!E:E, MATCH(B46, PointerTest!A:A, 0), 0), 'language&amp;DataTest'!A:A, 0), MATCH(HOME!$A$25, 'language&amp;DataTest'!$A$1:$H$1, 0))))</f>
        <v>Flareon</v>
      </c>
      <c r="D46" s="69" t="str">
        <f t="array" ref="D46">INDEX('language&amp;DataTest'!A:J, MATCH(INDEX( PointerTest!D:D, MATCH(INDEX(PointerTest!B:B, MATCH(B46, PointerTest!A:A, 0)), PointerTest!A:A, 0), 0), 'language&amp;DataTest'!A:A, 0), MATCH(HOME!$A$25, 'language&amp;DataTest'!$A$1:$H$1, 0))</f>
        <v>Charizard</v>
      </c>
      <c r="E46" s="69" t="str">
        <f t="array" ref="E46">INDEX( PointerTest!F:F, MATCH(B46, PointerTest!A:A, 0), 0)</f>
        <v>♢♢♢</v>
      </c>
      <c r="F46" s="70" t="str">
        <f t="array" ref="F46">LET(percentage,XLOOKUP($E46,$K$2:$K$10,L$2:L$10,"",0)/(COUNTIFS($E:$E,$E46,$D:$D,RegularFormula!$D$2)+COUNTIFS($E:$E,$E46,$D:$D,IF($D46=RegularFormula!$D$2,$K$15,$D46))),IFERROR(IF(percentage,percentage,""),""))
</f>
        <v/>
      </c>
      <c r="G46" s="71">
        <f t="array" ref="G46">LET(percentage,XLOOKUP($E46,$K$2:$K$10,M$2:M$10,"",0)/(COUNTIFS($E:$E,$E46,$D:$D,RegularFormula!$D$2)+COUNTIFS($E:$E,$E46,$D:$D,IF($D46=RegularFormula!$D$2,$K$15,$D46))),IFERROR(IF(percentage,percentage,""),""))
</f>
        <v>0.003571428571</v>
      </c>
      <c r="H46" s="71">
        <f t="array" ref="H46">LET(percentage,XLOOKUP($E46,$K$2:$K$10,N$2:N$10,"",0)/(COUNTIFS($E:$E,$E46,$D:$D,RegularFormula!$D$2)+COUNTIFS($E:$E,$E46,$D:$D,IF($D46=RegularFormula!$D$2,$K$15,$D46))),IFERROR(IF(percentage,percentage,""),""))
</f>
        <v>0.01428571429</v>
      </c>
      <c r="I46" s="72" t="str">
        <f t="shared" si="1"/>
        <v/>
      </c>
      <c r="J46" s="73">
        <v>0.0</v>
      </c>
      <c r="K46" s="152" t="str">
        <f>C36</f>
        <v>Charizard</v>
      </c>
      <c r="L46" s="153">
        <f t="shared" si="7"/>
        <v>0.07120674856</v>
      </c>
      <c r="M46" s="112"/>
      <c r="N46" s="154"/>
      <c r="O46" s="125"/>
      <c r="P46" s="148"/>
      <c r="Q46" s="148"/>
      <c r="R46" s="148"/>
      <c r="S46" s="79" t="str">
        <f t="shared" si="2"/>
        <v/>
      </c>
      <c r="T46" s="80" t="str">
        <f>IFERROR(__xludf.DUMMYFUNCTION("IF(
  Q46="""",
  """",
  IF(
   REGEXMATCH(SUBSTITUTE(Q46, "" ex"", """"), TEXTJOIN(""|"", TRUE, INDEX('language&amp;DataTest'!$A$33:$AB$182, , MATCH(HOME!$A$25, 'language&amp;DataTest'!$A$1:$G$1, 0)))),
   IF($M$26,
     IF(COUNTIFS(ARRAYFORMULA(SUBSTITUTE($C$2"&amp;":$C287, "" ex"", """")), SUBSTITUTE(Q46, "" ex"", """"), $J$2:$J287, ""&gt;0"")=0, ""Yes"", ""No""),
     IF(COUNTIFS(ARRAYFORMULA(SUBSTITUTE($C$2:$C287, "" ex"", """")), SUBSTITUTE(Q46, "" ex"", """"), $A$2:$A287, TRUE)=0, ""Yes"", ""No"")
   ),
   ""No""
 "&amp;")
)"),"")</f>
        <v/>
      </c>
    </row>
    <row r="47">
      <c r="A47" s="68" t="b">
        <v>1</v>
      </c>
      <c r="B47" s="69" t="s">
        <v>143</v>
      </c>
      <c r="C47" s="69" t="str">
        <f t="array" ref="C47">TEXTJOIN("", TRUE, IFERROR(INDEX('language&amp;DataTest'!A:J, MATCH(INDEX( PointerTest!C:C, MATCH(B47, PointerTest!A:A, 0), 0), 'language&amp;DataTest'!A:A, 0), MATCH(HOME!$A$25, 'language&amp;DataTest'!$A$1:$H$1, 0))),                      IFERROR(INDEX('language&amp;DataTest'!A:J, MATCH(INDEX( PointerTest!D:D, MATCH(B47, PointerTest!A:A, 0), 0), 'language&amp;DataTest'!A:A, 0), MATCH(HOME!$A$25, 'language&amp;DataTest'!$A$1:$H$1, 0))),                                          
IFERROR(INDEX('language&amp;DataTest'!A:J, MATCH(INDEX( PointerTest!E:E, MATCH(B47, PointerTest!A:A, 0), 0), 'language&amp;DataTest'!A:A, 0), MATCH(HOME!$A$25, 'language&amp;DataTest'!$A$1:$H$1, 0))))</f>
        <v>Moltres</v>
      </c>
      <c r="D47" s="69" t="str">
        <f t="array" ref="D47">INDEX('language&amp;DataTest'!A:J, MATCH(INDEX( PointerTest!D:D, MATCH(INDEX(PointerTest!B:B, MATCH(B47, PointerTest!A:A, 0)), PointerTest!A:A, 0), 0), 'language&amp;DataTest'!A:A, 0), MATCH(HOME!$A$25, 'language&amp;DataTest'!$A$1:$H$1, 0))</f>
        <v>Charizard</v>
      </c>
      <c r="E47" s="69" t="str">
        <f t="array" ref="E47">INDEX( PointerTest!F:F, MATCH(B47, PointerTest!A:A, 0), 0)</f>
        <v>♢♢♢</v>
      </c>
      <c r="F47" s="70" t="str">
        <f t="array" ref="F47">LET(percentage,XLOOKUP($E47,$K$2:$K$10,L$2:L$10,"",0)/(COUNTIFS($E:$E,$E47,$D:$D,RegularFormula!$D$2)+COUNTIFS($E:$E,$E47,$D:$D,IF($D47=RegularFormula!$D$2,$K$15,$D47))),IFERROR(IF(percentage,percentage,""),""))
</f>
        <v/>
      </c>
      <c r="G47" s="71">
        <f t="array" ref="G47">LET(percentage,XLOOKUP($E47,$K$2:$K$10,M$2:M$10,"",0)/(COUNTIFS($E:$E,$E47,$D:$D,RegularFormula!$D$2)+COUNTIFS($E:$E,$E47,$D:$D,IF($D47=RegularFormula!$D$2,$K$15,$D47))),IFERROR(IF(percentage,percentage,""),""))
</f>
        <v>0.003571428571</v>
      </c>
      <c r="H47" s="71">
        <f t="array" ref="H47">LET(percentage,XLOOKUP($E47,$K$2:$K$10,N$2:N$10,"",0)/(COUNTIFS($E:$E,$E47,$D:$D,RegularFormula!$D$2)+COUNTIFS($E:$E,$E47,$D:$D,IF($D47=RegularFormula!$D$2,$K$15,$D47))),IFERROR(IF(percentage,percentage,""),""))
</f>
        <v>0.01428571429</v>
      </c>
      <c r="I47" s="72" t="str">
        <f t="shared" si="1"/>
        <v/>
      </c>
      <c r="J47" s="73">
        <v>0.0</v>
      </c>
      <c r="K47" s="155" t="s">
        <v>144</v>
      </c>
      <c r="N47" s="156"/>
      <c r="O47" s="157" t="s">
        <v>145</v>
      </c>
      <c r="P47" s="148"/>
      <c r="Q47" s="148"/>
      <c r="R47" s="148"/>
      <c r="S47" s="79" t="str">
        <f t="shared" si="2"/>
        <v/>
      </c>
      <c r="T47" s="80" t="str">
        <f>IFERROR(__xludf.DUMMYFUNCTION("IF(
  Q47="""",
  """",
  IF(
   REGEXMATCH(SUBSTITUTE(Q47, "" ex"", """"), TEXTJOIN(""|"", TRUE, INDEX('language&amp;DataTest'!$A$33:$AB$182, , MATCH(HOME!$A$25, 'language&amp;DataTest'!$A$1:$G$1, 0)))),
   IF($M$26,
     IF(COUNTIFS(ARRAYFORMULA(SUBSTITUTE($C$2"&amp;":$C287, "" ex"", """")), SUBSTITUTE(Q47, "" ex"", """"), $J$2:$J287, ""&gt;0"")=0, ""Yes"", ""No""),
     IF(COUNTIFS(ARRAYFORMULA(SUBSTITUTE($C$2:$C287, "" ex"", """")), SUBSTITUTE(Q47, "" ex"", """"), $A$2:$A287, TRUE)=0, ""Yes"", ""No"")
   ),
   ""No""
 "&amp;")
)"),"")</f>
        <v/>
      </c>
    </row>
    <row r="48">
      <c r="A48" s="68" t="b">
        <v>0</v>
      </c>
      <c r="B48" s="69" t="s">
        <v>146</v>
      </c>
      <c r="C48" s="69" t="str">
        <f t="array" ref="C48">TEXTJOIN("", TRUE, IFERROR(INDEX('language&amp;DataTest'!A:J, MATCH(INDEX( PointerTest!C:C, MATCH(B48, PointerTest!A:A, 0), 0), 'language&amp;DataTest'!A:A, 0), MATCH(HOME!$A$25, 'language&amp;DataTest'!$A$1:$H$1, 0))),                      IFERROR(INDEX('language&amp;DataTest'!A:J, MATCH(INDEX( PointerTest!D:D, MATCH(B48, PointerTest!A:A, 0), 0), 'language&amp;DataTest'!A:A, 0), MATCH(HOME!$A$25, 'language&amp;DataTest'!$A$1:$H$1, 0))),                                          
IFERROR(INDEX('language&amp;DataTest'!A:J, MATCH(INDEX( PointerTest!E:E, MATCH(B48, PointerTest!A:A, 0), 0), 'language&amp;DataTest'!A:A, 0), MATCH(HOME!$A$25, 'language&amp;DataTest'!$A$1:$H$1, 0))))</f>
        <v>Moltres ex</v>
      </c>
      <c r="D48" s="69" t="str">
        <f t="array" ref="D48">INDEX('language&amp;DataTest'!A:J, MATCH(INDEX( PointerTest!D:D, MATCH(INDEX(PointerTest!B:B, MATCH(B48, PointerTest!A:A, 0)), PointerTest!A:A, 0), 0), 'language&amp;DataTest'!A:A, 0), MATCH(HOME!$A$25, 'language&amp;DataTest'!$A$1:$H$1, 0))</f>
        <v>Charizard</v>
      </c>
      <c r="E48" s="69" t="str">
        <f t="array" ref="E48">INDEX( PointerTest!F:F, MATCH(B48, PointerTest!A:A, 0), 0)</f>
        <v>♢♢♢♢</v>
      </c>
      <c r="F48" s="70" t="str">
        <f t="array" ref="F48">LET(percentage,XLOOKUP($E48,$K$2:$K$10,L$2:L$10,"",0)/(COUNTIFS($E:$E,$E48,$D:$D,RegularFormula!$D$2)+COUNTIFS($E:$E,$E48,$D:$D,IF($D48=RegularFormula!$D$2,$K$15,$D48))),IFERROR(IF(percentage,percentage,""),""))
</f>
        <v/>
      </c>
      <c r="G48" s="71">
        <f t="array" ref="G48">LET(percentage,XLOOKUP($E48,$K$2:$K$10,M$2:M$10,"",0)/(COUNTIFS($E:$E,$E48,$D:$D,RegularFormula!$D$2)+COUNTIFS($E:$E,$E48,$D:$D,IF($D48=RegularFormula!$D$2,$K$15,$D48))),IFERROR(IF(percentage,percentage,""),""))
</f>
        <v>0.003332</v>
      </c>
      <c r="H48" s="71">
        <f t="array" ref="H48">LET(percentage,XLOOKUP($E48,$K$2:$K$10,N$2:N$10,"",0)/(COUNTIFS($E:$E,$E48,$D:$D,RegularFormula!$D$2)+COUNTIFS($E:$E,$E48,$D:$D,IF($D48=RegularFormula!$D$2,$K$15,$D48))),IFERROR(IF(percentage,percentage,""),""))
</f>
        <v>0.013328</v>
      </c>
      <c r="I48" s="72" t="str">
        <f t="shared" si="1"/>
        <v/>
      </c>
      <c r="J48" s="73">
        <v>0.0</v>
      </c>
      <c r="K48" s="158"/>
      <c r="N48" s="156"/>
      <c r="O48" s="159"/>
      <c r="P48" s="148"/>
      <c r="Q48" s="148"/>
      <c r="R48" s="148"/>
      <c r="S48" s="79" t="str">
        <f t="shared" si="2"/>
        <v/>
      </c>
      <c r="T48" s="80" t="str">
        <f>IFERROR(__xludf.DUMMYFUNCTION("IF(
  Q48="""",
  """",
  IF(
   REGEXMATCH(SUBSTITUTE(Q48, "" ex"", """"), TEXTJOIN(""|"", TRUE, INDEX('language&amp;DataTest'!$A$33:$AB$182, , MATCH(HOME!$A$25, 'language&amp;DataTest'!$A$1:$G$1, 0)))),
   IF($M$26,
     IF(COUNTIFS(ARRAYFORMULA(SUBSTITUTE($C$2"&amp;":$C287, "" ex"", """")), SUBSTITUTE(Q48, "" ex"", """"), $J$2:$J287, ""&gt;0"")=0, ""Yes"", ""No""),
     IF(COUNTIFS(ARRAYFORMULA(SUBSTITUTE($C$2:$C287, "" ex"", """")), SUBSTITUTE(Q48, "" ex"", """"), $A$2:$A287, TRUE)=0, ""Yes"", ""No"")
   ),
   ""No""
 "&amp;")
)"),"")</f>
        <v/>
      </c>
    </row>
    <row r="49">
      <c r="A49" s="68" t="b">
        <v>1</v>
      </c>
      <c r="B49" s="69" t="s">
        <v>147</v>
      </c>
      <c r="C49" s="69" t="str">
        <f t="array" ref="C49">TEXTJOIN("", TRUE, IFERROR(INDEX('language&amp;DataTest'!A:J, MATCH(INDEX( PointerTest!C:C, MATCH(B49, PointerTest!A:A, 0), 0), 'language&amp;DataTest'!A:A, 0), MATCH(HOME!$A$25, 'language&amp;DataTest'!$A$1:$H$1, 0))),                      IFERROR(INDEX('language&amp;DataTest'!A:J, MATCH(INDEX( PointerTest!D:D, MATCH(B49, PointerTest!A:A, 0), 0), 'language&amp;DataTest'!A:A, 0), MATCH(HOME!$A$25, 'language&amp;DataTest'!$A$1:$H$1, 0))),                                          
IFERROR(INDEX('language&amp;DataTest'!A:J, MATCH(INDEX( PointerTest!E:E, MATCH(B49, PointerTest!A:A, 0), 0), 'language&amp;DataTest'!A:A, 0), MATCH(HOME!$A$25, 'language&amp;DataTest'!$A$1:$H$1, 0))))</f>
        <v>Heatmor</v>
      </c>
      <c r="D49" s="69" t="str">
        <f t="array" ref="D49">INDEX('language&amp;DataTest'!A:J, MATCH(INDEX( PointerTest!D:D, MATCH(INDEX(PointerTest!B:B, MATCH(B49, PointerTest!A:A, 0)), PointerTest!A:A, 0), 0), 'language&amp;DataTest'!A:A, 0), MATCH(HOME!$A$25, 'language&amp;DataTest'!$A$1:$H$1, 0))</f>
        <v>All</v>
      </c>
      <c r="E49" s="69" t="str">
        <f t="array" ref="E49">INDEX( PointerTest!F:F, MATCH(B49, PointerTest!A:A, 0), 0)</f>
        <v>♢</v>
      </c>
      <c r="F49" s="70">
        <f t="array" ref="F49">LET(percentage,XLOOKUP($E49,$K$2:$K$10,L$2:L$10,"",0)/(COUNTIFS($E:$E,$E49,$D:$D,RegularFormula!$D$2)+COUNTIFS($E:$E,$E49,$D:$D,IF($D49=RegularFormula!$D$2,$K$15,$D49))),IFERROR(IF(percentage,percentage,""),""))
</f>
        <v>0.02</v>
      </c>
      <c r="G49" s="71" t="str">
        <f t="array" ref="G49">LET(percentage,XLOOKUP($E49,$K$2:$K$10,M$2:M$10,"",0)/(COUNTIFS($E:$E,$E49,$D:$D,RegularFormula!$D$2)+COUNTIFS($E:$E,$E49,$D:$D,IF($D49=RegularFormula!$D$2,$K$15,$D49))),IFERROR(IF(percentage,percentage,""),""))
</f>
        <v/>
      </c>
      <c r="H49" s="71" t="str">
        <f t="array" ref="H49">LET(percentage,XLOOKUP($E49,$K$2:$K$10,N$2:N$10,"",0)/(COUNTIFS($E:$E,$E49,$D:$D,RegularFormula!$D$2)+COUNTIFS($E:$E,$E49,$D:$D,IF($D49=RegularFormula!$D$2,$K$15,$D49))),IFERROR(IF(percentage,percentage,""),""))
</f>
        <v/>
      </c>
      <c r="I49" s="72" t="str">
        <f t="shared" si="1"/>
        <v>*Based on Mewtwo pack</v>
      </c>
      <c r="J49" s="73">
        <v>0.0</v>
      </c>
      <c r="K49" s="160" t="s">
        <v>148</v>
      </c>
      <c r="L49" s="55" t="s">
        <v>92</v>
      </c>
      <c r="M49" s="55" t="s">
        <v>93</v>
      </c>
      <c r="N49" s="55" t="s">
        <v>94</v>
      </c>
      <c r="O49" s="159"/>
      <c r="P49" s="103"/>
      <c r="Q49" s="103"/>
      <c r="R49" s="103"/>
      <c r="S49" s="79" t="str">
        <f t="shared" si="2"/>
        <v/>
      </c>
      <c r="T49" s="80" t="str">
        <f>IFERROR(__xludf.DUMMYFUNCTION("IF(
  Q49="""",
  """",
  IF(
   REGEXMATCH(SUBSTITUTE(Q49, "" ex"", """"), TEXTJOIN(""|"", TRUE, INDEX('language&amp;DataTest'!$A$33:$AB$182, , MATCH(HOME!$A$25, 'language&amp;DataTest'!$A$1:$G$1, 0)))),
   IF($M$26,
     IF(COUNTIFS(ARRAYFORMULA(SUBSTITUTE($C$2"&amp;":$C287, "" ex"", """")), SUBSTITUTE(Q49, "" ex"", """"), $J$2:$J287, ""&gt;0"")=0, ""Yes"", ""No""),
     IF(COUNTIFS(ARRAYFORMULA(SUBSTITUTE($C$2:$C287, "" ex"", """")), SUBSTITUTE(Q49, "" ex"", """"), $A$2:$A287, TRUE)=0, ""Yes"", ""No"")
   ),
   ""No""
 "&amp;")
)"),"")</f>
        <v/>
      </c>
    </row>
    <row r="50">
      <c r="A50" s="68" t="b">
        <v>1</v>
      </c>
      <c r="B50" s="69" t="s">
        <v>149</v>
      </c>
      <c r="C50" s="69" t="str">
        <f t="array" ref="C50">TEXTJOIN("", TRUE, IFERROR(INDEX('language&amp;DataTest'!A:J, MATCH(INDEX( PointerTest!C:C, MATCH(B50, PointerTest!A:A, 0), 0), 'language&amp;DataTest'!A:A, 0), MATCH(HOME!$A$25, 'language&amp;DataTest'!$A$1:$H$1, 0))),                      IFERROR(INDEX('language&amp;DataTest'!A:J, MATCH(INDEX( PointerTest!D:D, MATCH(B50, PointerTest!A:A, 0), 0), 'language&amp;DataTest'!A:A, 0), MATCH(HOME!$A$25, 'language&amp;DataTest'!$A$1:$H$1, 0))),                                          
IFERROR(INDEX('language&amp;DataTest'!A:J, MATCH(INDEX( PointerTest!E:E, MATCH(B50, PointerTest!A:A, 0), 0), 'language&amp;DataTest'!A:A, 0), MATCH(HOME!$A$25, 'language&amp;DataTest'!$A$1:$H$1, 0))))</f>
        <v>Salandit</v>
      </c>
      <c r="D50" s="69" t="str">
        <f t="array" ref="D50">INDEX('language&amp;DataTest'!A:J, MATCH(INDEX( PointerTest!D:D, MATCH(INDEX(PointerTest!B:B, MATCH(B50, PointerTest!A:A, 0)), PointerTest!A:A, 0), 0), 'language&amp;DataTest'!A:A, 0), MATCH(HOME!$A$25, 'language&amp;DataTest'!$A$1:$H$1, 0))</f>
        <v>Mewtwo</v>
      </c>
      <c r="E50" s="69" t="str">
        <f t="array" ref="E50">INDEX( PointerTest!F:F, MATCH(B50, PointerTest!A:A, 0), 0)</f>
        <v>♢</v>
      </c>
      <c r="F50" s="70">
        <f t="array" ref="F50">LET(percentage,XLOOKUP($E50,$K$2:$K$10,L$2:L$10,"",0)/(COUNTIFS($E:$E,$E50,$D:$D,RegularFormula!$D$2)+COUNTIFS($E:$E,$E50,$D:$D,IF($D50=RegularFormula!$D$2,$K$15,$D50))),IFERROR(IF(percentage,percentage,""),""))
</f>
        <v>0.02</v>
      </c>
      <c r="G50" s="71" t="str">
        <f t="array" ref="G50">LET(percentage,XLOOKUP($E50,$K$2:$K$10,M$2:M$10,"",0)/(COUNTIFS($E:$E,$E50,$D:$D,RegularFormula!$D$2)+COUNTIFS($E:$E,$E50,$D:$D,IF($D50=RegularFormula!$D$2,$K$15,$D50))),IFERROR(IF(percentage,percentage,""),""))
</f>
        <v/>
      </c>
      <c r="H50" s="71" t="str">
        <f t="array" ref="H50">LET(percentage,XLOOKUP($E50,$K$2:$K$10,N$2:N$10,"",0)/(COUNTIFS($E:$E,$E50,$D:$D,RegularFormula!$D$2)+COUNTIFS($E:$E,$E50,$D:$D,IF($D50=RegularFormula!$D$2,$K$15,$D50))),IFERROR(IF(percentage,percentage,""),""))
</f>
        <v/>
      </c>
      <c r="I50" s="72" t="str">
        <f t="shared" si="1"/>
        <v/>
      </c>
      <c r="J50" s="73">
        <v>0.0</v>
      </c>
      <c r="K50" s="161" t="s">
        <v>96</v>
      </c>
      <c r="L50" s="101">
        <f>IFERROR(__xludf.DUMMYFUNCTION("COUNTA(UNIQUE(IFERROR(FILTER(SUBSTITUTE(C2:C287, "" ex"", """"), REGEXMATCH(SUBSTITUTE(C2:C287, "" ex"", """"), TEXTJOIN(""|"", TRUE, INDEX('language&amp;DataTest'!A33:AB182, , MATCH(HOME!$A$25, 'language&amp;DataTest'!$A$1:$G$1, 0)))), A2:A287 = TRUE)))) / COUNT"&amp;"A(UNIQUE(FILTER(SUBSTITUTE(C2:C287, "" ex"", """"), REGEXMATCH(SUBSTITUTE(C2:C287, "" ex"", """"), TEXTJOIN(""|"", TRUE, INDEX('language&amp;DataTest'!A33:AB182, , MATCH(HOME!$A$25, 'language&amp;DataTest'!$A$1:$G$1, 0)))))))"),1.0)</f>
        <v>1</v>
      </c>
      <c r="M50" s="101">
        <f>IFERROR(__xludf.DUMMYFUNCTION("1 - COUNTA(UNIQUE(IFERROR(FILTER(SUBSTITUTE(C2:C287, "" ex"", """"), REGEXMATCH(SUBSTITUTE(C2:C287, "" ex"", """"), TEXTJOIN(""|"", TRUE, INDEX('language&amp;DataTest'!A33:AB182, , MATCH(HOME!$A$25, 'language&amp;DataTest'!$A$1:$G$1, 0)))), A2:A287 = TRUE)))) / C"&amp;"OUNTA(UNIQUE(FILTER(SUBSTITUTE(C2:C287, "" ex"", """"), REGEXMATCH(SUBSTITUTE(C2:C287, "" ex"", """"), TEXTJOIN(""|"", TRUE, INDEX('language&amp;DataTest'!A33:AB182, , MATCH(HOME!$A$25, 'language&amp;DataTest'!$A$1:$G$1, 0)))))))"),0.0)</f>
        <v>0</v>
      </c>
      <c r="N50" s="162" t="str">
        <f>IFERROR(__xludf.DUMMYFUNCTION("COUNTA(UNIQUE(IFERROR(FILTER(SUBSTITUTE(C2:C287, "" ex"", """"), REGEXMATCH(SUBSTITUTE(C2:C287, "" ex"", """"), TEXTJOIN(""|"", TRUE, INDEX('language&amp;DataTest'!A33:AB182, , MATCH(HOME!$A$25, 'language&amp;DataTest'!$A$1:$G$1, 0)))), A2:A287 = TRUE)))) &amp; ""/"""&amp;" &amp; COUNTA(UNIQUE(FILTER(SUBSTITUTE(C2:C287, "" ex"", """"), REGEXMATCH(SUBSTITUTE(C2:C287, "" ex"", """"), TEXTJOIN(""|"", TRUE, INDEX('language&amp;DataTest'!A33:AB182, , MATCH(HOME!$A$25, 'language&amp;DataTest'!$A$1:$G$1, 0)))))))"),"150/150")</f>
        <v>150/150</v>
      </c>
      <c r="O50" s="159"/>
      <c r="P50" s="163"/>
      <c r="Q50" s="163"/>
      <c r="R50" s="163"/>
      <c r="S50" s="79" t="str">
        <f t="shared" si="2"/>
        <v/>
      </c>
      <c r="T50" s="80" t="str">
        <f>IFERROR(__xludf.DUMMYFUNCTION("IF(
  Q50="""",
  """",
  IF(
   REGEXMATCH(SUBSTITUTE(Q50, "" ex"", """"), TEXTJOIN(""|"", TRUE, INDEX('language&amp;DataTest'!$A$33:$AB$182, , MATCH(HOME!$A$25, 'language&amp;DataTest'!$A$1:$G$1, 0)))),
   IF($M$26,
     IF(COUNTIFS(ARRAYFORMULA(SUBSTITUTE($C$2"&amp;":$C287, "" ex"", """")), SUBSTITUTE(Q50, "" ex"", """"), $J$2:$J287, ""&gt;0"")=0, ""Yes"", ""No""),
     IF(COUNTIFS(ARRAYFORMULA(SUBSTITUTE($C$2:$C287, "" ex"", """")), SUBSTITUTE(Q50, "" ex"", """"), $A$2:$A287, TRUE)=0, ""Yes"", ""No"")
   ),
   ""No""
 "&amp;")
)"),"")</f>
        <v/>
      </c>
    </row>
    <row r="51">
      <c r="A51" s="68" t="b">
        <v>1</v>
      </c>
      <c r="B51" s="69" t="s">
        <v>150</v>
      </c>
      <c r="C51" s="69" t="str">
        <f t="array" ref="C51">TEXTJOIN("", TRUE, IFERROR(INDEX('language&amp;DataTest'!A:J, MATCH(INDEX( PointerTest!C:C, MATCH(B51, PointerTest!A:A, 0), 0), 'language&amp;DataTest'!A:A, 0), MATCH(HOME!$A$25, 'language&amp;DataTest'!$A$1:$H$1, 0))),                      IFERROR(INDEX('language&amp;DataTest'!A:J, MATCH(INDEX( PointerTest!D:D, MATCH(B51, PointerTest!A:A, 0), 0), 'language&amp;DataTest'!A:A, 0), MATCH(HOME!$A$25, 'language&amp;DataTest'!$A$1:$H$1, 0))),                                          
IFERROR(INDEX('language&amp;DataTest'!A:J, MATCH(INDEX( PointerTest!E:E, MATCH(B51, PointerTest!A:A, 0), 0), 'language&amp;DataTest'!A:A, 0), MATCH(HOME!$A$25, 'language&amp;DataTest'!$A$1:$H$1, 0))))</f>
        <v>Salazzle</v>
      </c>
      <c r="D51" s="69" t="str">
        <f t="array" ref="D51">INDEX('language&amp;DataTest'!A:J, MATCH(INDEX( PointerTest!D:D, MATCH(INDEX(PointerTest!B:B, MATCH(B51, PointerTest!A:A, 0)), PointerTest!A:A, 0), 0), 'language&amp;DataTest'!A:A, 0), MATCH(HOME!$A$25, 'language&amp;DataTest'!$A$1:$H$1, 0))</f>
        <v>Mewtwo</v>
      </c>
      <c r="E51" s="69" t="str">
        <f t="array" ref="E51">INDEX( PointerTest!F:F, MATCH(B51, PointerTest!A:A, 0), 0)</f>
        <v>♢</v>
      </c>
      <c r="F51" s="70">
        <f t="array" ref="F51">LET(percentage,XLOOKUP($E51,$K$2:$K$10,L$2:L$10,"",0)/(COUNTIFS($E:$E,$E51,$D:$D,RegularFormula!$D$2)+COUNTIFS($E:$E,$E51,$D:$D,IF($D51=RegularFormula!$D$2,$K$15,$D51))),IFERROR(IF(percentage,percentage,""),""))
</f>
        <v>0.02</v>
      </c>
      <c r="G51" s="71" t="str">
        <f t="array" ref="G51">LET(percentage,XLOOKUP($E51,$K$2:$K$10,M$2:M$10,"",0)/(COUNTIFS($E:$E,$E51,$D:$D,RegularFormula!$D$2)+COUNTIFS($E:$E,$E51,$D:$D,IF($D51=RegularFormula!$D$2,$K$15,$D51))),IFERROR(IF(percentage,percentage,""),""))
</f>
        <v/>
      </c>
      <c r="H51" s="71" t="str">
        <f t="array" ref="H51">LET(percentage,XLOOKUP($E51,$K$2:$K$10,N$2:N$10,"",0)/(COUNTIFS($E:$E,$E51,$D:$D,RegularFormula!$D$2)+COUNTIFS($E:$E,$E51,$D:$D,IF($D51=RegularFormula!$D$2,$K$15,$D51))),IFERROR(IF(percentage,percentage,""),""))
</f>
        <v/>
      </c>
      <c r="I51" s="72" t="str">
        <f t="shared" si="1"/>
        <v/>
      </c>
      <c r="J51" s="73">
        <v>0.0</v>
      </c>
      <c r="K51" s="164" t="str">
        <f>C129</f>
        <v>Mewtwo</v>
      </c>
      <c r="L51" s="105">
        <f>IFERROR(__xludf.DUMMYFUNCTION("IF(SUM(ARRAYFORMULA(IF((D2:D287 = K51) * REGEXMATCH(SUBSTITUTE(C2:C287, "" ex"", """"), TEXTJOIN(""|"", TRUE, INDEX('language&amp;DataTest'!A33:AB182, , MATCH(HOME!$A$25, 'language&amp;DataTest'!$A$1:$G$1, 0)))), 1 / COUNTIFS(SUBSTITUTE(C2:C287, "" ex"", """"), S"&amp;"UBSTITUTE(C2:C287, "" ex"", """"), D2:D287, K51), 0))) &gt; 0,
(SUM(ARRAYFORMULA(IF((D2:D287 = K51) * REGEXMATCH(SUBSTITUTE(C2:C287, "" ex"", """"), TEXTJOIN(""|"", TRUE, INDEX('language&amp;DataTest'!A33:AB182, , MATCH(HOME!$A$25, 'language&amp;DataTest'!$A$1:$G$1,"&amp;" 0)))), 1 / COUNTIFS(SUBSTITUTE(C2:C287, "" ex"", """"), SUBSTITUTE(C2:C287, "" ex"", """"), D2:D287, K51), 0))) - 
SUM(ARRAYFORMULA(IF((A2:A287 = FALSE) * (D2:D287 = K51) * REGEXMATCH(SUBSTITUTE(C2:C287, "" ex"", """"), TEXTJOIN(""|"", TRUE, INDEX('langu"&amp;"age&amp;DataTest'!A33:AB182, , MATCH(HOME!$A$25, 'language&amp;DataTest'!$A$1:$G$1, 0)))) * (COUNTIFS(SUBSTITUTE(C2:C287, "" ex"", """"), SUBSTITUTE(C2:C287, "" ex"", """"), A2:A287, TRUE) = 0), 1 / COUNTIFS(SUBSTITUTE(C2:C287, "" ex"", """"), SUBSTITUTE(C2:C287,"&amp;" "" ex"", """"), D2:D287, K51), 0)))) / 
SUM(ARRAYFORMULA(IF((D2:D287 = K51) * REGEXMATCH(SUBSTITUTE(C2:C287, "" ex"", """"), TEXTJOIN(""|"", TRUE, INDEX('language&amp;DataTest'!A33:AB182, , MATCH(HOME!$A$25, 'language&amp;DataTest'!$A$1:$G$1, 0)))), 1 / COUNTIFS"&amp;"(SUBSTITUTE(C2:C287, "" ex"", """"), SUBSTITUTE(C2:C287, "" ex"", """"), D2:D287, K51), 0))), 0)
"),1.0)</f>
        <v>1</v>
      </c>
      <c r="M51" s="105">
        <f>IFERROR(__xludf.DUMMYFUNCTION("IF(SUM(ARRAYFORMULA(IF((D2:D287 = K51) * REGEXMATCH(SUBSTITUTE(C2:C287, "" ex"", """"), TEXTJOIN(""|"", TRUE, INDEX('language&amp;DataTest'!A33:AB182, , MATCH(HOME!$A$25, 'language&amp;DataTest'!$A$1:$G$1, 0)))), 1 / COUNTIFS(SUBSTITUTE(C2:C287, "" ex"", """"), S"&amp;"UBSTITUTE(C2:C287, "" ex"", """"), D2:D287, K51), 0))) &gt; 0,
SUM(ARRAYFORMULA(IF((A2:A287 = FALSE) * (D2:D287 = K51) * REGEXMATCH(SUBSTITUTE(C2:C287, "" ex"", """"), TEXTJOIN(""|"", TRUE, INDEX('language&amp;DataTest'!A33:AB182, , MATCH(HOME!$A$25, 'language&amp;D"&amp;"ataTest'!$A$1:$G$1, 0)))) * (COUNTIFS(SUBSTITUTE(C2:C287, "" ex"", """"), SUBSTITUTE(C2:C287, "" ex"", """"), A2:A287, TRUE) = 0), 1 / COUNTIFS(SUBSTITUTE(C2:C287, "" ex"", """"), SUBSTITUTE(C2:C287, "" ex"", """"), D2:D287, K51), 0))) /
SUM(ARRAYFORMULA("&amp;"IF((D2:D287 = K51) * REGEXMATCH(SUBSTITUTE(C2:C287, "" ex"", """"), TEXTJOIN(""|"", TRUE, INDEX('language&amp;DataTest'!A33:AB182, , MATCH(HOME!$A$25, 'language&amp;DataTest'!$A$1:$G$1, 0)))), 1 / COUNTIFS(SUBSTITUTE(C2:C287, "" ex"", """"), SUBSTITUTE(C2:C287, "&amp;""" ex"", """"), D2:D287, K51), 0))), 0)
"),0.0)</f>
        <v>0</v>
      </c>
      <c r="N51" s="165" t="str">
        <f>IFERROR(__xludf.DUMMYFUNCTION("(SUM(ARRAYFORMULA(IF((D2:D287 = K51) * REGEXMATCH(SUBSTITUTE(C2:C287, "" ex"", """"), TEXTJOIN(""|"", TRUE, INDEX('language&amp;DataTest'!A33:AB182, , MATCH(HOME!$A$25, 'language&amp;DataTest'!$A$1:$G$1, 0)))), 1 / COUNTIFS(SUBSTITUTE(C2:C287, "" ex"", """"), SUB"&amp;"STITUTE(C2:C287, "" ex"", """"), D2:D287, K51), 0))) - 
SUM(ARRAYFORMULA(IF((A2:A287 = FALSE) * (D2:D287 = K51) * REGEXMATCH(SUBSTITUTE(C2:C287, "" ex"", """"), TEXTJOIN(""|"", TRUE, INDEX('language&amp;DataTest'!A33:AB182, , MATCH(HOME!$A$25, 'language&amp;DataT"&amp;"est'!$A$1:$G$1, 0)))) * (COUNTIFS(SUBSTITUTE(C2:C287, "" ex"", """"), SUBSTITUTE(C2:C287, "" ex"", """"), A2:A287, TRUE) = 0), 1 / COUNTIFS(SUBSTITUTE(C2:C287, "" ex"", """"), SUBSTITUTE(C2:C287, "" ex"", """"), D2:D287, K51), 0)))) &amp; 
""/"" &amp; 
SUM(ARRAYF"&amp;"ORMULA(IF((D2:D287 = K51) * REGEXMATCH(SUBSTITUTE(C2:C287, "" ex"", """"), TEXTJOIN(""|"", TRUE, INDEX('language&amp;DataTest'!A33:AB182, , MATCH(HOME!$A$25, 'language&amp;DataTest'!$A$1:$G$1, 0)))), 1 / COUNTIFS(SUBSTITUTE(C2:C287, "" ex"", """"), SUBSTITUTE(C2:"&amp;"C287, "" ex"", """"), D2:D287, K51), 0)))
"),"45/45")</f>
        <v>45/45</v>
      </c>
      <c r="O51" s="159"/>
      <c r="P51" s="163"/>
      <c r="Q51" s="163"/>
      <c r="R51" s="163"/>
      <c r="S51" s="79" t="str">
        <f t="shared" si="2"/>
        <v/>
      </c>
      <c r="T51" s="80" t="str">
        <f>IFERROR(__xludf.DUMMYFUNCTION("IF(
  Q51="""",
  """",
  IF(
   REGEXMATCH(SUBSTITUTE(Q51, "" ex"", """"), TEXTJOIN(""|"", TRUE, INDEX('language&amp;DataTest'!$A$33:$AB$182, , MATCH(HOME!$A$25, 'language&amp;DataTest'!$A$1:$G$1, 0)))),
   IF($M$26,
     IF(COUNTIFS(ARRAYFORMULA(SUBSTITUTE($C$2"&amp;":$C287, "" ex"", """")), SUBSTITUTE(Q51, "" ex"", """"), $J$2:$J287, ""&gt;0"")=0, ""Yes"", ""No""),
     IF(COUNTIFS(ARRAYFORMULA(SUBSTITUTE($C$2:$C287, "" ex"", """")), SUBSTITUTE(Q51, "" ex"", """"), $A$2:$A287, TRUE)=0, ""Yes"", ""No"")
   ),
   ""No""
 "&amp;")
)"),"")</f>
        <v/>
      </c>
    </row>
    <row r="52">
      <c r="A52" s="68" t="b">
        <v>1</v>
      </c>
      <c r="B52" s="69" t="s">
        <v>151</v>
      </c>
      <c r="C52" s="69" t="str">
        <f t="array" ref="C52">TEXTJOIN("", TRUE, IFERROR(INDEX('language&amp;DataTest'!A:J, MATCH(INDEX( PointerTest!C:C, MATCH(B52, PointerTest!A:A, 0), 0), 'language&amp;DataTest'!A:A, 0), MATCH(HOME!$A$25, 'language&amp;DataTest'!$A$1:$H$1, 0))),                      IFERROR(INDEX('language&amp;DataTest'!A:J, MATCH(INDEX( PointerTest!D:D, MATCH(B52, PointerTest!A:A, 0), 0), 'language&amp;DataTest'!A:A, 0), MATCH(HOME!$A$25, 'language&amp;DataTest'!$A$1:$H$1, 0))),                                          
IFERROR(INDEX('language&amp;DataTest'!A:J, MATCH(INDEX( PointerTest!E:E, MATCH(B52, PointerTest!A:A, 0), 0), 'language&amp;DataTest'!A:A, 0), MATCH(HOME!$A$25, 'language&amp;DataTest'!$A$1:$H$1, 0))))</f>
        <v>Sizzlipede</v>
      </c>
      <c r="D52" s="69" t="str">
        <f t="array" ref="D52">INDEX('language&amp;DataTest'!A:J, MATCH(INDEX( PointerTest!D:D, MATCH(INDEX(PointerTest!B:B, MATCH(B52, PointerTest!A:A, 0)), PointerTest!A:A, 0), 0), 'language&amp;DataTest'!A:A, 0), MATCH(HOME!$A$25, 'language&amp;DataTest'!$A$1:$H$1, 0))</f>
        <v>All</v>
      </c>
      <c r="E52" s="69" t="str">
        <f t="array" ref="E52">INDEX( PointerTest!F:F, MATCH(B52, PointerTest!A:A, 0), 0)</f>
        <v>♢</v>
      </c>
      <c r="F52" s="70">
        <f t="array" ref="F52">LET(percentage,XLOOKUP($E52,$K$2:$K$10,L$2:L$10,"",0)/(COUNTIFS($E:$E,$E52,$D:$D,RegularFormula!$D$2)+COUNTIFS($E:$E,$E52,$D:$D,IF($D52=RegularFormula!$D$2,$K$15,$D52))),IFERROR(IF(percentage,percentage,""),""))
</f>
        <v>0.02</v>
      </c>
      <c r="G52" s="71" t="str">
        <f t="array" ref="G52">LET(percentage,XLOOKUP($E52,$K$2:$K$10,M$2:M$10,"",0)/(COUNTIFS($E:$E,$E52,$D:$D,RegularFormula!$D$2)+COUNTIFS($E:$E,$E52,$D:$D,IF($D52=RegularFormula!$D$2,$K$15,$D52))),IFERROR(IF(percentage,percentage,""),""))
</f>
        <v/>
      </c>
      <c r="H52" s="71" t="str">
        <f t="array" ref="H52">LET(percentage,XLOOKUP($E52,$K$2:$K$10,N$2:N$10,"",0)/(COUNTIFS($E:$E,$E52,$D:$D,RegularFormula!$D$2)+COUNTIFS($E:$E,$E52,$D:$D,IF($D52=RegularFormula!$D$2,$K$15,$D52))),IFERROR(IF(percentage,percentage,""),""))
</f>
        <v/>
      </c>
      <c r="I52" s="72" t="str">
        <f t="shared" si="1"/>
        <v>*Based on Mewtwo pack</v>
      </c>
      <c r="J52" s="73">
        <v>0.0</v>
      </c>
      <c r="K52" s="166" t="str">
        <f>C95</f>
        <v>Pikachu</v>
      </c>
      <c r="L52" s="167">
        <f>IFERROR(__xludf.DUMMYFUNCTION("IF(SUM(ARRAYFORMULA(IF((D2:D287 = K52) * REGEXMATCH(SUBSTITUTE(C2:C287, "" ex"", """"), TEXTJOIN(""|"", TRUE, INDEX('language&amp;DataTest'!A33:AB182, , MATCH(HOME!$A$25, 'language&amp;DataTest'!$A$1:$G$1, 0)))), 1 / COUNTIFS(SUBSTITUTE(C2:C287, "" ex"", """"), S"&amp;"UBSTITUTE(C2:C287, "" ex"", """"), D2:D287, K52), 0))) &gt; 0,
(SUM(ARRAYFORMULA(IF((D2:D287 = K52) * REGEXMATCH(SUBSTITUTE(C2:C287, "" ex"", """"), TEXTJOIN(""|"", TRUE, INDEX('language&amp;DataTest'!A33:AB182, , MATCH(HOME!$A$25, 'language&amp;DataTest'!$A$1:$G$1,"&amp;" 0)))), 1 / COUNTIFS(SUBSTITUTE(C2:C287, "" ex"", """"), SUBSTITUTE(C2:C287, "" ex"", """"), D2:D287, K52), 0))) - 
SUM(ARRAYFORMULA(IF((A2:A287 = FALSE) * (D2:D287 = K52) * REGEXMATCH(SUBSTITUTE(C2:C287, "" ex"", """"), TEXTJOIN(""|"", TRUE, INDEX('langu"&amp;"age&amp;DataTest'!A33:AB182, , MATCH(HOME!$A$25, 'language&amp;DataTest'!$A$1:$G$1, 0)))) * (COUNTIFS(SUBSTITUTE(C2:C287, "" ex"", """"), SUBSTITUTE(C2:C287, "" ex"", """"), A2:A287, TRUE) = 0), 1 / COUNTIFS(SUBSTITUTE(C2:C287, "" ex"", """"), SUBSTITUTE(C2:C287,"&amp;" "" ex"", """"), D2:D287, K52), 0)))) / 
SUM(ARRAYFORMULA(IF((D2:D287 = K52) * REGEXMATCH(SUBSTITUTE(C2:C287, "" ex"", """"), TEXTJOIN(""|"", TRUE, INDEX('language&amp;DataTest'!A33:AB182, , MATCH(HOME!$A$25, 'language&amp;DataTest'!$A$1:$G$1, 0)))), 1 / COUNTIFS"&amp;"(SUBSTITUTE(C2:C287, "" ex"", """"), SUBSTITUTE(C2:C287, "" ex"", """"), D2:D287, K52), 0))), 0)
"),1.0)</f>
        <v>1</v>
      </c>
      <c r="M52" s="167">
        <f>IFERROR(__xludf.DUMMYFUNCTION("IF(SUM(ARRAYFORMULA(IF((D2:D287 = K52) * REGEXMATCH(SUBSTITUTE(C2:C287, "" ex"", """"), TEXTJOIN(""|"", TRUE, INDEX('language&amp;DataTest'!A33:AB182, , MATCH(HOME!$A$25, 'language&amp;DataTest'!$A$1:$G$1, 0)))), 1 / COUNTIFS(SUBSTITUTE(C2:C287, "" ex"", """"), S"&amp;"UBSTITUTE(C2:C287, "" ex"", """"), D2:D287, K52), 0))) &gt; 0,
SUM(ARRAYFORMULA(IF((A2:A287 = FALSE) * (D2:D287 = K52) * REGEXMATCH(SUBSTITUTE(C2:C287, "" ex"", """"), TEXTJOIN(""|"", TRUE, INDEX('language&amp;DataTest'!A33:AB182, , MATCH(HOME!$A$25, 'language&amp;D"&amp;"ataTest'!$A$1:$G$1, 0)))) * (COUNTIFS(SUBSTITUTE(C2:C287, "" ex"", """"), SUBSTITUTE(C2:C287, "" ex"", """"), A2:A287, TRUE) = 0), 1 / COUNTIFS(SUBSTITUTE(C2:C287, "" ex"", """"), SUBSTITUTE(C2:C287, "" ex"", """"), D2:D287, K52), 0))) /
SUM(ARRAYFORMULA("&amp;"IF((D2:D287 = K52) * REGEXMATCH(SUBSTITUTE(C2:C287, "" ex"", """"), TEXTJOIN(""|"", TRUE, INDEX('language&amp;DataTest'!A33:AB182, , MATCH(HOME!$A$25, 'language&amp;DataTest'!$A$1:$G$1, 0)))), 1 / COUNTIFS(SUBSTITUTE(C2:C287, "" ex"", """"), SUBSTITUTE(C2:C287, "&amp;""" ex"", """"), D2:D287, K52), 0))), 0)
"),0.0)</f>
        <v>0</v>
      </c>
      <c r="N52" s="168" t="str">
        <f>IFERROR(__xludf.DUMMYFUNCTION("TEXT(SUM(ARRAYFORMULA(IF((D2:D287 = K52) * REGEXMATCH(SUBSTITUTE(C2:C287, "" ex"", """"), TEXTJOIN(""|"", TRUE, INDEX('language&amp;DataTest'!A33:AB182, , MATCH(HOME!$A$25, 'language&amp;DataTest'!$A$1:$G$1, 0)))), 1 / COUNTIFS(SUBSTITUTE(C2:C287, "" ex"", """"),"&amp;" SUBSTITUTE(C2:C287, "" ex"", """"), D2:D287, K52), 0))) - 
SUM(ARRAYFORMULA(IF((A2:A287 = FALSE) * (D2:D287 = K52) * REGEXMATCH(SUBSTITUTE(C2:C287, "" ex"", """"), TEXTJOIN(""|"", TRUE, INDEX('language&amp;DataTest'!A33:AB182, , MATCH(HOME!$A$25, 'language&amp;D"&amp;"ataTest'!$A$1:$G$1, 0)))) * (COUNTIFS(SUBSTITUTE(C2:C287, "" ex"", """"), SUBSTITUTE(C2:C287, "" ex"", """"), A2:A287, TRUE) = 0), 1 / COUNTIFS(SUBSTITUTE(C2:C287, "" ex"", """"), SUBSTITUTE(C2:C287, "" ex"", """"), D2:D287, K52), 0))), ""0"") &amp; 
""/"" &amp; "&amp;"
TEXT(SUM(ARRAYFORMULA(IF((D2:D287 = K52) * REGEXMATCH(SUBSTITUTE(C2:C287, "" ex"", """"), TEXTJOIN(""|"", TRUE, INDEX('language&amp;DataTest'!A33:AB182, , MATCH(HOME!$A$25, 'language&amp;DataTest'!$A$1:$G$1, 0)))), 1 / COUNTIFS(SUBSTITUTE(C2:C287, "" ex"", """")"&amp;", SUBSTITUTE(C2:C287, "" ex"", """"), D2:D287, K52), 0))), ""0"")
"),"50/50")</f>
        <v>50/50</v>
      </c>
      <c r="O52" s="159"/>
      <c r="P52" s="163"/>
      <c r="Q52" s="163"/>
      <c r="R52" s="163"/>
      <c r="S52" s="79" t="str">
        <f t="shared" si="2"/>
        <v/>
      </c>
      <c r="T52" s="80" t="str">
        <f>IFERROR(__xludf.DUMMYFUNCTION("IF(
  Q52="""",
  """",
  IF(
   REGEXMATCH(SUBSTITUTE(Q52, "" ex"", """"), TEXTJOIN(""|"", TRUE, INDEX('language&amp;DataTest'!$A$33:$AB$182, , MATCH(HOME!$A$25, 'language&amp;DataTest'!$A$1:$G$1, 0)))),
   IF($M$26,
     IF(COUNTIFS(ARRAYFORMULA(SUBSTITUTE($C$2"&amp;":$C287, "" ex"", """")), SUBSTITUTE(Q52, "" ex"", """"), $J$2:$J287, ""&gt;0"")=0, ""Yes"", ""No""),
     IF(COUNTIFS(ARRAYFORMULA(SUBSTITUTE($C$2:$C287, "" ex"", """")), SUBSTITUTE(Q52, "" ex"", """"), $A$2:$A287, TRUE)=0, ""Yes"", ""No"")
   ),
   ""No""
 "&amp;")
)"),"")</f>
        <v/>
      </c>
    </row>
    <row r="53">
      <c r="A53" s="68" t="b">
        <v>1</v>
      </c>
      <c r="B53" s="69" t="s">
        <v>152</v>
      </c>
      <c r="C53" s="69" t="str">
        <f t="array" ref="C53">TEXTJOIN("", TRUE, IFERROR(INDEX('language&amp;DataTest'!A:J, MATCH(INDEX( PointerTest!C:C, MATCH(B53, PointerTest!A:A, 0), 0), 'language&amp;DataTest'!A:A, 0), MATCH(HOME!$A$25, 'language&amp;DataTest'!$A$1:$H$1, 0))),                      IFERROR(INDEX('language&amp;DataTest'!A:J, MATCH(INDEX( PointerTest!D:D, MATCH(B53, PointerTest!A:A, 0), 0), 'language&amp;DataTest'!A:A, 0), MATCH(HOME!$A$25, 'language&amp;DataTest'!$A$1:$H$1, 0))),                                          
IFERROR(INDEX('language&amp;DataTest'!A:J, MATCH(INDEX( PointerTest!E:E, MATCH(B53, PointerTest!A:A, 0), 0), 'language&amp;DataTest'!A:A, 0), MATCH(HOME!$A$25, 'language&amp;DataTest'!$A$1:$H$1, 0))))</f>
        <v>Centiskorch</v>
      </c>
      <c r="D53" s="69" t="str">
        <f t="array" ref="D53">INDEX('language&amp;DataTest'!A:J, MATCH(INDEX( PointerTest!D:D, MATCH(INDEX(PointerTest!B:B, MATCH(B53, PointerTest!A:A, 0)), PointerTest!A:A, 0), 0), 'language&amp;DataTest'!A:A, 0), MATCH(HOME!$A$25, 'language&amp;DataTest'!$A$1:$H$1, 0))</f>
        <v>All</v>
      </c>
      <c r="E53" s="69" t="str">
        <f t="array" ref="E53">INDEX( PointerTest!F:F, MATCH(B53, PointerTest!A:A, 0), 0)</f>
        <v>♢♢</v>
      </c>
      <c r="F53" s="70" t="str">
        <f t="array" ref="F53">LET(percentage,XLOOKUP($E53,$K$2:$K$10,L$2:L$10,"",0)/(COUNTIFS($E:$E,$E53,$D:$D,RegularFormula!$D$2)+COUNTIFS($E:$E,$E53,$D:$D,IF($D53=RegularFormula!$D$2,$K$15,$D53))),IFERROR(IF(percentage,percentage,""),""))
</f>
        <v/>
      </c>
      <c r="G53" s="71">
        <f t="array" ref="G53">LET(percentage,XLOOKUP($E53,$K$2:$K$10,M$2:M$10,"",0)/(COUNTIFS($E:$E,$E53,$D:$D,RegularFormula!$D$2)+COUNTIFS($E:$E,$E53,$D:$D,IF($D53=RegularFormula!$D$2,$K$15,$D53))),IFERROR(IF(percentage,percentage,""),""))
</f>
        <v>0.02571428571</v>
      </c>
      <c r="H53" s="71">
        <f t="array" ref="H53">LET(percentage,XLOOKUP($E53,$K$2:$K$10,N$2:N$10,"",0)/(COUNTIFS($E:$E,$E53,$D:$D,RegularFormula!$D$2)+COUNTIFS($E:$E,$E53,$D:$D,IF($D53=RegularFormula!$D$2,$K$15,$D53))),IFERROR(IF(percentage,percentage,""),""))
</f>
        <v>0.01714285714</v>
      </c>
      <c r="I53" s="72" t="str">
        <f t="shared" si="1"/>
        <v>*Based on Mewtwo pack</v>
      </c>
      <c r="J53" s="73">
        <v>0.0</v>
      </c>
      <c r="K53" s="169" t="str">
        <f>C36</f>
        <v>Charizard</v>
      </c>
      <c r="L53" s="170">
        <f>IFERROR(__xludf.DUMMYFUNCTION("IF(SUM(ARRAYFORMULA(IF((D2:D287 = K53) * REGEXMATCH(SUBSTITUTE(C2:C287, "" ex"", """"), TEXTJOIN(""|"", TRUE, INDEX('language&amp;DataTest'!A33:AB182, , MATCH(HOME!$A$25, 'language&amp;DataTest'!$A$1:$G$1, 0)))), 1 / COUNTIFS(SUBSTITUTE(C2:C287, "" ex"", """"), S"&amp;"UBSTITUTE(C2:C287, "" ex"", """"), D2:D287, K53), 0))) &gt; 0,
(SUM(ARRAYFORMULA(IF((D2:D287 = K53) * REGEXMATCH(SUBSTITUTE(C2:C287, "" ex"", """"), TEXTJOIN(""|"", TRUE, INDEX('language&amp;DataTest'!A33:AB182, , MATCH(HOME!$A$25, 'language&amp;DataTest'!$A$1:$G$1,"&amp;" 0)))), 1 / COUNTIFS(SUBSTITUTE(C2:C287, "" ex"", """"), SUBSTITUTE(C2:C287, "" ex"", """"), D2:D287, K53), 0))) - 
SUM(ARRAYFORMULA(IF((A2:A287 = FALSE) * (D2:D287 = K53) * REGEXMATCH(SUBSTITUTE(C2:C287, "" ex"", """"), TEXTJOIN(""|"", TRUE, INDEX('langu"&amp;"age&amp;DataTest'!A33:AB182, , MATCH(HOME!$A$25, 'language&amp;DataTest'!$A$1:$G$1, 0)))) * (COUNTIFS(SUBSTITUTE(C2:C287, "" ex"", """"), SUBSTITUTE(C2:C287, "" ex"", """"), A2:A287, TRUE) = 0), 1 / COUNTIFS(SUBSTITUTE(C2:C287, "" ex"", """"), SUBSTITUTE(C2:C287,"&amp;" "" ex"", """"), D2:D287, K53), 0)))) / 
SUM(ARRAYFORMULA(IF((D2:D287 = K53) * REGEXMATCH(SUBSTITUTE(C2:C287, "" ex"", """"), TEXTJOIN(""|"", TRUE, INDEX('language&amp;DataTest'!A33:AB182, , MATCH(HOME!$A$25, 'language&amp;DataTest'!$A$1:$G$1, 0)))), 1 / COUNTIFS"&amp;"(SUBSTITUTE(C2:C287, "" ex"", """"), SUBSTITUTE(C2:C287, "" ex"", """"), D2:D287, K53), 0))), 0)
"),1.0)</f>
        <v>1</v>
      </c>
      <c r="M53" s="170">
        <f>IFERROR(__xludf.DUMMYFUNCTION("IF(SUM(ARRAYFORMULA(IF((D2:D287 = K53) * REGEXMATCH(SUBSTITUTE(C2:C287, "" ex"", """"), TEXTJOIN(""|"", TRUE, INDEX('language&amp;DataTest'!A33:AB182, , MATCH(HOME!$A$25, 'language&amp;DataTest'!$A$1:$G$1, 0)))), 1 / COUNTIFS(SUBSTITUTE(C2:C287, "" ex"", """"), S"&amp;"UBSTITUTE(C2:C287, "" ex"", """"), D2:D287, K53), 0))) &gt; 0,
SUM(ARRAYFORMULA(IF((A2:A287 = FALSE) * (D2:D287 = K53) * REGEXMATCH(SUBSTITUTE(C2:C287, "" ex"", """"), TEXTJOIN(""|"", TRUE, INDEX('language&amp;DataTest'!A33:AB182, , MATCH(HOME!$A$25, 'language&amp;D"&amp;"ataTest'!$A$1:$G$1, 0)))) * (COUNTIFS(SUBSTITUTE(C2:C287, "" ex"", """"), SUBSTITUTE(C2:C287, "" ex"", """"), A2:A287, TRUE) = 0), 1 / COUNTIFS(SUBSTITUTE(C2:C287, "" ex"", """"), SUBSTITUTE(C2:C287, "" ex"", """"), D2:D287, K53), 0))) /
SUM(ARRAYFORMULA("&amp;"IF((D2:D287 = K53) * REGEXMATCH(SUBSTITUTE(C2:C287, "" ex"", """"), TEXTJOIN(""|"", TRUE, INDEX('language&amp;DataTest'!A33:AB182, , MATCH(HOME!$A$25, 'language&amp;DataTest'!$A$1:$G$1, 0)))), 1 / COUNTIFS(SUBSTITUTE(C2:C287, "" ex"", """"), SUBSTITUTE(C2:C287, "&amp;""" ex"", """"), D2:D287, K53), 0))), 0)
"),0.0)</f>
        <v>0</v>
      </c>
      <c r="N53" s="171" t="str">
        <f>IFERROR(__xludf.DUMMYFUNCTION("(SUM(ARRAYFORMULA(IF((D2:D287 = K53) * REGEXMATCH(SUBSTITUTE(C2:C287, "" ex"", """"), TEXTJOIN(""|"", TRUE, INDEX('language&amp;DataTest'!A33:AB182, , MATCH(HOME!$A$25, 'language&amp;DataTest'!$A$1:$G$1, 0)))), 1 / COUNTIFS(SUBSTITUTE(C2:C287, "" ex"", """"), SUB"&amp;"STITUTE(C2:C287, "" ex"", """"), D2:D287, K53), 0))) - 
SUM(ARRAYFORMULA(IF((A2:A287 = FALSE) * (D2:D287 = K53) * REGEXMATCH(SUBSTITUTE(C2:C287, "" ex"", """"), TEXTJOIN(""|"", TRUE, INDEX('language&amp;DataTest'!A33:AB182, , MATCH(HOME!$A$25, 'language&amp;DataT"&amp;"est'!$A$1:$G$1, 0)))) * (COUNTIFS(SUBSTITUTE(C2:C287, "" ex"", """"), SUBSTITUTE(C2:C287, "" ex"", """"), A2:A287, TRUE) = 0), 1 / COUNTIFS(SUBSTITUTE(C2:C287, "" ex"", """"), SUBSTITUTE(C2:C287, "" ex"", """"), D2:D287, K53), 0)))) &amp; 
""/"" &amp; 
SUM(ARRAYF"&amp;"ORMULA(IF((D2:D287 = K53) * REGEXMATCH(SUBSTITUTE(C2:C287, "" ex"", """"), TEXTJOIN(""|"", TRUE, INDEX('language&amp;DataTest'!A33:AB182, , MATCH(HOME!$A$25, 'language&amp;DataTest'!$A$1:$G$1, 0)))), 1 / COUNTIFS(SUBSTITUTE(C2:C287, "" ex"", """"), SUBSTITUTE(C2:"&amp;"C287, "" ex"", """"), D2:D287, K53), 0)))
"),"44/44")</f>
        <v>44/44</v>
      </c>
      <c r="O53" s="159"/>
      <c r="P53" s="163"/>
      <c r="Q53" s="163"/>
      <c r="R53" s="163"/>
      <c r="S53" s="79" t="str">
        <f t="shared" si="2"/>
        <v/>
      </c>
      <c r="T53" s="80" t="str">
        <f>IFERROR(__xludf.DUMMYFUNCTION("IF(
  Q53="""",
  """",
  IF(
   REGEXMATCH(SUBSTITUTE(Q53, "" ex"", """"), TEXTJOIN(""|"", TRUE, INDEX('language&amp;DataTest'!$A$33:$AB$182, , MATCH(HOME!$A$25, 'language&amp;DataTest'!$A$1:$G$1, 0)))),
   IF($M$26,
     IF(COUNTIFS(ARRAYFORMULA(SUBSTITUTE($C$2"&amp;":$C287, "" ex"", """")), SUBSTITUTE(Q53, "" ex"", """"), $J$2:$J287, ""&gt;0"")=0, ""Yes"", ""No""),
     IF(COUNTIFS(ARRAYFORMULA(SUBSTITUTE($C$2:$C287, "" ex"", """")), SUBSTITUTE(Q53, "" ex"", """"), $A$2:$A287, TRUE)=0, ""Yes"", ""No"")
   ),
   ""No""
 "&amp;")
)"),"")</f>
        <v/>
      </c>
    </row>
    <row r="54">
      <c r="A54" s="68" t="b">
        <v>1</v>
      </c>
      <c r="B54" s="69" t="s">
        <v>153</v>
      </c>
      <c r="C54" s="69" t="str">
        <f t="array" ref="C54">TEXTJOIN("", TRUE, IFERROR(INDEX('language&amp;DataTest'!A:J, MATCH(INDEX( PointerTest!C:C, MATCH(B54, PointerTest!A:A, 0), 0), 'language&amp;DataTest'!A:A, 0), MATCH(HOME!$A$25, 'language&amp;DataTest'!$A$1:$H$1, 0))),                      IFERROR(INDEX('language&amp;DataTest'!A:J, MATCH(INDEX( PointerTest!D:D, MATCH(B54, PointerTest!A:A, 0), 0), 'language&amp;DataTest'!A:A, 0), MATCH(HOME!$A$25, 'language&amp;DataTest'!$A$1:$H$1, 0))),                                          
IFERROR(INDEX('language&amp;DataTest'!A:J, MATCH(INDEX( PointerTest!E:E, MATCH(B54, PointerTest!A:A, 0), 0), 'language&amp;DataTest'!A:A, 0), MATCH(HOME!$A$25, 'language&amp;DataTest'!$A$1:$H$1, 0))))</f>
        <v>Squirtle</v>
      </c>
      <c r="D54" s="69" t="str">
        <f t="array" ref="D54">INDEX('language&amp;DataTest'!A:J, MATCH(INDEX( PointerTest!D:D, MATCH(INDEX(PointerTest!B:B, MATCH(B54, PointerTest!A:A, 0)), PointerTest!A:A, 0), 0), 'language&amp;DataTest'!A:A, 0), MATCH(HOME!$A$25, 'language&amp;DataTest'!$A$1:$H$1, 0))</f>
        <v>Pikachu</v>
      </c>
      <c r="E54" s="69" t="str">
        <f t="array" ref="E54">INDEX( PointerTest!F:F, MATCH(B54, PointerTest!A:A, 0), 0)</f>
        <v>♢</v>
      </c>
      <c r="F54" s="70">
        <f t="array" ref="F54">LET(percentage,XLOOKUP($E54,$K$2:$K$10,L$2:L$10,"",0)/(COUNTIFS($E:$E,$E54,$D:$D,RegularFormula!$D$2)+COUNTIFS($E:$E,$E54,$D:$D,IF($D54=RegularFormula!$D$2,$K$15,$D54))),IFERROR(IF(percentage,percentage,""),""))
</f>
        <v>0.02</v>
      </c>
      <c r="G54" s="71" t="str">
        <f t="array" ref="G54">LET(percentage,XLOOKUP($E54,$K$2:$K$10,M$2:M$10,"",0)/(COUNTIFS($E:$E,$E54,$D:$D,RegularFormula!$D$2)+COUNTIFS($E:$E,$E54,$D:$D,IF($D54=RegularFormula!$D$2,$K$15,$D54))),IFERROR(IF(percentage,percentage,""),""))
</f>
        <v/>
      </c>
      <c r="H54" s="71" t="str">
        <f t="array" ref="H54">LET(percentage,XLOOKUP($E54,$K$2:$K$10,N$2:N$10,"",0)/(COUNTIFS($E:$E,$E54,$D:$D,RegularFormula!$D$2)+COUNTIFS($E:$E,$E54,$D:$D,IF($D54=RegularFormula!$D$2,$K$15,$D54))),IFERROR(IF(percentage,percentage,""),""))
</f>
        <v/>
      </c>
      <c r="I54" s="72" t="str">
        <f t="shared" si="1"/>
        <v/>
      </c>
      <c r="J54" s="73">
        <v>0.0</v>
      </c>
      <c r="K54" s="172" t="str">
        <f>D27</f>
        <v>All</v>
      </c>
      <c r="L54" s="173">
        <f>IFERROR(__xludf.DUMMYFUNCTION("IF(SUM(ARRAYFORMULA(IF((D2:D287 = K54) * REGEXMATCH(SUBSTITUTE(C2:C287, "" ex"", """"), TEXTJOIN(""|"", TRUE, INDEX('language&amp;DataTest'!A33:AB182, , MATCH(HOME!$A$25, 'language&amp;DataTest'!$A$1:$G$1, 0)))), 1 / COUNTIFS(SUBSTITUTE(C2:C287, "" ex"", """"), S"&amp;"UBSTITUTE(C2:C287, "" ex"", """"), D2:D287, K54), 0))) &gt; 0,
(SUM(ARRAYFORMULA(IF((D2:D287 = K54) * REGEXMATCH(SUBSTITUTE(C2:C287, "" ex"", """"), TEXTJOIN(""|"", TRUE, INDEX('language&amp;DataTest'!A33:AB182, , MATCH(HOME!$A$25, 'language&amp;DataTest'!$A$1:$G$1,"&amp;" 0)))), 1 / COUNTIFS(SUBSTITUTE(C2:C287, "" ex"", """"), SUBSTITUTE(C2:C287, "" ex"", """"), D2:D287, K54), 0))) - 
SUM(ARRAYFORMULA(IF((A2:A287 = FALSE) * (D2:D287 = K54) * REGEXMATCH(SUBSTITUTE(C2:C287, "" ex"", """"), TEXTJOIN(""|"", TRUE, INDEX('langu"&amp;"age&amp;DataTest'!A33:AB182, , MATCH(HOME!$A$25, 'language&amp;DataTest'!$A$1:$G$1, 0)))) * (COUNTIFS(SUBSTITUTE(C2:C287, "" ex"", """"), SUBSTITUTE(C2:C287, "" ex"", """"), A2:A287, TRUE) = 0), 1 / COUNTIFS(SUBSTITUTE(C2:C287, "" ex"", """"), SUBSTITUTE(C2:C287,"&amp;" "" ex"", """"), D2:D287, K54), 0)))) / 
SUM(ARRAYFORMULA(IF((D2:D287 = K54) * REGEXMATCH(SUBSTITUTE(C2:C287, "" ex"", """"), TEXTJOIN(""|"", TRUE, INDEX('language&amp;DataTest'!A33:AB182, , MATCH(HOME!$A$25, 'language&amp;DataTest'!$A$1:$G$1, 0)))), 1 / COUNTIFS"&amp;"(SUBSTITUTE(C2:C287, "" ex"", """"), SUBSTITUTE(C2:C287, "" ex"", """"), D2:D287, K54), 0))), 0)
"),1.0)</f>
        <v>1</v>
      </c>
      <c r="M54" s="173">
        <f>IFERROR(__xludf.DUMMYFUNCTION("IF(SUM(ARRAYFORMULA(IF((D2:D287 = K54) * REGEXMATCH(SUBSTITUTE(C2:C287, "" ex"", """"), TEXTJOIN(""|"", TRUE, INDEX('language&amp;DataTest'!A33:AB182, , MATCH(HOME!$A$25, 'language&amp;DataTest'!$A$1:$G$1, 0)))), 1 / COUNTIFS(SUBSTITUTE(C2:C287, "" ex"", """"), S"&amp;"UBSTITUTE(C2:C287, "" ex"", """"), D2:D287, K54), 0))) &gt; 0,
SUM(ARRAYFORMULA(IF((A2:A287 = FALSE) * (D2:D287 = K54) * REGEXMATCH(SUBSTITUTE(C2:C287, "" ex"", """"), TEXTJOIN(""|"", TRUE, INDEX('language&amp;DataTest'!A33:AB182, , MATCH(HOME!$A$25, 'language&amp;D"&amp;"ataTest'!$A$1:$G$1, 0)))) * (COUNTIFS(SUBSTITUTE(C2:C287, "" ex"", """"), SUBSTITUTE(C2:C287, "" ex"", """"), A2:A287, TRUE) = 0), 1 / COUNTIFS(SUBSTITUTE(C2:C287, "" ex"", """"), SUBSTITUTE(C2:C287, "" ex"", """"), D2:D287, K54), 0))) /
SUM(ARRAYFORMULA("&amp;"IF((D2:D287 = K54) * REGEXMATCH(SUBSTITUTE(C2:C287, "" ex"", """"), TEXTJOIN(""|"", TRUE, INDEX('language&amp;DataTest'!A33:AB182, , MATCH(HOME!$A$25, 'language&amp;DataTest'!$A$1:$G$1, 0)))), 1 / COUNTIFS(SUBSTITUTE(C2:C287, "" ex"", """"), SUBSTITUTE(C2:C287, "&amp;""" ex"", """"), D2:D287, K54), 0))), 0)
"),0.0)</f>
        <v>0</v>
      </c>
      <c r="N54" s="174" t="str">
        <f>IFERROR(__xludf.DUMMYFUNCTION("(SUM(ARRAYFORMULA(IF((D2:D287 = K54) * REGEXMATCH(SUBSTITUTE(C2:C287, "" ex"", """"), TEXTJOIN(""|"", TRUE, INDEX('language&amp;DataTest'!A33:AB182, , MATCH(HOME!$A$25, 'language&amp;DataTest'!$A$1:$G$1, 0)))), 1 / COUNTIFS(SUBSTITUTE(C2:C287, "" ex"", """"), SUB"&amp;"STITUTE(C2:C287, "" ex"", """"), D2:D287, K54), 0))) - 
SUM(ARRAYFORMULA(IF((A2:A287 = FALSE) * (D2:D287 = K54) * REGEXMATCH(SUBSTITUTE(C2:C287, "" ex"", """"), TEXTJOIN(""|"", TRUE, INDEX('language&amp;DataTest'!A33:AB182, , MATCH(HOME!$A$25, 'language&amp;DataT"&amp;"est'!$A$1:$G$1, 0)))) * (COUNTIFS(SUBSTITUTE(C2:C287, "" ex"", """"), SUBSTITUTE(C2:C287, "" ex"", """"), A2:A287, TRUE) = 0), 1 / COUNTIFS(SUBSTITUTE(C2:C287, "" ex"", """"), SUBSTITUTE(C2:C287, "" ex"", """"), D2:D287, K54), 0)))) &amp; 
""/"" &amp; 
SUM(ARRAYF"&amp;"ORMULA(IF((D2:D287 = K54) * REGEXMATCH(SUBSTITUTE(C2:C287, "" ex"", """"), TEXTJOIN(""|"", TRUE, INDEX('language&amp;DataTest'!A33:AB182, , MATCH(HOME!$A$25, 'language&amp;DataTest'!$A$1:$G$1, 0)))), 1 / COUNTIFS(SUBSTITUTE(C2:C287, "" ex"", """"), SUBSTITUTE(C2:"&amp;"C287, "" ex"", """"), D2:D287, K54), 0)))
"),"19/19")</f>
        <v>19/19</v>
      </c>
      <c r="O54" s="159"/>
      <c r="P54" s="163"/>
      <c r="Q54" s="163"/>
      <c r="R54" s="163"/>
      <c r="S54" s="79" t="str">
        <f t="shared" si="2"/>
        <v/>
      </c>
      <c r="T54" s="80" t="str">
        <f>IFERROR(__xludf.DUMMYFUNCTION("IF(
  Q54="""",
  """",
  IF(
   REGEXMATCH(SUBSTITUTE(Q54, "" ex"", """"), TEXTJOIN(""|"", TRUE, INDEX('language&amp;DataTest'!$A$33:$AB$182, , MATCH(HOME!$A$25, 'language&amp;DataTest'!$A$1:$G$1, 0)))),
   IF($M$26,
     IF(COUNTIFS(ARRAYFORMULA(SUBSTITUTE($C$2"&amp;":$C287, "" ex"", """")), SUBSTITUTE(Q54, "" ex"", """"), $J$2:$J287, ""&gt;0"")=0, ""Yes"", ""No""),
     IF(COUNTIFS(ARRAYFORMULA(SUBSTITUTE($C$2:$C287, "" ex"", """")), SUBSTITUTE(Q54, "" ex"", """"), $A$2:$A287, TRUE)=0, ""Yes"", ""No"")
   ),
   ""No""
 "&amp;")
)"),"")</f>
        <v/>
      </c>
    </row>
    <row r="55">
      <c r="A55" s="68" t="b">
        <v>1</v>
      </c>
      <c r="B55" s="69" t="s">
        <v>154</v>
      </c>
      <c r="C55" s="69" t="str">
        <f t="array" ref="C55">TEXTJOIN("", TRUE, IFERROR(INDEX('language&amp;DataTest'!A:J, MATCH(INDEX( PointerTest!C:C, MATCH(B55, PointerTest!A:A, 0), 0), 'language&amp;DataTest'!A:A, 0), MATCH(HOME!$A$25, 'language&amp;DataTest'!$A$1:$H$1, 0))),                      IFERROR(INDEX('language&amp;DataTest'!A:J, MATCH(INDEX( PointerTest!D:D, MATCH(B55, PointerTest!A:A, 0), 0), 'language&amp;DataTest'!A:A, 0), MATCH(HOME!$A$25, 'language&amp;DataTest'!$A$1:$H$1, 0))),                                          
IFERROR(INDEX('language&amp;DataTest'!A:J, MATCH(INDEX( PointerTest!E:E, MATCH(B55, PointerTest!A:A, 0), 0), 'language&amp;DataTest'!A:A, 0), MATCH(HOME!$A$25, 'language&amp;DataTest'!$A$1:$H$1, 0))))</f>
        <v>Wartortle</v>
      </c>
      <c r="D55" s="69" t="str">
        <f t="array" ref="D55">INDEX('language&amp;DataTest'!A:J, MATCH(INDEX( PointerTest!D:D, MATCH(INDEX(PointerTest!B:B, MATCH(B55, PointerTest!A:A, 0)), PointerTest!A:A, 0), 0), 'language&amp;DataTest'!A:A, 0), MATCH(HOME!$A$25, 'language&amp;DataTest'!$A$1:$H$1, 0))</f>
        <v>Pikachu</v>
      </c>
      <c r="E55" s="69" t="str">
        <f t="array" ref="E55">INDEX( PointerTest!F:F, MATCH(B55, PointerTest!A:A, 0), 0)</f>
        <v>♢♢</v>
      </c>
      <c r="F55" s="70" t="str">
        <f t="array" ref="F55">LET(percentage,XLOOKUP($E55,$K$2:$K$10,L$2:L$10,"",0)/(COUNTIFS($E:$E,$E55,$D:$D,RegularFormula!$D$2)+COUNTIFS($E:$E,$E55,$D:$D,IF($D55=RegularFormula!$D$2,$K$15,$D55))),IFERROR(IF(percentage,percentage,""),""))
</f>
        <v/>
      </c>
      <c r="G55" s="71">
        <f t="array" ref="G55">LET(percentage,XLOOKUP($E55,$K$2:$K$10,M$2:M$10,"",0)/(COUNTIFS($E:$E,$E55,$D:$D,RegularFormula!$D$2)+COUNTIFS($E:$E,$E55,$D:$D,IF($D55=RegularFormula!$D$2,$K$15,$D55))),IFERROR(IF(percentage,percentage,""),""))
</f>
        <v>0.02571428571</v>
      </c>
      <c r="H55" s="71">
        <f t="array" ref="H55">LET(percentage,XLOOKUP($E55,$K$2:$K$10,N$2:N$10,"",0)/(COUNTIFS($E:$E,$E55,$D:$D,RegularFormula!$D$2)+COUNTIFS($E:$E,$E55,$D:$D,IF($D55=RegularFormula!$D$2,$K$15,$D55))),IFERROR(IF(percentage,percentage,""),""))
</f>
        <v>0.01714285714</v>
      </c>
      <c r="I55" s="72" t="str">
        <f t="shared" si="1"/>
        <v/>
      </c>
      <c r="J55" s="73">
        <v>0.0</v>
      </c>
      <c r="K55" s="175" t="s">
        <v>101</v>
      </c>
      <c r="L55" s="110" t="str">
        <f>IF(M51 = MAX(M51:M53), K51, IF(M52 = MAX(M51:M53), K52, K53))</f>
        <v>Mewtwo</v>
      </c>
      <c r="N55" s="156"/>
      <c r="O55" s="159"/>
      <c r="P55" s="163"/>
      <c r="Q55" s="163"/>
      <c r="R55" s="163"/>
      <c r="S55" s="79" t="str">
        <f t="shared" si="2"/>
        <v/>
      </c>
      <c r="T55" s="80" t="str">
        <f>IFERROR(__xludf.DUMMYFUNCTION("IF(
  Q55="""",
  """",
  IF(
   REGEXMATCH(SUBSTITUTE(Q55, "" ex"", """"), TEXTJOIN(""|"", TRUE, INDEX('language&amp;DataTest'!$A$33:$AB$182, , MATCH(HOME!$A$25, 'language&amp;DataTest'!$A$1:$G$1, 0)))),
   IF($M$26,
     IF(COUNTIFS(ARRAYFORMULA(SUBSTITUTE($C$2"&amp;":$C287, "" ex"", """")), SUBSTITUTE(Q55, "" ex"", """"), $J$2:$J287, ""&gt;0"")=0, ""Yes"", ""No""),
     IF(COUNTIFS(ARRAYFORMULA(SUBSTITUTE($C$2:$C287, "" ex"", """")), SUBSTITUTE(Q55, "" ex"", """"), $A$2:$A287, TRUE)=0, ""Yes"", ""No"")
   ),
   ""No""
 "&amp;")
)"),"")</f>
        <v/>
      </c>
    </row>
    <row r="56">
      <c r="A56" s="68" t="b">
        <v>1</v>
      </c>
      <c r="B56" s="69" t="s">
        <v>155</v>
      </c>
      <c r="C56" s="69" t="str">
        <f t="array" ref="C56">TEXTJOIN("", TRUE, IFERROR(INDEX('language&amp;DataTest'!A:J, MATCH(INDEX( PointerTest!C:C, MATCH(B56, PointerTest!A:A, 0), 0), 'language&amp;DataTest'!A:A, 0), MATCH(HOME!$A$25, 'language&amp;DataTest'!$A$1:$H$1, 0))),                      IFERROR(INDEX('language&amp;DataTest'!A:J, MATCH(INDEX( PointerTest!D:D, MATCH(B56, PointerTest!A:A, 0), 0), 'language&amp;DataTest'!A:A, 0), MATCH(HOME!$A$25, 'language&amp;DataTest'!$A$1:$H$1, 0))),                                          
IFERROR(INDEX('language&amp;DataTest'!A:J, MATCH(INDEX( PointerTest!E:E, MATCH(B56, PointerTest!A:A, 0), 0), 'language&amp;DataTest'!A:A, 0), MATCH(HOME!$A$25, 'language&amp;DataTest'!$A$1:$H$1, 0))))</f>
        <v>Blastoise</v>
      </c>
      <c r="D56" s="69" t="str">
        <f t="array" ref="D56">INDEX('language&amp;DataTest'!A:J, MATCH(INDEX( PointerTest!D:D, MATCH(INDEX(PointerTest!B:B, MATCH(B56, PointerTest!A:A, 0)), PointerTest!A:A, 0), 0), 'language&amp;DataTest'!A:A, 0), MATCH(HOME!$A$25, 'language&amp;DataTest'!$A$1:$H$1, 0))</f>
        <v>Pikachu</v>
      </c>
      <c r="E56" s="69" t="str">
        <f t="array" ref="E56">INDEX( PointerTest!F:F, MATCH(B56, PointerTest!A:A, 0), 0)</f>
        <v>♢♢♢</v>
      </c>
      <c r="F56" s="70" t="str">
        <f t="array" ref="F56">LET(percentage,XLOOKUP($E56,$K$2:$K$10,L$2:L$10,"",0)/(COUNTIFS($E:$E,$E56,$D:$D,RegularFormula!$D$2)+COUNTIFS($E:$E,$E56,$D:$D,IF($D56=RegularFormula!$D$2,$K$15,$D56))),IFERROR(IF(percentage,percentage,""),""))
</f>
        <v/>
      </c>
      <c r="G56" s="71">
        <f t="array" ref="G56">LET(percentage,XLOOKUP($E56,$K$2:$K$10,M$2:M$10,"",0)/(COUNTIFS($E:$E,$E56,$D:$D,RegularFormula!$D$2)+COUNTIFS($E:$E,$E56,$D:$D,IF($D56=RegularFormula!$D$2,$K$15,$D56))),IFERROR(IF(percentage,percentage,""),""))
</f>
        <v>0.003571428571</v>
      </c>
      <c r="H56" s="71">
        <f t="array" ref="H56">LET(percentage,XLOOKUP($E56,$K$2:$K$10,N$2:N$10,"",0)/(COUNTIFS($E:$E,$E56,$D:$D,RegularFormula!$D$2)+COUNTIFS($E:$E,$E56,$D:$D,IF($D56=RegularFormula!$D$2,$K$15,$D56))),IFERROR(IF(percentage,percentage,""),""))
</f>
        <v>0.01428571429</v>
      </c>
      <c r="I56" s="72" t="str">
        <f t="shared" si="1"/>
        <v/>
      </c>
      <c r="J56" s="73">
        <v>0.0</v>
      </c>
      <c r="K56" s="176"/>
      <c r="L56" s="142"/>
      <c r="M56" s="142"/>
      <c r="N56" s="177"/>
      <c r="O56" s="159"/>
      <c r="P56" s="163"/>
      <c r="Q56" s="163"/>
      <c r="R56" s="163"/>
      <c r="S56" s="79" t="str">
        <f t="shared" si="2"/>
        <v/>
      </c>
      <c r="T56" s="80" t="str">
        <f>IFERROR(__xludf.DUMMYFUNCTION("IF(
  Q56="""",
  """",
  IF(
   REGEXMATCH(SUBSTITUTE(Q56, "" ex"", """"), TEXTJOIN(""|"", TRUE, INDEX('language&amp;DataTest'!$A$33:$AB$182, , MATCH(HOME!$A$25, 'language&amp;DataTest'!$A$1:$G$1, 0)))),
   IF($M$26,
     IF(COUNTIFS(ARRAYFORMULA(SUBSTITUTE($C$2"&amp;":$C287, "" ex"", """")), SUBSTITUTE(Q56, "" ex"", """"), $J$2:$J287, ""&gt;0"")=0, ""Yes"", ""No""),
     IF(COUNTIFS(ARRAYFORMULA(SUBSTITUTE($C$2:$C287, "" ex"", """")), SUBSTITUTE(Q56, "" ex"", """"), $A$2:$A287, TRUE)=0, ""Yes"", ""No"")
   ),
   ""No""
 "&amp;")
)"),"")</f>
        <v/>
      </c>
    </row>
    <row r="57">
      <c r="A57" s="68" t="b">
        <v>1</v>
      </c>
      <c r="B57" s="69" t="s">
        <v>156</v>
      </c>
      <c r="C57" s="69" t="str">
        <f t="array" ref="C57">TEXTJOIN("", TRUE, IFERROR(INDEX('language&amp;DataTest'!A:J, MATCH(INDEX( PointerTest!C:C, MATCH(B57, PointerTest!A:A, 0), 0), 'language&amp;DataTest'!A:A, 0), MATCH(HOME!$A$25, 'language&amp;DataTest'!$A$1:$H$1, 0))),                      IFERROR(INDEX('language&amp;DataTest'!A:J, MATCH(INDEX( PointerTest!D:D, MATCH(B57, PointerTest!A:A, 0), 0), 'language&amp;DataTest'!A:A, 0), MATCH(HOME!$A$25, 'language&amp;DataTest'!$A$1:$H$1, 0))),                                          
IFERROR(INDEX('language&amp;DataTest'!A:J, MATCH(INDEX( PointerTest!E:E, MATCH(B57, PointerTest!A:A, 0), 0), 'language&amp;DataTest'!A:A, 0), MATCH(HOME!$A$25, 'language&amp;DataTest'!$A$1:$H$1, 0))))</f>
        <v>Blastoise ex</v>
      </c>
      <c r="D57" s="69" t="str">
        <f t="array" ref="D57">INDEX('language&amp;DataTest'!A:J, MATCH(INDEX( PointerTest!D:D, MATCH(INDEX(PointerTest!B:B, MATCH(B57, PointerTest!A:A, 0)), PointerTest!A:A, 0), 0), 'language&amp;DataTest'!A:A, 0), MATCH(HOME!$A$25, 'language&amp;DataTest'!$A$1:$H$1, 0))</f>
        <v>Pikachu</v>
      </c>
      <c r="E57" s="69" t="str">
        <f t="array" ref="E57">INDEX( PointerTest!F:F, MATCH(B57, PointerTest!A:A, 0), 0)</f>
        <v>♢♢♢♢</v>
      </c>
      <c r="F57" s="70" t="str">
        <f t="array" ref="F57">LET(percentage,XLOOKUP($E57,$K$2:$K$10,L$2:L$10,"",0)/(COUNTIFS($E:$E,$E57,$D:$D,RegularFormula!$D$2)+COUNTIFS($E:$E,$E57,$D:$D,IF($D57=RegularFormula!$D$2,$K$15,$D57))),IFERROR(IF(percentage,percentage,""),""))
</f>
        <v/>
      </c>
      <c r="G57" s="71">
        <f t="array" ref="G57">LET(percentage,XLOOKUP($E57,$K$2:$K$10,M$2:M$10,"",0)/(COUNTIFS($E:$E,$E57,$D:$D,RegularFormula!$D$2)+COUNTIFS($E:$E,$E57,$D:$D,IF($D57=RegularFormula!$D$2,$K$15,$D57))),IFERROR(IF(percentage,percentage,""),""))
</f>
        <v>0.003332</v>
      </c>
      <c r="H57" s="71">
        <f t="array" ref="H57">LET(percentage,XLOOKUP($E57,$K$2:$K$10,N$2:N$10,"",0)/(COUNTIFS($E:$E,$E57,$D:$D,RegularFormula!$D$2)+COUNTIFS($E:$E,$E57,$D:$D,IF($D57=RegularFormula!$D$2,$K$15,$D57))),IFERROR(IF(percentage,percentage,""),""))
</f>
        <v>0.013328</v>
      </c>
      <c r="I57" s="72" t="str">
        <f t="shared" si="1"/>
        <v/>
      </c>
      <c r="J57" s="73">
        <v>0.0</v>
      </c>
      <c r="K57" s="178" t="s">
        <v>157</v>
      </c>
      <c r="N57" s="156"/>
      <c r="O57" s="179" t="s">
        <v>158</v>
      </c>
      <c r="P57" s="163"/>
      <c r="Q57" s="163"/>
      <c r="R57" s="163"/>
      <c r="S57" s="79" t="str">
        <f t="shared" si="2"/>
        <v/>
      </c>
      <c r="T57" s="80" t="str">
        <f>IFERROR(__xludf.DUMMYFUNCTION("IF(
  Q57="""",
  """",
  IF(
   REGEXMATCH(SUBSTITUTE(Q57, "" ex"", """"), TEXTJOIN(""|"", TRUE, INDEX('language&amp;DataTest'!$A$33:$AB$182, , MATCH(HOME!$A$25, 'language&amp;DataTest'!$A$1:$G$1, 0)))),
   IF($M$26,
     IF(COUNTIFS(ARRAYFORMULA(SUBSTITUTE($C$2"&amp;":$C287, "" ex"", """")), SUBSTITUTE(Q57, "" ex"", """"), $J$2:$J287, ""&gt;0"")=0, ""Yes"", ""No""),
     IF(COUNTIFS(ARRAYFORMULA(SUBSTITUTE($C$2:$C287, "" ex"", """")), SUBSTITUTE(Q57, "" ex"", """"), $A$2:$A287, TRUE)=0, ""Yes"", ""No"")
   ),
   ""No""
 "&amp;")
)"),"")</f>
        <v/>
      </c>
    </row>
    <row r="58">
      <c r="A58" s="68" t="b">
        <v>1</v>
      </c>
      <c r="B58" s="69" t="s">
        <v>159</v>
      </c>
      <c r="C58" s="69" t="str">
        <f t="array" ref="C58">TEXTJOIN("", TRUE, IFERROR(INDEX('language&amp;DataTest'!A:J, MATCH(INDEX( PointerTest!C:C, MATCH(B58, PointerTest!A:A, 0), 0), 'language&amp;DataTest'!A:A, 0), MATCH(HOME!$A$25, 'language&amp;DataTest'!$A$1:$H$1, 0))),                      IFERROR(INDEX('language&amp;DataTest'!A:J, MATCH(INDEX( PointerTest!D:D, MATCH(B58, PointerTest!A:A, 0), 0), 'language&amp;DataTest'!A:A, 0), MATCH(HOME!$A$25, 'language&amp;DataTest'!$A$1:$H$1, 0))),                                          
IFERROR(INDEX('language&amp;DataTest'!A:J, MATCH(INDEX( PointerTest!E:E, MATCH(B58, PointerTest!A:A, 0), 0), 'language&amp;DataTest'!A:A, 0), MATCH(HOME!$A$25, 'language&amp;DataTest'!$A$1:$H$1, 0))))</f>
        <v>Psyduck</v>
      </c>
      <c r="D58" s="69" t="str">
        <f t="array" ref="D58">INDEX('language&amp;DataTest'!A:J, MATCH(INDEX( PointerTest!D:D, MATCH(INDEX(PointerTest!B:B, MATCH(B58, PointerTest!A:A, 0)), PointerTest!A:A, 0), 0), 'language&amp;DataTest'!A:A, 0), MATCH(HOME!$A$25, 'language&amp;DataTest'!$A$1:$H$1, 0))</f>
        <v>All</v>
      </c>
      <c r="E58" s="69" t="str">
        <f t="array" ref="E58">INDEX( PointerTest!F:F, MATCH(B58, PointerTest!A:A, 0), 0)</f>
        <v>♢</v>
      </c>
      <c r="F58" s="70">
        <f t="array" ref="F58">LET(percentage,XLOOKUP($E58,$K$2:$K$10,L$2:L$10,"",0)/(COUNTIFS($E:$E,$E58,$D:$D,RegularFormula!$D$2)+COUNTIFS($E:$E,$E58,$D:$D,IF($D58=RegularFormula!$D$2,$K$15,$D58))),IFERROR(IF(percentage,percentage,""),""))
</f>
        <v>0.02</v>
      </c>
      <c r="G58" s="71" t="str">
        <f t="array" ref="G58">LET(percentage,XLOOKUP($E58,$K$2:$K$10,M$2:M$10,"",0)/(COUNTIFS($E:$E,$E58,$D:$D,RegularFormula!$D$2)+COUNTIFS($E:$E,$E58,$D:$D,IF($D58=RegularFormula!$D$2,$K$15,$D58))),IFERROR(IF(percentage,percentage,""),""))
</f>
        <v/>
      </c>
      <c r="H58" s="71" t="str">
        <f t="array" ref="H58">LET(percentage,XLOOKUP($E58,$K$2:$K$10,N$2:N$10,"",0)/(COUNTIFS($E:$E,$E58,$D:$D,RegularFormula!$D$2)+COUNTIFS($E:$E,$E58,$D:$D,IF($D58=RegularFormula!$D$2,$K$15,$D58))),IFERROR(IF(percentage,percentage,""),""))
</f>
        <v/>
      </c>
      <c r="I58" s="72" t="str">
        <f t="shared" si="1"/>
        <v>*Based on Mewtwo pack</v>
      </c>
      <c r="J58" s="73">
        <v>0.0</v>
      </c>
      <c r="K58" s="160" t="s">
        <v>91</v>
      </c>
      <c r="L58" s="98" t="s">
        <v>58</v>
      </c>
      <c r="M58" s="98" t="s">
        <v>59</v>
      </c>
      <c r="N58" s="98" t="s">
        <v>60</v>
      </c>
      <c r="O58" s="159"/>
      <c r="P58" s="163"/>
      <c r="Q58" s="163"/>
      <c r="R58" s="163"/>
      <c r="S58" s="79" t="str">
        <f t="shared" si="2"/>
        <v/>
      </c>
      <c r="T58" s="80" t="str">
        <f>IFERROR(__xludf.DUMMYFUNCTION("IF(
  Q58="""",
  """",
  IF(
   REGEXMATCH(SUBSTITUTE(Q58, "" ex"", """"), TEXTJOIN(""|"", TRUE, INDEX('language&amp;DataTest'!$A$33:$AB$182, , MATCH(HOME!$A$25, 'language&amp;DataTest'!$A$1:$G$1, 0)))),
   IF($M$26,
     IF(COUNTIFS(ARRAYFORMULA(SUBSTITUTE($C$2"&amp;":$C287, "" ex"", """")), SUBSTITUTE(Q58, "" ex"", """"), $J$2:$J287, ""&gt;0"")=0, ""Yes"", ""No""),
     IF(COUNTIFS(ARRAYFORMULA(SUBSTITUTE($C$2:$C287, "" ex"", """")), SUBSTITUTE(Q58, "" ex"", """"), $A$2:$A287, TRUE)=0, ""Yes"", ""No"")
   ),
   ""No""
 "&amp;")
)"),"")</f>
        <v/>
      </c>
    </row>
    <row r="59">
      <c r="A59" s="68" t="b">
        <v>1</v>
      </c>
      <c r="B59" s="69" t="s">
        <v>160</v>
      </c>
      <c r="C59" s="69" t="str">
        <f t="array" ref="C59">TEXTJOIN("", TRUE, IFERROR(INDEX('language&amp;DataTest'!A:J, MATCH(INDEX( PointerTest!C:C, MATCH(B59, PointerTest!A:A, 0), 0), 'language&amp;DataTest'!A:A, 0), MATCH(HOME!$A$25, 'language&amp;DataTest'!$A$1:$H$1, 0))),                      IFERROR(INDEX('language&amp;DataTest'!A:J, MATCH(INDEX( PointerTest!D:D, MATCH(B59, PointerTest!A:A, 0), 0), 'language&amp;DataTest'!A:A, 0), MATCH(HOME!$A$25, 'language&amp;DataTest'!$A$1:$H$1, 0))),                                          
IFERROR(INDEX('language&amp;DataTest'!A:J, MATCH(INDEX( PointerTest!E:E, MATCH(B59, PointerTest!A:A, 0), 0), 'language&amp;DataTest'!A:A, 0), MATCH(HOME!$A$25, 'language&amp;DataTest'!$A$1:$H$1, 0))))</f>
        <v>Golduck</v>
      </c>
      <c r="D59" s="69" t="str">
        <f t="array" ref="D59">INDEX('language&amp;DataTest'!A:J, MATCH(INDEX( PointerTest!D:D, MATCH(INDEX(PointerTest!B:B, MATCH(B59, PointerTest!A:A, 0)), PointerTest!A:A, 0), 0), 'language&amp;DataTest'!A:A, 0), MATCH(HOME!$A$25, 'language&amp;DataTest'!$A$1:$H$1, 0))</f>
        <v>All</v>
      </c>
      <c r="E59" s="69" t="str">
        <f t="array" ref="E59">INDEX( PointerTest!F:F, MATCH(B59, PointerTest!A:A, 0), 0)</f>
        <v>♢♢</v>
      </c>
      <c r="F59" s="70" t="str">
        <f t="array" ref="F59">LET(percentage,XLOOKUP($E59,$K$2:$K$10,L$2:L$10,"",0)/(COUNTIFS($E:$E,$E59,$D:$D,RegularFormula!$D$2)+COUNTIFS($E:$E,$E59,$D:$D,IF($D59=RegularFormula!$D$2,$K$15,$D59))),IFERROR(IF(percentage,percentage,""),""))
</f>
        <v/>
      </c>
      <c r="G59" s="71">
        <f t="array" ref="G59">LET(percentage,XLOOKUP($E59,$K$2:$K$10,M$2:M$10,"",0)/(COUNTIFS($E:$E,$E59,$D:$D,RegularFormula!$D$2)+COUNTIFS($E:$E,$E59,$D:$D,IF($D59=RegularFormula!$D$2,$K$15,$D59))),IFERROR(IF(percentage,percentage,""),""))
</f>
        <v>0.02571428571</v>
      </c>
      <c r="H59" s="71">
        <f t="array" ref="H59">LET(percentage,XLOOKUP($E59,$K$2:$K$10,N$2:N$10,"",0)/(COUNTIFS($E:$E,$E59,$D:$D,RegularFormula!$D$2)+COUNTIFS($E:$E,$E59,$D:$D,IF($D59=RegularFormula!$D$2,$K$15,$D59))),IFERROR(IF(percentage,percentage,""),""))
</f>
        <v>0.01714285714</v>
      </c>
      <c r="I59" s="72" t="str">
        <f t="shared" si="1"/>
        <v>*Based on Mewtwo pack</v>
      </c>
      <c r="J59" s="73">
        <v>0.0</v>
      </c>
      <c r="K59" s="164" t="str">
        <f>C129</f>
        <v>Mewtwo</v>
      </c>
      <c r="L59" s="105">
        <f>IFERROR(__xludf.DUMMYFUNCTION("SUM(ARRAYFORMULA(IF((A2:A287 = FALSE) * ((D2:D287 = K59) + (D2:D287 = K54)) * REGEXMATCH(SUBSTITUTE(C2:C287, "" ex"", """"), TEXTJOIN(""|"", TRUE, INDEX('language&amp;DataTest'!A33:AB182, , MATCH(HOME!$A$25, 'language&amp;DataTest'!$A$1:$G$1, 0))))*(COUNTIFS(SUBS"&amp;"TITUTE(C2:C287, "" ex"", """"), SUBSTITUTE(C2:C287, "" ex"", """"), A2:A287, TRUE) = 0), F2:F287, 0)))"),0.0)</f>
        <v>0</v>
      </c>
      <c r="M59" s="105">
        <f>IFERROR(__xludf.DUMMYFUNCTION("SUM(ARRAYFORMULA(IF((A2:A287 = FALSE) * ((D2:D287 = K59) + (D2:D287 = K54)) * REGEXMATCH(SUBSTITUTE(C2:C287, "" ex"", """"), TEXTJOIN(""|"", TRUE, INDEX('language&amp;DataTest'!A33:AB182, , MATCH(HOME!$A$25, 'language&amp;DataTest'!$A$1:$G$1, 0))))*(COUNTIFS(SUBS"&amp;"TITUTE(C2:C287, "" ex"", """"), SUBSTITUTE(C2:C287, "" ex"", """"), A2:A287, TRUE) = 0), G2:G287, 0)))"),0.0)</f>
        <v>0</v>
      </c>
      <c r="N59" s="180">
        <f>IFERROR(__xludf.DUMMYFUNCTION("SUM(ARRAYFORMULA(IF((A2:A287 = FALSE) * ((D2:D287 = K59) + (D2:D287 = K54)) * REGEXMATCH(SUBSTITUTE(C2:C287, "" ex"", """"), TEXTJOIN(""|"", TRUE, INDEX('language&amp;DataTest'!A33:AB182, , MATCH(HOME!$A$25, 'language&amp;DataTest'!$A$1:$G$1, 0))))*(COUNTIFS(SUBS"&amp;"TITUTE(C2:C287, "" ex"", """"), SUBSTITUTE(C2:C287, "" ex"", """"), A2:A287, TRUE) = 0), H2:H287, 0)))"),0.0)</f>
        <v>0</v>
      </c>
      <c r="O59" s="159"/>
      <c r="P59" s="163"/>
      <c r="Q59" s="163"/>
      <c r="R59" s="163"/>
      <c r="S59" s="79" t="str">
        <f t="shared" si="2"/>
        <v/>
      </c>
      <c r="T59" s="80" t="str">
        <f>IFERROR(__xludf.DUMMYFUNCTION("IF(
  Q59="""",
  """",
  IF(
   REGEXMATCH(SUBSTITUTE(Q59, "" ex"", """"), TEXTJOIN(""|"", TRUE, INDEX('language&amp;DataTest'!$A$33:$AB$182, , MATCH(HOME!$A$25, 'language&amp;DataTest'!$A$1:$G$1, 0)))),
   IF($M$26,
     IF(COUNTIFS(ARRAYFORMULA(SUBSTITUTE($C$2"&amp;":$C287, "" ex"", """")), SUBSTITUTE(Q59, "" ex"", """"), $J$2:$J287, ""&gt;0"")=0, ""Yes"", ""No""),
     IF(COUNTIFS(ARRAYFORMULA(SUBSTITUTE($C$2:$C287, "" ex"", """")), SUBSTITUTE(Q59, "" ex"", """"), $A$2:$A287, TRUE)=0, ""Yes"", ""No"")
   ),
   ""No""
 "&amp;")
)"),"")</f>
        <v/>
      </c>
    </row>
    <row r="60">
      <c r="A60" s="68" t="b">
        <v>1</v>
      </c>
      <c r="B60" s="69" t="s">
        <v>161</v>
      </c>
      <c r="C60" s="69" t="str">
        <f t="array" ref="C60">TEXTJOIN("", TRUE, IFERROR(INDEX('language&amp;DataTest'!A:J, MATCH(INDEX( PointerTest!C:C, MATCH(B60, PointerTest!A:A, 0), 0), 'language&amp;DataTest'!A:A, 0), MATCH(HOME!$A$25, 'language&amp;DataTest'!$A$1:$H$1, 0))),                      IFERROR(INDEX('language&amp;DataTest'!A:J, MATCH(INDEX( PointerTest!D:D, MATCH(B60, PointerTest!A:A, 0), 0), 'language&amp;DataTest'!A:A, 0), MATCH(HOME!$A$25, 'language&amp;DataTest'!$A$1:$H$1, 0))),                                          
IFERROR(INDEX('language&amp;DataTest'!A:J, MATCH(INDEX( PointerTest!E:E, MATCH(B60, PointerTest!A:A, 0), 0), 'language&amp;DataTest'!A:A, 0), MATCH(HOME!$A$25, 'language&amp;DataTest'!$A$1:$H$1, 0))))</f>
        <v>Poliwag</v>
      </c>
      <c r="D60" s="69" t="str">
        <f t="array" ref="D60">INDEX('language&amp;DataTest'!A:J, MATCH(INDEX( PointerTest!D:D, MATCH(INDEX(PointerTest!B:B, MATCH(B60, PointerTest!A:A, 0)), PointerTest!A:A, 0), 0), 'language&amp;DataTest'!A:A, 0), MATCH(HOME!$A$25, 'language&amp;DataTest'!$A$1:$H$1, 0))</f>
        <v>Charizard</v>
      </c>
      <c r="E60" s="69" t="str">
        <f t="array" ref="E60">INDEX( PointerTest!F:F, MATCH(B60, PointerTest!A:A, 0), 0)</f>
        <v>♢</v>
      </c>
      <c r="F60" s="70">
        <f t="array" ref="F60">LET(percentage,XLOOKUP($E60,$K$2:$K$10,L$2:L$10,"",0)/(COUNTIFS($E:$E,$E60,$D:$D,RegularFormula!$D$2)+COUNTIFS($E:$E,$E60,$D:$D,IF($D60=RegularFormula!$D$2,$K$15,$D60))),IFERROR(IF(percentage,percentage,""),""))
</f>
        <v>0.02</v>
      </c>
      <c r="G60" s="71" t="str">
        <f t="array" ref="G60">LET(percentage,XLOOKUP($E60,$K$2:$K$10,M$2:M$10,"",0)/(COUNTIFS($E:$E,$E60,$D:$D,RegularFormula!$D$2)+COUNTIFS($E:$E,$E60,$D:$D,IF($D60=RegularFormula!$D$2,$K$15,$D60))),IFERROR(IF(percentage,percentage,""),""))
</f>
        <v/>
      </c>
      <c r="H60" s="71" t="str">
        <f t="array" ref="H60">LET(percentage,XLOOKUP($E60,$K$2:$K$10,N$2:N$10,"",0)/(COUNTIFS($E:$E,$E60,$D:$D,RegularFormula!$D$2)+COUNTIFS($E:$E,$E60,$D:$D,IF($D60=RegularFormula!$D$2,$K$15,$D60))),IFERROR(IF(percentage,percentage,""),""))
</f>
        <v/>
      </c>
      <c r="I60" s="72" t="str">
        <f t="shared" si="1"/>
        <v/>
      </c>
      <c r="J60" s="73">
        <v>0.0</v>
      </c>
      <c r="K60" s="166" t="str">
        <f>C95</f>
        <v>Pikachu</v>
      </c>
      <c r="L60" s="167">
        <f>IFERROR(__xludf.DUMMYFUNCTION("SUM(ARRAYFORMULA(IF((A2:A287 = FALSE) * ((D2:D287 = K60) + (D2:D287 = K54)) * REGEXMATCH(SUBSTITUTE(C2:C287, "" ex"", """"), TEXTJOIN(""|"", TRUE, INDEX('language&amp;DataTest'!A33:AB182, , MATCH(HOME!$A$25, 'language&amp;DataTest'!$A$1:$G$1, 0))))*(COUNTIFS(SUBS"&amp;"TITUTE(C2:C287, "" ex"", """"), SUBSTITUTE(C2:C287, "" ex"", """"), A2:A287, TRUE) = 0), F2:F287, 0)))"),0.0)</f>
        <v>0</v>
      </c>
      <c r="M60" s="167">
        <f>IFERROR(__xludf.DUMMYFUNCTION("SUM(ARRAYFORMULA(IF((A2:A287 = FALSE) * ((D2:D287 = K60) + (D2:D287 = K54)) * REGEXMATCH(SUBSTITUTE(C2:C287, "" ex"", """"), TEXTJOIN(""|"", TRUE, INDEX('language&amp;DataTest'!A33:AB182, , MATCH(HOME!$A$25, 'language&amp;DataTest'!$A$1:$G$1, 0))))*(COUNTIFS(SUBS"&amp;"TITUTE(C2:C287, "" ex"", """"), SUBSTITUTE(C2:C287, "" ex"", """"), A2:A287, TRUE) = 0), G2:G287, 0)))"),0.0)</f>
        <v>0</v>
      </c>
      <c r="N60" s="181">
        <f>IFERROR(__xludf.DUMMYFUNCTION("SUM(ARRAYFORMULA(IF((A2:A287 = FALSE) * ((D2:D287 = K60) + (D2:D287 = K54)) * REGEXMATCH(SUBSTITUTE(C2:C287, "" ex"", """"), TEXTJOIN(""|"", TRUE, INDEX('language&amp;DataTest'!A33:AB182, , MATCH(HOME!$A$25, 'language&amp;DataTest'!$A$1:$G$1, 0))))*(COUNTIFS(SUBS"&amp;"TITUTE(C2:C287, "" ex"", """"), SUBSTITUTE(C2:C287, "" ex"", """"), A2:A287, TRUE) = 0), H2:H287, 0)))"),0.0)</f>
        <v>0</v>
      </c>
      <c r="O60" s="159"/>
      <c r="P60" s="163"/>
      <c r="Q60" s="163"/>
      <c r="R60" s="163"/>
      <c r="S60" s="79" t="str">
        <f t="shared" si="2"/>
        <v/>
      </c>
      <c r="T60" s="80" t="str">
        <f>IFERROR(__xludf.DUMMYFUNCTION("IF(
  Q60="""",
  """",
  IF(
   REGEXMATCH(SUBSTITUTE(Q60, "" ex"", """"), TEXTJOIN(""|"", TRUE, INDEX('language&amp;DataTest'!$A$33:$AB$182, , MATCH(HOME!$A$25, 'language&amp;DataTest'!$A$1:$G$1, 0)))),
   IF($M$26,
     IF(COUNTIFS(ARRAYFORMULA(SUBSTITUTE($C$2"&amp;":$C287, "" ex"", """")), SUBSTITUTE(Q60, "" ex"", """"), $J$2:$J287, ""&gt;0"")=0, ""Yes"", ""No""),
     IF(COUNTIFS(ARRAYFORMULA(SUBSTITUTE($C$2:$C287, "" ex"", """")), SUBSTITUTE(Q60, "" ex"", """"), $A$2:$A287, TRUE)=0, ""Yes"", ""No"")
   ),
   ""No""
 "&amp;")
)"),"")</f>
        <v/>
      </c>
    </row>
    <row r="61">
      <c r="A61" s="68" t="b">
        <v>1</v>
      </c>
      <c r="B61" s="69" t="s">
        <v>162</v>
      </c>
      <c r="C61" s="69" t="str">
        <f t="array" ref="C61">TEXTJOIN("", TRUE, IFERROR(INDEX('language&amp;DataTest'!A:J, MATCH(INDEX( PointerTest!C:C, MATCH(B61, PointerTest!A:A, 0), 0), 'language&amp;DataTest'!A:A, 0), MATCH(HOME!$A$25, 'language&amp;DataTest'!$A$1:$H$1, 0))),                      IFERROR(INDEX('language&amp;DataTest'!A:J, MATCH(INDEX( PointerTest!D:D, MATCH(B61, PointerTest!A:A, 0), 0), 'language&amp;DataTest'!A:A, 0), MATCH(HOME!$A$25, 'language&amp;DataTest'!$A$1:$H$1, 0))),                                          
IFERROR(INDEX('language&amp;DataTest'!A:J, MATCH(INDEX( PointerTest!E:E, MATCH(B61, PointerTest!A:A, 0), 0), 'language&amp;DataTest'!A:A, 0), MATCH(HOME!$A$25, 'language&amp;DataTest'!$A$1:$H$1, 0))))</f>
        <v>Poliwhirl</v>
      </c>
      <c r="D61" s="69" t="str">
        <f t="array" ref="D61">INDEX('language&amp;DataTest'!A:J, MATCH(INDEX( PointerTest!D:D, MATCH(INDEX(PointerTest!B:B, MATCH(B61, PointerTest!A:A, 0)), PointerTest!A:A, 0), 0), 'language&amp;DataTest'!A:A, 0), MATCH(HOME!$A$25, 'language&amp;DataTest'!$A$1:$H$1, 0))</f>
        <v>Charizard</v>
      </c>
      <c r="E61" s="69" t="str">
        <f t="array" ref="E61">INDEX( PointerTest!F:F, MATCH(B61, PointerTest!A:A, 0), 0)</f>
        <v>♢♢</v>
      </c>
      <c r="F61" s="70" t="str">
        <f t="array" ref="F61">LET(percentage,XLOOKUP($E61,$K$2:$K$10,L$2:L$10,"",0)/(COUNTIFS($E:$E,$E61,$D:$D,RegularFormula!$D$2)+COUNTIFS($E:$E,$E61,$D:$D,IF($D61=RegularFormula!$D$2,$K$15,$D61))),IFERROR(IF(percentage,percentage,""),""))
</f>
        <v/>
      </c>
      <c r="G61" s="71">
        <f t="array" ref="G61">LET(percentage,XLOOKUP($E61,$K$2:$K$10,M$2:M$10,"",0)/(COUNTIFS($E:$E,$E61,$D:$D,RegularFormula!$D$2)+COUNTIFS($E:$E,$E61,$D:$D,IF($D61=RegularFormula!$D$2,$K$15,$D61))),IFERROR(IF(percentage,percentage,""),""))
</f>
        <v>0.02571428571</v>
      </c>
      <c r="H61" s="71">
        <f t="array" ref="H61">LET(percentage,XLOOKUP($E61,$K$2:$K$10,N$2:N$10,"",0)/(COUNTIFS($E:$E,$E61,$D:$D,RegularFormula!$D$2)+COUNTIFS($E:$E,$E61,$D:$D,IF($D61=RegularFormula!$D$2,$K$15,$D61))),IFERROR(IF(percentage,percentage,""),""))
</f>
        <v>0.01714285714</v>
      </c>
      <c r="I61" s="72" t="str">
        <f t="shared" si="1"/>
        <v/>
      </c>
      <c r="J61" s="73">
        <v>0.0</v>
      </c>
      <c r="K61" s="169" t="str">
        <f>C36</f>
        <v>Charizard</v>
      </c>
      <c r="L61" s="170">
        <f>IFERROR(__xludf.DUMMYFUNCTION("SUM(ARRAYFORMULA(IF((A2:A287 = FALSE) * ((D2:D287 = K61) + (D2:D287 = K54)) * REGEXMATCH(SUBSTITUTE(C2:C287, "" ex"", """"), TEXTJOIN(""|"", TRUE, INDEX('language&amp;DataTest'!A33:AB182, , MATCH(HOME!$A$25, 'language&amp;DataTest'!$A$1:$G$1, 0))))*(COUNTIFS(SUBS"&amp;"TITUTE(C2:C287, "" ex"", """"), SUBSTITUTE(C2:C287, "" ex"", """"), A2:A287, TRUE) = 0), F2:F287, 0)))"),0.0)</f>
        <v>0</v>
      </c>
      <c r="M61" s="170">
        <f>IFERROR(__xludf.DUMMYFUNCTION("SUM(ARRAYFORMULA(IF((A2:A287 = FALSE) * ((D2:D287 = K61) + (D2:D287 = K54)) * REGEXMATCH(SUBSTITUTE(C2:C287, "" ex"", """"), TEXTJOIN(""|"", TRUE, INDEX('language&amp;DataTest'!A33:AB182, , MATCH(HOME!$A$25, 'language&amp;DataTest'!$A$1:$G$1, 0))))*(COUNTIFS(SUBS"&amp;"TITUTE(C2:C287, "" ex"", """"), SUBSTITUTE(C2:C287, "" ex"", """"), A2:A287, TRUE) = 0), G2:G287, 0)))"),0.0)</f>
        <v>0</v>
      </c>
      <c r="N61" s="182">
        <f>IFERROR(__xludf.DUMMYFUNCTION("SUM(ARRAYFORMULA(IF((A2:A287 = FALSE) * ((D2:D287 = K61) + (D2:D287 = K54)) * REGEXMATCH(SUBSTITUTE(C2:C287, "" ex"", """"), TEXTJOIN(""|"", TRUE, INDEX('language&amp;DataTest'!A33:AB182, , MATCH(HOME!$A$25, 'language&amp;DataTest'!$A$1:$G$1, 0))))*(COUNTIFS(SUBS"&amp;"TITUTE(C2:C287, "" ex"", """"), SUBSTITUTE(C2:C287, "" ex"", """"), A2:A287, TRUE) = 0), H2:H287, 0)))"),0.0)</f>
        <v>0</v>
      </c>
      <c r="O61" s="159"/>
      <c r="P61" s="163"/>
      <c r="Q61" s="163"/>
      <c r="R61" s="163"/>
      <c r="S61" s="79" t="str">
        <f t="shared" si="2"/>
        <v/>
      </c>
      <c r="T61" s="80" t="str">
        <f>IFERROR(__xludf.DUMMYFUNCTION("IF(
  Q61="""",
  """",
  IF(
   REGEXMATCH(SUBSTITUTE(Q61, "" ex"", """"), TEXTJOIN(""|"", TRUE, INDEX('language&amp;DataTest'!$A$33:$AB$182, , MATCH(HOME!$A$25, 'language&amp;DataTest'!$A$1:$G$1, 0)))),
   IF($M$26,
     IF(COUNTIFS(ARRAYFORMULA(SUBSTITUTE($C$2"&amp;":$C287, "" ex"", """")), SUBSTITUTE(Q61, "" ex"", """"), $J$2:$J287, ""&gt;0"")=0, ""Yes"", ""No""),
     IF(COUNTIFS(ARRAYFORMULA(SUBSTITUTE($C$2:$C287, "" ex"", """")), SUBSTITUTE(Q61, "" ex"", """"), $A$2:$A287, TRUE)=0, ""Yes"", ""No"")
   ),
   ""No""
 "&amp;")
)"),"")</f>
        <v/>
      </c>
    </row>
    <row r="62">
      <c r="A62" s="68" t="b">
        <v>1</v>
      </c>
      <c r="B62" s="69" t="s">
        <v>163</v>
      </c>
      <c r="C62" s="69" t="str">
        <f t="array" ref="C62">TEXTJOIN("", TRUE, IFERROR(INDEX('language&amp;DataTest'!A:J, MATCH(INDEX( PointerTest!C:C, MATCH(B62, PointerTest!A:A, 0), 0), 'language&amp;DataTest'!A:A, 0), MATCH(HOME!$A$25, 'language&amp;DataTest'!$A$1:$H$1, 0))),                      IFERROR(INDEX('language&amp;DataTest'!A:J, MATCH(INDEX( PointerTest!D:D, MATCH(B62, PointerTest!A:A, 0), 0), 'language&amp;DataTest'!A:A, 0), MATCH(HOME!$A$25, 'language&amp;DataTest'!$A$1:$H$1, 0))),                                          
IFERROR(INDEX('language&amp;DataTest'!A:J, MATCH(INDEX( PointerTest!E:E, MATCH(B62, PointerTest!A:A, 0), 0), 'language&amp;DataTest'!A:A, 0), MATCH(HOME!$A$25, 'language&amp;DataTest'!$A$1:$H$1, 0))))</f>
        <v>Poliwrath</v>
      </c>
      <c r="D62" s="69" t="str">
        <f t="array" ref="D62">INDEX('language&amp;DataTest'!A:J, MATCH(INDEX( PointerTest!D:D, MATCH(INDEX(PointerTest!B:B, MATCH(B62, PointerTest!A:A, 0)), PointerTest!A:A, 0), 0), 'language&amp;DataTest'!A:A, 0), MATCH(HOME!$A$25, 'language&amp;DataTest'!$A$1:$H$1, 0))</f>
        <v>Charizard</v>
      </c>
      <c r="E62" s="69" t="str">
        <f t="array" ref="E62">INDEX( PointerTest!F:F, MATCH(B62, PointerTest!A:A, 0), 0)</f>
        <v>♢♢♢</v>
      </c>
      <c r="F62" s="70" t="str">
        <f t="array" ref="F62">LET(percentage,XLOOKUP($E62,$K$2:$K$10,L$2:L$10,"",0)/(COUNTIFS($E:$E,$E62,$D:$D,RegularFormula!$D$2)+COUNTIFS($E:$E,$E62,$D:$D,IF($D62=RegularFormula!$D$2,$K$15,$D62))),IFERROR(IF(percentage,percentage,""),""))
</f>
        <v/>
      </c>
      <c r="G62" s="71">
        <f t="array" ref="G62">LET(percentage,XLOOKUP($E62,$K$2:$K$10,M$2:M$10,"",0)/(COUNTIFS($E:$E,$E62,$D:$D,RegularFormula!$D$2)+COUNTIFS($E:$E,$E62,$D:$D,IF($D62=RegularFormula!$D$2,$K$15,$D62))),IFERROR(IF(percentage,percentage,""),""))
</f>
        <v>0.003571428571</v>
      </c>
      <c r="H62" s="71">
        <f t="array" ref="H62">LET(percentage,XLOOKUP($E62,$K$2:$K$10,N$2:N$10,"",0)/(COUNTIFS($E:$E,$E62,$D:$D,RegularFormula!$D$2)+COUNTIFS($E:$E,$E62,$D:$D,IF($D62=RegularFormula!$D$2,$K$15,$D62))),IFERROR(IF(percentage,percentage,""),""))
</f>
        <v>0.01428571429</v>
      </c>
      <c r="I62" s="72" t="str">
        <f t="shared" si="1"/>
        <v/>
      </c>
      <c r="J62" s="73">
        <v>0.0</v>
      </c>
      <c r="K62" s="183" t="s">
        <v>134</v>
      </c>
      <c r="L62" s="110" t="str">
        <f>IF(L59 = MAX(L59:L61), K59, IF(L60 = MAX(L59:L61), K60, K61))</f>
        <v>Mewtwo</v>
      </c>
      <c r="M62" s="110" t="str">
        <f>IF(M59 = MAX(M59:M61), K59, IF(M60 = MAX(M59:M61), K60, K61))</f>
        <v>Mewtwo</v>
      </c>
      <c r="N62" s="110" t="str">
        <f>IF(N59 = MAX(N59:N61), K59, IF(N60 = MAX(N59:N61), K60, K61))</f>
        <v>Mewtwo</v>
      </c>
      <c r="O62" s="159"/>
      <c r="P62" s="163"/>
      <c r="Q62" s="163"/>
      <c r="R62" s="163"/>
      <c r="S62" s="79" t="str">
        <f t="shared" si="2"/>
        <v/>
      </c>
      <c r="T62" s="80" t="str">
        <f>IFERROR(__xludf.DUMMYFUNCTION("IF(
  Q62="""",
  """",
  IF(
   REGEXMATCH(SUBSTITUTE(Q62, "" ex"", """"), TEXTJOIN(""|"", TRUE, INDEX('language&amp;DataTest'!$A$33:$AB$182, , MATCH(HOME!$A$25, 'language&amp;DataTest'!$A$1:$G$1, 0)))),
   IF($M$26,
     IF(COUNTIFS(ARRAYFORMULA(SUBSTITUTE($C$2"&amp;":$C287, "" ex"", """")), SUBSTITUTE(Q62, "" ex"", """"), $J$2:$J287, ""&gt;0"")=0, ""Yes"", ""No""),
     IF(COUNTIFS(ARRAYFORMULA(SUBSTITUTE($C$2:$C287, "" ex"", """")), SUBSTITUTE(Q62, "" ex"", """"), $A$2:$A287, TRUE)=0, ""Yes"", ""No"")
   ),
   ""No""
 "&amp;")
)"),"")</f>
        <v/>
      </c>
    </row>
    <row r="63">
      <c r="A63" s="68" t="b">
        <v>1</v>
      </c>
      <c r="B63" s="69" t="s">
        <v>164</v>
      </c>
      <c r="C63" s="69" t="str">
        <f t="array" ref="C63">TEXTJOIN("", TRUE, IFERROR(INDEX('language&amp;DataTest'!A:J, MATCH(INDEX( PointerTest!C:C, MATCH(B63, PointerTest!A:A, 0), 0), 'language&amp;DataTest'!A:A, 0), MATCH(HOME!$A$25, 'language&amp;DataTest'!$A$1:$H$1, 0))),                      IFERROR(INDEX('language&amp;DataTest'!A:J, MATCH(INDEX( PointerTest!D:D, MATCH(B63, PointerTest!A:A, 0), 0), 'language&amp;DataTest'!A:A, 0), MATCH(HOME!$A$25, 'language&amp;DataTest'!$A$1:$H$1, 0))),                                          
IFERROR(INDEX('language&amp;DataTest'!A:J, MATCH(INDEX( PointerTest!E:E, MATCH(B63, PointerTest!A:A, 0), 0), 'language&amp;DataTest'!A:A, 0), MATCH(HOME!$A$25, 'language&amp;DataTest'!$A$1:$H$1, 0))))</f>
        <v>Tentacool</v>
      </c>
      <c r="D63" s="69" t="str">
        <f t="array" ref="D63">INDEX('language&amp;DataTest'!A:J, MATCH(INDEX( PointerTest!D:D, MATCH(INDEX(PointerTest!B:B, MATCH(B63, PointerTest!A:A, 0)), PointerTest!A:A, 0), 0), 'language&amp;DataTest'!A:A, 0), MATCH(HOME!$A$25, 'language&amp;DataTest'!$A$1:$H$1, 0))</f>
        <v>Mewtwo</v>
      </c>
      <c r="E63" s="69" t="str">
        <f t="array" ref="E63">INDEX( PointerTest!F:F, MATCH(B63, PointerTest!A:A, 0), 0)</f>
        <v>♢</v>
      </c>
      <c r="F63" s="70">
        <f t="array" ref="F63">LET(percentage,XLOOKUP($E63,$K$2:$K$10,L$2:L$10,"",0)/(COUNTIFS($E:$E,$E63,$D:$D,RegularFormula!$D$2)+COUNTIFS($E:$E,$E63,$D:$D,IF($D63=RegularFormula!$D$2,$K$15,$D63))),IFERROR(IF(percentage,percentage,""),""))
</f>
        <v>0.02</v>
      </c>
      <c r="G63" s="71" t="str">
        <f t="array" ref="G63">LET(percentage,XLOOKUP($E63,$K$2:$K$10,M$2:M$10,"",0)/(COUNTIFS($E:$E,$E63,$D:$D,RegularFormula!$D$2)+COUNTIFS($E:$E,$E63,$D:$D,IF($D63=RegularFormula!$D$2,$K$15,$D63))),IFERROR(IF(percentage,percentage,""),""))
</f>
        <v/>
      </c>
      <c r="H63" s="71" t="str">
        <f t="array" ref="H63">LET(percentage,XLOOKUP($E63,$K$2:$K$10,N$2:N$10,"",0)/(COUNTIFS($E:$E,$E63,$D:$D,RegularFormula!$D$2)+COUNTIFS($E:$E,$E63,$D:$D,IF($D63=RegularFormula!$D$2,$K$15,$D63))),IFERROR(IF(percentage,percentage,""),""))
</f>
        <v/>
      </c>
      <c r="I63" s="72" t="str">
        <f t="shared" si="1"/>
        <v/>
      </c>
      <c r="J63" s="73">
        <v>0.0</v>
      </c>
      <c r="K63" s="176"/>
      <c r="L63" s="142"/>
      <c r="M63" s="142"/>
      <c r="N63" s="142"/>
      <c r="O63" s="184"/>
      <c r="P63" s="163"/>
      <c r="Q63" s="163"/>
      <c r="R63" s="163"/>
      <c r="S63" s="79" t="str">
        <f t="shared" si="2"/>
        <v/>
      </c>
      <c r="T63" s="80" t="str">
        <f>IFERROR(__xludf.DUMMYFUNCTION("IF(
  Q63="""",
  """",
  IF(
   REGEXMATCH(SUBSTITUTE(Q63, "" ex"", """"), TEXTJOIN(""|"", TRUE, INDEX('language&amp;DataTest'!$A$33:$AB$182, , MATCH(HOME!$A$25, 'language&amp;DataTest'!$A$1:$G$1, 0)))),
   IF($M$26,
     IF(COUNTIFS(ARRAYFORMULA(SUBSTITUTE($C$2"&amp;":$C287, "" ex"", """")), SUBSTITUTE(Q63, "" ex"", """"), $J$2:$J287, ""&gt;0"")=0, ""Yes"", ""No""),
     IF(COUNTIFS(ARRAYFORMULA(SUBSTITUTE($C$2:$C287, "" ex"", """")), SUBSTITUTE(Q63, "" ex"", """"), $A$2:$A287, TRUE)=0, ""Yes"", ""No"")
   ),
   ""No""
 "&amp;")
)"),"")</f>
        <v/>
      </c>
    </row>
    <row r="64">
      <c r="A64" s="68" t="b">
        <v>1</v>
      </c>
      <c r="B64" s="69" t="s">
        <v>165</v>
      </c>
      <c r="C64" s="69" t="str">
        <f t="array" ref="C64">TEXTJOIN("", TRUE, IFERROR(INDEX('language&amp;DataTest'!A:J, MATCH(INDEX( PointerTest!C:C, MATCH(B64, PointerTest!A:A, 0), 0), 'language&amp;DataTest'!A:A, 0), MATCH(HOME!$A$25, 'language&amp;DataTest'!$A$1:$H$1, 0))),                      IFERROR(INDEX('language&amp;DataTest'!A:J, MATCH(INDEX( PointerTest!D:D, MATCH(B64, PointerTest!A:A, 0), 0), 'language&amp;DataTest'!A:A, 0), MATCH(HOME!$A$25, 'language&amp;DataTest'!$A$1:$H$1, 0))),                                          
IFERROR(INDEX('language&amp;DataTest'!A:J, MATCH(INDEX( PointerTest!E:E, MATCH(B64, PointerTest!A:A, 0), 0), 'language&amp;DataTest'!A:A, 0), MATCH(HOME!$A$25, 'language&amp;DataTest'!$A$1:$H$1, 0))))</f>
        <v>Tentacruel</v>
      </c>
      <c r="D64" s="69" t="str">
        <f t="array" ref="D64">INDEX('language&amp;DataTest'!A:J, MATCH(INDEX( PointerTest!D:D, MATCH(INDEX(PointerTest!B:B, MATCH(B64, PointerTest!A:A, 0)), PointerTest!A:A, 0), 0), 'language&amp;DataTest'!A:A, 0), MATCH(HOME!$A$25, 'language&amp;DataTest'!$A$1:$H$1, 0))</f>
        <v>Mewtwo</v>
      </c>
      <c r="E64" s="69" t="str">
        <f t="array" ref="E64">INDEX( PointerTest!F:F, MATCH(B64, PointerTest!A:A, 0), 0)</f>
        <v>♢♢</v>
      </c>
      <c r="F64" s="70" t="str">
        <f t="array" ref="F64">LET(percentage,XLOOKUP($E64,$K$2:$K$10,L$2:L$10,"",0)/(COUNTIFS($E:$E,$E64,$D:$D,RegularFormula!$D$2)+COUNTIFS($E:$E,$E64,$D:$D,IF($D64=RegularFormula!$D$2,$K$15,$D64))),IFERROR(IF(percentage,percentage,""),""))
</f>
        <v/>
      </c>
      <c r="G64" s="71">
        <f t="array" ref="G64">LET(percentage,XLOOKUP($E64,$K$2:$K$10,M$2:M$10,"",0)/(COUNTIFS($E:$E,$E64,$D:$D,RegularFormula!$D$2)+COUNTIFS($E:$E,$E64,$D:$D,IF($D64=RegularFormula!$D$2,$K$15,$D64))),IFERROR(IF(percentage,percentage,""),""))
</f>
        <v>0.02571428571</v>
      </c>
      <c r="H64" s="71">
        <f t="array" ref="H64">LET(percentage,XLOOKUP($E64,$K$2:$K$10,N$2:N$10,"",0)/(COUNTIFS($E:$E,$E64,$D:$D,RegularFormula!$D$2)+COUNTIFS($E:$E,$E64,$D:$D,IF($D64=RegularFormula!$D$2,$K$15,$D64))),IFERROR(IF(percentage,percentage,""),""))
</f>
        <v>0.01714285714</v>
      </c>
      <c r="I64" s="72" t="str">
        <f t="shared" si="1"/>
        <v/>
      </c>
      <c r="J64" s="73">
        <v>0.0</v>
      </c>
      <c r="K64" s="178" t="s">
        <v>166</v>
      </c>
      <c r="N64" s="156"/>
      <c r="O64" s="185" t="s">
        <v>167</v>
      </c>
      <c r="P64" s="163"/>
      <c r="Q64" s="163"/>
      <c r="R64" s="163"/>
      <c r="S64" s="79" t="str">
        <f t="shared" si="2"/>
        <v/>
      </c>
      <c r="T64" s="80" t="str">
        <f>IFERROR(__xludf.DUMMYFUNCTION("IF(
  Q64="""",
  """",
  IF(
   REGEXMATCH(SUBSTITUTE(Q64, "" ex"", """"), TEXTJOIN(""|"", TRUE, INDEX('language&amp;DataTest'!$A$33:$AB$182, , MATCH(HOME!$A$25, 'language&amp;DataTest'!$A$1:$G$1, 0)))),
   IF($M$26,
     IF(COUNTIFS(ARRAYFORMULA(SUBSTITUTE($C$2"&amp;":$C287, "" ex"", """")), SUBSTITUTE(Q64, "" ex"", """"), $J$2:$J287, ""&gt;0"")=0, ""Yes"", ""No""),
     IF(COUNTIFS(ARRAYFORMULA(SUBSTITUTE($C$2:$C287, "" ex"", """")), SUBSTITUTE(Q64, "" ex"", """"), $A$2:$A287, TRUE)=0, ""Yes"", ""No"")
   ),
   ""No""
 "&amp;")
)"),"")</f>
        <v/>
      </c>
    </row>
    <row r="65">
      <c r="A65" s="68" t="b">
        <v>1</v>
      </c>
      <c r="B65" s="69" t="s">
        <v>168</v>
      </c>
      <c r="C65" s="69" t="str">
        <f t="array" ref="C65">TEXTJOIN("", TRUE, IFERROR(INDEX('language&amp;DataTest'!A:J, MATCH(INDEX( PointerTest!C:C, MATCH(B65, PointerTest!A:A, 0), 0), 'language&amp;DataTest'!A:A, 0), MATCH(HOME!$A$25, 'language&amp;DataTest'!$A$1:$H$1, 0))),                      IFERROR(INDEX('language&amp;DataTest'!A:J, MATCH(INDEX( PointerTest!D:D, MATCH(B65, PointerTest!A:A, 0), 0), 'language&amp;DataTest'!A:A, 0), MATCH(HOME!$A$25, 'language&amp;DataTest'!$A$1:$H$1, 0))),                                          
IFERROR(INDEX('language&amp;DataTest'!A:J, MATCH(INDEX( PointerTest!E:E, MATCH(B65, PointerTest!A:A, 0), 0), 'language&amp;DataTest'!A:A, 0), MATCH(HOME!$A$25, 'language&amp;DataTest'!$A$1:$H$1, 0))))</f>
        <v>Seel</v>
      </c>
      <c r="D65" s="69" t="str">
        <f t="array" ref="D65">INDEX('language&amp;DataTest'!A:J, MATCH(INDEX( PointerTest!D:D, MATCH(INDEX(PointerTest!B:B, MATCH(B65, PointerTest!A:A, 0)), PointerTest!A:A, 0), 0), 'language&amp;DataTest'!A:A, 0), MATCH(HOME!$A$25, 'language&amp;DataTest'!$A$1:$H$1, 0))</f>
        <v>Pikachu</v>
      </c>
      <c r="E65" s="69" t="str">
        <f t="array" ref="E65">INDEX( PointerTest!F:F, MATCH(B65, PointerTest!A:A, 0), 0)</f>
        <v>♢</v>
      </c>
      <c r="F65" s="70">
        <f t="array" ref="F65">LET(percentage,XLOOKUP($E65,$K$2:$K$10,L$2:L$10,"",0)/(COUNTIFS($E:$E,$E65,$D:$D,RegularFormula!$D$2)+COUNTIFS($E:$E,$E65,$D:$D,IF($D65=RegularFormula!$D$2,$K$15,$D65))),IFERROR(IF(percentage,percentage,""),""))
</f>
        <v>0.02</v>
      </c>
      <c r="G65" s="71" t="str">
        <f t="array" ref="G65">LET(percentage,XLOOKUP($E65,$K$2:$K$10,M$2:M$10,"",0)/(COUNTIFS($E:$E,$E65,$D:$D,RegularFormula!$D$2)+COUNTIFS($E:$E,$E65,$D:$D,IF($D65=RegularFormula!$D$2,$K$15,$D65))),IFERROR(IF(percentage,percentage,""),""))
</f>
        <v/>
      </c>
      <c r="H65" s="71" t="str">
        <f t="array" ref="H65">LET(percentage,XLOOKUP($E65,$K$2:$K$10,N$2:N$10,"",0)/(COUNTIFS($E:$E,$E65,$D:$D,RegularFormula!$D$2)+COUNTIFS($E:$E,$E65,$D:$D,IF($D65=RegularFormula!$D$2,$K$15,$D65))),IFERROR(IF(percentage,percentage,""),""))
</f>
        <v/>
      </c>
      <c r="I65" s="72" t="str">
        <f t="shared" si="1"/>
        <v/>
      </c>
      <c r="J65" s="73">
        <v>0.0</v>
      </c>
      <c r="K65" s="164" t="str">
        <f>C129</f>
        <v>Mewtwo</v>
      </c>
      <c r="L65" s="71">
        <f t="shared" ref="L65:L67" si="8">1-((1-L59)^3*(1-M59)*(1-N59))</f>
        <v>0</v>
      </c>
      <c r="M65" s="186" t="s">
        <v>169</v>
      </c>
      <c r="N65" s="156"/>
      <c r="O65" s="159"/>
      <c r="P65" s="163"/>
      <c r="Q65" s="163"/>
      <c r="R65" s="163"/>
      <c r="S65" s="79" t="str">
        <f t="shared" si="2"/>
        <v/>
      </c>
      <c r="T65" s="80" t="str">
        <f>IFERROR(__xludf.DUMMYFUNCTION("IF(
  Q65="""",
  """",
  IF(
   REGEXMATCH(SUBSTITUTE(Q65, "" ex"", """"), TEXTJOIN(""|"", TRUE, INDEX('language&amp;DataTest'!$A$33:$AB$182, , MATCH(HOME!$A$25, 'language&amp;DataTest'!$A$1:$G$1, 0)))),
   IF($M$26,
     IF(COUNTIFS(ARRAYFORMULA(SUBSTITUTE($C$2"&amp;":$C287, "" ex"", """")), SUBSTITUTE(Q65, "" ex"", """"), $J$2:$J287, ""&gt;0"")=0, ""Yes"", ""No""),
     IF(COUNTIFS(ARRAYFORMULA(SUBSTITUTE($C$2:$C287, "" ex"", """")), SUBSTITUTE(Q65, "" ex"", """"), $A$2:$A287, TRUE)=0, ""Yes"", ""No"")
   ),
   ""No""
 "&amp;")
)"),"")</f>
        <v/>
      </c>
    </row>
    <row r="66">
      <c r="A66" s="68" t="b">
        <v>1</v>
      </c>
      <c r="B66" s="69" t="s">
        <v>170</v>
      </c>
      <c r="C66" s="69" t="str">
        <f t="array" ref="C66">TEXTJOIN("", TRUE, IFERROR(INDEX('language&amp;DataTest'!A:J, MATCH(INDEX( PointerTest!C:C, MATCH(B66, PointerTest!A:A, 0), 0), 'language&amp;DataTest'!A:A, 0), MATCH(HOME!$A$25, 'language&amp;DataTest'!$A$1:$H$1, 0))),                      IFERROR(INDEX('language&amp;DataTest'!A:J, MATCH(INDEX( PointerTest!D:D, MATCH(B66, PointerTest!A:A, 0), 0), 'language&amp;DataTest'!A:A, 0), MATCH(HOME!$A$25, 'language&amp;DataTest'!$A$1:$H$1, 0))),                                          
IFERROR(INDEX('language&amp;DataTest'!A:J, MATCH(INDEX( PointerTest!E:E, MATCH(B66, PointerTest!A:A, 0), 0), 'language&amp;DataTest'!A:A, 0), MATCH(HOME!$A$25, 'language&amp;DataTest'!$A$1:$H$1, 0))))</f>
        <v>Dewgong</v>
      </c>
      <c r="D66" s="69" t="str">
        <f t="array" ref="D66">INDEX('language&amp;DataTest'!A:J, MATCH(INDEX( PointerTest!D:D, MATCH(INDEX(PointerTest!B:B, MATCH(B66, PointerTest!A:A, 0)), PointerTest!A:A, 0), 0), 'language&amp;DataTest'!A:A, 0), MATCH(HOME!$A$25, 'language&amp;DataTest'!$A$1:$H$1, 0))</f>
        <v>Pikachu</v>
      </c>
      <c r="E66" s="69" t="str">
        <f t="array" ref="E66">INDEX( PointerTest!F:F, MATCH(B66, PointerTest!A:A, 0), 0)</f>
        <v>♢♢</v>
      </c>
      <c r="F66" s="70" t="str">
        <f t="array" ref="F66">LET(percentage,XLOOKUP($E66,$K$2:$K$10,L$2:L$10,"",0)/(COUNTIFS($E:$E,$E66,$D:$D,RegularFormula!$D$2)+COUNTIFS($E:$E,$E66,$D:$D,IF($D66=RegularFormula!$D$2,$K$15,$D66))),IFERROR(IF(percentage,percentage,""),""))
</f>
        <v/>
      </c>
      <c r="G66" s="71">
        <f t="array" ref="G66">LET(percentage,XLOOKUP($E66,$K$2:$K$10,M$2:M$10,"",0)/(COUNTIFS($E:$E,$E66,$D:$D,RegularFormula!$D$2)+COUNTIFS($E:$E,$E66,$D:$D,IF($D66=RegularFormula!$D$2,$K$15,$D66))),IFERROR(IF(percentage,percentage,""),""))
</f>
        <v>0.02571428571</v>
      </c>
      <c r="H66" s="71">
        <f t="array" ref="H66">LET(percentage,XLOOKUP($E66,$K$2:$K$10,N$2:N$10,"",0)/(COUNTIFS($E:$E,$E66,$D:$D,RegularFormula!$D$2)+COUNTIFS($E:$E,$E66,$D:$D,IF($D66=RegularFormula!$D$2,$K$15,$D66))),IFERROR(IF(percentage,percentage,""),""))
</f>
        <v>0.01714285714</v>
      </c>
      <c r="I66" s="72" t="str">
        <f t="shared" si="1"/>
        <v/>
      </c>
      <c r="J66" s="73">
        <v>0.0</v>
      </c>
      <c r="K66" s="166" t="str">
        <f>C95</f>
        <v>Pikachu</v>
      </c>
      <c r="L66" s="151">
        <f t="shared" si="8"/>
        <v>0</v>
      </c>
      <c r="M66" s="110" t="str">
        <f>IF(L65 = MAX(L65:L67), K65, IF(L66 = MAX(L65:L67), K66, K67))</f>
        <v>Mewtwo</v>
      </c>
      <c r="N66" s="156"/>
      <c r="O66" s="159"/>
      <c r="P66" s="163"/>
      <c r="Q66" s="163"/>
      <c r="R66" s="163"/>
      <c r="S66" s="79" t="str">
        <f t="shared" si="2"/>
        <v/>
      </c>
      <c r="T66" s="80" t="str">
        <f>IFERROR(__xludf.DUMMYFUNCTION("IF(
  Q66="""",
  """",
  IF(
   REGEXMATCH(SUBSTITUTE(Q66, "" ex"", """"), TEXTJOIN(""|"", TRUE, INDEX('language&amp;DataTest'!$A$33:$AB$182, , MATCH(HOME!$A$25, 'language&amp;DataTest'!$A$1:$G$1, 0)))),
   IF($M$26,
     IF(COUNTIFS(ARRAYFORMULA(SUBSTITUTE($C$2"&amp;":$C287, "" ex"", """")), SUBSTITUTE(Q66, "" ex"", """"), $J$2:$J287, ""&gt;0"")=0, ""Yes"", ""No""),
     IF(COUNTIFS(ARRAYFORMULA(SUBSTITUTE($C$2:$C287, "" ex"", """")), SUBSTITUTE(Q66, "" ex"", """"), $A$2:$A287, TRUE)=0, ""Yes"", ""No"")
   ),
   ""No""
 "&amp;")
)"),"")</f>
        <v/>
      </c>
    </row>
    <row r="67">
      <c r="A67" s="68" t="b">
        <v>1</v>
      </c>
      <c r="B67" s="69" t="s">
        <v>171</v>
      </c>
      <c r="C67" s="69" t="str">
        <f t="array" ref="C67">TEXTJOIN("", TRUE, IFERROR(INDEX('language&amp;DataTest'!A:J, MATCH(INDEX( PointerTest!C:C, MATCH(B67, PointerTest!A:A, 0), 0), 'language&amp;DataTest'!A:A, 0), MATCH(HOME!$A$25, 'language&amp;DataTest'!$A$1:$H$1, 0))),                      IFERROR(INDEX('language&amp;DataTest'!A:J, MATCH(INDEX( PointerTest!D:D, MATCH(B67, PointerTest!A:A, 0), 0), 'language&amp;DataTest'!A:A, 0), MATCH(HOME!$A$25, 'language&amp;DataTest'!$A$1:$H$1, 0))),                                          
IFERROR(INDEX('language&amp;DataTest'!A:J, MATCH(INDEX( PointerTest!E:E, MATCH(B67, PointerTest!A:A, 0), 0), 'language&amp;DataTest'!A:A, 0), MATCH(HOME!$A$25, 'language&amp;DataTest'!$A$1:$H$1, 0))))</f>
        <v>Shellder</v>
      </c>
      <c r="D67" s="69" t="str">
        <f t="array" ref="D67">INDEX('language&amp;DataTest'!A:J, MATCH(INDEX( PointerTest!D:D, MATCH(INDEX(PointerTest!B:B, MATCH(B67, PointerTest!A:A, 0)), PointerTest!A:A, 0), 0), 'language&amp;DataTest'!A:A, 0), MATCH(HOME!$A$25, 'language&amp;DataTest'!$A$1:$H$1, 0))</f>
        <v>Mewtwo</v>
      </c>
      <c r="E67" s="69" t="str">
        <f t="array" ref="E67">INDEX( PointerTest!F:F, MATCH(B67, PointerTest!A:A, 0), 0)</f>
        <v>♢</v>
      </c>
      <c r="F67" s="70">
        <f t="array" ref="F67">LET(percentage,XLOOKUP($E67,$K$2:$K$10,L$2:L$10,"",0)/(COUNTIFS($E:$E,$E67,$D:$D,RegularFormula!$D$2)+COUNTIFS($E:$E,$E67,$D:$D,IF($D67=RegularFormula!$D$2,$K$15,$D67))),IFERROR(IF(percentage,percentage,""),""))
</f>
        <v>0.02</v>
      </c>
      <c r="G67" s="71" t="str">
        <f t="array" ref="G67">LET(percentage,XLOOKUP($E67,$K$2:$K$10,M$2:M$10,"",0)/(COUNTIFS($E:$E,$E67,$D:$D,RegularFormula!$D$2)+COUNTIFS($E:$E,$E67,$D:$D,IF($D67=RegularFormula!$D$2,$K$15,$D67))),IFERROR(IF(percentage,percentage,""),""))
</f>
        <v/>
      </c>
      <c r="H67" s="71" t="str">
        <f t="array" ref="H67">LET(percentage,XLOOKUP($E67,$K$2:$K$10,N$2:N$10,"",0)/(COUNTIFS($E:$E,$E67,$D:$D,RegularFormula!$D$2)+COUNTIFS($E:$E,$E67,$D:$D,IF($D67=RegularFormula!$D$2,$K$15,$D67))),IFERROR(IF(percentage,percentage,""),""))
</f>
        <v/>
      </c>
      <c r="I67" s="72" t="str">
        <f t="shared" si="1"/>
        <v/>
      </c>
      <c r="J67" s="73">
        <v>0.0</v>
      </c>
      <c r="K67" s="187" t="str">
        <f>C36</f>
        <v>Charizard</v>
      </c>
      <c r="L67" s="188">
        <f t="shared" si="8"/>
        <v>0</v>
      </c>
      <c r="M67" s="189"/>
      <c r="N67" s="190"/>
      <c r="O67" s="184"/>
      <c r="P67" s="163"/>
      <c r="Q67" s="163"/>
      <c r="R67" s="163"/>
      <c r="S67" s="79" t="str">
        <f t="shared" si="2"/>
        <v/>
      </c>
      <c r="T67" s="80" t="str">
        <f>IFERROR(__xludf.DUMMYFUNCTION("IF(
  Q67="""",
  """",
  IF(
   REGEXMATCH(SUBSTITUTE(Q67, "" ex"", """"), TEXTJOIN(""|"", TRUE, INDEX('language&amp;DataTest'!$A$33:$AB$182, , MATCH(HOME!$A$25, 'language&amp;DataTest'!$A$1:$G$1, 0)))),
   IF($M$26,
     IF(COUNTIFS(ARRAYFORMULA(SUBSTITUTE($C$2"&amp;":$C287, "" ex"", """")), SUBSTITUTE(Q67, "" ex"", """"), $J$2:$J287, ""&gt;0"")=0, ""Yes"", ""No""),
     IF(COUNTIFS(ARRAYFORMULA(SUBSTITUTE($C$2:$C287, "" ex"", """")), SUBSTITUTE(Q67, "" ex"", """"), $A$2:$A287, TRUE)=0, ""Yes"", ""No"")
   ),
   ""No""
 "&amp;")
)"),"")</f>
        <v/>
      </c>
    </row>
    <row r="68">
      <c r="A68" s="68" t="b">
        <v>1</v>
      </c>
      <c r="B68" s="69" t="s">
        <v>172</v>
      </c>
      <c r="C68" s="69" t="str">
        <f t="array" ref="C68">TEXTJOIN("", TRUE, IFERROR(INDEX('language&amp;DataTest'!A:J, MATCH(INDEX( PointerTest!C:C, MATCH(B68, PointerTest!A:A, 0), 0), 'language&amp;DataTest'!A:A, 0), MATCH(HOME!$A$25, 'language&amp;DataTest'!$A$1:$H$1, 0))),                      IFERROR(INDEX('language&amp;DataTest'!A:J, MATCH(INDEX( PointerTest!D:D, MATCH(B68, PointerTest!A:A, 0), 0), 'language&amp;DataTest'!A:A, 0), MATCH(HOME!$A$25, 'language&amp;DataTest'!$A$1:$H$1, 0))),                                          
IFERROR(INDEX('language&amp;DataTest'!A:J, MATCH(INDEX( PointerTest!E:E, MATCH(B68, PointerTest!A:A, 0), 0), 'language&amp;DataTest'!A:A, 0), MATCH(HOME!$A$25, 'language&amp;DataTest'!$A$1:$H$1, 0))))</f>
        <v>Cloyster</v>
      </c>
      <c r="D68" s="69" t="str">
        <f t="array" ref="D68">INDEX('language&amp;DataTest'!A:J, MATCH(INDEX( PointerTest!D:D, MATCH(INDEX(PointerTest!B:B, MATCH(B68, PointerTest!A:A, 0)), PointerTest!A:A, 0), 0), 'language&amp;DataTest'!A:A, 0), MATCH(HOME!$A$25, 'language&amp;DataTest'!$A$1:$H$1, 0))</f>
        <v>Mewtwo</v>
      </c>
      <c r="E68" s="69" t="str">
        <f t="array" ref="E68">INDEX( PointerTest!F:F, MATCH(B68, PointerTest!A:A, 0), 0)</f>
        <v>♢♢</v>
      </c>
      <c r="F68" s="70" t="str">
        <f t="array" ref="F68">LET(percentage,XLOOKUP($E68,$K$2:$K$10,L$2:L$10,"",0)/(COUNTIFS($E:$E,$E68,$D:$D,RegularFormula!$D$2)+COUNTIFS($E:$E,$E68,$D:$D,IF($D68=RegularFormula!$D$2,$K$15,$D68))),IFERROR(IF(percentage,percentage,""),""))
</f>
        <v/>
      </c>
      <c r="G68" s="71">
        <f t="array" ref="G68">LET(percentage,XLOOKUP($E68,$K$2:$K$10,M$2:M$10,"",0)/(COUNTIFS($E:$E,$E68,$D:$D,RegularFormula!$D$2)+COUNTIFS($E:$E,$E68,$D:$D,IF($D68=RegularFormula!$D$2,$K$15,$D68))),IFERROR(IF(percentage,percentage,""),""))
</f>
        <v>0.02571428571</v>
      </c>
      <c r="H68" s="71">
        <f t="array" ref="H68">LET(percentage,XLOOKUP($E68,$K$2:$K$10,N$2:N$10,"",0)/(COUNTIFS($E:$E,$E68,$D:$D,RegularFormula!$D$2)+COUNTIFS($E:$E,$E68,$D:$D,IF($D68=RegularFormula!$D$2,$K$15,$D68))),IFERROR(IF(percentage,percentage,""),""))
</f>
        <v>0.01714285714</v>
      </c>
      <c r="I68" s="72" t="str">
        <f t="shared" si="1"/>
        <v/>
      </c>
      <c r="J68" s="73">
        <v>0.0</v>
      </c>
      <c r="O68" s="191" t="s">
        <v>173</v>
      </c>
      <c r="P68" s="163"/>
      <c r="Q68" s="163"/>
      <c r="R68" s="163"/>
      <c r="S68" s="79" t="str">
        <f t="shared" si="2"/>
        <v/>
      </c>
      <c r="T68" s="80" t="str">
        <f>IFERROR(__xludf.DUMMYFUNCTION("IF(
  Q68="""",
  """",
  IF(
   REGEXMATCH(SUBSTITUTE(Q68, "" ex"", """"), TEXTJOIN(""|"", TRUE, INDEX('language&amp;DataTest'!$A$33:$AB$182, , MATCH(HOME!$A$25, 'language&amp;DataTest'!$A$1:$G$1, 0)))),
   IF($M$26,
     IF(COUNTIFS(ARRAYFORMULA(SUBSTITUTE($C$2"&amp;":$C287, "" ex"", """")), SUBSTITUTE(Q68, "" ex"", """"), $J$2:$J287, ""&gt;0"")=0, ""Yes"", ""No""),
     IF(COUNTIFS(ARRAYFORMULA(SUBSTITUTE($C$2:$C287, "" ex"", """")), SUBSTITUTE(Q68, "" ex"", """"), $A$2:$A287, TRUE)=0, ""Yes"", ""No"")
   ),
   ""No""
 "&amp;")
)"),"")</f>
        <v/>
      </c>
    </row>
    <row r="69">
      <c r="A69" s="68" t="b">
        <v>1</v>
      </c>
      <c r="B69" s="69" t="s">
        <v>174</v>
      </c>
      <c r="C69" s="69" t="str">
        <f t="array" ref="C69">TEXTJOIN("", TRUE, IFERROR(INDEX('language&amp;DataTest'!A:J, MATCH(INDEX( PointerTest!C:C, MATCH(B69, PointerTest!A:A, 0), 0), 'language&amp;DataTest'!A:A, 0), MATCH(HOME!$A$25, 'language&amp;DataTest'!$A$1:$H$1, 0))),                      IFERROR(INDEX('language&amp;DataTest'!A:J, MATCH(INDEX( PointerTest!D:D, MATCH(B69, PointerTest!A:A, 0), 0), 'language&amp;DataTest'!A:A, 0), MATCH(HOME!$A$25, 'language&amp;DataTest'!$A$1:$H$1, 0))),                                          
IFERROR(INDEX('language&amp;DataTest'!A:J, MATCH(INDEX( PointerTest!E:E, MATCH(B69, PointerTest!A:A, 0), 0), 'language&amp;DataTest'!A:A, 0), MATCH(HOME!$A$25, 'language&amp;DataTest'!$A$1:$H$1, 0))))</f>
        <v>Krabby</v>
      </c>
      <c r="D69" s="69" t="str">
        <f t="array" ref="D69">INDEX('language&amp;DataTest'!A:J, MATCH(INDEX( PointerTest!D:D, MATCH(INDEX(PointerTest!B:B, MATCH(B69, PointerTest!A:A, 0)), PointerTest!A:A, 0), 0), 'language&amp;DataTest'!A:A, 0), MATCH(HOME!$A$25, 'language&amp;DataTest'!$A$1:$H$1, 0))</f>
        <v>Mewtwo</v>
      </c>
      <c r="E69" s="69" t="str">
        <f t="array" ref="E69">INDEX( PointerTest!F:F, MATCH(B69, PointerTest!A:A, 0), 0)</f>
        <v>♢</v>
      </c>
      <c r="F69" s="70">
        <f t="array" ref="F69">LET(percentage,XLOOKUP($E69,$K$2:$K$10,L$2:L$10,"",0)/(COUNTIFS($E:$E,$E69,$D:$D,RegularFormula!$D$2)+COUNTIFS($E:$E,$E69,$D:$D,IF($D69=RegularFormula!$D$2,$K$15,$D69))),IFERROR(IF(percentage,percentage,""),""))
</f>
        <v>0.02</v>
      </c>
      <c r="G69" s="71" t="str">
        <f t="array" ref="G69">LET(percentage,XLOOKUP($E69,$K$2:$K$10,M$2:M$10,"",0)/(COUNTIFS($E:$E,$E69,$D:$D,RegularFormula!$D$2)+COUNTIFS($E:$E,$E69,$D:$D,IF($D69=RegularFormula!$D$2,$K$15,$D69))),IFERROR(IF(percentage,percentage,""),""))
</f>
        <v/>
      </c>
      <c r="H69" s="71" t="str">
        <f t="array" ref="H69">LET(percentage,XLOOKUP($E69,$K$2:$K$10,N$2:N$10,"",0)/(COUNTIFS($E:$E,$E69,$D:$D,RegularFormula!$D$2)+COUNTIFS($E:$E,$E69,$D:$D,IF($D69=RegularFormula!$D$2,$K$15,$D69))),IFERROR(IF(percentage,percentage,""),""))
</f>
        <v/>
      </c>
      <c r="I69" s="72" t="str">
        <f t="shared" si="1"/>
        <v/>
      </c>
      <c r="J69" s="73">
        <v>0.0</v>
      </c>
      <c r="K69" s="100"/>
      <c r="O69" s="92"/>
      <c r="P69" s="163"/>
      <c r="Q69" s="163"/>
      <c r="R69" s="163"/>
      <c r="S69" s="79" t="str">
        <f t="shared" si="2"/>
        <v/>
      </c>
      <c r="T69" s="80" t="str">
        <f>IFERROR(__xludf.DUMMYFUNCTION("IF(
  Q69="""",
  """",
  IF(
   REGEXMATCH(SUBSTITUTE(Q69, "" ex"", """"), TEXTJOIN(""|"", TRUE, INDEX('language&amp;DataTest'!$A$33:$AB$182, , MATCH(HOME!$A$25, 'language&amp;DataTest'!$A$1:$G$1, 0)))),
   IF($M$26,
     IF(COUNTIFS(ARRAYFORMULA(SUBSTITUTE($C$2"&amp;":$C287, "" ex"", """")), SUBSTITUTE(Q69, "" ex"", """"), $J$2:$J287, ""&gt;0"")=0, ""Yes"", ""No""),
     IF(COUNTIFS(ARRAYFORMULA(SUBSTITUTE($C$2:$C287, "" ex"", """")), SUBSTITUTE(Q69, "" ex"", """"), $A$2:$A287, TRUE)=0, ""Yes"", ""No"")
   ),
   ""No""
 "&amp;")
)"),"")</f>
        <v/>
      </c>
    </row>
    <row r="70">
      <c r="A70" s="68" t="b">
        <v>1</v>
      </c>
      <c r="B70" s="69" t="s">
        <v>175</v>
      </c>
      <c r="C70" s="69" t="str">
        <f t="array" ref="C70">TEXTJOIN("", TRUE, IFERROR(INDEX('language&amp;DataTest'!A:J, MATCH(INDEX( PointerTest!C:C, MATCH(B70, PointerTest!A:A, 0), 0), 'language&amp;DataTest'!A:A, 0), MATCH(HOME!$A$25, 'language&amp;DataTest'!$A$1:$H$1, 0))),                      IFERROR(INDEX('language&amp;DataTest'!A:J, MATCH(INDEX( PointerTest!D:D, MATCH(B70, PointerTest!A:A, 0), 0), 'language&amp;DataTest'!A:A, 0), MATCH(HOME!$A$25, 'language&amp;DataTest'!$A$1:$H$1, 0))),                                          
IFERROR(INDEX('language&amp;DataTest'!A:J, MATCH(INDEX( PointerTest!E:E, MATCH(B70, PointerTest!A:A, 0), 0), 'language&amp;DataTest'!A:A, 0), MATCH(HOME!$A$25, 'language&amp;DataTest'!$A$1:$H$1, 0))))</f>
        <v>Kingler</v>
      </c>
      <c r="D70" s="69" t="str">
        <f t="array" ref="D70">INDEX('language&amp;DataTest'!A:J, MATCH(INDEX( PointerTest!D:D, MATCH(INDEX(PointerTest!B:B, MATCH(B70, PointerTest!A:A, 0)), PointerTest!A:A, 0), 0), 'language&amp;DataTest'!A:A, 0), MATCH(HOME!$A$25, 'language&amp;DataTest'!$A$1:$H$1, 0))</f>
        <v>Mewtwo</v>
      </c>
      <c r="E70" s="69" t="str">
        <f t="array" ref="E70">INDEX( PointerTest!F:F, MATCH(B70, PointerTest!A:A, 0), 0)</f>
        <v>♢♢</v>
      </c>
      <c r="F70" s="70" t="str">
        <f t="array" ref="F70">LET(percentage,XLOOKUP($E70,$K$2:$K$10,L$2:L$10,"",0)/(COUNTIFS($E:$E,$E70,$D:$D,RegularFormula!$D$2)+COUNTIFS($E:$E,$E70,$D:$D,IF($D70=RegularFormula!$D$2,$K$15,$D70))),IFERROR(IF(percentage,percentage,""),""))
</f>
        <v/>
      </c>
      <c r="G70" s="71">
        <f t="array" ref="G70">LET(percentage,XLOOKUP($E70,$K$2:$K$10,M$2:M$10,"",0)/(COUNTIFS($E:$E,$E70,$D:$D,RegularFormula!$D$2)+COUNTIFS($E:$E,$E70,$D:$D,IF($D70=RegularFormula!$D$2,$K$15,$D70))),IFERROR(IF(percentage,percentage,""),""))
</f>
        <v>0.02571428571</v>
      </c>
      <c r="H70" s="71">
        <f t="array" ref="H70">LET(percentage,XLOOKUP($E70,$K$2:$K$10,N$2:N$10,"",0)/(COUNTIFS($E:$E,$E70,$D:$D,RegularFormula!$D$2)+COUNTIFS($E:$E,$E70,$D:$D,IF($D70=RegularFormula!$D$2,$K$15,$D70))),IFERROR(IF(percentage,percentage,""),""))
</f>
        <v>0.01714285714</v>
      </c>
      <c r="I70" s="72" t="str">
        <f t="shared" si="1"/>
        <v/>
      </c>
      <c r="J70" s="73">
        <v>0.0</v>
      </c>
      <c r="K70" s="100"/>
      <c r="L70" s="192"/>
      <c r="M70" s="192"/>
      <c r="N70" s="55"/>
      <c r="O70" s="95" t="s">
        <v>176</v>
      </c>
      <c r="P70" s="103"/>
      <c r="Q70" s="103"/>
      <c r="R70" s="103"/>
      <c r="S70" s="79" t="str">
        <f t="shared" si="2"/>
        <v/>
      </c>
      <c r="T70" s="80" t="str">
        <f>IFERROR(__xludf.DUMMYFUNCTION("IF(
  Q70="""",
  """",
  IF(
   REGEXMATCH(SUBSTITUTE(Q70, "" ex"", """"), TEXTJOIN(""|"", TRUE, INDEX('language&amp;DataTest'!$A$33:$AB$182, , MATCH(HOME!$A$25, 'language&amp;DataTest'!$A$1:$G$1, 0)))),
   IF($M$26,
     IF(COUNTIFS(ARRAYFORMULA(SUBSTITUTE($C$2"&amp;":$C287, "" ex"", """")), SUBSTITUTE(Q70, "" ex"", """"), $J$2:$J287, ""&gt;0"")=0, ""Yes"", ""No""),
     IF(COUNTIFS(ARRAYFORMULA(SUBSTITUTE($C$2:$C287, "" ex"", """")), SUBSTITUTE(Q70, "" ex"", """"), $A$2:$A287, TRUE)=0, ""Yes"", ""No"")
   ),
   ""No""
 "&amp;")
)"),"")</f>
        <v/>
      </c>
    </row>
    <row r="71">
      <c r="A71" s="68" t="b">
        <v>1</v>
      </c>
      <c r="B71" s="69" t="s">
        <v>177</v>
      </c>
      <c r="C71" s="69" t="str">
        <f t="array" ref="C71">TEXTJOIN("", TRUE, IFERROR(INDEX('language&amp;DataTest'!A:J, MATCH(INDEX( PointerTest!C:C, MATCH(B71, PointerTest!A:A, 0), 0), 'language&amp;DataTest'!A:A, 0), MATCH(HOME!$A$25, 'language&amp;DataTest'!$A$1:$H$1, 0))),                      IFERROR(INDEX('language&amp;DataTest'!A:J, MATCH(INDEX( PointerTest!D:D, MATCH(B71, PointerTest!A:A, 0), 0), 'language&amp;DataTest'!A:A, 0), MATCH(HOME!$A$25, 'language&amp;DataTest'!$A$1:$H$1, 0))),                                          
IFERROR(INDEX('language&amp;DataTest'!A:J, MATCH(INDEX( PointerTest!E:E, MATCH(B71, PointerTest!A:A, 0), 0), 'language&amp;DataTest'!A:A, 0), MATCH(HOME!$A$25, 'language&amp;DataTest'!$A$1:$H$1, 0))))</f>
        <v>Horsea</v>
      </c>
      <c r="D71" s="69" t="str">
        <f t="array" ref="D71">INDEX('language&amp;DataTest'!A:J, MATCH(INDEX( PointerTest!D:D, MATCH(INDEX(PointerTest!B:B, MATCH(B71, PointerTest!A:A, 0)), PointerTest!A:A, 0), 0), 'language&amp;DataTest'!A:A, 0), MATCH(HOME!$A$25, 'language&amp;DataTest'!$A$1:$H$1, 0))</f>
        <v>Pikachu</v>
      </c>
      <c r="E71" s="69" t="str">
        <f t="array" ref="E71">INDEX( PointerTest!F:F, MATCH(B71, PointerTest!A:A, 0), 0)</f>
        <v>♢</v>
      </c>
      <c r="F71" s="70">
        <f t="array" ref="F71">LET(percentage,XLOOKUP($E71,$K$2:$K$10,L$2:L$10,"",0)/(COUNTIFS($E:$E,$E71,$D:$D,RegularFormula!$D$2)+COUNTIFS($E:$E,$E71,$D:$D,IF($D71=RegularFormula!$D$2,$K$15,$D71))),IFERROR(IF(percentage,percentage,""),""))
</f>
        <v>0.02</v>
      </c>
      <c r="G71" s="71" t="str">
        <f t="array" ref="G71">LET(percentage,XLOOKUP($E71,$K$2:$K$10,M$2:M$10,"",0)/(COUNTIFS($E:$E,$E71,$D:$D,RegularFormula!$D$2)+COUNTIFS($E:$E,$E71,$D:$D,IF($D71=RegularFormula!$D$2,$K$15,$D71))),IFERROR(IF(percentage,percentage,""),""))
</f>
        <v/>
      </c>
      <c r="H71" s="71" t="str">
        <f t="array" ref="H71">LET(percentage,XLOOKUP($E71,$K$2:$K$10,N$2:N$10,"",0)/(COUNTIFS($E:$E,$E71,$D:$D,RegularFormula!$D$2)+COUNTIFS($E:$E,$E71,$D:$D,IF($D71=RegularFormula!$D$2,$K$15,$D71))),IFERROR(IF(percentage,percentage,""),""))
</f>
        <v/>
      </c>
      <c r="I71" s="72" t="str">
        <f t="shared" si="1"/>
        <v/>
      </c>
      <c r="J71" s="73">
        <v>0.0</v>
      </c>
      <c r="K71" s="193"/>
      <c r="L71" s="192"/>
      <c r="M71" s="192"/>
      <c r="N71" s="55"/>
      <c r="O71" s="85"/>
      <c r="P71" s="103"/>
      <c r="Q71" s="103"/>
      <c r="R71" s="103"/>
      <c r="S71" s="79" t="str">
        <f t="shared" si="2"/>
        <v/>
      </c>
      <c r="T71" s="80" t="str">
        <f>IFERROR(__xludf.DUMMYFUNCTION("IF(
  Q71="""",
  """",
  IF(
   REGEXMATCH(SUBSTITUTE(Q71, "" ex"", """"), TEXTJOIN(""|"", TRUE, INDEX('language&amp;DataTest'!$A$33:$AB$182, , MATCH(HOME!$A$25, 'language&amp;DataTest'!$A$1:$G$1, 0)))),
   IF($M$26,
     IF(COUNTIFS(ARRAYFORMULA(SUBSTITUTE($C$2"&amp;":$C287, "" ex"", """")), SUBSTITUTE(Q71, "" ex"", """"), $J$2:$J287, ""&gt;0"")=0, ""Yes"", ""No""),
     IF(COUNTIFS(ARRAYFORMULA(SUBSTITUTE($C$2:$C287, "" ex"", """")), SUBSTITUTE(Q71, "" ex"", """"), $A$2:$A287, TRUE)=0, ""Yes"", ""No"")
   ),
   ""No""
 "&amp;")
)"),"")</f>
        <v/>
      </c>
    </row>
    <row r="72">
      <c r="A72" s="68" t="b">
        <v>1</v>
      </c>
      <c r="B72" s="69" t="s">
        <v>178</v>
      </c>
      <c r="C72" s="69" t="str">
        <f t="array" ref="C72">TEXTJOIN("", TRUE, IFERROR(INDEX('language&amp;DataTest'!A:J, MATCH(INDEX( PointerTest!C:C, MATCH(B72, PointerTest!A:A, 0), 0), 'language&amp;DataTest'!A:A, 0), MATCH(HOME!$A$25, 'language&amp;DataTest'!$A$1:$H$1, 0))),                      IFERROR(INDEX('language&amp;DataTest'!A:J, MATCH(INDEX( PointerTest!D:D, MATCH(B72, PointerTest!A:A, 0), 0), 'language&amp;DataTest'!A:A, 0), MATCH(HOME!$A$25, 'language&amp;DataTest'!$A$1:$H$1, 0))),                                          
IFERROR(INDEX('language&amp;DataTest'!A:J, MATCH(INDEX( PointerTest!E:E, MATCH(B72, PointerTest!A:A, 0), 0), 'language&amp;DataTest'!A:A, 0), MATCH(HOME!$A$25, 'language&amp;DataTest'!$A$1:$H$1, 0))))</f>
        <v>Seadra</v>
      </c>
      <c r="D72" s="69" t="str">
        <f t="array" ref="D72">INDEX('language&amp;DataTest'!A:J, MATCH(INDEX( PointerTest!D:D, MATCH(INDEX(PointerTest!B:B, MATCH(B72, PointerTest!A:A, 0)), PointerTest!A:A, 0), 0), 'language&amp;DataTest'!A:A, 0), MATCH(HOME!$A$25, 'language&amp;DataTest'!$A$1:$H$1, 0))</f>
        <v>Pikachu</v>
      </c>
      <c r="E72" s="69" t="str">
        <f t="array" ref="E72">INDEX( PointerTest!F:F, MATCH(B72, PointerTest!A:A, 0), 0)</f>
        <v>♢♢</v>
      </c>
      <c r="F72" s="70" t="str">
        <f t="array" ref="F72">LET(percentage,XLOOKUP($E72,$K$2:$K$10,L$2:L$10,"",0)/(COUNTIFS($E:$E,$E72,$D:$D,RegularFormula!$D$2)+COUNTIFS($E:$E,$E72,$D:$D,IF($D72=RegularFormula!$D$2,$K$15,$D72))),IFERROR(IF(percentage,percentage,""),""))
</f>
        <v/>
      </c>
      <c r="G72" s="71">
        <f t="array" ref="G72">LET(percentage,XLOOKUP($E72,$K$2:$K$10,M$2:M$10,"",0)/(COUNTIFS($E:$E,$E72,$D:$D,RegularFormula!$D$2)+COUNTIFS($E:$E,$E72,$D:$D,IF($D72=RegularFormula!$D$2,$K$15,$D72))),IFERROR(IF(percentage,percentage,""),""))
</f>
        <v>0.02571428571</v>
      </c>
      <c r="H72" s="71">
        <f t="array" ref="H72">LET(percentage,XLOOKUP($E72,$K$2:$K$10,N$2:N$10,"",0)/(COUNTIFS($E:$E,$E72,$D:$D,RegularFormula!$D$2)+COUNTIFS($E:$E,$E72,$D:$D,IF($D72=RegularFormula!$D$2,$K$15,$D72))),IFERROR(IF(percentage,percentage,""),""))
</f>
        <v>0.01714285714</v>
      </c>
      <c r="I72" s="72" t="str">
        <f t="shared" si="1"/>
        <v/>
      </c>
      <c r="J72" s="73">
        <v>0.0</v>
      </c>
      <c r="K72" s="193"/>
      <c r="L72" s="192"/>
      <c r="M72" s="192"/>
      <c r="N72" s="55"/>
      <c r="O72" s="85"/>
      <c r="P72" s="103"/>
      <c r="Q72" s="103"/>
      <c r="R72" s="103"/>
      <c r="S72" s="79" t="str">
        <f t="shared" si="2"/>
        <v/>
      </c>
      <c r="T72" s="80" t="str">
        <f>IFERROR(__xludf.DUMMYFUNCTION("IF(
  Q72="""",
  """",
  IF(
   REGEXMATCH(SUBSTITUTE(Q72, "" ex"", """"), TEXTJOIN(""|"", TRUE, INDEX('language&amp;DataTest'!$A$33:$AB$182, , MATCH(HOME!$A$25, 'language&amp;DataTest'!$A$1:$G$1, 0)))),
   IF($M$26,
     IF(COUNTIFS(ARRAYFORMULA(SUBSTITUTE($C$2"&amp;":$C287, "" ex"", """")), SUBSTITUTE(Q72, "" ex"", """"), $J$2:$J287, ""&gt;0"")=0, ""Yes"", ""No""),
     IF(COUNTIFS(ARRAYFORMULA(SUBSTITUTE($C$2:$C287, "" ex"", """")), SUBSTITUTE(Q72, "" ex"", """"), $A$2:$A287, TRUE)=0, ""Yes"", ""No"")
   ),
   ""No""
 "&amp;")
)"),"")</f>
        <v/>
      </c>
    </row>
    <row r="73">
      <c r="A73" s="68" t="b">
        <v>1</v>
      </c>
      <c r="B73" s="69" t="s">
        <v>179</v>
      </c>
      <c r="C73" s="69" t="str">
        <f t="array" ref="C73">TEXTJOIN("", TRUE, IFERROR(INDEX('language&amp;DataTest'!A:J, MATCH(INDEX( PointerTest!C:C, MATCH(B73, PointerTest!A:A, 0), 0), 'language&amp;DataTest'!A:A, 0), MATCH(HOME!$A$25, 'language&amp;DataTest'!$A$1:$H$1, 0))),                      IFERROR(INDEX('language&amp;DataTest'!A:J, MATCH(INDEX( PointerTest!D:D, MATCH(B73, PointerTest!A:A, 0), 0), 'language&amp;DataTest'!A:A, 0), MATCH(HOME!$A$25, 'language&amp;DataTest'!$A$1:$H$1, 0))),                                          
IFERROR(INDEX('language&amp;DataTest'!A:J, MATCH(INDEX( PointerTest!E:E, MATCH(B73, PointerTest!A:A, 0), 0), 'language&amp;DataTest'!A:A, 0), MATCH(HOME!$A$25, 'language&amp;DataTest'!$A$1:$H$1, 0))))</f>
        <v>Goldeen</v>
      </c>
      <c r="D73" s="69" t="str">
        <f t="array" ref="D73">INDEX('language&amp;DataTest'!A:J, MATCH(INDEX( PointerTest!D:D, MATCH(INDEX(PointerTest!B:B, MATCH(B73, PointerTest!A:A, 0)), PointerTest!A:A, 0), 0), 'language&amp;DataTest'!A:A, 0), MATCH(HOME!$A$25, 'language&amp;DataTest'!$A$1:$H$1, 0))</f>
        <v>Pikachu</v>
      </c>
      <c r="E73" s="69" t="str">
        <f t="array" ref="E73">INDEX( PointerTest!F:F, MATCH(B73, PointerTest!A:A, 0), 0)</f>
        <v>♢</v>
      </c>
      <c r="F73" s="70">
        <f t="array" ref="F73">LET(percentage,XLOOKUP($E73,$K$2:$K$10,L$2:L$10,"",0)/(COUNTIFS($E:$E,$E73,$D:$D,RegularFormula!$D$2)+COUNTIFS($E:$E,$E73,$D:$D,IF($D73=RegularFormula!$D$2,$K$15,$D73))),IFERROR(IF(percentage,percentage,""),""))
</f>
        <v>0.02</v>
      </c>
      <c r="G73" s="71" t="str">
        <f t="array" ref="G73">LET(percentage,XLOOKUP($E73,$K$2:$K$10,M$2:M$10,"",0)/(COUNTIFS($E:$E,$E73,$D:$D,RegularFormula!$D$2)+COUNTIFS($E:$E,$E73,$D:$D,IF($D73=RegularFormula!$D$2,$K$15,$D73))),IFERROR(IF(percentage,percentage,""),""))
</f>
        <v/>
      </c>
      <c r="H73" s="71" t="str">
        <f t="array" ref="H73">LET(percentage,XLOOKUP($E73,$K$2:$K$10,N$2:N$10,"",0)/(COUNTIFS($E:$E,$E73,$D:$D,RegularFormula!$D$2)+COUNTIFS($E:$E,$E73,$D:$D,IF($D73=RegularFormula!$D$2,$K$15,$D73))),IFERROR(IF(percentage,percentage,""),""))
</f>
        <v/>
      </c>
      <c r="I73" s="72" t="str">
        <f t="shared" si="1"/>
        <v/>
      </c>
      <c r="J73" s="73">
        <v>0.0</v>
      </c>
      <c r="K73" s="194"/>
      <c r="L73" s="192"/>
      <c r="M73" s="192"/>
      <c r="N73" s="55"/>
      <c r="O73" s="85"/>
      <c r="P73" s="103"/>
      <c r="Q73" s="103"/>
      <c r="R73" s="103"/>
      <c r="S73" s="79" t="str">
        <f t="shared" si="2"/>
        <v/>
      </c>
      <c r="T73" s="80" t="str">
        <f>IFERROR(__xludf.DUMMYFUNCTION("IF(
  Q73="""",
  """",
  IF(
   REGEXMATCH(SUBSTITUTE(Q73, "" ex"", """"), TEXTJOIN(""|"", TRUE, INDEX('language&amp;DataTest'!$A$33:$AB$182, , MATCH(HOME!$A$25, 'language&amp;DataTest'!$A$1:$G$1, 0)))),
   IF($M$26,
     IF(COUNTIFS(ARRAYFORMULA(SUBSTITUTE($C$2"&amp;":$C287, "" ex"", """")), SUBSTITUTE(Q73, "" ex"", """"), $J$2:$J287, ""&gt;0"")=0, ""Yes"", ""No""),
     IF(COUNTIFS(ARRAYFORMULA(SUBSTITUTE($C$2:$C287, "" ex"", """")), SUBSTITUTE(Q73, "" ex"", """"), $A$2:$A287, TRUE)=0, ""Yes"", ""No"")
   ),
   ""No""
 "&amp;")
)"),"")</f>
        <v/>
      </c>
    </row>
    <row r="74">
      <c r="A74" s="68" t="b">
        <v>1</v>
      </c>
      <c r="B74" s="69" t="s">
        <v>180</v>
      </c>
      <c r="C74" s="69" t="str">
        <f t="array" ref="C74">TEXTJOIN("", TRUE, IFERROR(INDEX('language&amp;DataTest'!A:J, MATCH(INDEX( PointerTest!C:C, MATCH(B74, PointerTest!A:A, 0), 0), 'language&amp;DataTest'!A:A, 0), MATCH(HOME!$A$25, 'language&amp;DataTest'!$A$1:$H$1, 0))),                      IFERROR(INDEX('language&amp;DataTest'!A:J, MATCH(INDEX( PointerTest!D:D, MATCH(B74, PointerTest!A:A, 0), 0), 'language&amp;DataTest'!A:A, 0), MATCH(HOME!$A$25, 'language&amp;DataTest'!$A$1:$H$1, 0))),                                          
IFERROR(INDEX('language&amp;DataTest'!A:J, MATCH(INDEX( PointerTest!E:E, MATCH(B74, PointerTest!A:A, 0), 0), 'language&amp;DataTest'!A:A, 0), MATCH(HOME!$A$25, 'language&amp;DataTest'!$A$1:$H$1, 0))))</f>
        <v>Seaking</v>
      </c>
      <c r="D74" s="69" t="str">
        <f t="array" ref="D74">INDEX('language&amp;DataTest'!A:J, MATCH(INDEX( PointerTest!D:D, MATCH(INDEX(PointerTest!B:B, MATCH(B74, PointerTest!A:A, 0)), PointerTest!A:A, 0), 0), 'language&amp;DataTest'!A:A, 0), MATCH(HOME!$A$25, 'language&amp;DataTest'!$A$1:$H$1, 0))</f>
        <v>Pikachu</v>
      </c>
      <c r="E74" s="69" t="str">
        <f t="array" ref="E74">INDEX( PointerTest!F:F, MATCH(B74, PointerTest!A:A, 0), 0)</f>
        <v>♢</v>
      </c>
      <c r="F74" s="70">
        <f t="array" ref="F74">LET(percentage,XLOOKUP($E74,$K$2:$K$10,L$2:L$10,"",0)/(COUNTIFS($E:$E,$E74,$D:$D,RegularFormula!$D$2)+COUNTIFS($E:$E,$E74,$D:$D,IF($D74=RegularFormula!$D$2,$K$15,$D74))),IFERROR(IF(percentage,percentage,""),""))
</f>
        <v>0.02</v>
      </c>
      <c r="G74" s="71" t="str">
        <f t="array" ref="G74">LET(percentage,XLOOKUP($E74,$K$2:$K$10,M$2:M$10,"",0)/(COUNTIFS($E:$E,$E74,$D:$D,RegularFormula!$D$2)+COUNTIFS($E:$E,$E74,$D:$D,IF($D74=RegularFormula!$D$2,$K$15,$D74))),IFERROR(IF(percentage,percentage,""),""))
</f>
        <v/>
      </c>
      <c r="H74" s="71" t="str">
        <f t="array" ref="H74">LET(percentage,XLOOKUP($E74,$K$2:$K$10,N$2:N$10,"",0)/(COUNTIFS($E:$E,$E74,$D:$D,RegularFormula!$D$2)+COUNTIFS($E:$E,$E74,$D:$D,IF($D74=RegularFormula!$D$2,$K$15,$D74))),IFERROR(IF(percentage,percentage,""),""))
</f>
        <v/>
      </c>
      <c r="I74" s="72" t="str">
        <f t="shared" si="1"/>
        <v/>
      </c>
      <c r="J74" s="73">
        <v>0.0</v>
      </c>
      <c r="K74" s="194"/>
      <c r="L74" s="55"/>
      <c r="M74" s="55"/>
      <c r="N74" s="55"/>
      <c r="O74" s="85"/>
      <c r="P74" s="103"/>
      <c r="Q74" s="103"/>
      <c r="R74" s="103"/>
      <c r="S74" s="79" t="str">
        <f t="shared" si="2"/>
        <v/>
      </c>
      <c r="T74" s="80" t="str">
        <f>IFERROR(__xludf.DUMMYFUNCTION("IF(
  Q74="""",
  """",
  IF(
   REGEXMATCH(SUBSTITUTE(Q74, "" ex"", """"), TEXTJOIN(""|"", TRUE, INDEX('language&amp;DataTest'!$A$33:$AB$182, , MATCH(HOME!$A$25, 'language&amp;DataTest'!$A$1:$G$1, 0)))),
   IF($M$26,
     IF(COUNTIFS(ARRAYFORMULA(SUBSTITUTE($C$2"&amp;":$C287, "" ex"", """")), SUBSTITUTE(Q74, "" ex"", """"), $J$2:$J287, ""&gt;0"")=0, ""Yes"", ""No""),
     IF(COUNTIFS(ARRAYFORMULA(SUBSTITUTE($C$2:$C287, "" ex"", """")), SUBSTITUTE(Q74, "" ex"", """"), $A$2:$A287, TRUE)=0, ""Yes"", ""No"")
   ),
   ""No""
 "&amp;")
)"),"")</f>
        <v/>
      </c>
    </row>
    <row r="75">
      <c r="A75" s="68" t="b">
        <v>1</v>
      </c>
      <c r="B75" s="69" t="s">
        <v>181</v>
      </c>
      <c r="C75" s="69" t="str">
        <f t="array" ref="C75">TEXTJOIN("", TRUE, IFERROR(INDEX('language&amp;DataTest'!A:J, MATCH(INDEX( PointerTest!C:C, MATCH(B75, PointerTest!A:A, 0), 0), 'language&amp;DataTest'!A:A, 0), MATCH(HOME!$A$25, 'language&amp;DataTest'!$A$1:$H$1, 0))),                      IFERROR(INDEX('language&amp;DataTest'!A:J, MATCH(INDEX( PointerTest!D:D, MATCH(B75, PointerTest!A:A, 0), 0), 'language&amp;DataTest'!A:A, 0), MATCH(HOME!$A$25, 'language&amp;DataTest'!$A$1:$H$1, 0))),                                          
IFERROR(INDEX('language&amp;DataTest'!A:J, MATCH(INDEX( PointerTest!E:E, MATCH(B75, PointerTest!A:A, 0), 0), 'language&amp;DataTest'!A:A, 0), MATCH(HOME!$A$25, 'language&amp;DataTest'!$A$1:$H$1, 0))))</f>
        <v>Staryu</v>
      </c>
      <c r="D75" s="69" t="str">
        <f t="array" ref="D75">INDEX('language&amp;DataTest'!A:J, MATCH(INDEX( PointerTest!D:D, MATCH(INDEX(PointerTest!B:B, MATCH(B75, PointerTest!A:A, 0)), PointerTest!A:A, 0), 0), 'language&amp;DataTest'!A:A, 0), MATCH(HOME!$A$25, 'language&amp;DataTest'!$A$1:$H$1, 0))</f>
        <v>Charizard</v>
      </c>
      <c r="E75" s="69" t="str">
        <f t="array" ref="E75">INDEX( PointerTest!F:F, MATCH(B75, PointerTest!A:A, 0), 0)</f>
        <v>♢</v>
      </c>
      <c r="F75" s="70">
        <f t="array" ref="F75">LET(percentage,XLOOKUP($E75,$K$2:$K$10,L$2:L$10,"",0)/(COUNTIFS($E:$E,$E75,$D:$D,RegularFormula!$D$2)+COUNTIFS($E:$E,$E75,$D:$D,IF($D75=RegularFormula!$D$2,$K$15,$D75))),IFERROR(IF(percentage,percentage,""),""))
</f>
        <v>0.02</v>
      </c>
      <c r="G75" s="71" t="str">
        <f t="array" ref="G75">LET(percentage,XLOOKUP($E75,$K$2:$K$10,M$2:M$10,"",0)/(COUNTIFS($E:$E,$E75,$D:$D,RegularFormula!$D$2)+COUNTIFS($E:$E,$E75,$D:$D,IF($D75=RegularFormula!$D$2,$K$15,$D75))),IFERROR(IF(percentage,percentage,""),""))
</f>
        <v/>
      </c>
      <c r="H75" s="71" t="str">
        <f t="array" ref="H75">LET(percentage,XLOOKUP($E75,$K$2:$K$10,N$2:N$10,"",0)/(COUNTIFS($E:$E,$E75,$D:$D,RegularFormula!$D$2)+COUNTIFS($E:$E,$E75,$D:$D,IF($D75=RegularFormula!$D$2,$K$15,$D75))),IFERROR(IF(percentage,percentage,""),""))
</f>
        <v/>
      </c>
      <c r="I75" s="72" t="str">
        <f t="shared" si="1"/>
        <v/>
      </c>
      <c r="J75" s="73">
        <v>0.0</v>
      </c>
      <c r="K75" s="194"/>
      <c r="L75" s="55"/>
      <c r="M75" s="55"/>
      <c r="N75" s="55"/>
      <c r="O75" s="92"/>
      <c r="P75" s="103"/>
      <c r="Q75" s="103"/>
      <c r="R75" s="103"/>
      <c r="S75" s="79" t="str">
        <f t="shared" si="2"/>
        <v/>
      </c>
      <c r="T75" s="80" t="str">
        <f>IFERROR(__xludf.DUMMYFUNCTION("IF(
  Q75="""",
  """",
  IF(
   REGEXMATCH(SUBSTITUTE(Q75, "" ex"", """"), TEXTJOIN(""|"", TRUE, INDEX('language&amp;DataTest'!$A$33:$AB$182, , MATCH(HOME!$A$25, 'language&amp;DataTest'!$A$1:$G$1, 0)))),
   IF($M$26,
     IF(COUNTIFS(ARRAYFORMULA(SUBSTITUTE($C$2"&amp;":$C287, "" ex"", """")), SUBSTITUTE(Q75, "" ex"", """"), $J$2:$J287, ""&gt;0"")=0, ""Yes"", ""No""),
     IF(COUNTIFS(ARRAYFORMULA(SUBSTITUTE($C$2:$C287, "" ex"", """")), SUBSTITUTE(Q75, "" ex"", """"), $A$2:$A287, TRUE)=0, ""Yes"", ""No"")
   ),
   ""No""
 "&amp;")
)"),"")</f>
        <v/>
      </c>
    </row>
    <row r="76">
      <c r="A76" s="68" t="b">
        <v>1</v>
      </c>
      <c r="B76" s="69" t="s">
        <v>182</v>
      </c>
      <c r="C76" s="69" t="str">
        <f t="array" ref="C76">TEXTJOIN("", TRUE, IFERROR(INDEX('language&amp;DataTest'!A:J, MATCH(INDEX( PointerTest!C:C, MATCH(B76, PointerTest!A:A, 0), 0), 'language&amp;DataTest'!A:A, 0), MATCH(HOME!$A$25, 'language&amp;DataTest'!$A$1:$H$1, 0))),                      IFERROR(INDEX('language&amp;DataTest'!A:J, MATCH(INDEX( PointerTest!D:D, MATCH(B76, PointerTest!A:A, 0), 0), 'language&amp;DataTest'!A:A, 0), MATCH(HOME!$A$25, 'language&amp;DataTest'!$A$1:$H$1, 0))),                                          
IFERROR(INDEX('language&amp;DataTest'!A:J, MATCH(INDEX( PointerTest!E:E, MATCH(B76, PointerTest!A:A, 0), 0), 'language&amp;DataTest'!A:A, 0), MATCH(HOME!$A$25, 'language&amp;DataTest'!$A$1:$H$1, 0))))</f>
        <v>Starmie</v>
      </c>
      <c r="D76" s="69" t="str">
        <f t="array" ref="D76">INDEX('language&amp;DataTest'!A:J, MATCH(INDEX( PointerTest!D:D, MATCH(INDEX(PointerTest!B:B, MATCH(B76, PointerTest!A:A, 0)), PointerTest!A:A, 0), 0), 'language&amp;DataTest'!A:A, 0), MATCH(HOME!$A$25, 'language&amp;DataTest'!$A$1:$H$1, 0))</f>
        <v>Charizard</v>
      </c>
      <c r="E76" s="69" t="str">
        <f t="array" ref="E76">INDEX( PointerTest!F:F, MATCH(B76, PointerTest!A:A, 0), 0)</f>
        <v>♢♢</v>
      </c>
      <c r="F76" s="70" t="str">
        <f t="array" ref="F76">LET(percentage,XLOOKUP($E76,$K$2:$K$10,L$2:L$10,"",0)/(COUNTIFS($E:$E,$E76,$D:$D,RegularFormula!$D$2)+COUNTIFS($E:$E,$E76,$D:$D,IF($D76=RegularFormula!$D$2,$K$15,$D76))),IFERROR(IF(percentage,percentage,""),""))
</f>
        <v/>
      </c>
      <c r="G76" s="71">
        <f t="array" ref="G76">LET(percentage,XLOOKUP($E76,$K$2:$K$10,M$2:M$10,"",0)/(COUNTIFS($E:$E,$E76,$D:$D,RegularFormula!$D$2)+COUNTIFS($E:$E,$E76,$D:$D,IF($D76=RegularFormula!$D$2,$K$15,$D76))),IFERROR(IF(percentage,percentage,""),""))
</f>
        <v>0.02571428571</v>
      </c>
      <c r="H76" s="71">
        <f t="array" ref="H76">LET(percentage,XLOOKUP($E76,$K$2:$K$10,N$2:N$10,"",0)/(COUNTIFS($E:$E,$E76,$D:$D,RegularFormula!$D$2)+COUNTIFS($E:$E,$E76,$D:$D,IF($D76=RegularFormula!$D$2,$K$15,$D76))),IFERROR(IF(percentage,percentage,""),""))
</f>
        <v>0.01714285714</v>
      </c>
      <c r="I76" s="72" t="str">
        <f t="shared" si="1"/>
        <v/>
      </c>
      <c r="J76" s="73">
        <v>0.0</v>
      </c>
      <c r="K76" s="194"/>
      <c r="L76" s="55"/>
      <c r="M76" s="55"/>
      <c r="N76" s="55"/>
      <c r="O76" s="95" t="s">
        <v>183</v>
      </c>
      <c r="P76" s="103"/>
      <c r="Q76" s="103"/>
      <c r="R76" s="103"/>
      <c r="S76" s="79" t="str">
        <f t="shared" si="2"/>
        <v/>
      </c>
      <c r="T76" s="80" t="str">
        <f>IFERROR(__xludf.DUMMYFUNCTION("IF(
  Q76="""",
  """",
  IF(
   REGEXMATCH(SUBSTITUTE(Q76, "" ex"", """"), TEXTJOIN(""|"", TRUE, INDEX('language&amp;DataTest'!$A$33:$AB$182, , MATCH(HOME!$A$25, 'language&amp;DataTest'!$A$1:$G$1, 0)))),
   IF($M$26,
     IF(COUNTIFS(ARRAYFORMULA(SUBSTITUTE($C$2"&amp;":$C287, "" ex"", """")), SUBSTITUTE(Q76, "" ex"", """"), $J$2:$J287, ""&gt;0"")=0, ""Yes"", ""No""),
     IF(COUNTIFS(ARRAYFORMULA(SUBSTITUTE($C$2:$C287, "" ex"", """")), SUBSTITUTE(Q76, "" ex"", """"), $A$2:$A287, TRUE)=0, ""Yes"", ""No"")
   ),
   ""No""
 "&amp;")
)"),"")</f>
        <v/>
      </c>
    </row>
    <row r="77">
      <c r="A77" s="68" t="b">
        <v>1</v>
      </c>
      <c r="B77" s="69" t="s">
        <v>184</v>
      </c>
      <c r="C77" s="69" t="str">
        <f t="array" ref="C77">TEXTJOIN("", TRUE, IFERROR(INDEX('language&amp;DataTest'!A:J, MATCH(INDEX( PointerTest!C:C, MATCH(B77, PointerTest!A:A, 0), 0), 'language&amp;DataTest'!A:A, 0), MATCH(HOME!$A$25, 'language&amp;DataTest'!$A$1:$H$1, 0))),                      IFERROR(INDEX('language&amp;DataTest'!A:J, MATCH(INDEX( PointerTest!D:D, MATCH(B77, PointerTest!A:A, 0), 0), 'language&amp;DataTest'!A:A, 0), MATCH(HOME!$A$25, 'language&amp;DataTest'!$A$1:$H$1, 0))),                                          
IFERROR(INDEX('language&amp;DataTest'!A:J, MATCH(INDEX( PointerTest!E:E, MATCH(B77, PointerTest!A:A, 0), 0), 'language&amp;DataTest'!A:A, 0), MATCH(HOME!$A$25, 'language&amp;DataTest'!$A$1:$H$1, 0))))</f>
        <v>Starmie ex</v>
      </c>
      <c r="D77" s="69" t="str">
        <f t="array" ref="D77">INDEX('language&amp;DataTest'!A:J, MATCH(INDEX( PointerTest!D:D, MATCH(INDEX(PointerTest!B:B, MATCH(B77, PointerTest!A:A, 0)), PointerTest!A:A, 0), 0), 'language&amp;DataTest'!A:A, 0), MATCH(HOME!$A$25, 'language&amp;DataTest'!$A$1:$H$1, 0))</f>
        <v>Charizard</v>
      </c>
      <c r="E77" s="69" t="str">
        <f t="array" ref="E77">INDEX( PointerTest!F:F, MATCH(B77, PointerTest!A:A, 0), 0)</f>
        <v>♢♢♢♢</v>
      </c>
      <c r="F77" s="70" t="str">
        <f t="array" ref="F77">LET(percentage,XLOOKUP($E77,$K$2:$K$10,L$2:L$10,"",0)/(COUNTIFS($E:$E,$E77,$D:$D,RegularFormula!$D$2)+COUNTIFS($E:$E,$E77,$D:$D,IF($D77=RegularFormula!$D$2,$K$15,$D77))),IFERROR(IF(percentage,percentage,""),""))
</f>
        <v/>
      </c>
      <c r="G77" s="71">
        <f t="array" ref="G77">LET(percentage,XLOOKUP($E77,$K$2:$K$10,M$2:M$10,"",0)/(COUNTIFS($E:$E,$E77,$D:$D,RegularFormula!$D$2)+COUNTIFS($E:$E,$E77,$D:$D,IF($D77=RegularFormula!$D$2,$K$15,$D77))),IFERROR(IF(percentage,percentage,""),""))
</f>
        <v>0.003332</v>
      </c>
      <c r="H77" s="71">
        <f t="array" ref="H77">LET(percentage,XLOOKUP($E77,$K$2:$K$10,N$2:N$10,"",0)/(COUNTIFS($E:$E,$E77,$D:$D,RegularFormula!$D$2)+COUNTIFS($E:$E,$E77,$D:$D,IF($D77=RegularFormula!$D$2,$K$15,$D77))),IFERROR(IF(percentage,percentage,""),""))
</f>
        <v>0.013328</v>
      </c>
      <c r="I77" s="72" t="str">
        <f t="shared" si="1"/>
        <v/>
      </c>
      <c r="J77" s="73">
        <v>0.0</v>
      </c>
      <c r="K77" s="194"/>
      <c r="L77" s="55"/>
      <c r="M77" s="55"/>
      <c r="N77" s="55"/>
      <c r="O77" s="85"/>
      <c r="P77" s="103"/>
      <c r="Q77" s="103"/>
      <c r="R77" s="103"/>
      <c r="S77" s="79" t="str">
        <f t="shared" si="2"/>
        <v/>
      </c>
      <c r="T77" s="80" t="str">
        <f>IFERROR(__xludf.DUMMYFUNCTION("IF(
  Q77="""",
  """",
  IF(
   REGEXMATCH(SUBSTITUTE(Q77, "" ex"", """"), TEXTJOIN(""|"", TRUE, INDEX('language&amp;DataTest'!$A$33:$AB$182, , MATCH(HOME!$A$25, 'language&amp;DataTest'!$A$1:$G$1, 0)))),
   IF($M$26,
     IF(COUNTIFS(ARRAYFORMULA(SUBSTITUTE($C$2"&amp;":$C287, "" ex"", """")), SUBSTITUTE(Q77, "" ex"", """"), $J$2:$J287, ""&gt;0"")=0, ""Yes"", ""No""),
     IF(COUNTIFS(ARRAYFORMULA(SUBSTITUTE($C$2:$C287, "" ex"", """")), SUBSTITUTE(Q77, "" ex"", """"), $A$2:$A287, TRUE)=0, ""Yes"", ""No"")
   ),
   ""No""
 "&amp;")
)"),"")</f>
        <v/>
      </c>
    </row>
    <row r="78">
      <c r="A78" s="68" t="b">
        <v>1</v>
      </c>
      <c r="B78" s="69" t="s">
        <v>185</v>
      </c>
      <c r="C78" s="69" t="str">
        <f t="array" ref="C78">TEXTJOIN("", TRUE, IFERROR(INDEX('language&amp;DataTest'!A:J, MATCH(INDEX( PointerTest!C:C, MATCH(B78, PointerTest!A:A, 0), 0), 'language&amp;DataTest'!A:A, 0), MATCH(HOME!$A$25, 'language&amp;DataTest'!$A$1:$H$1, 0))),                      IFERROR(INDEX('language&amp;DataTest'!A:J, MATCH(INDEX( PointerTest!D:D, MATCH(B78, PointerTest!A:A, 0), 0), 'language&amp;DataTest'!A:A, 0), MATCH(HOME!$A$25, 'language&amp;DataTest'!$A$1:$H$1, 0))),                                          
IFERROR(INDEX('language&amp;DataTest'!A:J, MATCH(INDEX( PointerTest!E:E, MATCH(B78, PointerTest!A:A, 0), 0), 'language&amp;DataTest'!A:A, 0), MATCH(HOME!$A$25, 'language&amp;DataTest'!$A$1:$H$1, 0))))</f>
        <v>Magikarp</v>
      </c>
      <c r="D78" s="69" t="str">
        <f t="array" ref="D78">INDEX('language&amp;DataTest'!A:J, MATCH(INDEX( PointerTest!D:D, MATCH(INDEX(PointerTest!B:B, MATCH(B78, PointerTest!A:A, 0)), PointerTest!A:A, 0), 0), 'language&amp;DataTest'!A:A, 0), MATCH(HOME!$A$25, 'language&amp;DataTest'!$A$1:$H$1, 0))</f>
        <v>Pikachu</v>
      </c>
      <c r="E78" s="69" t="str">
        <f t="array" ref="E78">INDEX( PointerTest!F:F, MATCH(B78, PointerTest!A:A, 0), 0)</f>
        <v>♢</v>
      </c>
      <c r="F78" s="70">
        <f t="array" ref="F78">LET(percentage,XLOOKUP($E78,$K$2:$K$10,L$2:L$10,"",0)/(COUNTIFS($E:$E,$E78,$D:$D,RegularFormula!$D$2)+COUNTIFS($E:$E,$E78,$D:$D,IF($D78=RegularFormula!$D$2,$K$15,$D78))),IFERROR(IF(percentage,percentage,""),""))
</f>
        <v>0.02</v>
      </c>
      <c r="G78" s="71" t="str">
        <f t="array" ref="G78">LET(percentage,XLOOKUP($E78,$K$2:$K$10,M$2:M$10,"",0)/(COUNTIFS($E:$E,$E78,$D:$D,RegularFormula!$D$2)+COUNTIFS($E:$E,$E78,$D:$D,IF($D78=RegularFormula!$D$2,$K$15,$D78))),IFERROR(IF(percentage,percentage,""),""))
</f>
        <v/>
      </c>
      <c r="H78" s="71" t="str">
        <f t="array" ref="H78">LET(percentage,XLOOKUP($E78,$K$2:$K$10,N$2:N$10,"",0)/(COUNTIFS($E:$E,$E78,$D:$D,RegularFormula!$D$2)+COUNTIFS($E:$E,$E78,$D:$D,IF($D78=RegularFormula!$D$2,$K$15,$D78))),IFERROR(IF(percentage,percentage,""),""))
</f>
        <v/>
      </c>
      <c r="I78" s="72" t="str">
        <f t="shared" si="1"/>
        <v/>
      </c>
      <c r="J78" s="73">
        <v>0.0</v>
      </c>
      <c r="K78" s="194"/>
      <c r="L78" s="55"/>
      <c r="M78" s="55"/>
      <c r="N78" s="55"/>
      <c r="O78" s="85"/>
      <c r="P78" s="103"/>
      <c r="Q78" s="103"/>
      <c r="R78" s="103"/>
      <c r="S78" s="79" t="str">
        <f t="shared" si="2"/>
        <v/>
      </c>
      <c r="T78" s="80" t="str">
        <f>IFERROR(__xludf.DUMMYFUNCTION("IF(
  Q78="""",
  """",
  IF(
   REGEXMATCH(SUBSTITUTE(Q78, "" ex"", """"), TEXTJOIN(""|"", TRUE, INDEX('language&amp;DataTest'!$A$33:$AB$182, , MATCH(HOME!$A$25, 'language&amp;DataTest'!$A$1:$G$1, 0)))),
   IF($M$26,
     IF(COUNTIFS(ARRAYFORMULA(SUBSTITUTE($C$2"&amp;":$C287, "" ex"", """")), SUBSTITUTE(Q78, "" ex"", """"), $J$2:$J287, ""&gt;0"")=0, ""Yes"", ""No""),
     IF(COUNTIFS(ARRAYFORMULA(SUBSTITUTE($C$2:$C287, "" ex"", """")), SUBSTITUTE(Q78, "" ex"", """"), $A$2:$A287, TRUE)=0, ""Yes"", ""No"")
   ),
   ""No""
 "&amp;")
)"),"")</f>
        <v/>
      </c>
    </row>
    <row r="79">
      <c r="A79" s="68" t="b">
        <v>1</v>
      </c>
      <c r="B79" s="69" t="s">
        <v>186</v>
      </c>
      <c r="C79" s="69" t="str">
        <f t="array" ref="C79">TEXTJOIN("", TRUE, IFERROR(INDEX('language&amp;DataTest'!A:J, MATCH(INDEX( PointerTest!C:C, MATCH(B79, PointerTest!A:A, 0), 0), 'language&amp;DataTest'!A:A, 0), MATCH(HOME!$A$25, 'language&amp;DataTest'!$A$1:$H$1, 0))),                      IFERROR(INDEX('language&amp;DataTest'!A:J, MATCH(INDEX( PointerTest!D:D, MATCH(B79, PointerTest!A:A, 0), 0), 'language&amp;DataTest'!A:A, 0), MATCH(HOME!$A$25, 'language&amp;DataTest'!$A$1:$H$1, 0))),                                          
IFERROR(INDEX('language&amp;DataTest'!A:J, MATCH(INDEX( PointerTest!E:E, MATCH(B79, PointerTest!A:A, 0), 0), 'language&amp;DataTest'!A:A, 0), MATCH(HOME!$A$25, 'language&amp;DataTest'!$A$1:$H$1, 0))))</f>
        <v>Gyarados</v>
      </c>
      <c r="D79" s="69" t="str">
        <f t="array" ref="D79">INDEX('language&amp;DataTest'!A:J, MATCH(INDEX( PointerTest!D:D, MATCH(INDEX(PointerTest!B:B, MATCH(B79, PointerTest!A:A, 0)), PointerTest!A:A, 0), 0), 'language&amp;DataTest'!A:A, 0), MATCH(HOME!$A$25, 'language&amp;DataTest'!$A$1:$H$1, 0))</f>
        <v>Pikachu</v>
      </c>
      <c r="E79" s="69" t="str">
        <f t="array" ref="E79">INDEX( PointerTest!F:F, MATCH(B79, PointerTest!A:A, 0), 0)</f>
        <v>♢♢♢</v>
      </c>
      <c r="F79" s="70" t="str">
        <f t="array" ref="F79">LET(percentage,XLOOKUP($E79,$K$2:$K$10,L$2:L$10,"",0)/(COUNTIFS($E:$E,$E79,$D:$D,RegularFormula!$D$2)+COUNTIFS($E:$E,$E79,$D:$D,IF($D79=RegularFormula!$D$2,$K$15,$D79))),IFERROR(IF(percentage,percentage,""),""))
</f>
        <v/>
      </c>
      <c r="G79" s="71">
        <f t="array" ref="G79">LET(percentage,XLOOKUP($E79,$K$2:$K$10,M$2:M$10,"",0)/(COUNTIFS($E:$E,$E79,$D:$D,RegularFormula!$D$2)+COUNTIFS($E:$E,$E79,$D:$D,IF($D79=RegularFormula!$D$2,$K$15,$D79))),IFERROR(IF(percentage,percentage,""),""))
</f>
        <v>0.003571428571</v>
      </c>
      <c r="H79" s="71">
        <f t="array" ref="H79">LET(percentage,XLOOKUP($E79,$K$2:$K$10,N$2:N$10,"",0)/(COUNTIFS($E:$E,$E79,$D:$D,RegularFormula!$D$2)+COUNTIFS($E:$E,$E79,$D:$D,IF($D79=RegularFormula!$D$2,$K$15,$D79))),IFERROR(IF(percentage,percentage,""),""))
</f>
        <v>0.01428571429</v>
      </c>
      <c r="I79" s="72" t="str">
        <f t="shared" si="1"/>
        <v/>
      </c>
      <c r="J79" s="73">
        <v>0.0</v>
      </c>
      <c r="K79" s="194"/>
      <c r="L79" s="55"/>
      <c r="M79" s="55"/>
      <c r="N79" s="55"/>
      <c r="O79" s="92"/>
      <c r="P79" s="103"/>
      <c r="Q79" s="103"/>
      <c r="R79" s="103"/>
      <c r="S79" s="79" t="str">
        <f t="shared" si="2"/>
        <v/>
      </c>
      <c r="T79" s="80" t="str">
        <f>IFERROR(__xludf.DUMMYFUNCTION("IF(
  Q79="""",
  """",
  IF(
   REGEXMATCH(SUBSTITUTE(Q79, "" ex"", """"), TEXTJOIN(""|"", TRUE, INDEX('language&amp;DataTest'!$A$33:$AB$182, , MATCH(HOME!$A$25, 'language&amp;DataTest'!$A$1:$G$1, 0)))),
   IF($M$26,
     IF(COUNTIFS(ARRAYFORMULA(SUBSTITUTE($C$2"&amp;":$C287, "" ex"", """")), SUBSTITUTE(Q79, "" ex"", """"), $J$2:$J287, ""&gt;0"")=0, ""Yes"", ""No""),
     IF(COUNTIFS(ARRAYFORMULA(SUBSTITUTE($C$2:$C287, "" ex"", """")), SUBSTITUTE(Q79, "" ex"", """"), $A$2:$A287, TRUE)=0, ""Yes"", ""No"")
   ),
   ""No""
 "&amp;")
)"),"")</f>
        <v/>
      </c>
    </row>
    <row r="80">
      <c r="A80" s="68" t="b">
        <v>1</v>
      </c>
      <c r="B80" s="69" t="s">
        <v>187</v>
      </c>
      <c r="C80" s="69" t="str">
        <f t="array" ref="C80">TEXTJOIN("", TRUE, IFERROR(INDEX('language&amp;DataTest'!A:J, MATCH(INDEX( PointerTest!C:C, MATCH(B80, PointerTest!A:A, 0), 0), 'language&amp;DataTest'!A:A, 0), MATCH(HOME!$A$25, 'language&amp;DataTest'!$A$1:$H$1, 0))),                      IFERROR(INDEX('language&amp;DataTest'!A:J, MATCH(INDEX( PointerTest!D:D, MATCH(B80, PointerTest!A:A, 0), 0), 'language&amp;DataTest'!A:A, 0), MATCH(HOME!$A$25, 'language&amp;DataTest'!$A$1:$H$1, 0))),                                          
IFERROR(INDEX('language&amp;DataTest'!A:J, MATCH(INDEX( PointerTest!E:E, MATCH(B80, PointerTest!A:A, 0), 0), 'language&amp;DataTest'!A:A, 0), MATCH(HOME!$A$25, 'language&amp;DataTest'!$A$1:$H$1, 0))))</f>
        <v>Lapras</v>
      </c>
      <c r="D80" s="69" t="str">
        <f t="array" ref="D80">INDEX('language&amp;DataTest'!A:J, MATCH(INDEX( PointerTest!D:D, MATCH(INDEX(PointerTest!B:B, MATCH(B80, PointerTest!A:A, 0)), PointerTest!A:A, 0), 0), 'language&amp;DataTest'!A:A, 0), MATCH(HOME!$A$25, 'language&amp;DataTest'!$A$1:$H$1, 0))</f>
        <v>Charizard</v>
      </c>
      <c r="E80" s="69" t="str">
        <f t="array" ref="E80">INDEX( PointerTest!F:F, MATCH(B80, PointerTest!A:A, 0), 0)</f>
        <v>♢♢♢</v>
      </c>
      <c r="F80" s="70" t="str">
        <f t="array" ref="F80">LET(percentage,XLOOKUP($E80,$K$2:$K$10,L$2:L$10,"",0)/(COUNTIFS($E:$E,$E80,$D:$D,RegularFormula!$D$2)+COUNTIFS($E:$E,$E80,$D:$D,IF($D80=RegularFormula!$D$2,$K$15,$D80))),IFERROR(IF(percentage,percentage,""),""))
</f>
        <v/>
      </c>
      <c r="G80" s="71">
        <f t="array" ref="G80">LET(percentage,XLOOKUP($E80,$K$2:$K$10,M$2:M$10,"",0)/(COUNTIFS($E:$E,$E80,$D:$D,RegularFormula!$D$2)+COUNTIFS($E:$E,$E80,$D:$D,IF($D80=RegularFormula!$D$2,$K$15,$D80))),IFERROR(IF(percentage,percentage,""),""))
</f>
        <v>0.003571428571</v>
      </c>
      <c r="H80" s="71">
        <f t="array" ref="H80">LET(percentage,XLOOKUP($E80,$K$2:$K$10,N$2:N$10,"",0)/(COUNTIFS($E:$E,$E80,$D:$D,RegularFormula!$D$2)+COUNTIFS($E:$E,$E80,$D:$D,IF($D80=RegularFormula!$D$2,$K$15,$D80))),IFERROR(IF(percentage,percentage,""),""))
</f>
        <v>0.01428571429</v>
      </c>
      <c r="I80" s="72" t="str">
        <f t="shared" si="1"/>
        <v/>
      </c>
      <c r="J80" s="73">
        <v>0.0</v>
      </c>
      <c r="K80" s="194"/>
      <c r="L80" s="55"/>
      <c r="M80" s="55"/>
      <c r="N80" s="55"/>
      <c r="O80" s="195" t="s">
        <v>188</v>
      </c>
      <c r="P80" s="103"/>
      <c r="Q80" s="103"/>
      <c r="R80" s="103"/>
      <c r="S80" s="79" t="str">
        <f t="shared" si="2"/>
        <v/>
      </c>
      <c r="T80" s="80" t="str">
        <f>IFERROR(__xludf.DUMMYFUNCTION("IF(
  Q80="""",
  """",
  IF(
   REGEXMATCH(SUBSTITUTE(Q80, "" ex"", """"), TEXTJOIN(""|"", TRUE, INDEX('language&amp;DataTest'!$A$33:$AB$182, , MATCH(HOME!$A$25, 'language&amp;DataTest'!$A$1:$G$1, 0)))),
   IF($M$26,
     IF(COUNTIFS(ARRAYFORMULA(SUBSTITUTE($C$2"&amp;":$C287, "" ex"", """")), SUBSTITUTE(Q80, "" ex"", """"), $J$2:$J287, ""&gt;0"")=0, ""Yes"", ""No""),
     IF(COUNTIFS(ARRAYFORMULA(SUBSTITUTE($C$2:$C287, "" ex"", """")), SUBSTITUTE(Q80, "" ex"", """"), $A$2:$A287, TRUE)=0, ""Yes"", ""No"")
   ),
   ""No""
 "&amp;")
)"),"")</f>
        <v/>
      </c>
    </row>
    <row r="81">
      <c r="A81" s="68" t="b">
        <v>1</v>
      </c>
      <c r="B81" s="69" t="s">
        <v>189</v>
      </c>
      <c r="C81" s="69" t="str">
        <f t="array" ref="C81">TEXTJOIN("", TRUE, IFERROR(INDEX('language&amp;DataTest'!A:J, MATCH(INDEX( PointerTest!C:C, MATCH(B81, PointerTest!A:A, 0), 0), 'language&amp;DataTest'!A:A, 0), MATCH(HOME!$A$25, 'language&amp;DataTest'!$A$1:$H$1, 0))),                      IFERROR(INDEX('language&amp;DataTest'!A:J, MATCH(INDEX( PointerTest!D:D, MATCH(B81, PointerTest!A:A, 0), 0), 'language&amp;DataTest'!A:A, 0), MATCH(HOME!$A$25, 'language&amp;DataTest'!$A$1:$H$1, 0))),                                          
IFERROR(INDEX('language&amp;DataTest'!A:J, MATCH(INDEX( PointerTest!E:E, MATCH(B81, PointerTest!A:A, 0), 0), 'language&amp;DataTest'!A:A, 0), MATCH(HOME!$A$25, 'language&amp;DataTest'!$A$1:$H$1, 0))))</f>
        <v>Vaporeon</v>
      </c>
      <c r="D81" s="69" t="str">
        <f t="array" ref="D81">INDEX('language&amp;DataTest'!A:J, MATCH(INDEX( PointerTest!D:D, MATCH(INDEX(PointerTest!B:B, MATCH(B81, PointerTest!A:A, 0)), PointerTest!A:A, 0), 0), 'language&amp;DataTest'!A:A, 0), MATCH(HOME!$A$25, 'language&amp;DataTest'!$A$1:$H$1, 0))</f>
        <v>Mewtwo</v>
      </c>
      <c r="E81" s="69" t="str">
        <f t="array" ref="E81">INDEX( PointerTest!F:F, MATCH(B81, PointerTest!A:A, 0), 0)</f>
        <v>♢♢♢</v>
      </c>
      <c r="F81" s="70" t="str">
        <f t="array" ref="F81">LET(percentage,XLOOKUP($E81,$K$2:$K$10,L$2:L$10,"",0)/(COUNTIFS($E:$E,$E81,$D:$D,RegularFormula!$D$2)+COUNTIFS($E:$E,$E81,$D:$D,IF($D81=RegularFormula!$D$2,$K$15,$D81))),IFERROR(IF(percentage,percentage,""),""))
</f>
        <v/>
      </c>
      <c r="G81" s="71">
        <f t="array" ref="G81">LET(percentage,XLOOKUP($E81,$K$2:$K$10,M$2:M$10,"",0)/(COUNTIFS($E:$E,$E81,$D:$D,RegularFormula!$D$2)+COUNTIFS($E:$E,$E81,$D:$D,IF($D81=RegularFormula!$D$2,$K$15,$D81))),IFERROR(IF(percentage,percentage,""),""))
</f>
        <v>0.003571428571</v>
      </c>
      <c r="H81" s="71">
        <f t="array" ref="H81">LET(percentage,XLOOKUP($E81,$K$2:$K$10,N$2:N$10,"",0)/(COUNTIFS($E:$E,$E81,$D:$D,RegularFormula!$D$2)+COUNTIFS($E:$E,$E81,$D:$D,IF($D81=RegularFormula!$D$2,$K$15,$D81))),IFERROR(IF(percentage,percentage,""),""))
</f>
        <v>0.01428571429</v>
      </c>
      <c r="I81" s="72" t="str">
        <f t="shared" si="1"/>
        <v/>
      </c>
      <c r="J81" s="73">
        <v>0.0</v>
      </c>
      <c r="K81" s="194"/>
      <c r="L81" s="55"/>
      <c r="M81" s="55"/>
      <c r="N81" s="55"/>
      <c r="O81" s="92"/>
      <c r="P81" s="103"/>
      <c r="Q81" s="103"/>
      <c r="R81" s="103"/>
      <c r="S81" s="79" t="str">
        <f t="shared" si="2"/>
        <v/>
      </c>
      <c r="T81" s="80" t="str">
        <f>IFERROR(__xludf.DUMMYFUNCTION("IF(
  Q81="""",
  """",
  IF(
   REGEXMATCH(SUBSTITUTE(Q81, "" ex"", """"), TEXTJOIN(""|"", TRUE, INDEX('language&amp;DataTest'!$A$33:$AB$182, , MATCH(HOME!$A$25, 'language&amp;DataTest'!$A$1:$G$1, 0)))),
   IF($M$26,
     IF(COUNTIFS(ARRAYFORMULA(SUBSTITUTE($C$2"&amp;":$C287, "" ex"", """")), SUBSTITUTE(Q81, "" ex"", """"), $J$2:$J287, ""&gt;0"")=0, ""Yes"", ""No""),
     IF(COUNTIFS(ARRAYFORMULA(SUBSTITUTE($C$2:$C287, "" ex"", """")), SUBSTITUTE(Q81, "" ex"", """"), $A$2:$A287, TRUE)=0, ""Yes"", ""No"")
   ),
   ""No""
 "&amp;")
)"),"")</f>
        <v/>
      </c>
    </row>
    <row r="82">
      <c r="A82" s="68" t="b">
        <v>1</v>
      </c>
      <c r="B82" s="69" t="s">
        <v>190</v>
      </c>
      <c r="C82" s="69" t="str">
        <f t="array" ref="C82">TEXTJOIN("", TRUE, IFERROR(INDEX('language&amp;DataTest'!A:J, MATCH(INDEX( PointerTest!C:C, MATCH(B82, PointerTest!A:A, 0), 0), 'language&amp;DataTest'!A:A, 0), MATCH(HOME!$A$25, 'language&amp;DataTest'!$A$1:$H$1, 0))),                      IFERROR(INDEX('language&amp;DataTest'!A:J, MATCH(INDEX( PointerTest!D:D, MATCH(B82, PointerTest!A:A, 0), 0), 'language&amp;DataTest'!A:A, 0), MATCH(HOME!$A$25, 'language&amp;DataTest'!$A$1:$H$1, 0))),                                          
IFERROR(INDEX('language&amp;DataTest'!A:J, MATCH(INDEX( PointerTest!E:E, MATCH(B82, PointerTest!A:A, 0), 0), 'language&amp;DataTest'!A:A, 0), MATCH(HOME!$A$25, 'language&amp;DataTest'!$A$1:$H$1, 0))))</f>
        <v>Omanyte</v>
      </c>
      <c r="D82" s="69" t="str">
        <f t="array" ref="D82">INDEX('language&amp;DataTest'!A:J, MATCH(INDEX( PointerTest!D:D, MATCH(INDEX(PointerTest!B:B, MATCH(B82, PointerTest!A:A, 0)), PointerTest!A:A, 0), 0), 'language&amp;DataTest'!A:A, 0), MATCH(HOME!$A$25, 'language&amp;DataTest'!$A$1:$H$1, 0))</f>
        <v>Pikachu</v>
      </c>
      <c r="E82" s="69" t="str">
        <f t="array" ref="E82">INDEX( PointerTest!F:F, MATCH(B82, PointerTest!A:A, 0), 0)</f>
        <v>♢♢</v>
      </c>
      <c r="F82" s="70" t="str">
        <f t="array" ref="F82">LET(percentage,XLOOKUP($E82,$K$2:$K$10,L$2:L$10,"",0)/(COUNTIFS($E:$E,$E82,$D:$D,RegularFormula!$D$2)+COUNTIFS($E:$E,$E82,$D:$D,IF($D82=RegularFormula!$D$2,$K$15,$D82))),IFERROR(IF(percentage,percentage,""),""))
</f>
        <v/>
      </c>
      <c r="G82" s="71">
        <f t="array" ref="G82">LET(percentage,XLOOKUP($E82,$K$2:$K$10,M$2:M$10,"",0)/(COUNTIFS($E:$E,$E82,$D:$D,RegularFormula!$D$2)+COUNTIFS($E:$E,$E82,$D:$D,IF($D82=RegularFormula!$D$2,$K$15,$D82))),IFERROR(IF(percentage,percentage,""),""))
</f>
        <v>0.02571428571</v>
      </c>
      <c r="H82" s="71">
        <f t="array" ref="H82">LET(percentage,XLOOKUP($E82,$K$2:$K$10,N$2:N$10,"",0)/(COUNTIFS($E:$E,$E82,$D:$D,RegularFormula!$D$2)+COUNTIFS($E:$E,$E82,$D:$D,IF($D82=RegularFormula!$D$2,$K$15,$D82))),IFERROR(IF(percentage,percentage,""),""))
</f>
        <v>0.01714285714</v>
      </c>
      <c r="I82" s="72" t="str">
        <f t="shared" si="1"/>
        <v/>
      </c>
      <c r="J82" s="73">
        <v>0.0</v>
      </c>
      <c r="K82" s="194"/>
      <c r="L82" s="55"/>
      <c r="M82" s="55"/>
      <c r="N82" s="55"/>
      <c r="O82" s="95" t="s">
        <v>191</v>
      </c>
      <c r="P82" s="103"/>
      <c r="Q82" s="103"/>
      <c r="R82" s="103"/>
      <c r="S82" s="79" t="str">
        <f t="shared" si="2"/>
        <v/>
      </c>
      <c r="T82" s="80" t="str">
        <f>IFERROR(__xludf.DUMMYFUNCTION("IF(
  Q82="""",
  """",
  IF(
   REGEXMATCH(SUBSTITUTE(Q82, "" ex"", """"), TEXTJOIN(""|"", TRUE, INDEX('language&amp;DataTest'!$A$33:$AB$182, , MATCH(HOME!$A$25, 'language&amp;DataTest'!$A$1:$G$1, 0)))),
   IF($M$26,
     IF(COUNTIFS(ARRAYFORMULA(SUBSTITUTE($C$2"&amp;":$C287, "" ex"", """")), SUBSTITUTE(Q82, "" ex"", """"), $J$2:$J287, ""&gt;0"")=0, ""Yes"", ""No""),
     IF(COUNTIFS(ARRAYFORMULA(SUBSTITUTE($C$2:$C287, "" ex"", """")), SUBSTITUTE(Q82, "" ex"", """"), $A$2:$A287, TRUE)=0, ""Yes"", ""No"")
   ),
   ""No""
 "&amp;")
)"),"")</f>
        <v/>
      </c>
    </row>
    <row r="83">
      <c r="A83" s="68" t="b">
        <v>1</v>
      </c>
      <c r="B83" s="69" t="s">
        <v>192</v>
      </c>
      <c r="C83" s="69" t="str">
        <f t="array" ref="C83">TEXTJOIN("", TRUE, IFERROR(INDEX('language&amp;DataTest'!A:J, MATCH(INDEX( PointerTest!C:C, MATCH(B83, PointerTest!A:A, 0), 0), 'language&amp;DataTest'!A:A, 0), MATCH(HOME!$A$25, 'language&amp;DataTest'!$A$1:$H$1, 0))),                      IFERROR(INDEX('language&amp;DataTest'!A:J, MATCH(INDEX( PointerTest!D:D, MATCH(B83, PointerTest!A:A, 0), 0), 'language&amp;DataTest'!A:A, 0), MATCH(HOME!$A$25, 'language&amp;DataTest'!$A$1:$H$1, 0))),                                          
IFERROR(INDEX('language&amp;DataTest'!A:J, MATCH(INDEX( PointerTest!E:E, MATCH(B83, PointerTest!A:A, 0), 0), 'language&amp;DataTest'!A:A, 0), MATCH(HOME!$A$25, 'language&amp;DataTest'!$A$1:$H$1, 0))))</f>
        <v>Omastar</v>
      </c>
      <c r="D83" s="69" t="str">
        <f t="array" ref="D83">INDEX('language&amp;DataTest'!A:J, MATCH(INDEX( PointerTest!D:D, MATCH(INDEX(PointerTest!B:B, MATCH(B83, PointerTest!A:A, 0)), PointerTest!A:A, 0), 0), 'language&amp;DataTest'!A:A, 0), MATCH(HOME!$A$25, 'language&amp;DataTest'!$A$1:$H$1, 0))</f>
        <v>Pikachu</v>
      </c>
      <c r="E83" s="69" t="str">
        <f t="array" ref="E83">INDEX( PointerTest!F:F, MATCH(B83, PointerTest!A:A, 0), 0)</f>
        <v>♢♢♢</v>
      </c>
      <c r="F83" s="70" t="str">
        <f t="array" ref="F83">LET(percentage,XLOOKUP($E83,$K$2:$K$10,L$2:L$10,"",0)/(COUNTIFS($E:$E,$E83,$D:$D,RegularFormula!$D$2)+COUNTIFS($E:$E,$E83,$D:$D,IF($D83=RegularFormula!$D$2,$K$15,$D83))),IFERROR(IF(percentage,percentage,""),""))
</f>
        <v/>
      </c>
      <c r="G83" s="71">
        <f t="array" ref="G83">LET(percentage,XLOOKUP($E83,$K$2:$K$10,M$2:M$10,"",0)/(COUNTIFS($E:$E,$E83,$D:$D,RegularFormula!$D$2)+COUNTIFS($E:$E,$E83,$D:$D,IF($D83=RegularFormula!$D$2,$K$15,$D83))),IFERROR(IF(percentage,percentage,""),""))
</f>
        <v>0.003571428571</v>
      </c>
      <c r="H83" s="71">
        <f t="array" ref="H83">LET(percentage,XLOOKUP($E83,$K$2:$K$10,N$2:N$10,"",0)/(COUNTIFS($E:$E,$E83,$D:$D,RegularFormula!$D$2)+COUNTIFS($E:$E,$E83,$D:$D,IF($D83=RegularFormula!$D$2,$K$15,$D83))),IFERROR(IF(percentage,percentage,""),""))
</f>
        <v>0.01428571429</v>
      </c>
      <c r="I83" s="72" t="str">
        <f t="shared" si="1"/>
        <v/>
      </c>
      <c r="J83" s="73">
        <v>0.0</v>
      </c>
      <c r="K83" s="194"/>
      <c r="L83" s="55"/>
      <c r="M83" s="55"/>
      <c r="N83" s="55"/>
      <c r="O83" s="85"/>
      <c r="P83" s="103"/>
      <c r="Q83" s="103"/>
      <c r="R83" s="103"/>
      <c r="S83" s="79" t="str">
        <f t="shared" si="2"/>
        <v/>
      </c>
      <c r="T83" s="80" t="str">
        <f>IFERROR(__xludf.DUMMYFUNCTION("IF(
  Q83="""",
  """",
  IF(
   REGEXMATCH(SUBSTITUTE(Q83, "" ex"", """"), TEXTJOIN(""|"", TRUE, INDEX('language&amp;DataTest'!$A$33:$AB$182, , MATCH(HOME!$A$25, 'language&amp;DataTest'!$A$1:$G$1, 0)))),
   IF($M$26,
     IF(COUNTIFS(ARRAYFORMULA(SUBSTITUTE($C$2"&amp;":$C287, "" ex"", """")), SUBSTITUTE(Q83, "" ex"", """"), $J$2:$J287, ""&gt;0"")=0, ""Yes"", ""No""),
     IF(COUNTIFS(ARRAYFORMULA(SUBSTITUTE($C$2:$C287, "" ex"", """")), SUBSTITUTE(Q83, "" ex"", """"), $A$2:$A287, TRUE)=0, ""Yes"", ""No"")
   ),
   ""No""
 "&amp;")
)"),"")</f>
        <v/>
      </c>
    </row>
    <row r="84">
      <c r="A84" s="68" t="b">
        <v>1</v>
      </c>
      <c r="B84" s="69" t="s">
        <v>193</v>
      </c>
      <c r="C84" s="69" t="str">
        <f t="array" ref="C84">TEXTJOIN("", TRUE, IFERROR(INDEX('language&amp;DataTest'!A:J, MATCH(INDEX( PointerTest!C:C, MATCH(B84, PointerTest!A:A, 0), 0), 'language&amp;DataTest'!A:A, 0), MATCH(HOME!$A$25, 'language&amp;DataTest'!$A$1:$H$1, 0))),                      IFERROR(INDEX('language&amp;DataTest'!A:J, MATCH(INDEX( PointerTest!D:D, MATCH(B84, PointerTest!A:A, 0), 0), 'language&amp;DataTest'!A:A, 0), MATCH(HOME!$A$25, 'language&amp;DataTest'!$A$1:$H$1, 0))),                                          
IFERROR(INDEX('language&amp;DataTest'!A:J, MATCH(INDEX( PointerTest!E:E, MATCH(B84, PointerTest!A:A, 0), 0), 'language&amp;DataTest'!A:A, 0), MATCH(HOME!$A$25, 'language&amp;DataTest'!$A$1:$H$1, 0))))</f>
        <v>Articuno</v>
      </c>
      <c r="D84" s="69" t="str">
        <f t="array" ref="D84">INDEX('language&amp;DataTest'!A:J, MATCH(INDEX( PointerTest!D:D, MATCH(INDEX(PointerTest!B:B, MATCH(B84, PointerTest!A:A, 0)), PointerTest!A:A, 0), 0), 'language&amp;DataTest'!A:A, 0), MATCH(HOME!$A$25, 'language&amp;DataTest'!$A$1:$H$1, 0))</f>
        <v>Mewtwo</v>
      </c>
      <c r="E84" s="69" t="str">
        <f t="array" ref="E84">INDEX( PointerTest!F:F, MATCH(B84, PointerTest!A:A, 0), 0)</f>
        <v>♢♢♢</v>
      </c>
      <c r="F84" s="70" t="str">
        <f t="array" ref="F84">LET(percentage,XLOOKUP($E84,$K$2:$K$10,L$2:L$10,"",0)/(COUNTIFS($E:$E,$E84,$D:$D,RegularFormula!$D$2)+COUNTIFS($E:$E,$E84,$D:$D,IF($D84=RegularFormula!$D$2,$K$15,$D84))),IFERROR(IF(percentage,percentage,""),""))
</f>
        <v/>
      </c>
      <c r="G84" s="71">
        <f t="array" ref="G84">LET(percentage,XLOOKUP($E84,$K$2:$K$10,M$2:M$10,"",0)/(COUNTIFS($E:$E,$E84,$D:$D,RegularFormula!$D$2)+COUNTIFS($E:$E,$E84,$D:$D,IF($D84=RegularFormula!$D$2,$K$15,$D84))),IFERROR(IF(percentage,percentage,""),""))
</f>
        <v>0.003571428571</v>
      </c>
      <c r="H84" s="71">
        <f t="array" ref="H84">LET(percentage,XLOOKUP($E84,$K$2:$K$10,N$2:N$10,"",0)/(COUNTIFS($E:$E,$E84,$D:$D,RegularFormula!$D$2)+COUNTIFS($E:$E,$E84,$D:$D,IF($D84=RegularFormula!$D$2,$K$15,$D84))),IFERROR(IF(percentage,percentage,""),""))
</f>
        <v>0.01428571429</v>
      </c>
      <c r="I84" s="72" t="str">
        <f t="shared" si="1"/>
        <v/>
      </c>
      <c r="J84" s="73">
        <v>0.0</v>
      </c>
      <c r="K84" s="194"/>
      <c r="L84" s="55"/>
      <c r="M84" s="55"/>
      <c r="N84" s="55"/>
      <c r="O84" s="85"/>
      <c r="P84" s="103"/>
      <c r="Q84" s="103"/>
      <c r="R84" s="103"/>
      <c r="S84" s="79" t="str">
        <f t="shared" si="2"/>
        <v/>
      </c>
      <c r="T84" s="80" t="str">
        <f>IFERROR(__xludf.DUMMYFUNCTION("IF(
  Q84="""",
  """",
  IF(
   REGEXMATCH(SUBSTITUTE(Q84, "" ex"", """"), TEXTJOIN(""|"", TRUE, INDEX('language&amp;DataTest'!$A$33:$AB$182, , MATCH(HOME!$A$25, 'language&amp;DataTest'!$A$1:$G$1, 0)))),
   IF($M$26,
     IF(COUNTIFS(ARRAYFORMULA(SUBSTITUTE($C$2"&amp;":$C287, "" ex"", """")), SUBSTITUTE(Q84, "" ex"", """"), $J$2:$J287, ""&gt;0"")=0, ""Yes"", ""No""),
     IF(COUNTIFS(ARRAYFORMULA(SUBSTITUTE($C$2:$C287, "" ex"", """")), SUBSTITUTE(Q84, "" ex"", """"), $A$2:$A287, TRUE)=0, ""Yes"", ""No"")
   ),
   ""No""
 "&amp;")
)"),"")</f>
        <v/>
      </c>
    </row>
    <row r="85">
      <c r="A85" s="68" t="b">
        <v>1</v>
      </c>
      <c r="B85" s="69" t="s">
        <v>194</v>
      </c>
      <c r="C85" s="69" t="str">
        <f t="array" ref="C85">TEXTJOIN("", TRUE, IFERROR(INDEX('language&amp;DataTest'!A:J, MATCH(INDEX( PointerTest!C:C, MATCH(B85, PointerTest!A:A, 0), 0), 'language&amp;DataTest'!A:A, 0), MATCH(HOME!$A$25, 'language&amp;DataTest'!$A$1:$H$1, 0))),                      IFERROR(INDEX('language&amp;DataTest'!A:J, MATCH(INDEX( PointerTest!D:D, MATCH(B85, PointerTest!A:A, 0), 0), 'language&amp;DataTest'!A:A, 0), MATCH(HOME!$A$25, 'language&amp;DataTest'!$A$1:$H$1, 0))),                                          
IFERROR(INDEX('language&amp;DataTest'!A:J, MATCH(INDEX( PointerTest!E:E, MATCH(B85, PointerTest!A:A, 0), 0), 'language&amp;DataTest'!A:A, 0), MATCH(HOME!$A$25, 'language&amp;DataTest'!$A$1:$H$1, 0))))</f>
        <v>Articuno ex</v>
      </c>
      <c r="D85" s="69" t="str">
        <f t="array" ref="D85">INDEX('language&amp;DataTest'!A:J, MATCH(INDEX( PointerTest!D:D, MATCH(INDEX(PointerTest!B:B, MATCH(B85, PointerTest!A:A, 0)), PointerTest!A:A, 0), 0), 'language&amp;DataTest'!A:A, 0), MATCH(HOME!$A$25, 'language&amp;DataTest'!$A$1:$H$1, 0))</f>
        <v>Mewtwo</v>
      </c>
      <c r="E85" s="69" t="str">
        <f t="array" ref="E85">INDEX( PointerTest!F:F, MATCH(B85, PointerTest!A:A, 0), 0)</f>
        <v>♢♢♢♢</v>
      </c>
      <c r="F85" s="70" t="str">
        <f t="array" ref="F85">LET(percentage,XLOOKUP($E85,$K$2:$K$10,L$2:L$10,"",0)/(COUNTIFS($E:$E,$E85,$D:$D,RegularFormula!$D$2)+COUNTIFS($E:$E,$E85,$D:$D,IF($D85=RegularFormula!$D$2,$K$15,$D85))),IFERROR(IF(percentage,percentage,""),""))
</f>
        <v/>
      </c>
      <c r="G85" s="71">
        <f t="array" ref="G85">LET(percentage,XLOOKUP($E85,$K$2:$K$10,M$2:M$10,"",0)/(COUNTIFS($E:$E,$E85,$D:$D,RegularFormula!$D$2)+COUNTIFS($E:$E,$E85,$D:$D,IF($D85=RegularFormula!$D$2,$K$15,$D85))),IFERROR(IF(percentage,percentage,""),""))
</f>
        <v>0.003332</v>
      </c>
      <c r="H85" s="71">
        <f t="array" ref="H85">LET(percentage,XLOOKUP($E85,$K$2:$K$10,N$2:N$10,"",0)/(COUNTIFS($E:$E,$E85,$D:$D,RegularFormula!$D$2)+COUNTIFS($E:$E,$E85,$D:$D,IF($D85=RegularFormula!$D$2,$K$15,$D85))),IFERROR(IF(percentage,percentage,""),""))
</f>
        <v>0.013328</v>
      </c>
      <c r="I85" s="72" t="str">
        <f t="shared" si="1"/>
        <v/>
      </c>
      <c r="J85" s="73">
        <v>0.0</v>
      </c>
      <c r="K85" s="194"/>
      <c r="L85" s="55"/>
      <c r="M85" s="55"/>
      <c r="N85" s="55"/>
      <c r="O85" s="85"/>
      <c r="P85" s="103"/>
      <c r="Q85" s="103"/>
      <c r="R85" s="103"/>
      <c r="S85" s="79" t="str">
        <f t="shared" si="2"/>
        <v/>
      </c>
      <c r="T85" s="80" t="str">
        <f>IFERROR(__xludf.DUMMYFUNCTION("IF(
  Q85="""",
  """",
  IF(
   REGEXMATCH(SUBSTITUTE(Q85, "" ex"", """"), TEXTJOIN(""|"", TRUE, INDEX('language&amp;DataTest'!$A$33:$AB$182, , MATCH(HOME!$A$25, 'language&amp;DataTest'!$A$1:$G$1, 0)))),
   IF($M$26,
     IF(COUNTIFS(ARRAYFORMULA(SUBSTITUTE($C$2"&amp;":$C287, "" ex"", """")), SUBSTITUTE(Q85, "" ex"", """"), $J$2:$J287, ""&gt;0"")=0, ""Yes"", ""No""),
     IF(COUNTIFS(ARRAYFORMULA(SUBSTITUTE($C$2:$C287, "" ex"", """")), SUBSTITUTE(Q85, "" ex"", """"), $A$2:$A287, TRUE)=0, ""Yes"", ""No"")
   ),
   ""No""
 "&amp;")
)"),"")</f>
        <v/>
      </c>
    </row>
    <row r="86">
      <c r="A86" s="68" t="b">
        <v>1</v>
      </c>
      <c r="B86" s="69" t="s">
        <v>195</v>
      </c>
      <c r="C86" s="69" t="str">
        <f t="array" ref="C86">TEXTJOIN("", TRUE, IFERROR(INDEX('language&amp;DataTest'!A:J, MATCH(INDEX( PointerTest!C:C, MATCH(B86, PointerTest!A:A, 0), 0), 'language&amp;DataTest'!A:A, 0), MATCH(HOME!$A$25, 'language&amp;DataTest'!$A$1:$H$1, 0))),                      IFERROR(INDEX('language&amp;DataTest'!A:J, MATCH(INDEX( PointerTest!D:D, MATCH(B86, PointerTest!A:A, 0), 0), 'language&amp;DataTest'!A:A, 0), MATCH(HOME!$A$25, 'language&amp;DataTest'!$A$1:$H$1, 0))),                                          
IFERROR(INDEX('language&amp;DataTest'!A:J, MATCH(INDEX( PointerTest!E:E, MATCH(B86, PointerTest!A:A, 0), 0), 'language&amp;DataTest'!A:A, 0), MATCH(HOME!$A$25, 'language&amp;DataTest'!$A$1:$H$1, 0))))</f>
        <v>Ducklett</v>
      </c>
      <c r="D86" s="69" t="str">
        <f t="array" ref="D86">INDEX('language&amp;DataTest'!A:J, MATCH(INDEX( PointerTest!D:D, MATCH(INDEX(PointerTest!B:B, MATCH(B86, PointerTest!A:A, 0)), PointerTest!A:A, 0), 0), 'language&amp;DataTest'!A:A, 0), MATCH(HOME!$A$25, 'language&amp;DataTest'!$A$1:$H$1, 0))</f>
        <v>Charizard</v>
      </c>
      <c r="E86" s="69" t="str">
        <f t="array" ref="E86">INDEX( PointerTest!F:F, MATCH(B86, PointerTest!A:A, 0), 0)</f>
        <v>♢</v>
      </c>
      <c r="F86" s="70">
        <f t="array" ref="F86">LET(percentage,XLOOKUP($E86,$K$2:$K$10,L$2:L$10,"",0)/(COUNTIFS($E:$E,$E86,$D:$D,RegularFormula!$D$2)+COUNTIFS($E:$E,$E86,$D:$D,IF($D86=RegularFormula!$D$2,$K$15,$D86))),IFERROR(IF(percentage,percentage,""),""))
</f>
        <v>0.02</v>
      </c>
      <c r="G86" s="71" t="str">
        <f t="array" ref="G86">LET(percentage,XLOOKUP($E86,$K$2:$K$10,M$2:M$10,"",0)/(COUNTIFS($E:$E,$E86,$D:$D,RegularFormula!$D$2)+COUNTIFS($E:$E,$E86,$D:$D,IF($D86=RegularFormula!$D$2,$K$15,$D86))),IFERROR(IF(percentage,percentage,""),""))
</f>
        <v/>
      </c>
      <c r="H86" s="71" t="str">
        <f t="array" ref="H86">LET(percentage,XLOOKUP($E86,$K$2:$K$10,N$2:N$10,"",0)/(COUNTIFS($E:$E,$E86,$D:$D,RegularFormula!$D$2)+COUNTIFS($E:$E,$E86,$D:$D,IF($D86=RegularFormula!$D$2,$K$15,$D86))),IFERROR(IF(percentage,percentage,""),""))
</f>
        <v/>
      </c>
      <c r="I86" s="72" t="str">
        <f t="shared" si="1"/>
        <v/>
      </c>
      <c r="J86" s="73">
        <v>0.0</v>
      </c>
      <c r="K86" s="194"/>
      <c r="L86" s="55"/>
      <c r="M86" s="55"/>
      <c r="N86" s="55"/>
      <c r="O86" s="85"/>
      <c r="P86" s="103"/>
      <c r="Q86" s="103"/>
      <c r="R86" s="103"/>
      <c r="S86" s="79" t="str">
        <f t="shared" si="2"/>
        <v/>
      </c>
      <c r="T86" s="80" t="str">
        <f>IFERROR(__xludf.DUMMYFUNCTION("IF(
  Q86="""",
  """",
  IF(
   REGEXMATCH(SUBSTITUTE(Q86, "" ex"", """"), TEXTJOIN(""|"", TRUE, INDEX('language&amp;DataTest'!$A$33:$AB$182, , MATCH(HOME!$A$25, 'language&amp;DataTest'!$A$1:$G$1, 0)))),
   IF($M$26,
     IF(COUNTIFS(ARRAYFORMULA(SUBSTITUTE($C$2"&amp;":$C287, "" ex"", """")), SUBSTITUTE(Q86, "" ex"", """"), $J$2:$J287, ""&gt;0"")=0, ""Yes"", ""No""),
     IF(COUNTIFS(ARRAYFORMULA(SUBSTITUTE($C$2:$C287, "" ex"", """")), SUBSTITUTE(Q86, "" ex"", """"), $A$2:$A287, TRUE)=0, ""Yes"", ""No"")
   ),
   ""No""
 "&amp;")
)"),"")</f>
        <v/>
      </c>
    </row>
    <row r="87">
      <c r="A87" s="68" t="b">
        <v>1</v>
      </c>
      <c r="B87" s="69" t="s">
        <v>196</v>
      </c>
      <c r="C87" s="69" t="str">
        <f t="array" ref="C87">TEXTJOIN("", TRUE, IFERROR(INDEX('language&amp;DataTest'!A:J, MATCH(INDEX( PointerTest!C:C, MATCH(B87, PointerTest!A:A, 0), 0), 'language&amp;DataTest'!A:A, 0), MATCH(HOME!$A$25, 'language&amp;DataTest'!$A$1:$H$1, 0))),                      IFERROR(INDEX('language&amp;DataTest'!A:J, MATCH(INDEX( PointerTest!D:D, MATCH(B87, PointerTest!A:A, 0), 0), 'language&amp;DataTest'!A:A, 0), MATCH(HOME!$A$25, 'language&amp;DataTest'!$A$1:$H$1, 0))),                                          
IFERROR(INDEX('language&amp;DataTest'!A:J, MATCH(INDEX( PointerTest!E:E, MATCH(B87, PointerTest!A:A, 0), 0), 'language&amp;DataTest'!A:A, 0), MATCH(HOME!$A$25, 'language&amp;DataTest'!$A$1:$H$1, 0))))</f>
        <v>Swanna</v>
      </c>
      <c r="D87" s="69" t="str">
        <f t="array" ref="D87">INDEX('language&amp;DataTest'!A:J, MATCH(INDEX( PointerTest!D:D, MATCH(INDEX(PointerTest!B:B, MATCH(B87, PointerTest!A:A, 0)), PointerTest!A:A, 0), 0), 'language&amp;DataTest'!A:A, 0), MATCH(HOME!$A$25, 'language&amp;DataTest'!$A$1:$H$1, 0))</f>
        <v>Charizard</v>
      </c>
      <c r="E87" s="69" t="str">
        <f t="array" ref="E87">INDEX( PointerTest!F:F, MATCH(B87, PointerTest!A:A, 0), 0)</f>
        <v>♢♢</v>
      </c>
      <c r="F87" s="70" t="str">
        <f t="array" ref="F87">LET(percentage,XLOOKUP($E87,$K$2:$K$10,L$2:L$10,"",0)/(COUNTIFS($E:$E,$E87,$D:$D,RegularFormula!$D$2)+COUNTIFS($E:$E,$E87,$D:$D,IF($D87=RegularFormula!$D$2,$K$15,$D87))),IFERROR(IF(percentage,percentage,""),""))
</f>
        <v/>
      </c>
      <c r="G87" s="71">
        <f t="array" ref="G87">LET(percentage,XLOOKUP($E87,$K$2:$K$10,M$2:M$10,"",0)/(COUNTIFS($E:$E,$E87,$D:$D,RegularFormula!$D$2)+COUNTIFS($E:$E,$E87,$D:$D,IF($D87=RegularFormula!$D$2,$K$15,$D87))),IFERROR(IF(percentage,percentage,""),""))
</f>
        <v>0.02571428571</v>
      </c>
      <c r="H87" s="71">
        <f t="array" ref="H87">LET(percentage,XLOOKUP($E87,$K$2:$K$10,N$2:N$10,"",0)/(COUNTIFS($E:$E,$E87,$D:$D,RegularFormula!$D$2)+COUNTIFS($E:$E,$E87,$D:$D,IF($D87=RegularFormula!$D$2,$K$15,$D87))),IFERROR(IF(percentage,percentage,""),""))
</f>
        <v>0.01714285714</v>
      </c>
      <c r="I87" s="72" t="str">
        <f t="shared" si="1"/>
        <v/>
      </c>
      <c r="J87" s="73">
        <v>0.0</v>
      </c>
      <c r="K87" s="194"/>
      <c r="L87" s="55"/>
      <c r="M87" s="55"/>
      <c r="N87" s="55"/>
      <c r="O87" s="85"/>
      <c r="P87" s="103"/>
      <c r="Q87" s="103"/>
      <c r="R87" s="103"/>
      <c r="S87" s="79" t="str">
        <f t="shared" si="2"/>
        <v/>
      </c>
      <c r="T87" s="80" t="str">
        <f>IFERROR(__xludf.DUMMYFUNCTION("IF(
  Q87="""",
  """",
  IF(
   REGEXMATCH(SUBSTITUTE(Q87, "" ex"", """"), TEXTJOIN(""|"", TRUE, INDEX('language&amp;DataTest'!$A$33:$AB$182, , MATCH(HOME!$A$25, 'language&amp;DataTest'!$A$1:$G$1, 0)))),
   IF($M$26,
     IF(COUNTIFS(ARRAYFORMULA(SUBSTITUTE($C$2"&amp;":$C287, "" ex"", """")), SUBSTITUTE(Q87, "" ex"", """"), $J$2:$J287, ""&gt;0"")=0, ""Yes"", ""No""),
     IF(COUNTIFS(ARRAYFORMULA(SUBSTITUTE($C$2:$C287, "" ex"", """")), SUBSTITUTE(Q87, "" ex"", """"), $A$2:$A287, TRUE)=0, ""Yes"", ""No"")
   ),
   ""No""
 "&amp;")
)"),"")</f>
        <v/>
      </c>
    </row>
    <row r="88">
      <c r="A88" s="68" t="b">
        <v>1</v>
      </c>
      <c r="B88" s="69" t="s">
        <v>197</v>
      </c>
      <c r="C88" s="69" t="str">
        <f t="array" ref="C88">TEXTJOIN("", TRUE, IFERROR(INDEX('language&amp;DataTest'!A:J, MATCH(INDEX( PointerTest!C:C, MATCH(B88, PointerTest!A:A, 0), 0), 'language&amp;DataTest'!A:A, 0), MATCH(HOME!$A$25, 'language&amp;DataTest'!$A$1:$H$1, 0))),                      IFERROR(INDEX('language&amp;DataTest'!A:J, MATCH(INDEX( PointerTest!D:D, MATCH(B88, PointerTest!A:A, 0), 0), 'language&amp;DataTest'!A:A, 0), MATCH(HOME!$A$25, 'language&amp;DataTest'!$A$1:$H$1, 0))),                                          
IFERROR(INDEX('language&amp;DataTest'!A:J, MATCH(INDEX( PointerTest!E:E, MATCH(B88, PointerTest!A:A, 0), 0), 'language&amp;DataTest'!A:A, 0), MATCH(HOME!$A$25, 'language&amp;DataTest'!$A$1:$H$1, 0))))</f>
        <v>Froakie</v>
      </c>
      <c r="D88" s="69" t="str">
        <f t="array" ref="D88">INDEX('language&amp;DataTest'!A:J, MATCH(INDEX( PointerTest!D:D, MATCH(INDEX(PointerTest!B:B, MATCH(B88, PointerTest!A:A, 0)), PointerTest!A:A, 0), 0), 'language&amp;DataTest'!A:A, 0), MATCH(HOME!$A$25, 'language&amp;DataTest'!$A$1:$H$1, 0))</f>
        <v>Charizard</v>
      </c>
      <c r="E88" s="69" t="str">
        <f t="array" ref="E88">INDEX( PointerTest!F:F, MATCH(B88, PointerTest!A:A, 0), 0)</f>
        <v>♢</v>
      </c>
      <c r="F88" s="70">
        <f t="array" ref="F88">LET(percentage,XLOOKUP($E88,$K$2:$K$10,L$2:L$10,"",0)/(COUNTIFS($E:$E,$E88,$D:$D,RegularFormula!$D$2)+COUNTIFS($E:$E,$E88,$D:$D,IF($D88=RegularFormula!$D$2,$K$15,$D88))),IFERROR(IF(percentage,percentage,""),""))
</f>
        <v>0.02</v>
      </c>
      <c r="G88" s="71" t="str">
        <f t="array" ref="G88">LET(percentage,XLOOKUP($E88,$K$2:$K$10,M$2:M$10,"",0)/(COUNTIFS($E:$E,$E88,$D:$D,RegularFormula!$D$2)+COUNTIFS($E:$E,$E88,$D:$D,IF($D88=RegularFormula!$D$2,$K$15,$D88))),IFERROR(IF(percentage,percentage,""),""))
</f>
        <v/>
      </c>
      <c r="H88" s="71" t="str">
        <f t="array" ref="H88">LET(percentage,XLOOKUP($E88,$K$2:$K$10,N$2:N$10,"",0)/(COUNTIFS($E:$E,$E88,$D:$D,RegularFormula!$D$2)+COUNTIFS($E:$E,$E88,$D:$D,IF($D88=RegularFormula!$D$2,$K$15,$D88))),IFERROR(IF(percentage,percentage,""),""))
</f>
        <v/>
      </c>
      <c r="I88" s="72" t="str">
        <f t="shared" si="1"/>
        <v/>
      </c>
      <c r="J88" s="73">
        <v>0.0</v>
      </c>
      <c r="K88" s="194"/>
      <c r="L88" s="55"/>
      <c r="M88" s="55"/>
      <c r="N88" s="55"/>
      <c r="O88" s="92"/>
      <c r="P88" s="103"/>
      <c r="Q88" s="103"/>
      <c r="R88" s="103"/>
      <c r="S88" s="79" t="str">
        <f t="shared" si="2"/>
        <v/>
      </c>
      <c r="T88" s="80" t="str">
        <f>IFERROR(__xludf.DUMMYFUNCTION("IF(
  Q88="""",
  """",
  IF(
   REGEXMATCH(SUBSTITUTE(Q88, "" ex"", """"), TEXTJOIN(""|"", TRUE, INDEX('language&amp;DataTest'!$A$33:$AB$182, , MATCH(HOME!$A$25, 'language&amp;DataTest'!$A$1:$G$1, 0)))),
   IF($M$26,
     IF(COUNTIFS(ARRAYFORMULA(SUBSTITUTE($C$2"&amp;":$C287, "" ex"", """")), SUBSTITUTE(Q88, "" ex"", """"), $J$2:$J287, ""&gt;0"")=0, ""Yes"", ""No""),
     IF(COUNTIFS(ARRAYFORMULA(SUBSTITUTE($C$2:$C287, "" ex"", """")), SUBSTITUTE(Q88, "" ex"", """"), $A$2:$A287, TRUE)=0, ""Yes"", ""No"")
   ),
   ""No""
 "&amp;")
)"),"")</f>
        <v/>
      </c>
    </row>
    <row r="89">
      <c r="A89" s="68" t="b">
        <v>1</v>
      </c>
      <c r="B89" s="69" t="s">
        <v>198</v>
      </c>
      <c r="C89" s="69" t="str">
        <f t="array" ref="C89">TEXTJOIN("", TRUE, IFERROR(INDEX('language&amp;DataTest'!A:J, MATCH(INDEX( PointerTest!C:C, MATCH(B89, PointerTest!A:A, 0), 0), 'language&amp;DataTest'!A:A, 0), MATCH(HOME!$A$25, 'language&amp;DataTest'!$A$1:$H$1, 0))),                      IFERROR(INDEX('language&amp;DataTest'!A:J, MATCH(INDEX( PointerTest!D:D, MATCH(B89, PointerTest!A:A, 0), 0), 'language&amp;DataTest'!A:A, 0), MATCH(HOME!$A$25, 'language&amp;DataTest'!$A$1:$H$1, 0))),                                          
IFERROR(INDEX('language&amp;DataTest'!A:J, MATCH(INDEX( PointerTest!E:E, MATCH(B89, PointerTest!A:A, 0), 0), 'language&amp;DataTest'!A:A, 0), MATCH(HOME!$A$25, 'language&amp;DataTest'!$A$1:$H$1, 0))))</f>
        <v>Frogadier</v>
      </c>
      <c r="D89" s="69" t="str">
        <f t="array" ref="D89">INDEX('language&amp;DataTest'!A:J, MATCH(INDEX( PointerTest!D:D, MATCH(INDEX(PointerTest!B:B, MATCH(B89, PointerTest!A:A, 0)), PointerTest!A:A, 0), 0), 'language&amp;DataTest'!A:A, 0), MATCH(HOME!$A$25, 'language&amp;DataTest'!$A$1:$H$1, 0))</f>
        <v>Charizard</v>
      </c>
      <c r="E89" s="69" t="str">
        <f t="array" ref="E89">INDEX( PointerTest!F:F, MATCH(B89, PointerTest!A:A, 0), 0)</f>
        <v>♢♢</v>
      </c>
      <c r="F89" s="70" t="str">
        <f t="array" ref="F89">LET(percentage,XLOOKUP($E89,$K$2:$K$10,L$2:L$10,"",0)/(COUNTIFS($E:$E,$E89,$D:$D,RegularFormula!$D$2)+COUNTIFS($E:$E,$E89,$D:$D,IF($D89=RegularFormula!$D$2,$K$15,$D89))),IFERROR(IF(percentage,percentage,""),""))
</f>
        <v/>
      </c>
      <c r="G89" s="71">
        <f t="array" ref="G89">LET(percentage,XLOOKUP($E89,$K$2:$K$10,M$2:M$10,"",0)/(COUNTIFS($E:$E,$E89,$D:$D,RegularFormula!$D$2)+COUNTIFS($E:$E,$E89,$D:$D,IF($D89=RegularFormula!$D$2,$K$15,$D89))),IFERROR(IF(percentage,percentage,""),""))
</f>
        <v>0.02571428571</v>
      </c>
      <c r="H89" s="71">
        <f t="array" ref="H89">LET(percentage,XLOOKUP($E89,$K$2:$K$10,N$2:N$10,"",0)/(COUNTIFS($E:$E,$E89,$D:$D,RegularFormula!$D$2)+COUNTIFS($E:$E,$E89,$D:$D,IF($D89=RegularFormula!$D$2,$K$15,$D89))),IFERROR(IF(percentage,percentage,""),""))
</f>
        <v>0.01714285714</v>
      </c>
      <c r="I89" s="72" t="str">
        <f t="shared" si="1"/>
        <v/>
      </c>
      <c r="J89" s="73">
        <v>0.0</v>
      </c>
      <c r="K89" s="194"/>
      <c r="L89" s="55"/>
      <c r="M89" s="55"/>
      <c r="N89" s="55"/>
      <c r="O89" s="195" t="s">
        <v>199</v>
      </c>
      <c r="P89" s="103"/>
      <c r="Q89" s="103"/>
      <c r="R89" s="103"/>
      <c r="S89" s="79" t="str">
        <f t="shared" si="2"/>
        <v/>
      </c>
      <c r="T89" s="80" t="str">
        <f>IFERROR(__xludf.DUMMYFUNCTION("IF(
  Q89="""",
  """",
  IF(
   REGEXMATCH(SUBSTITUTE(Q89, "" ex"", """"), TEXTJOIN(""|"", TRUE, INDEX('language&amp;DataTest'!$A$33:$AB$182, , MATCH(HOME!$A$25, 'language&amp;DataTest'!$A$1:$G$1, 0)))),
   IF($M$26,
     IF(COUNTIFS(ARRAYFORMULA(SUBSTITUTE($C$2"&amp;":$C287, "" ex"", """")), SUBSTITUTE(Q89, "" ex"", """"), $J$2:$J287, ""&gt;0"")=0, ""Yes"", ""No""),
     IF(COUNTIFS(ARRAYFORMULA(SUBSTITUTE($C$2:$C287, "" ex"", """")), SUBSTITUTE(Q89, "" ex"", """"), $A$2:$A287, TRUE)=0, ""Yes"", ""No"")
   ),
   ""No""
 "&amp;")
)"),"")</f>
        <v/>
      </c>
    </row>
    <row r="90">
      <c r="A90" s="68" t="b">
        <v>1</v>
      </c>
      <c r="B90" s="69" t="s">
        <v>200</v>
      </c>
      <c r="C90" s="69" t="str">
        <f t="array" ref="C90">TEXTJOIN("", TRUE, IFERROR(INDEX('language&amp;DataTest'!A:J, MATCH(INDEX( PointerTest!C:C, MATCH(B90, PointerTest!A:A, 0), 0), 'language&amp;DataTest'!A:A, 0), MATCH(HOME!$A$25, 'language&amp;DataTest'!$A$1:$H$1, 0))),                      IFERROR(INDEX('language&amp;DataTest'!A:J, MATCH(INDEX( PointerTest!D:D, MATCH(B90, PointerTest!A:A, 0), 0), 'language&amp;DataTest'!A:A, 0), MATCH(HOME!$A$25, 'language&amp;DataTest'!$A$1:$H$1, 0))),                                          
IFERROR(INDEX('language&amp;DataTest'!A:J, MATCH(INDEX( PointerTest!E:E, MATCH(B90, PointerTest!A:A, 0), 0), 'language&amp;DataTest'!A:A, 0), MATCH(HOME!$A$25, 'language&amp;DataTest'!$A$1:$H$1, 0))))</f>
        <v>Greninja</v>
      </c>
      <c r="D90" s="69" t="str">
        <f t="array" ref="D90">INDEX('language&amp;DataTest'!A:J, MATCH(INDEX( PointerTest!D:D, MATCH(INDEX(PointerTest!B:B, MATCH(B90, PointerTest!A:A, 0)), PointerTest!A:A, 0), 0), 'language&amp;DataTest'!A:A, 0), MATCH(HOME!$A$25, 'language&amp;DataTest'!$A$1:$H$1, 0))</f>
        <v>Charizard</v>
      </c>
      <c r="E90" s="69" t="str">
        <f t="array" ref="E90">INDEX( PointerTest!F:F, MATCH(B90, PointerTest!A:A, 0), 0)</f>
        <v>♢♢♢</v>
      </c>
      <c r="F90" s="70" t="str">
        <f t="array" ref="F90">LET(percentage,XLOOKUP($E90,$K$2:$K$10,L$2:L$10,"",0)/(COUNTIFS($E:$E,$E90,$D:$D,RegularFormula!$D$2)+COUNTIFS($E:$E,$E90,$D:$D,IF($D90=RegularFormula!$D$2,$K$15,$D90))),IFERROR(IF(percentage,percentage,""),""))
</f>
        <v/>
      </c>
      <c r="G90" s="71">
        <f t="array" ref="G90">LET(percentage,XLOOKUP($E90,$K$2:$K$10,M$2:M$10,"",0)/(COUNTIFS($E:$E,$E90,$D:$D,RegularFormula!$D$2)+COUNTIFS($E:$E,$E90,$D:$D,IF($D90=RegularFormula!$D$2,$K$15,$D90))),IFERROR(IF(percentage,percentage,""),""))
</f>
        <v>0.003571428571</v>
      </c>
      <c r="H90" s="71">
        <f t="array" ref="H90">LET(percentage,XLOOKUP($E90,$K$2:$K$10,N$2:N$10,"",0)/(COUNTIFS($E:$E,$E90,$D:$D,RegularFormula!$D$2)+COUNTIFS($E:$E,$E90,$D:$D,IF($D90=RegularFormula!$D$2,$K$15,$D90))),IFERROR(IF(percentage,percentage,""),""))
</f>
        <v>0.01428571429</v>
      </c>
      <c r="I90" s="72" t="str">
        <f t="shared" si="1"/>
        <v/>
      </c>
      <c r="J90" s="73">
        <v>0.0</v>
      </c>
      <c r="K90" s="194"/>
      <c r="L90" s="55"/>
      <c r="M90" s="55"/>
      <c r="N90" s="55"/>
      <c r="O90" s="92"/>
      <c r="P90" s="103"/>
      <c r="Q90" s="103"/>
      <c r="R90" s="103"/>
      <c r="S90" s="79" t="str">
        <f t="shared" si="2"/>
        <v/>
      </c>
      <c r="T90" s="80" t="str">
        <f>IFERROR(__xludf.DUMMYFUNCTION("IF(
  Q90="""",
  """",
  IF(
   REGEXMATCH(SUBSTITUTE(Q90, "" ex"", """"), TEXTJOIN(""|"", TRUE, INDEX('language&amp;DataTest'!$A$33:$AB$182, , MATCH(HOME!$A$25, 'language&amp;DataTest'!$A$1:$G$1, 0)))),
   IF($M$26,
     IF(COUNTIFS(ARRAYFORMULA(SUBSTITUTE($C$2"&amp;":$C287, "" ex"", """")), SUBSTITUTE(Q90, "" ex"", """"), $J$2:$J287, ""&gt;0"")=0, ""Yes"", ""No""),
     IF(COUNTIFS(ARRAYFORMULA(SUBSTITUTE($C$2:$C287, "" ex"", """")), SUBSTITUTE(Q90, "" ex"", """"), $A$2:$A287, TRUE)=0, ""Yes"", ""No"")
   ),
   ""No""
 "&amp;")
)"),"")</f>
        <v/>
      </c>
    </row>
    <row r="91">
      <c r="A91" s="68" t="b">
        <v>1</v>
      </c>
      <c r="B91" s="69" t="s">
        <v>201</v>
      </c>
      <c r="C91" s="69" t="str">
        <f t="array" ref="C91">TEXTJOIN("", TRUE, IFERROR(INDEX('language&amp;DataTest'!A:J, MATCH(INDEX( PointerTest!C:C, MATCH(B91, PointerTest!A:A, 0), 0), 'language&amp;DataTest'!A:A, 0), MATCH(HOME!$A$25, 'language&amp;DataTest'!$A$1:$H$1, 0))),                      IFERROR(INDEX('language&amp;DataTest'!A:J, MATCH(INDEX( PointerTest!D:D, MATCH(B91, PointerTest!A:A, 0), 0), 'language&amp;DataTest'!A:A, 0), MATCH(HOME!$A$25, 'language&amp;DataTest'!$A$1:$H$1, 0))),                                          
IFERROR(INDEX('language&amp;DataTest'!A:J, MATCH(INDEX( PointerTest!E:E, MATCH(B91, PointerTest!A:A, 0), 0), 'language&amp;DataTest'!A:A, 0), MATCH(HOME!$A$25, 'language&amp;DataTest'!$A$1:$H$1, 0))))</f>
        <v>Pyukumuku</v>
      </c>
      <c r="D91" s="69" t="str">
        <f t="array" ref="D91">INDEX('language&amp;DataTest'!A:J, MATCH(INDEX( PointerTest!D:D, MATCH(INDEX(PointerTest!B:B, MATCH(B91, PointerTest!A:A, 0)), PointerTest!A:A, 0), 0), 'language&amp;DataTest'!A:A, 0), MATCH(HOME!$A$25, 'language&amp;DataTest'!$A$1:$H$1, 0))</f>
        <v>Charizard</v>
      </c>
      <c r="E91" s="69" t="str">
        <f t="array" ref="E91">INDEX( PointerTest!F:F, MATCH(B91, PointerTest!A:A, 0), 0)</f>
        <v>♢</v>
      </c>
      <c r="F91" s="70">
        <f t="array" ref="F91">LET(percentage,XLOOKUP($E91,$K$2:$K$10,L$2:L$10,"",0)/(COUNTIFS($E:$E,$E91,$D:$D,RegularFormula!$D$2)+COUNTIFS($E:$E,$E91,$D:$D,IF($D91=RegularFormula!$D$2,$K$15,$D91))),IFERROR(IF(percentage,percentage,""),""))
</f>
        <v>0.02</v>
      </c>
      <c r="G91" s="71" t="str">
        <f t="array" ref="G91">LET(percentage,XLOOKUP($E91,$K$2:$K$10,M$2:M$10,"",0)/(COUNTIFS($E:$E,$E91,$D:$D,RegularFormula!$D$2)+COUNTIFS($E:$E,$E91,$D:$D,IF($D91=RegularFormula!$D$2,$K$15,$D91))),IFERROR(IF(percentage,percentage,""),""))
</f>
        <v/>
      </c>
      <c r="H91" s="71" t="str">
        <f t="array" ref="H91">LET(percentage,XLOOKUP($E91,$K$2:$K$10,N$2:N$10,"",0)/(COUNTIFS($E:$E,$E91,$D:$D,RegularFormula!$D$2)+COUNTIFS($E:$E,$E91,$D:$D,IF($D91=RegularFormula!$D$2,$K$15,$D91))),IFERROR(IF(percentage,percentage,""),""))
</f>
        <v/>
      </c>
      <c r="I91" s="72" t="str">
        <f t="shared" si="1"/>
        <v/>
      </c>
      <c r="J91" s="73">
        <v>0.0</v>
      </c>
      <c r="K91" s="194"/>
      <c r="L91" s="55"/>
      <c r="M91" s="55"/>
      <c r="N91" s="55"/>
      <c r="O91" s="95" t="s">
        <v>202</v>
      </c>
      <c r="P91" s="103"/>
      <c r="Q91" s="103"/>
      <c r="R91" s="103"/>
      <c r="S91" s="79" t="str">
        <f t="shared" si="2"/>
        <v/>
      </c>
      <c r="T91" s="80" t="str">
        <f>IFERROR(__xludf.DUMMYFUNCTION("IF(
  Q91="""",
  """",
  IF(
   REGEXMATCH(SUBSTITUTE(Q91, "" ex"", """"), TEXTJOIN(""|"", TRUE, INDEX('language&amp;DataTest'!$A$33:$AB$182, , MATCH(HOME!$A$25, 'language&amp;DataTest'!$A$1:$G$1, 0)))),
   IF($M$26,
     IF(COUNTIFS(ARRAYFORMULA(SUBSTITUTE($C$2"&amp;":$C287, "" ex"", """")), SUBSTITUTE(Q91, "" ex"", """"), $J$2:$J287, ""&gt;0"")=0, ""Yes"", ""No""),
     IF(COUNTIFS(ARRAYFORMULA(SUBSTITUTE($C$2:$C287, "" ex"", """")), SUBSTITUTE(Q91, "" ex"", """"), $A$2:$A287, TRUE)=0, ""Yes"", ""No"")
   ),
   ""No""
 "&amp;")
)"),"")</f>
        <v/>
      </c>
    </row>
    <row r="92">
      <c r="A92" s="68" t="b">
        <v>1</v>
      </c>
      <c r="B92" s="69" t="s">
        <v>203</v>
      </c>
      <c r="C92" s="69" t="str">
        <f t="array" ref="C92">TEXTJOIN("", TRUE, IFERROR(INDEX('language&amp;DataTest'!A:J, MATCH(INDEX( PointerTest!C:C, MATCH(B92, PointerTest!A:A, 0), 0), 'language&amp;DataTest'!A:A, 0), MATCH(HOME!$A$25, 'language&amp;DataTest'!$A$1:$H$1, 0))),                      IFERROR(INDEX('language&amp;DataTest'!A:J, MATCH(INDEX( PointerTest!D:D, MATCH(B92, PointerTest!A:A, 0), 0), 'language&amp;DataTest'!A:A, 0), MATCH(HOME!$A$25, 'language&amp;DataTest'!$A$1:$H$1, 0))),                                          
IFERROR(INDEX('language&amp;DataTest'!A:J, MATCH(INDEX( PointerTest!E:E, MATCH(B92, PointerTest!A:A, 0), 0), 'language&amp;DataTest'!A:A, 0), MATCH(HOME!$A$25, 'language&amp;DataTest'!$A$1:$H$1, 0))))</f>
        <v>Bruxish</v>
      </c>
      <c r="D92" s="69" t="str">
        <f t="array" ref="D92">INDEX('language&amp;DataTest'!A:J, MATCH(INDEX( PointerTest!D:D, MATCH(INDEX(PointerTest!B:B, MATCH(B92, PointerTest!A:A, 0)), PointerTest!A:A, 0), 0), 'language&amp;DataTest'!A:A, 0), MATCH(HOME!$A$25, 'language&amp;DataTest'!$A$1:$H$1, 0))</f>
        <v>All</v>
      </c>
      <c r="E92" s="69" t="str">
        <f t="array" ref="E92">INDEX( PointerTest!F:F, MATCH(B92, PointerTest!A:A, 0), 0)</f>
        <v>♢♢</v>
      </c>
      <c r="F92" s="70" t="str">
        <f t="array" ref="F92">LET(percentage,XLOOKUP($E92,$K$2:$K$10,L$2:L$10,"",0)/(COUNTIFS($E:$E,$E92,$D:$D,RegularFormula!$D$2)+COUNTIFS($E:$E,$E92,$D:$D,IF($D92=RegularFormula!$D$2,$K$15,$D92))),IFERROR(IF(percentage,percentage,""),""))
</f>
        <v/>
      </c>
      <c r="G92" s="71">
        <f t="array" ref="G92">LET(percentage,XLOOKUP($E92,$K$2:$K$10,M$2:M$10,"",0)/(COUNTIFS($E:$E,$E92,$D:$D,RegularFormula!$D$2)+COUNTIFS($E:$E,$E92,$D:$D,IF($D92=RegularFormula!$D$2,$K$15,$D92))),IFERROR(IF(percentage,percentage,""),""))
</f>
        <v>0.02571428571</v>
      </c>
      <c r="H92" s="71">
        <f t="array" ref="H92">LET(percentage,XLOOKUP($E92,$K$2:$K$10,N$2:N$10,"",0)/(COUNTIFS($E:$E,$E92,$D:$D,RegularFormula!$D$2)+COUNTIFS($E:$E,$E92,$D:$D,IF($D92=RegularFormula!$D$2,$K$15,$D92))),IFERROR(IF(percentage,percentage,""),""))
</f>
        <v>0.01714285714</v>
      </c>
      <c r="I92" s="72" t="str">
        <f t="shared" si="1"/>
        <v>*Based on Mewtwo pack</v>
      </c>
      <c r="J92" s="73">
        <v>0.0</v>
      </c>
      <c r="K92" s="194"/>
      <c r="L92" s="55"/>
      <c r="M92" s="55"/>
      <c r="N92" s="55"/>
      <c r="O92" s="85"/>
      <c r="P92" s="103"/>
      <c r="Q92" s="103"/>
      <c r="R92" s="103"/>
      <c r="S92" s="79" t="str">
        <f t="shared" si="2"/>
        <v/>
      </c>
      <c r="T92" s="80" t="str">
        <f>IFERROR(__xludf.DUMMYFUNCTION("IF(
  Q92="""",
  """",
  IF(
   REGEXMATCH(SUBSTITUTE(Q92, "" ex"", """"), TEXTJOIN(""|"", TRUE, INDEX('language&amp;DataTest'!$A$33:$AB$182, , MATCH(HOME!$A$25, 'language&amp;DataTest'!$A$1:$G$1, 0)))),
   IF($M$26,
     IF(COUNTIFS(ARRAYFORMULA(SUBSTITUTE($C$2"&amp;":$C287, "" ex"", """")), SUBSTITUTE(Q92, "" ex"", """"), $J$2:$J287, ""&gt;0"")=0, ""Yes"", ""No""),
     IF(COUNTIFS(ARRAYFORMULA(SUBSTITUTE($C$2:$C287, "" ex"", """")), SUBSTITUTE(Q92, "" ex"", """"), $A$2:$A287, TRUE)=0, ""Yes"", ""No"")
   ),
   ""No""
 "&amp;")
)"),"")</f>
        <v/>
      </c>
    </row>
    <row r="93">
      <c r="A93" s="68" t="b">
        <v>1</v>
      </c>
      <c r="B93" s="69" t="s">
        <v>204</v>
      </c>
      <c r="C93" s="69" t="str">
        <f t="array" ref="C93">TEXTJOIN("", TRUE, IFERROR(INDEX('language&amp;DataTest'!A:J, MATCH(INDEX( PointerTest!C:C, MATCH(B93, PointerTest!A:A, 0), 0), 'language&amp;DataTest'!A:A, 0), MATCH(HOME!$A$25, 'language&amp;DataTest'!$A$1:$H$1, 0))),                      IFERROR(INDEX('language&amp;DataTest'!A:J, MATCH(INDEX( PointerTest!D:D, MATCH(B93, PointerTest!A:A, 0), 0), 'language&amp;DataTest'!A:A, 0), MATCH(HOME!$A$25, 'language&amp;DataTest'!$A$1:$H$1, 0))),                                          
IFERROR(INDEX('language&amp;DataTest'!A:J, MATCH(INDEX( PointerTest!E:E, MATCH(B93, PointerTest!A:A, 0), 0), 'language&amp;DataTest'!A:A, 0), MATCH(HOME!$A$25, 'language&amp;DataTest'!$A$1:$H$1, 0))))</f>
        <v>Snom</v>
      </c>
      <c r="D93" s="69" t="str">
        <f t="array" ref="D93">INDEX('language&amp;DataTest'!A:J, MATCH(INDEX( PointerTest!D:D, MATCH(INDEX(PointerTest!B:B, MATCH(B93, PointerTest!A:A, 0)), PointerTest!A:A, 0), 0), 'language&amp;DataTest'!A:A, 0), MATCH(HOME!$A$25, 'language&amp;DataTest'!$A$1:$H$1, 0))</f>
        <v>All</v>
      </c>
      <c r="E93" s="69" t="str">
        <f t="array" ref="E93">INDEX( PointerTest!F:F, MATCH(B93, PointerTest!A:A, 0), 0)</f>
        <v>♢</v>
      </c>
      <c r="F93" s="70">
        <f t="array" ref="F93">LET(percentage,XLOOKUP($E93,$K$2:$K$10,L$2:L$10,"",0)/(COUNTIFS($E:$E,$E93,$D:$D,RegularFormula!$D$2)+COUNTIFS($E:$E,$E93,$D:$D,IF($D93=RegularFormula!$D$2,$K$15,$D93))),IFERROR(IF(percentage,percentage,""),""))
</f>
        <v>0.02</v>
      </c>
      <c r="G93" s="71" t="str">
        <f t="array" ref="G93">LET(percentage,XLOOKUP($E93,$K$2:$K$10,M$2:M$10,"",0)/(COUNTIFS($E:$E,$E93,$D:$D,RegularFormula!$D$2)+COUNTIFS($E:$E,$E93,$D:$D,IF($D93=RegularFormula!$D$2,$K$15,$D93))),IFERROR(IF(percentage,percentage,""),""))
</f>
        <v/>
      </c>
      <c r="H93" s="71" t="str">
        <f t="array" ref="H93">LET(percentage,XLOOKUP($E93,$K$2:$K$10,N$2:N$10,"",0)/(COUNTIFS($E:$E,$E93,$D:$D,RegularFormula!$D$2)+COUNTIFS($E:$E,$E93,$D:$D,IF($D93=RegularFormula!$D$2,$K$15,$D93))),IFERROR(IF(percentage,percentage,""),""))
</f>
        <v/>
      </c>
      <c r="I93" s="72" t="str">
        <f t="shared" si="1"/>
        <v>*Based on Mewtwo pack</v>
      </c>
      <c r="J93" s="73">
        <v>0.0</v>
      </c>
      <c r="K93" s="194"/>
      <c r="L93" s="55"/>
      <c r="M93" s="55"/>
      <c r="N93" s="55"/>
      <c r="O93" s="85"/>
      <c r="P93" s="103"/>
      <c r="Q93" s="103"/>
      <c r="R93" s="103"/>
      <c r="S93" s="79" t="str">
        <f t="shared" si="2"/>
        <v/>
      </c>
      <c r="T93" s="80" t="str">
        <f>IFERROR(__xludf.DUMMYFUNCTION("IF(
  Q93="""",
  """",
  IF(
   REGEXMATCH(SUBSTITUTE(Q93, "" ex"", """"), TEXTJOIN(""|"", TRUE, INDEX('language&amp;DataTest'!$A$33:$AB$182, , MATCH(HOME!$A$25, 'language&amp;DataTest'!$A$1:$G$1, 0)))),
   IF($M$26,
     IF(COUNTIFS(ARRAYFORMULA(SUBSTITUTE($C$2"&amp;":$C287, "" ex"", """")), SUBSTITUTE(Q93, "" ex"", """"), $J$2:$J287, ""&gt;0"")=0, ""Yes"", ""No""),
     IF(COUNTIFS(ARRAYFORMULA(SUBSTITUTE($C$2:$C287, "" ex"", """")), SUBSTITUTE(Q93, "" ex"", """"), $A$2:$A287, TRUE)=0, ""Yes"", ""No"")
   ),
   ""No""
 "&amp;")
)"),"")</f>
        <v/>
      </c>
    </row>
    <row r="94">
      <c r="A94" s="68" t="b">
        <v>1</v>
      </c>
      <c r="B94" s="69" t="s">
        <v>205</v>
      </c>
      <c r="C94" s="69" t="str">
        <f t="array" ref="C94">TEXTJOIN("", TRUE, IFERROR(INDEX('language&amp;DataTest'!A:J, MATCH(INDEX( PointerTest!C:C, MATCH(B94, PointerTest!A:A, 0), 0), 'language&amp;DataTest'!A:A, 0), MATCH(HOME!$A$25, 'language&amp;DataTest'!$A$1:$H$1, 0))),                      IFERROR(INDEX('language&amp;DataTest'!A:J, MATCH(INDEX( PointerTest!D:D, MATCH(B94, PointerTest!A:A, 0), 0), 'language&amp;DataTest'!A:A, 0), MATCH(HOME!$A$25, 'language&amp;DataTest'!$A$1:$H$1, 0))),                                          
IFERROR(INDEX('language&amp;DataTest'!A:J, MATCH(INDEX( PointerTest!E:E, MATCH(B94, PointerTest!A:A, 0), 0), 'language&amp;DataTest'!A:A, 0), MATCH(HOME!$A$25, 'language&amp;DataTest'!$A$1:$H$1, 0))))</f>
        <v>Frosmoth</v>
      </c>
      <c r="D94" s="69" t="str">
        <f t="array" ref="D94">INDEX('language&amp;DataTest'!A:J, MATCH(INDEX( PointerTest!D:D, MATCH(INDEX(PointerTest!B:B, MATCH(B94, PointerTest!A:A, 0)), PointerTest!A:A, 0), 0), 'language&amp;DataTest'!A:A, 0), MATCH(HOME!$A$25, 'language&amp;DataTest'!$A$1:$H$1, 0))</f>
        <v>All</v>
      </c>
      <c r="E94" s="69" t="str">
        <f t="array" ref="E94">INDEX( PointerTest!F:F, MATCH(B94, PointerTest!A:A, 0), 0)</f>
        <v>♢♢</v>
      </c>
      <c r="F94" s="70" t="str">
        <f t="array" ref="F94">LET(percentage,XLOOKUP($E94,$K$2:$K$10,L$2:L$10,"",0)/(COUNTIFS($E:$E,$E94,$D:$D,RegularFormula!$D$2)+COUNTIFS($E:$E,$E94,$D:$D,IF($D94=RegularFormula!$D$2,$K$15,$D94))),IFERROR(IF(percentage,percentage,""),""))
</f>
        <v/>
      </c>
      <c r="G94" s="71">
        <f t="array" ref="G94">LET(percentage,XLOOKUP($E94,$K$2:$K$10,M$2:M$10,"",0)/(COUNTIFS($E:$E,$E94,$D:$D,RegularFormula!$D$2)+COUNTIFS($E:$E,$E94,$D:$D,IF($D94=RegularFormula!$D$2,$K$15,$D94))),IFERROR(IF(percentage,percentage,""),""))
</f>
        <v>0.02571428571</v>
      </c>
      <c r="H94" s="71">
        <f t="array" ref="H94">LET(percentage,XLOOKUP($E94,$K$2:$K$10,N$2:N$10,"",0)/(COUNTIFS($E:$E,$E94,$D:$D,RegularFormula!$D$2)+COUNTIFS($E:$E,$E94,$D:$D,IF($D94=RegularFormula!$D$2,$K$15,$D94))),IFERROR(IF(percentage,percentage,""),""))
</f>
        <v>0.01714285714</v>
      </c>
      <c r="I94" s="72" t="str">
        <f t="shared" si="1"/>
        <v>*Based on Mewtwo pack</v>
      </c>
      <c r="J94" s="73">
        <v>0.0</v>
      </c>
      <c r="K94" s="194"/>
      <c r="L94" s="55"/>
      <c r="M94" s="55"/>
      <c r="N94" s="55"/>
      <c r="O94" s="85"/>
      <c r="P94" s="103"/>
      <c r="Q94" s="103"/>
      <c r="R94" s="103"/>
      <c r="S94" s="79" t="str">
        <f t="shared" si="2"/>
        <v/>
      </c>
      <c r="T94" s="80" t="str">
        <f>IFERROR(__xludf.DUMMYFUNCTION("IF(
  Q94="""",
  """",
  IF(
   REGEXMATCH(SUBSTITUTE(Q94, "" ex"", """"), TEXTJOIN(""|"", TRUE, INDEX('language&amp;DataTest'!$A$33:$AB$182, , MATCH(HOME!$A$25, 'language&amp;DataTest'!$A$1:$G$1, 0)))),
   IF($M$26,
     IF(COUNTIFS(ARRAYFORMULA(SUBSTITUTE($C$2"&amp;":$C287, "" ex"", """")), SUBSTITUTE(Q94, "" ex"", """"), $J$2:$J287, ""&gt;0"")=0, ""Yes"", ""No""),
     IF(COUNTIFS(ARRAYFORMULA(SUBSTITUTE($C$2:$C287, "" ex"", """")), SUBSTITUTE(Q94, "" ex"", """"), $A$2:$A287, TRUE)=0, ""Yes"", ""No"")
   ),
   ""No""
 "&amp;")
)"),"")</f>
        <v/>
      </c>
    </row>
    <row r="95">
      <c r="A95" s="68" t="b">
        <v>1</v>
      </c>
      <c r="B95" s="69" t="s">
        <v>206</v>
      </c>
      <c r="C95" s="69" t="str">
        <f t="array" ref="C95">TEXTJOIN("", TRUE, IFERROR(INDEX('language&amp;DataTest'!A:J, MATCH(INDEX( PointerTest!C:C, MATCH(B95, PointerTest!A:A, 0), 0), 'language&amp;DataTest'!A:A, 0), MATCH(HOME!$A$25, 'language&amp;DataTest'!$A$1:$H$1, 0))),                      IFERROR(INDEX('language&amp;DataTest'!A:J, MATCH(INDEX( PointerTest!D:D, MATCH(B95, PointerTest!A:A, 0), 0), 'language&amp;DataTest'!A:A, 0), MATCH(HOME!$A$25, 'language&amp;DataTest'!$A$1:$H$1, 0))),                                          
IFERROR(INDEX('language&amp;DataTest'!A:J, MATCH(INDEX( PointerTest!E:E, MATCH(B95, PointerTest!A:A, 0), 0), 'language&amp;DataTest'!A:A, 0), MATCH(HOME!$A$25, 'language&amp;DataTest'!$A$1:$H$1, 0))))</f>
        <v>Pikachu</v>
      </c>
      <c r="D95" s="69" t="str">
        <f t="array" ref="D95">INDEX('language&amp;DataTest'!A:J, MATCH(INDEX( PointerTest!D:D, MATCH(INDEX(PointerTest!B:B, MATCH(B95, PointerTest!A:A, 0)), PointerTest!A:A, 0), 0), 'language&amp;DataTest'!A:A, 0), MATCH(HOME!$A$25, 'language&amp;DataTest'!$A$1:$H$1, 0))</f>
        <v>Pikachu</v>
      </c>
      <c r="E95" s="69" t="str">
        <f t="array" ref="E95">INDEX( PointerTest!F:F, MATCH(B95, PointerTest!A:A, 0), 0)</f>
        <v>♢</v>
      </c>
      <c r="F95" s="70">
        <f t="array" ref="F95">LET(percentage,XLOOKUP($E95,$K$2:$K$10,L$2:L$10,"",0)/(COUNTIFS($E:$E,$E95,$D:$D,RegularFormula!$D$2)+COUNTIFS($E:$E,$E95,$D:$D,IF($D95=RegularFormula!$D$2,$K$15,$D95))),IFERROR(IF(percentage,percentage,""),""))
</f>
        <v>0.02</v>
      </c>
      <c r="G95" s="71" t="str">
        <f t="array" ref="G95">LET(percentage,XLOOKUP($E95,$K$2:$K$10,M$2:M$10,"",0)/(COUNTIFS($E:$E,$E95,$D:$D,RegularFormula!$D$2)+COUNTIFS($E:$E,$E95,$D:$D,IF($D95=RegularFormula!$D$2,$K$15,$D95))),IFERROR(IF(percentage,percentage,""),""))
</f>
        <v/>
      </c>
      <c r="H95" s="71" t="str">
        <f t="array" ref="H95">LET(percentage,XLOOKUP($E95,$K$2:$K$10,N$2:N$10,"",0)/(COUNTIFS($E:$E,$E95,$D:$D,RegularFormula!$D$2)+COUNTIFS($E:$E,$E95,$D:$D,IF($D95=RegularFormula!$D$2,$K$15,$D95))),IFERROR(IF(percentage,percentage,""),""))
</f>
        <v/>
      </c>
      <c r="I95" s="72" t="str">
        <f t="shared" si="1"/>
        <v/>
      </c>
      <c r="J95" s="73">
        <v>0.0</v>
      </c>
      <c r="K95" s="194"/>
      <c r="L95" s="55"/>
      <c r="M95" s="55"/>
      <c r="N95" s="55"/>
      <c r="O95" s="85"/>
      <c r="P95" s="103"/>
      <c r="Q95" s="103"/>
      <c r="R95" s="103"/>
      <c r="S95" s="79" t="str">
        <f t="shared" si="2"/>
        <v/>
      </c>
      <c r="T95" s="80" t="str">
        <f>IFERROR(__xludf.DUMMYFUNCTION("IF(
  Q95="""",
  """",
  IF(
   REGEXMATCH(SUBSTITUTE(Q95, "" ex"", """"), TEXTJOIN(""|"", TRUE, INDEX('language&amp;DataTest'!$A$33:$AB$182, , MATCH(HOME!$A$25, 'language&amp;DataTest'!$A$1:$G$1, 0)))),
   IF($M$26,
     IF(COUNTIFS(ARRAYFORMULA(SUBSTITUTE($C$2"&amp;":$C287, "" ex"", """")), SUBSTITUTE(Q95, "" ex"", """"), $J$2:$J287, ""&gt;0"")=0, ""Yes"", ""No""),
     IF(COUNTIFS(ARRAYFORMULA(SUBSTITUTE($C$2:$C287, "" ex"", """")), SUBSTITUTE(Q95, "" ex"", """"), $A$2:$A287, TRUE)=0, ""Yes"", ""No"")
   ),
   ""No""
 "&amp;")
)"),"")</f>
        <v/>
      </c>
    </row>
    <row r="96">
      <c r="A96" s="68" t="b">
        <v>1</v>
      </c>
      <c r="B96" s="69" t="s">
        <v>207</v>
      </c>
      <c r="C96" s="69" t="str">
        <f t="array" ref="C96">TEXTJOIN("", TRUE, IFERROR(INDEX('language&amp;DataTest'!A:J, MATCH(INDEX( PointerTest!C:C, MATCH(B96, PointerTest!A:A, 0), 0), 'language&amp;DataTest'!A:A, 0), MATCH(HOME!$A$25, 'language&amp;DataTest'!$A$1:$H$1, 0))),                      IFERROR(INDEX('language&amp;DataTest'!A:J, MATCH(INDEX( PointerTest!D:D, MATCH(B96, PointerTest!A:A, 0), 0), 'language&amp;DataTest'!A:A, 0), MATCH(HOME!$A$25, 'language&amp;DataTest'!$A$1:$H$1, 0))),                                          
IFERROR(INDEX('language&amp;DataTest'!A:J, MATCH(INDEX( PointerTest!E:E, MATCH(B96, PointerTest!A:A, 0), 0), 'language&amp;DataTest'!A:A, 0), MATCH(HOME!$A$25, 'language&amp;DataTest'!$A$1:$H$1, 0))))</f>
        <v>Raichu</v>
      </c>
      <c r="D96" s="69" t="str">
        <f t="array" ref="D96">INDEX('language&amp;DataTest'!A:J, MATCH(INDEX( PointerTest!D:D, MATCH(INDEX(PointerTest!B:B, MATCH(B96, PointerTest!A:A, 0)), PointerTest!A:A, 0), 0), 'language&amp;DataTest'!A:A, 0), MATCH(HOME!$A$25, 'language&amp;DataTest'!$A$1:$H$1, 0))</f>
        <v>Pikachu</v>
      </c>
      <c r="E96" s="69" t="str">
        <f t="array" ref="E96">INDEX( PointerTest!F:F, MATCH(B96, PointerTest!A:A, 0), 0)</f>
        <v>♢♢♢</v>
      </c>
      <c r="F96" s="70" t="str">
        <f t="array" ref="F96">LET(percentage,XLOOKUP($E96,$K$2:$K$10,L$2:L$10,"",0)/(COUNTIFS($E:$E,$E96,$D:$D,RegularFormula!$D$2)+COUNTIFS($E:$E,$E96,$D:$D,IF($D96=RegularFormula!$D$2,$K$15,$D96))),IFERROR(IF(percentage,percentage,""),""))
</f>
        <v/>
      </c>
      <c r="G96" s="71">
        <f t="array" ref="G96">LET(percentage,XLOOKUP($E96,$K$2:$K$10,M$2:M$10,"",0)/(COUNTIFS($E:$E,$E96,$D:$D,RegularFormula!$D$2)+COUNTIFS($E:$E,$E96,$D:$D,IF($D96=RegularFormula!$D$2,$K$15,$D96))),IFERROR(IF(percentage,percentage,""),""))
</f>
        <v>0.003571428571</v>
      </c>
      <c r="H96" s="71">
        <f t="array" ref="H96">LET(percentage,XLOOKUP($E96,$K$2:$K$10,N$2:N$10,"",0)/(COUNTIFS($E:$E,$E96,$D:$D,RegularFormula!$D$2)+COUNTIFS($E:$E,$E96,$D:$D,IF($D96=RegularFormula!$D$2,$K$15,$D96))),IFERROR(IF(percentage,percentage,""),""))
</f>
        <v>0.01428571429</v>
      </c>
      <c r="I96" s="72" t="str">
        <f t="shared" si="1"/>
        <v/>
      </c>
      <c r="J96" s="73">
        <v>0.0</v>
      </c>
      <c r="K96" s="194"/>
      <c r="L96" s="55"/>
      <c r="M96" s="55"/>
      <c r="N96" s="55"/>
      <c r="O96" s="92"/>
      <c r="P96" s="103"/>
      <c r="Q96" s="103"/>
      <c r="R96" s="103"/>
      <c r="S96" s="79" t="str">
        <f t="shared" si="2"/>
        <v/>
      </c>
      <c r="T96" s="80" t="str">
        <f>IFERROR(__xludf.DUMMYFUNCTION("IF(
  Q96="""",
  """",
  IF(
   REGEXMATCH(SUBSTITUTE(Q96, "" ex"", """"), TEXTJOIN(""|"", TRUE, INDEX('language&amp;DataTest'!$A$33:$AB$182, , MATCH(HOME!$A$25, 'language&amp;DataTest'!$A$1:$G$1, 0)))),
   IF($M$26,
     IF(COUNTIFS(ARRAYFORMULA(SUBSTITUTE($C$2"&amp;":$C287, "" ex"", """")), SUBSTITUTE(Q96, "" ex"", """"), $J$2:$J287, ""&gt;0"")=0, ""Yes"", ""No""),
     IF(COUNTIFS(ARRAYFORMULA(SUBSTITUTE($C$2:$C287, "" ex"", """")), SUBSTITUTE(Q96, "" ex"", """"), $A$2:$A287, TRUE)=0, ""Yes"", ""No"")
   ),
   ""No""
 "&amp;")
)"),"")</f>
        <v/>
      </c>
    </row>
    <row r="97">
      <c r="A97" s="68" t="b">
        <v>1</v>
      </c>
      <c r="B97" s="69" t="s">
        <v>208</v>
      </c>
      <c r="C97" s="69" t="str">
        <f t="array" ref="C97">TEXTJOIN("", TRUE, IFERROR(INDEX('language&amp;DataTest'!A:J, MATCH(INDEX( PointerTest!C:C, MATCH(B97, PointerTest!A:A, 0), 0), 'language&amp;DataTest'!A:A, 0), MATCH(HOME!$A$25, 'language&amp;DataTest'!$A$1:$H$1, 0))),                      IFERROR(INDEX('language&amp;DataTest'!A:J, MATCH(INDEX( PointerTest!D:D, MATCH(B97, PointerTest!A:A, 0), 0), 'language&amp;DataTest'!A:A, 0), MATCH(HOME!$A$25, 'language&amp;DataTest'!$A$1:$H$1, 0))),                                          
IFERROR(INDEX('language&amp;DataTest'!A:J, MATCH(INDEX( PointerTest!E:E, MATCH(B97, PointerTest!A:A, 0), 0), 'language&amp;DataTest'!A:A, 0), MATCH(HOME!$A$25, 'language&amp;DataTest'!$A$1:$H$1, 0))))</f>
        <v>Pikachu ex</v>
      </c>
      <c r="D97" s="69" t="str">
        <f t="array" ref="D97">INDEX('language&amp;DataTest'!A:J, MATCH(INDEX( PointerTest!D:D, MATCH(INDEX(PointerTest!B:B, MATCH(B97, PointerTest!A:A, 0)), PointerTest!A:A, 0), 0), 'language&amp;DataTest'!A:A, 0), MATCH(HOME!$A$25, 'language&amp;DataTest'!$A$1:$H$1, 0))</f>
        <v>Pikachu</v>
      </c>
      <c r="E97" s="69" t="str">
        <f t="array" ref="E97">INDEX( PointerTest!F:F, MATCH(B97, PointerTest!A:A, 0), 0)</f>
        <v>♢♢♢♢</v>
      </c>
      <c r="F97" s="70" t="str">
        <f t="array" ref="F97">LET(percentage,XLOOKUP($E97,$K$2:$K$10,L$2:L$10,"",0)/(COUNTIFS($E:$E,$E97,$D:$D,RegularFormula!$D$2)+COUNTIFS($E:$E,$E97,$D:$D,IF($D97=RegularFormula!$D$2,$K$15,$D97))),IFERROR(IF(percentage,percentage,""),""))
</f>
        <v/>
      </c>
      <c r="G97" s="71">
        <f t="array" ref="G97">LET(percentage,XLOOKUP($E97,$K$2:$K$10,M$2:M$10,"",0)/(COUNTIFS($E:$E,$E97,$D:$D,RegularFormula!$D$2)+COUNTIFS($E:$E,$E97,$D:$D,IF($D97=RegularFormula!$D$2,$K$15,$D97))),IFERROR(IF(percentage,percentage,""),""))
</f>
        <v>0.003332</v>
      </c>
      <c r="H97" s="71">
        <f t="array" ref="H97">LET(percentage,XLOOKUP($E97,$K$2:$K$10,N$2:N$10,"",0)/(COUNTIFS($E:$E,$E97,$D:$D,RegularFormula!$D$2)+COUNTIFS($E:$E,$E97,$D:$D,IF($D97=RegularFormula!$D$2,$K$15,$D97))),IFERROR(IF(percentage,percentage,""),""))
</f>
        <v>0.013328</v>
      </c>
      <c r="I97" s="72" t="str">
        <f t="shared" si="1"/>
        <v/>
      </c>
      <c r="J97" s="73">
        <v>0.0</v>
      </c>
      <c r="K97" s="194"/>
      <c r="L97" s="55"/>
      <c r="M97" s="55"/>
      <c r="N97" s="55"/>
      <c r="O97" s="95" t="s">
        <v>209</v>
      </c>
      <c r="P97" s="103"/>
      <c r="Q97" s="103"/>
      <c r="R97" s="103"/>
      <c r="S97" s="79" t="str">
        <f t="shared" si="2"/>
        <v/>
      </c>
      <c r="T97" s="80" t="str">
        <f>IFERROR(__xludf.DUMMYFUNCTION("IF(
  Q97="""",
  """",
  IF(
   REGEXMATCH(SUBSTITUTE(Q97, "" ex"", """"), TEXTJOIN(""|"", TRUE, INDEX('language&amp;DataTest'!$A$33:$AB$182, , MATCH(HOME!$A$25, 'language&amp;DataTest'!$A$1:$G$1, 0)))),
   IF($M$26,
     IF(COUNTIFS(ARRAYFORMULA(SUBSTITUTE($C$2"&amp;":$C287, "" ex"", """")), SUBSTITUTE(Q97, "" ex"", """"), $J$2:$J287, ""&gt;0"")=0, ""Yes"", ""No""),
     IF(COUNTIFS(ARRAYFORMULA(SUBSTITUTE($C$2:$C287, "" ex"", """")), SUBSTITUTE(Q97, "" ex"", """"), $A$2:$A287, TRUE)=0, ""Yes"", ""No"")
   ),
   ""No""
 "&amp;")
)"),"")</f>
        <v/>
      </c>
    </row>
    <row r="98">
      <c r="A98" s="68" t="b">
        <v>1</v>
      </c>
      <c r="B98" s="69" t="s">
        <v>210</v>
      </c>
      <c r="C98" s="69" t="str">
        <f t="array" ref="C98">TEXTJOIN("", TRUE, IFERROR(INDEX('language&amp;DataTest'!A:J, MATCH(INDEX( PointerTest!C:C, MATCH(B98, PointerTest!A:A, 0), 0), 'language&amp;DataTest'!A:A, 0), MATCH(HOME!$A$25, 'language&amp;DataTest'!$A$1:$H$1, 0))),                      IFERROR(INDEX('language&amp;DataTest'!A:J, MATCH(INDEX( PointerTest!D:D, MATCH(B98, PointerTest!A:A, 0), 0), 'language&amp;DataTest'!A:A, 0), MATCH(HOME!$A$25, 'language&amp;DataTest'!$A$1:$H$1, 0))),                                          
IFERROR(INDEX('language&amp;DataTest'!A:J, MATCH(INDEX( PointerTest!E:E, MATCH(B98, PointerTest!A:A, 0), 0), 'language&amp;DataTest'!A:A, 0), MATCH(HOME!$A$25, 'language&amp;DataTest'!$A$1:$H$1, 0))))</f>
        <v>Magnemite</v>
      </c>
      <c r="D98" s="69" t="str">
        <f t="array" ref="D98">INDEX('language&amp;DataTest'!A:J, MATCH(INDEX( PointerTest!D:D, MATCH(INDEX(PointerTest!B:B, MATCH(B98, PointerTest!A:A, 0)), PointerTest!A:A, 0), 0), 'language&amp;DataTest'!A:A, 0), MATCH(HOME!$A$25, 'language&amp;DataTest'!$A$1:$H$1, 0))</f>
        <v>Pikachu</v>
      </c>
      <c r="E98" s="69" t="str">
        <f t="array" ref="E98">INDEX( PointerTest!F:F, MATCH(B98, PointerTest!A:A, 0), 0)</f>
        <v>♢</v>
      </c>
      <c r="F98" s="70">
        <f t="array" ref="F98">LET(percentage,XLOOKUP($E98,$K$2:$K$10,L$2:L$10,"",0)/(COUNTIFS($E:$E,$E98,$D:$D,RegularFormula!$D$2)+COUNTIFS($E:$E,$E98,$D:$D,IF($D98=RegularFormula!$D$2,$K$15,$D98))),IFERROR(IF(percentage,percentage,""),""))
</f>
        <v>0.02</v>
      </c>
      <c r="G98" s="71" t="str">
        <f t="array" ref="G98">LET(percentage,XLOOKUP($E98,$K$2:$K$10,M$2:M$10,"",0)/(COUNTIFS($E:$E,$E98,$D:$D,RegularFormula!$D$2)+COUNTIFS($E:$E,$E98,$D:$D,IF($D98=RegularFormula!$D$2,$K$15,$D98))),IFERROR(IF(percentage,percentage,""),""))
</f>
        <v/>
      </c>
      <c r="H98" s="71" t="str">
        <f t="array" ref="H98">LET(percentage,XLOOKUP($E98,$K$2:$K$10,N$2:N$10,"",0)/(COUNTIFS($E:$E,$E98,$D:$D,RegularFormula!$D$2)+COUNTIFS($E:$E,$E98,$D:$D,IF($D98=RegularFormula!$D$2,$K$15,$D98))),IFERROR(IF(percentage,percentage,""),""))
</f>
        <v/>
      </c>
      <c r="I98" s="72" t="str">
        <f t="shared" si="1"/>
        <v/>
      </c>
      <c r="J98" s="73">
        <v>0.0</v>
      </c>
      <c r="K98" s="194"/>
      <c r="L98" s="55"/>
      <c r="M98" s="55"/>
      <c r="N98" s="55"/>
      <c r="O98" s="85"/>
      <c r="P98" s="103"/>
      <c r="Q98" s="103"/>
      <c r="R98" s="103"/>
      <c r="S98" s="79" t="str">
        <f t="shared" si="2"/>
        <v/>
      </c>
      <c r="T98" s="80" t="str">
        <f>IFERROR(__xludf.DUMMYFUNCTION("IF(
  Q98="""",
  """",
  IF(
   REGEXMATCH(SUBSTITUTE(Q98, "" ex"", """"), TEXTJOIN(""|"", TRUE, INDEX('language&amp;DataTest'!$A$33:$AB$182, , MATCH(HOME!$A$25, 'language&amp;DataTest'!$A$1:$G$1, 0)))),
   IF($M$26,
     IF(COUNTIFS(ARRAYFORMULA(SUBSTITUTE($C$2"&amp;":$C287, "" ex"", """")), SUBSTITUTE(Q98, "" ex"", """"), $J$2:$J287, ""&gt;0"")=0, ""Yes"", ""No""),
     IF(COUNTIFS(ARRAYFORMULA(SUBSTITUTE($C$2:$C287, "" ex"", """")), SUBSTITUTE(Q98, "" ex"", """"), $A$2:$A287, TRUE)=0, ""Yes"", ""No"")
   ),
   ""No""
 "&amp;")
)"),"")</f>
        <v/>
      </c>
    </row>
    <row r="99">
      <c r="A99" s="68" t="b">
        <v>1</v>
      </c>
      <c r="B99" s="69" t="s">
        <v>211</v>
      </c>
      <c r="C99" s="69" t="str">
        <f t="array" ref="C99">TEXTJOIN("", TRUE, IFERROR(INDEX('language&amp;DataTest'!A:J, MATCH(INDEX( PointerTest!C:C, MATCH(B99, PointerTest!A:A, 0), 0), 'language&amp;DataTest'!A:A, 0), MATCH(HOME!$A$25, 'language&amp;DataTest'!$A$1:$H$1, 0))),                      IFERROR(INDEX('language&amp;DataTest'!A:J, MATCH(INDEX( PointerTest!D:D, MATCH(B99, PointerTest!A:A, 0), 0), 'language&amp;DataTest'!A:A, 0), MATCH(HOME!$A$25, 'language&amp;DataTest'!$A$1:$H$1, 0))),                                          
IFERROR(INDEX('language&amp;DataTest'!A:J, MATCH(INDEX( PointerTest!E:E, MATCH(B99, PointerTest!A:A, 0), 0), 'language&amp;DataTest'!A:A, 0), MATCH(HOME!$A$25, 'language&amp;DataTest'!$A$1:$H$1, 0))))</f>
        <v>Magneton</v>
      </c>
      <c r="D99" s="69" t="str">
        <f t="array" ref="D99">INDEX('language&amp;DataTest'!A:J, MATCH(INDEX( PointerTest!D:D, MATCH(INDEX(PointerTest!B:B, MATCH(B99, PointerTest!A:A, 0)), PointerTest!A:A, 0), 0), 'language&amp;DataTest'!A:A, 0), MATCH(HOME!$A$25, 'language&amp;DataTest'!$A$1:$H$1, 0))</f>
        <v>Pikachu</v>
      </c>
      <c r="E99" s="69" t="str">
        <f t="array" ref="E99">INDEX( PointerTest!F:F, MATCH(B99, PointerTest!A:A, 0), 0)</f>
        <v>♢♢♢</v>
      </c>
      <c r="F99" s="70" t="str">
        <f t="array" ref="F99">LET(percentage,XLOOKUP($E99,$K$2:$K$10,L$2:L$10,"",0)/(COUNTIFS($E:$E,$E99,$D:$D,RegularFormula!$D$2)+COUNTIFS($E:$E,$E99,$D:$D,IF($D99=RegularFormula!$D$2,$K$15,$D99))),IFERROR(IF(percentage,percentage,""),""))
</f>
        <v/>
      </c>
      <c r="G99" s="71">
        <f t="array" ref="G99">LET(percentage,XLOOKUP($E99,$K$2:$K$10,M$2:M$10,"",0)/(COUNTIFS($E:$E,$E99,$D:$D,RegularFormula!$D$2)+COUNTIFS($E:$E,$E99,$D:$D,IF($D99=RegularFormula!$D$2,$K$15,$D99))),IFERROR(IF(percentage,percentage,""),""))
</f>
        <v>0.003571428571</v>
      </c>
      <c r="H99" s="71">
        <f t="array" ref="H99">LET(percentage,XLOOKUP($E99,$K$2:$K$10,N$2:N$10,"",0)/(COUNTIFS($E:$E,$E99,$D:$D,RegularFormula!$D$2)+COUNTIFS($E:$E,$E99,$D:$D,IF($D99=RegularFormula!$D$2,$K$15,$D99))),IFERROR(IF(percentage,percentage,""),""))
</f>
        <v>0.01428571429</v>
      </c>
      <c r="I99" s="72" t="str">
        <f t="shared" si="1"/>
        <v/>
      </c>
      <c r="J99" s="73">
        <v>0.0</v>
      </c>
      <c r="K99" s="194"/>
      <c r="L99" s="55"/>
      <c r="M99" s="55"/>
      <c r="N99" s="55"/>
      <c r="O99" s="85"/>
      <c r="P99" s="103"/>
      <c r="Q99" s="103"/>
      <c r="R99" s="103"/>
      <c r="S99" s="79" t="str">
        <f t="shared" si="2"/>
        <v/>
      </c>
      <c r="T99" s="80" t="str">
        <f>IFERROR(__xludf.DUMMYFUNCTION("IF(
  Q99="""",
  """",
  IF(
   REGEXMATCH(SUBSTITUTE(Q99, "" ex"", """"), TEXTJOIN(""|"", TRUE, INDEX('language&amp;DataTest'!$A$33:$AB$182, , MATCH(HOME!$A$25, 'language&amp;DataTest'!$A$1:$G$1, 0)))),
   IF($M$26,
     IF(COUNTIFS(ARRAYFORMULA(SUBSTITUTE($C$2"&amp;":$C287, "" ex"", """")), SUBSTITUTE(Q99, "" ex"", """"), $J$2:$J287, ""&gt;0"")=0, ""Yes"", ""No""),
     IF(COUNTIFS(ARRAYFORMULA(SUBSTITUTE($C$2:$C287, "" ex"", """")), SUBSTITUTE(Q99, "" ex"", """"), $A$2:$A287, TRUE)=0, ""Yes"", ""No"")
   ),
   ""No""
 "&amp;")
)"),"")</f>
        <v/>
      </c>
    </row>
    <row r="100">
      <c r="A100" s="68" t="b">
        <v>1</v>
      </c>
      <c r="B100" s="69" t="s">
        <v>212</v>
      </c>
      <c r="C100" s="69" t="str">
        <f t="array" ref="C100">TEXTJOIN("", TRUE, IFERROR(INDEX('language&amp;DataTest'!A:J, MATCH(INDEX( PointerTest!C:C, MATCH(B100, PointerTest!A:A, 0), 0), 'language&amp;DataTest'!A:A, 0), MATCH(HOME!$A$25, 'language&amp;DataTest'!$A$1:$H$1, 0))),                      IFERROR(INDEX('language&amp;DataTest'!A:J, MATCH(INDEX( PointerTest!D:D, MATCH(B100, PointerTest!A:A, 0), 0), 'language&amp;DataTest'!A:A, 0), MATCH(HOME!$A$25, 'language&amp;DataTest'!$A$1:$H$1, 0))),                                          
IFERROR(INDEX('language&amp;DataTest'!A:J, MATCH(INDEX( PointerTest!E:E, MATCH(B100, PointerTest!A:A, 0), 0), 'language&amp;DataTest'!A:A, 0), MATCH(HOME!$A$25, 'language&amp;DataTest'!$A$1:$H$1, 0))))</f>
        <v>Voltorb</v>
      </c>
      <c r="D100" s="69" t="str">
        <f t="array" ref="D100">INDEX('language&amp;DataTest'!A:J, MATCH(INDEX( PointerTest!D:D, MATCH(INDEX(PointerTest!B:B, MATCH(B100, PointerTest!A:A, 0)), PointerTest!A:A, 0), 0), 'language&amp;DataTest'!A:A, 0), MATCH(HOME!$A$25, 'language&amp;DataTest'!$A$1:$H$1, 0))</f>
        <v>Pikachu</v>
      </c>
      <c r="E100" s="69" t="str">
        <f t="array" ref="E100">INDEX( PointerTest!F:F, MATCH(B100, PointerTest!A:A, 0), 0)</f>
        <v>♢</v>
      </c>
      <c r="F100" s="70">
        <f t="array" ref="F100">LET(percentage,XLOOKUP($E100,$K$2:$K$10,L$2:L$10,"",0)/(COUNTIFS($E:$E,$E100,$D:$D,RegularFormula!$D$2)+COUNTIFS($E:$E,$E100,$D:$D,IF($D100=RegularFormula!$D$2,$K$15,$D100))),IFERROR(IF(percentage,percentage,""),""))
</f>
        <v>0.02</v>
      </c>
      <c r="G100" s="71" t="str">
        <f t="array" ref="G100">LET(percentage,XLOOKUP($E100,$K$2:$K$10,M$2:M$10,"",0)/(COUNTIFS($E:$E,$E100,$D:$D,RegularFormula!$D$2)+COUNTIFS($E:$E,$E100,$D:$D,IF($D100=RegularFormula!$D$2,$K$15,$D100))),IFERROR(IF(percentage,percentage,""),""))
</f>
        <v/>
      </c>
      <c r="H100" s="71" t="str">
        <f t="array" ref="H100">LET(percentage,XLOOKUP($E100,$K$2:$K$10,N$2:N$10,"",0)/(COUNTIFS($E:$E,$E100,$D:$D,RegularFormula!$D$2)+COUNTIFS($E:$E,$E100,$D:$D,IF($D100=RegularFormula!$D$2,$K$15,$D100))),IFERROR(IF(percentage,percentage,""),""))
</f>
        <v/>
      </c>
      <c r="I100" s="72" t="str">
        <f t="shared" si="1"/>
        <v/>
      </c>
      <c r="J100" s="73">
        <v>0.0</v>
      </c>
      <c r="K100" s="194"/>
      <c r="L100" s="55"/>
      <c r="M100" s="55"/>
      <c r="N100" s="55"/>
      <c r="O100" s="85"/>
      <c r="P100" s="103"/>
      <c r="Q100" s="103"/>
      <c r="R100" s="103"/>
      <c r="S100" s="79" t="str">
        <f t="shared" si="2"/>
        <v/>
      </c>
      <c r="T100" s="80" t="str">
        <f>IFERROR(__xludf.DUMMYFUNCTION("IF(
  Q100="""",
  """",
  IF(
   REGEXMATCH(SUBSTITUTE(Q100, "" ex"", """"), TEXTJOIN(""|"", TRUE, INDEX('language&amp;DataTest'!$A$33:$AB$182, , MATCH(HOME!$A$25, 'language&amp;DataTest'!$A$1:$G$1, 0)))),
   IF($M$26,
     IF(COUNTIFS(ARRAYFORMULA(SUBSTITUTE($C"&amp;"$2:$C287, "" ex"", """")), SUBSTITUTE(Q100, "" ex"", """"), $J$2:$J287, ""&gt;0"")=0, ""Yes"", ""No""),
     IF(COUNTIFS(ARRAYFORMULA(SUBSTITUTE($C$2:$C287, "" ex"", """")), SUBSTITUTE(Q100, "" ex"", """"), $A$2:$A287, TRUE)=0, ""Yes"", ""No"")
   ),
   ""No"&amp;"""
 )
)"),"")</f>
        <v/>
      </c>
    </row>
    <row r="101">
      <c r="A101" s="68" t="b">
        <v>1</v>
      </c>
      <c r="B101" s="69" t="s">
        <v>213</v>
      </c>
      <c r="C101" s="69" t="str">
        <f t="array" ref="C101">TEXTJOIN("", TRUE, IFERROR(INDEX('language&amp;DataTest'!A:J, MATCH(INDEX( PointerTest!C:C, MATCH(B101, PointerTest!A:A, 0), 0), 'language&amp;DataTest'!A:A, 0), MATCH(HOME!$A$25, 'language&amp;DataTest'!$A$1:$H$1, 0))),                      IFERROR(INDEX('language&amp;DataTest'!A:J, MATCH(INDEX( PointerTest!D:D, MATCH(B101, PointerTest!A:A, 0), 0), 'language&amp;DataTest'!A:A, 0), MATCH(HOME!$A$25, 'language&amp;DataTest'!$A$1:$H$1, 0))),                                          
IFERROR(INDEX('language&amp;DataTest'!A:J, MATCH(INDEX( PointerTest!E:E, MATCH(B101, PointerTest!A:A, 0), 0), 'language&amp;DataTest'!A:A, 0), MATCH(HOME!$A$25, 'language&amp;DataTest'!$A$1:$H$1, 0))))</f>
        <v>Electrode</v>
      </c>
      <c r="D101" s="69" t="str">
        <f t="array" ref="D101">INDEX('language&amp;DataTest'!A:J, MATCH(INDEX( PointerTest!D:D, MATCH(INDEX(PointerTest!B:B, MATCH(B101, PointerTest!A:A, 0)), PointerTest!A:A, 0), 0), 'language&amp;DataTest'!A:A, 0), MATCH(HOME!$A$25, 'language&amp;DataTest'!$A$1:$H$1, 0))</f>
        <v>Pikachu</v>
      </c>
      <c r="E101" s="69" t="str">
        <f t="array" ref="E101">INDEX( PointerTest!F:F, MATCH(B101, PointerTest!A:A, 0), 0)</f>
        <v>♢♢</v>
      </c>
      <c r="F101" s="70" t="str">
        <f t="array" ref="F101">LET(percentage,XLOOKUP($E101,$K$2:$K$10,L$2:L$10,"",0)/(COUNTIFS($E:$E,$E101,$D:$D,RegularFormula!$D$2)+COUNTIFS($E:$E,$E101,$D:$D,IF($D101=RegularFormula!$D$2,$K$15,$D101))),IFERROR(IF(percentage,percentage,""),""))
</f>
        <v/>
      </c>
      <c r="G101" s="71">
        <f t="array" ref="G101">LET(percentage,XLOOKUP($E101,$K$2:$K$10,M$2:M$10,"",0)/(COUNTIFS($E:$E,$E101,$D:$D,RegularFormula!$D$2)+COUNTIFS($E:$E,$E101,$D:$D,IF($D101=RegularFormula!$D$2,$K$15,$D101))),IFERROR(IF(percentage,percentage,""),""))
</f>
        <v>0.02571428571</v>
      </c>
      <c r="H101" s="71">
        <f t="array" ref="H101">LET(percentage,XLOOKUP($E101,$K$2:$K$10,N$2:N$10,"",0)/(COUNTIFS($E:$E,$E101,$D:$D,RegularFormula!$D$2)+COUNTIFS($E:$E,$E101,$D:$D,IF($D101=RegularFormula!$D$2,$K$15,$D101))),IFERROR(IF(percentage,percentage,""),""))
</f>
        <v>0.01714285714</v>
      </c>
      <c r="I101" s="72" t="str">
        <f t="shared" si="1"/>
        <v/>
      </c>
      <c r="J101" s="73">
        <v>0.0</v>
      </c>
      <c r="K101" s="194"/>
      <c r="L101" s="55"/>
      <c r="M101" s="55"/>
      <c r="N101" s="55"/>
      <c r="O101" s="85"/>
      <c r="P101" s="103"/>
      <c r="Q101" s="103"/>
      <c r="R101" s="103"/>
      <c r="S101" s="79" t="str">
        <f t="shared" si="2"/>
        <v/>
      </c>
      <c r="T101" s="80" t="str">
        <f>IFERROR(__xludf.DUMMYFUNCTION("IF(
  Q101="""",
  """",
  IF(
   REGEXMATCH(SUBSTITUTE(Q101, "" ex"", """"), TEXTJOIN(""|"", TRUE, INDEX('language&amp;DataTest'!$A$33:$AB$182, , MATCH(HOME!$A$25, 'language&amp;DataTest'!$A$1:$G$1, 0)))),
   IF($M$26,
     IF(COUNTIFS(ARRAYFORMULA(SUBSTITUTE($C"&amp;"$2:$C287, "" ex"", """")), SUBSTITUTE(Q101, "" ex"", """"), $J$2:$J287, ""&gt;0"")=0, ""Yes"", ""No""),
     IF(COUNTIFS(ARRAYFORMULA(SUBSTITUTE($C$2:$C287, "" ex"", """")), SUBSTITUTE(Q101, "" ex"", """"), $A$2:$A287, TRUE)=0, ""Yes"", ""No"")
   ),
   ""No"&amp;"""
 )
)"),"")</f>
        <v/>
      </c>
    </row>
    <row r="102">
      <c r="A102" s="68" t="b">
        <v>1</v>
      </c>
      <c r="B102" s="69" t="s">
        <v>214</v>
      </c>
      <c r="C102" s="69" t="str">
        <f t="array" ref="C102">TEXTJOIN("", TRUE, IFERROR(INDEX('language&amp;DataTest'!A:J, MATCH(INDEX( PointerTest!C:C, MATCH(B102, PointerTest!A:A, 0), 0), 'language&amp;DataTest'!A:A, 0), MATCH(HOME!$A$25, 'language&amp;DataTest'!$A$1:$H$1, 0))),                      IFERROR(INDEX('language&amp;DataTest'!A:J, MATCH(INDEX( PointerTest!D:D, MATCH(B102, PointerTest!A:A, 0), 0), 'language&amp;DataTest'!A:A, 0), MATCH(HOME!$A$25, 'language&amp;DataTest'!$A$1:$H$1, 0))),                                          
IFERROR(INDEX('language&amp;DataTest'!A:J, MATCH(INDEX( PointerTest!E:E, MATCH(B102, PointerTest!A:A, 0), 0), 'language&amp;DataTest'!A:A, 0), MATCH(HOME!$A$25, 'language&amp;DataTest'!$A$1:$H$1, 0))))</f>
        <v>Electabuzz</v>
      </c>
      <c r="D102" s="69" t="str">
        <f t="array" ref="D102">INDEX('language&amp;DataTest'!A:J, MATCH(INDEX( PointerTest!D:D, MATCH(INDEX(PointerTest!B:B, MATCH(B102, PointerTest!A:A, 0)), PointerTest!A:A, 0), 0), 'language&amp;DataTest'!A:A, 0), MATCH(HOME!$A$25, 'language&amp;DataTest'!$A$1:$H$1, 0))</f>
        <v>Pikachu</v>
      </c>
      <c r="E102" s="69" t="str">
        <f t="array" ref="E102">INDEX( PointerTest!F:F, MATCH(B102, PointerTest!A:A, 0), 0)</f>
        <v>♢</v>
      </c>
      <c r="F102" s="70">
        <f t="array" ref="F102">LET(percentage,XLOOKUP($E102,$K$2:$K$10,L$2:L$10,"",0)/(COUNTIFS($E:$E,$E102,$D:$D,RegularFormula!$D$2)+COUNTIFS($E:$E,$E102,$D:$D,IF($D102=RegularFormula!$D$2,$K$15,$D102))),IFERROR(IF(percentage,percentage,""),""))
</f>
        <v>0.02</v>
      </c>
      <c r="G102" s="71" t="str">
        <f t="array" ref="G102">LET(percentage,XLOOKUP($E102,$K$2:$K$10,M$2:M$10,"",0)/(COUNTIFS($E:$E,$E102,$D:$D,RegularFormula!$D$2)+COUNTIFS($E:$E,$E102,$D:$D,IF($D102=RegularFormula!$D$2,$K$15,$D102))),IFERROR(IF(percentage,percentage,""),""))
</f>
        <v/>
      </c>
      <c r="H102" s="71" t="str">
        <f t="array" ref="H102">LET(percentage,XLOOKUP($E102,$K$2:$K$10,N$2:N$10,"",0)/(COUNTIFS($E:$E,$E102,$D:$D,RegularFormula!$D$2)+COUNTIFS($E:$E,$E102,$D:$D,IF($D102=RegularFormula!$D$2,$K$15,$D102))),IFERROR(IF(percentage,percentage,""),""))
</f>
        <v/>
      </c>
      <c r="I102" s="72" t="str">
        <f t="shared" si="1"/>
        <v/>
      </c>
      <c r="J102" s="73">
        <v>0.0</v>
      </c>
      <c r="K102" s="194"/>
      <c r="L102" s="55"/>
      <c r="M102" s="55"/>
      <c r="N102" s="55"/>
      <c r="O102" s="85"/>
      <c r="P102" s="103"/>
      <c r="Q102" s="103"/>
      <c r="R102" s="103"/>
      <c r="S102" s="79" t="str">
        <f t="shared" si="2"/>
        <v/>
      </c>
      <c r="T102" s="80" t="str">
        <f>IFERROR(__xludf.DUMMYFUNCTION("IF(
  Q102="""",
  """",
  IF(
   REGEXMATCH(SUBSTITUTE(Q102, "" ex"", """"), TEXTJOIN(""|"", TRUE, INDEX('language&amp;DataTest'!$A$33:$AB$182, , MATCH(HOME!$A$25, 'language&amp;DataTest'!$A$1:$G$1, 0)))),
   IF($M$26,
     IF(COUNTIFS(ARRAYFORMULA(SUBSTITUTE($C"&amp;"$2:$C287, "" ex"", """")), SUBSTITUTE(Q102, "" ex"", """"), $J$2:$J287, ""&gt;0"")=0, ""Yes"", ""No""),
     IF(COUNTIFS(ARRAYFORMULA(SUBSTITUTE($C$2:$C287, "" ex"", """")), SUBSTITUTE(Q102, "" ex"", """"), $A$2:$A287, TRUE)=0, ""Yes"", ""No"")
   ),
   ""No"&amp;"""
 )
)"),"")</f>
        <v/>
      </c>
    </row>
    <row r="103">
      <c r="A103" s="68" t="b">
        <v>1</v>
      </c>
      <c r="B103" s="69" t="s">
        <v>215</v>
      </c>
      <c r="C103" s="69" t="str">
        <f t="array" ref="C103">TEXTJOIN("", TRUE, IFERROR(INDEX('language&amp;DataTest'!A:J, MATCH(INDEX( PointerTest!C:C, MATCH(B103, PointerTest!A:A, 0), 0), 'language&amp;DataTest'!A:A, 0), MATCH(HOME!$A$25, 'language&amp;DataTest'!$A$1:$H$1, 0))),                      IFERROR(INDEX('language&amp;DataTest'!A:J, MATCH(INDEX( PointerTest!D:D, MATCH(B103, PointerTest!A:A, 0), 0), 'language&amp;DataTest'!A:A, 0), MATCH(HOME!$A$25, 'language&amp;DataTest'!$A$1:$H$1, 0))),                                          
IFERROR(INDEX('language&amp;DataTest'!A:J, MATCH(INDEX( PointerTest!E:E, MATCH(B103, PointerTest!A:A, 0), 0), 'language&amp;DataTest'!A:A, 0), MATCH(HOME!$A$25, 'language&amp;DataTest'!$A$1:$H$1, 0))))</f>
        <v>Jolteon</v>
      </c>
      <c r="D103" s="69" t="str">
        <f t="array" ref="D103">INDEX('language&amp;DataTest'!A:J, MATCH(INDEX( PointerTest!D:D, MATCH(INDEX(PointerTest!B:B, MATCH(B103, PointerTest!A:A, 0)), PointerTest!A:A, 0), 0), 'language&amp;DataTest'!A:A, 0), MATCH(HOME!$A$25, 'language&amp;DataTest'!$A$1:$H$1, 0))</f>
        <v>Pikachu</v>
      </c>
      <c r="E103" s="69" t="str">
        <f t="array" ref="E103">INDEX( PointerTest!F:F, MATCH(B103, PointerTest!A:A, 0), 0)</f>
        <v>♢♢♢</v>
      </c>
      <c r="F103" s="70" t="str">
        <f t="array" ref="F103">LET(percentage,XLOOKUP($E103,$K$2:$K$10,L$2:L$10,"",0)/(COUNTIFS($E:$E,$E103,$D:$D,RegularFormula!$D$2)+COUNTIFS($E:$E,$E103,$D:$D,IF($D103=RegularFormula!$D$2,$K$15,$D103))),IFERROR(IF(percentage,percentage,""),""))
</f>
        <v/>
      </c>
      <c r="G103" s="71">
        <f t="array" ref="G103">LET(percentage,XLOOKUP($E103,$K$2:$K$10,M$2:M$10,"",0)/(COUNTIFS($E:$E,$E103,$D:$D,RegularFormula!$D$2)+COUNTIFS($E:$E,$E103,$D:$D,IF($D103=RegularFormula!$D$2,$K$15,$D103))),IFERROR(IF(percentage,percentage,""),""))
</f>
        <v>0.003571428571</v>
      </c>
      <c r="H103" s="71">
        <f t="array" ref="H103">LET(percentage,XLOOKUP($E103,$K$2:$K$10,N$2:N$10,"",0)/(COUNTIFS($E:$E,$E103,$D:$D,RegularFormula!$D$2)+COUNTIFS($E:$E,$E103,$D:$D,IF($D103=RegularFormula!$D$2,$K$15,$D103))),IFERROR(IF(percentage,percentage,""),""))
</f>
        <v>0.01428571429</v>
      </c>
      <c r="I103" s="72" t="str">
        <f t="shared" si="1"/>
        <v/>
      </c>
      <c r="J103" s="73">
        <v>0.0</v>
      </c>
      <c r="K103" s="194"/>
      <c r="L103" s="55"/>
      <c r="M103" s="55"/>
      <c r="N103" s="55"/>
      <c r="O103" s="85"/>
      <c r="P103" s="103"/>
      <c r="Q103" s="103"/>
      <c r="R103" s="103"/>
      <c r="S103" s="79" t="str">
        <f t="shared" si="2"/>
        <v/>
      </c>
      <c r="T103" s="80" t="str">
        <f>IFERROR(__xludf.DUMMYFUNCTION("IF(
  Q103="""",
  """",
  IF(
   REGEXMATCH(SUBSTITUTE(Q103, "" ex"", """"), TEXTJOIN(""|"", TRUE, INDEX('language&amp;DataTest'!$A$33:$AB$182, , MATCH(HOME!$A$25, 'language&amp;DataTest'!$A$1:$G$1, 0)))),
   IF($M$26,
     IF(COUNTIFS(ARRAYFORMULA(SUBSTITUTE($C"&amp;"$2:$C287, "" ex"", """")), SUBSTITUTE(Q103, "" ex"", """"), $J$2:$J287, ""&gt;0"")=0, ""Yes"", ""No""),
     IF(COUNTIFS(ARRAYFORMULA(SUBSTITUTE($C$2:$C287, "" ex"", """")), SUBSTITUTE(Q103, "" ex"", """"), $A$2:$A287, TRUE)=0, ""Yes"", ""No"")
   ),
   ""No"&amp;"""
 )
)"),"")</f>
        <v/>
      </c>
    </row>
    <row r="104">
      <c r="A104" s="68" t="b">
        <v>1</v>
      </c>
      <c r="B104" s="69" t="s">
        <v>216</v>
      </c>
      <c r="C104" s="69" t="str">
        <f t="array" ref="C104">TEXTJOIN("", TRUE, IFERROR(INDEX('language&amp;DataTest'!A:J, MATCH(INDEX( PointerTest!C:C, MATCH(B104, PointerTest!A:A, 0), 0), 'language&amp;DataTest'!A:A, 0), MATCH(HOME!$A$25, 'language&amp;DataTest'!$A$1:$H$1, 0))),                      IFERROR(INDEX('language&amp;DataTest'!A:J, MATCH(INDEX( PointerTest!D:D, MATCH(B104, PointerTest!A:A, 0), 0), 'language&amp;DataTest'!A:A, 0), MATCH(HOME!$A$25, 'language&amp;DataTest'!$A$1:$H$1, 0))),                                          
IFERROR(INDEX('language&amp;DataTest'!A:J, MATCH(INDEX( PointerTest!E:E, MATCH(B104, PointerTest!A:A, 0), 0), 'language&amp;DataTest'!A:A, 0), MATCH(HOME!$A$25, 'language&amp;DataTest'!$A$1:$H$1, 0))))</f>
        <v>Zapdos</v>
      </c>
      <c r="D104" s="69" t="str">
        <f t="array" ref="D104">INDEX('language&amp;DataTest'!A:J, MATCH(INDEX( PointerTest!D:D, MATCH(INDEX(PointerTest!B:B, MATCH(B104, PointerTest!A:A, 0)), PointerTest!A:A, 0), 0), 'language&amp;DataTest'!A:A, 0), MATCH(HOME!$A$25, 'language&amp;DataTest'!$A$1:$H$1, 0))</f>
        <v>Pikachu</v>
      </c>
      <c r="E104" s="69" t="str">
        <f t="array" ref="E104">INDEX( PointerTest!F:F, MATCH(B104, PointerTest!A:A, 0), 0)</f>
        <v>♢♢♢</v>
      </c>
      <c r="F104" s="70" t="str">
        <f t="array" ref="F104">LET(percentage,XLOOKUP($E104,$K$2:$K$10,L$2:L$10,"",0)/(COUNTIFS($E:$E,$E104,$D:$D,RegularFormula!$D$2)+COUNTIFS($E:$E,$E104,$D:$D,IF($D104=RegularFormula!$D$2,$K$15,$D104))),IFERROR(IF(percentage,percentage,""),""))
</f>
        <v/>
      </c>
      <c r="G104" s="71">
        <f t="array" ref="G104">LET(percentage,XLOOKUP($E104,$K$2:$K$10,M$2:M$10,"",0)/(COUNTIFS($E:$E,$E104,$D:$D,RegularFormula!$D$2)+COUNTIFS($E:$E,$E104,$D:$D,IF($D104=RegularFormula!$D$2,$K$15,$D104))),IFERROR(IF(percentage,percentage,""),""))
</f>
        <v>0.003571428571</v>
      </c>
      <c r="H104" s="71">
        <f t="array" ref="H104">LET(percentage,XLOOKUP($E104,$K$2:$K$10,N$2:N$10,"",0)/(COUNTIFS($E:$E,$E104,$D:$D,RegularFormula!$D$2)+COUNTIFS($E:$E,$E104,$D:$D,IF($D104=RegularFormula!$D$2,$K$15,$D104))),IFERROR(IF(percentage,percentage,""),""))
</f>
        <v>0.01428571429</v>
      </c>
      <c r="I104" s="72" t="str">
        <f t="shared" si="1"/>
        <v/>
      </c>
      <c r="J104" s="73">
        <v>0.0</v>
      </c>
      <c r="K104" s="194"/>
      <c r="L104" s="55"/>
      <c r="M104" s="55"/>
      <c r="N104" s="55"/>
      <c r="O104" s="85"/>
      <c r="P104" s="103"/>
      <c r="Q104" s="103"/>
      <c r="R104" s="103"/>
      <c r="S104" s="79" t="str">
        <f t="shared" si="2"/>
        <v/>
      </c>
      <c r="T104" s="80" t="str">
        <f>IFERROR(__xludf.DUMMYFUNCTION("IF(
  Q104="""",
  """",
  IF(
   REGEXMATCH(SUBSTITUTE(Q104, "" ex"", """"), TEXTJOIN(""|"", TRUE, INDEX('language&amp;DataTest'!$A$33:$AB$182, , MATCH(HOME!$A$25, 'language&amp;DataTest'!$A$1:$G$1, 0)))),
   IF($M$26,
     IF(COUNTIFS(ARRAYFORMULA(SUBSTITUTE($C"&amp;"$2:$C287, "" ex"", """")), SUBSTITUTE(Q104, "" ex"", """"), $J$2:$J287, ""&gt;0"")=0, ""Yes"", ""No""),
     IF(COUNTIFS(ARRAYFORMULA(SUBSTITUTE($C$2:$C287, "" ex"", """")), SUBSTITUTE(Q104, "" ex"", """"), $A$2:$A287, TRUE)=0, ""Yes"", ""No"")
   ),
   ""No"&amp;"""
 )
)"),"")</f>
        <v/>
      </c>
    </row>
    <row r="105">
      <c r="A105" s="68" t="b">
        <v>1</v>
      </c>
      <c r="B105" s="69" t="s">
        <v>217</v>
      </c>
      <c r="C105" s="69" t="str">
        <f t="array" ref="C105">TEXTJOIN("", TRUE, IFERROR(INDEX('language&amp;DataTest'!A:J, MATCH(INDEX( PointerTest!C:C, MATCH(B105, PointerTest!A:A, 0), 0), 'language&amp;DataTest'!A:A, 0), MATCH(HOME!$A$25, 'language&amp;DataTest'!$A$1:$H$1, 0))),                      IFERROR(INDEX('language&amp;DataTest'!A:J, MATCH(INDEX( PointerTest!D:D, MATCH(B105, PointerTest!A:A, 0), 0), 'language&amp;DataTest'!A:A, 0), MATCH(HOME!$A$25, 'language&amp;DataTest'!$A$1:$H$1, 0))),                                          
IFERROR(INDEX('language&amp;DataTest'!A:J, MATCH(INDEX( PointerTest!E:E, MATCH(B105, PointerTest!A:A, 0), 0), 'language&amp;DataTest'!A:A, 0), MATCH(HOME!$A$25, 'language&amp;DataTest'!$A$1:$H$1, 0))))</f>
        <v>Zapdos ex</v>
      </c>
      <c r="D105" s="69" t="str">
        <f t="array" ref="D105">INDEX('language&amp;DataTest'!A:J, MATCH(INDEX( PointerTest!D:D, MATCH(INDEX(PointerTest!B:B, MATCH(B105, PointerTest!A:A, 0)), PointerTest!A:A, 0), 0), 'language&amp;DataTest'!A:A, 0), MATCH(HOME!$A$25, 'language&amp;DataTest'!$A$1:$H$1, 0))</f>
        <v>Pikachu</v>
      </c>
      <c r="E105" s="69" t="str">
        <f t="array" ref="E105">INDEX( PointerTest!F:F, MATCH(B105, PointerTest!A:A, 0), 0)</f>
        <v>♢♢♢♢</v>
      </c>
      <c r="F105" s="70" t="str">
        <f t="array" ref="F105">LET(percentage,XLOOKUP($E105,$K$2:$K$10,L$2:L$10,"",0)/(COUNTIFS($E:$E,$E105,$D:$D,RegularFormula!$D$2)+COUNTIFS($E:$E,$E105,$D:$D,IF($D105=RegularFormula!$D$2,$K$15,$D105))),IFERROR(IF(percentage,percentage,""),""))
</f>
        <v/>
      </c>
      <c r="G105" s="71">
        <f t="array" ref="G105">LET(percentage,XLOOKUP($E105,$K$2:$K$10,M$2:M$10,"",0)/(COUNTIFS($E:$E,$E105,$D:$D,RegularFormula!$D$2)+COUNTIFS($E:$E,$E105,$D:$D,IF($D105=RegularFormula!$D$2,$K$15,$D105))),IFERROR(IF(percentage,percentage,""),""))
</f>
        <v>0.003332</v>
      </c>
      <c r="H105" s="71">
        <f t="array" ref="H105">LET(percentage,XLOOKUP($E105,$K$2:$K$10,N$2:N$10,"",0)/(COUNTIFS($E:$E,$E105,$D:$D,RegularFormula!$D$2)+COUNTIFS($E:$E,$E105,$D:$D,IF($D105=RegularFormula!$D$2,$K$15,$D105))),IFERROR(IF(percentage,percentage,""),""))
</f>
        <v>0.013328</v>
      </c>
      <c r="I105" s="72" t="str">
        <f t="shared" si="1"/>
        <v/>
      </c>
      <c r="J105" s="73">
        <v>0.0</v>
      </c>
      <c r="K105" s="194"/>
      <c r="L105" s="55"/>
      <c r="M105" s="55"/>
      <c r="N105" s="55"/>
      <c r="O105" s="85"/>
      <c r="P105" s="103"/>
      <c r="Q105" s="103"/>
      <c r="R105" s="103"/>
      <c r="S105" s="79" t="str">
        <f t="shared" si="2"/>
        <v/>
      </c>
      <c r="T105" s="80" t="str">
        <f>IFERROR(__xludf.DUMMYFUNCTION("IF(
  Q105="""",
  """",
  IF(
   REGEXMATCH(SUBSTITUTE(Q105, "" ex"", """"), TEXTJOIN(""|"", TRUE, INDEX('language&amp;DataTest'!$A$33:$AB$182, , MATCH(HOME!$A$25, 'language&amp;DataTest'!$A$1:$G$1, 0)))),
   IF($M$26,
     IF(COUNTIFS(ARRAYFORMULA(SUBSTITUTE($C"&amp;"$2:$C287, "" ex"", """")), SUBSTITUTE(Q105, "" ex"", """"), $J$2:$J287, ""&gt;0"")=0, ""Yes"", ""No""),
     IF(COUNTIFS(ARRAYFORMULA(SUBSTITUTE($C$2:$C287, "" ex"", """")), SUBSTITUTE(Q105, "" ex"", """"), $A$2:$A287, TRUE)=0, ""Yes"", ""No"")
   ),
   ""No"&amp;"""
 )
)"),"")</f>
        <v/>
      </c>
    </row>
    <row r="106">
      <c r="A106" s="68" t="b">
        <v>1</v>
      </c>
      <c r="B106" s="69" t="s">
        <v>218</v>
      </c>
      <c r="C106" s="69" t="str">
        <f t="array" ref="C106">TEXTJOIN("", TRUE, IFERROR(INDEX('language&amp;DataTest'!A:J, MATCH(INDEX( PointerTest!C:C, MATCH(B106, PointerTest!A:A, 0), 0), 'language&amp;DataTest'!A:A, 0), MATCH(HOME!$A$25, 'language&amp;DataTest'!$A$1:$H$1, 0))),                      IFERROR(INDEX('language&amp;DataTest'!A:J, MATCH(INDEX( PointerTest!D:D, MATCH(B106, PointerTest!A:A, 0), 0), 'language&amp;DataTest'!A:A, 0), MATCH(HOME!$A$25, 'language&amp;DataTest'!$A$1:$H$1, 0))),                                          
IFERROR(INDEX('language&amp;DataTest'!A:J, MATCH(INDEX( PointerTest!E:E, MATCH(B106, PointerTest!A:A, 0), 0), 'language&amp;DataTest'!A:A, 0), MATCH(HOME!$A$25, 'language&amp;DataTest'!$A$1:$H$1, 0))))</f>
        <v>Blitzle</v>
      </c>
      <c r="D106" s="69" t="str">
        <f t="array" ref="D106">INDEX('language&amp;DataTest'!A:J, MATCH(INDEX( PointerTest!D:D, MATCH(INDEX(PointerTest!B:B, MATCH(B106, PointerTest!A:A, 0)), PointerTest!A:A, 0), 0), 'language&amp;DataTest'!A:A, 0), MATCH(HOME!$A$25, 'language&amp;DataTest'!$A$1:$H$1, 0))</f>
        <v>All</v>
      </c>
      <c r="E106" s="69" t="str">
        <f t="array" ref="E106">INDEX( PointerTest!F:F, MATCH(B106, PointerTest!A:A, 0), 0)</f>
        <v>♢</v>
      </c>
      <c r="F106" s="70">
        <f t="array" ref="F106">LET(percentage,XLOOKUP($E106,$K$2:$K$10,L$2:L$10,"",0)/(COUNTIFS($E:$E,$E106,$D:$D,RegularFormula!$D$2)+COUNTIFS($E:$E,$E106,$D:$D,IF($D106=RegularFormula!$D$2,$K$15,$D106))),IFERROR(IF(percentage,percentage,""),""))
</f>
        <v>0.02</v>
      </c>
      <c r="G106" s="71" t="str">
        <f t="array" ref="G106">LET(percentage,XLOOKUP($E106,$K$2:$K$10,M$2:M$10,"",0)/(COUNTIFS($E:$E,$E106,$D:$D,RegularFormula!$D$2)+COUNTIFS($E:$E,$E106,$D:$D,IF($D106=RegularFormula!$D$2,$K$15,$D106))),IFERROR(IF(percentage,percentage,""),""))
</f>
        <v/>
      </c>
      <c r="H106" s="71" t="str">
        <f t="array" ref="H106">LET(percentage,XLOOKUP($E106,$K$2:$K$10,N$2:N$10,"",0)/(COUNTIFS($E:$E,$E106,$D:$D,RegularFormula!$D$2)+COUNTIFS($E:$E,$E106,$D:$D,IF($D106=RegularFormula!$D$2,$K$15,$D106))),IFERROR(IF(percentage,percentage,""),""))
</f>
        <v/>
      </c>
      <c r="I106" s="72" t="str">
        <f t="shared" si="1"/>
        <v>*Based on Mewtwo pack</v>
      </c>
      <c r="J106" s="73">
        <v>0.0</v>
      </c>
      <c r="K106" s="194"/>
      <c r="L106" s="55"/>
      <c r="M106" s="55"/>
      <c r="N106" s="55"/>
      <c r="O106" s="92"/>
      <c r="P106" s="103"/>
      <c r="Q106" s="103"/>
      <c r="R106" s="103"/>
      <c r="S106" s="79" t="str">
        <f t="shared" si="2"/>
        <v/>
      </c>
      <c r="T106" s="80" t="str">
        <f>IFERROR(__xludf.DUMMYFUNCTION("IF(
  Q106="""",
  """",
  IF(
   REGEXMATCH(SUBSTITUTE(Q106, "" ex"", """"), TEXTJOIN(""|"", TRUE, INDEX('language&amp;DataTest'!$A$33:$AB$182, , MATCH(HOME!$A$25, 'language&amp;DataTest'!$A$1:$G$1, 0)))),
   IF($M$26,
     IF(COUNTIFS(ARRAYFORMULA(SUBSTITUTE($C"&amp;"$2:$C287, "" ex"", """")), SUBSTITUTE(Q106, "" ex"", """"), $J$2:$J287, ""&gt;0"")=0, ""Yes"", ""No""),
     IF(COUNTIFS(ARRAYFORMULA(SUBSTITUTE($C$2:$C287, "" ex"", """")), SUBSTITUTE(Q106, "" ex"", """"), $A$2:$A287, TRUE)=0, ""Yes"", ""No"")
   ),
   ""No"&amp;"""
 )
)"),"")</f>
        <v/>
      </c>
    </row>
    <row r="107">
      <c r="A107" s="68" t="b">
        <v>1</v>
      </c>
      <c r="B107" s="69" t="s">
        <v>219</v>
      </c>
      <c r="C107" s="69" t="str">
        <f t="array" ref="C107">TEXTJOIN("", TRUE, IFERROR(INDEX('language&amp;DataTest'!A:J, MATCH(INDEX( PointerTest!C:C, MATCH(B107, PointerTest!A:A, 0), 0), 'language&amp;DataTest'!A:A, 0), MATCH(HOME!$A$25, 'language&amp;DataTest'!$A$1:$H$1, 0))),                      IFERROR(INDEX('language&amp;DataTest'!A:J, MATCH(INDEX( PointerTest!D:D, MATCH(B107, PointerTest!A:A, 0), 0), 'language&amp;DataTest'!A:A, 0), MATCH(HOME!$A$25, 'language&amp;DataTest'!$A$1:$H$1, 0))),                                          
IFERROR(INDEX('language&amp;DataTest'!A:J, MATCH(INDEX( PointerTest!E:E, MATCH(B107, PointerTest!A:A, 0), 0), 'language&amp;DataTest'!A:A, 0), MATCH(HOME!$A$25, 'language&amp;DataTest'!$A$1:$H$1, 0))))</f>
        <v>Zebstrika</v>
      </c>
      <c r="D107" s="69" t="str">
        <f t="array" ref="D107">INDEX('language&amp;DataTest'!A:J, MATCH(INDEX( PointerTest!D:D, MATCH(INDEX(PointerTest!B:B, MATCH(B107, PointerTest!A:A, 0)), PointerTest!A:A, 0), 0), 'language&amp;DataTest'!A:A, 0), MATCH(HOME!$A$25, 'language&amp;DataTest'!$A$1:$H$1, 0))</f>
        <v>All</v>
      </c>
      <c r="E107" s="69" t="str">
        <f t="array" ref="E107">INDEX( PointerTest!F:F, MATCH(B107, PointerTest!A:A, 0), 0)</f>
        <v>♢♢</v>
      </c>
      <c r="F107" s="70" t="str">
        <f t="array" ref="F107">LET(percentage,XLOOKUP($E107,$K$2:$K$10,L$2:L$10,"",0)/(COUNTIFS($E:$E,$E107,$D:$D,RegularFormula!$D$2)+COUNTIFS($E:$E,$E107,$D:$D,IF($D107=RegularFormula!$D$2,$K$15,$D107))),IFERROR(IF(percentage,percentage,""),""))
</f>
        <v/>
      </c>
      <c r="G107" s="71">
        <f t="array" ref="G107">LET(percentage,XLOOKUP($E107,$K$2:$K$10,M$2:M$10,"",0)/(COUNTIFS($E:$E,$E107,$D:$D,RegularFormula!$D$2)+COUNTIFS($E:$E,$E107,$D:$D,IF($D107=RegularFormula!$D$2,$K$15,$D107))),IFERROR(IF(percentage,percentage,""),""))
</f>
        <v>0.02571428571</v>
      </c>
      <c r="H107" s="71">
        <f t="array" ref="H107">LET(percentage,XLOOKUP($E107,$K$2:$K$10,N$2:N$10,"",0)/(COUNTIFS($E:$E,$E107,$D:$D,RegularFormula!$D$2)+COUNTIFS($E:$E,$E107,$D:$D,IF($D107=RegularFormula!$D$2,$K$15,$D107))),IFERROR(IF(percentage,percentage,""),""))
</f>
        <v>0.01714285714</v>
      </c>
      <c r="I107" s="72" t="str">
        <f t="shared" si="1"/>
        <v>*Based on Mewtwo pack</v>
      </c>
      <c r="J107" s="73">
        <v>0.0</v>
      </c>
      <c r="K107" s="194"/>
      <c r="L107" s="55"/>
      <c r="M107" s="55"/>
      <c r="N107" s="55"/>
      <c r="O107" s="95" t="s">
        <v>220</v>
      </c>
      <c r="P107" s="103"/>
      <c r="Q107" s="103"/>
      <c r="R107" s="103"/>
      <c r="S107" s="79" t="str">
        <f t="shared" si="2"/>
        <v/>
      </c>
      <c r="T107" s="80" t="str">
        <f>IFERROR(__xludf.DUMMYFUNCTION("IF(
  Q107="""",
  """",
  IF(
   REGEXMATCH(SUBSTITUTE(Q107, "" ex"", """"), TEXTJOIN(""|"", TRUE, INDEX('language&amp;DataTest'!$A$33:$AB$182, , MATCH(HOME!$A$25, 'language&amp;DataTest'!$A$1:$G$1, 0)))),
   IF($M$26,
     IF(COUNTIFS(ARRAYFORMULA(SUBSTITUTE($C"&amp;"$2:$C287, "" ex"", """")), SUBSTITUTE(Q107, "" ex"", """"), $J$2:$J287, ""&gt;0"")=0, ""Yes"", ""No""),
     IF(COUNTIFS(ARRAYFORMULA(SUBSTITUTE($C$2:$C287, "" ex"", """")), SUBSTITUTE(Q107, "" ex"", """"), $A$2:$A287, TRUE)=0, ""Yes"", ""No"")
   ),
   ""No"&amp;"""
 )
)"),"")</f>
        <v/>
      </c>
    </row>
    <row r="108">
      <c r="A108" s="68" t="b">
        <v>1</v>
      </c>
      <c r="B108" s="69" t="s">
        <v>221</v>
      </c>
      <c r="C108" s="69" t="str">
        <f t="array" ref="C108">TEXTJOIN("", TRUE, IFERROR(INDEX('language&amp;DataTest'!A:J, MATCH(INDEX( PointerTest!C:C, MATCH(B108, PointerTest!A:A, 0), 0), 'language&amp;DataTest'!A:A, 0), MATCH(HOME!$A$25, 'language&amp;DataTest'!$A$1:$H$1, 0))),                      IFERROR(INDEX('language&amp;DataTest'!A:J, MATCH(INDEX( PointerTest!D:D, MATCH(B108, PointerTest!A:A, 0), 0), 'language&amp;DataTest'!A:A, 0), MATCH(HOME!$A$25, 'language&amp;DataTest'!$A$1:$H$1, 0))),                                          
IFERROR(INDEX('language&amp;DataTest'!A:J, MATCH(INDEX( PointerTest!E:E, MATCH(B108, PointerTest!A:A, 0), 0), 'language&amp;DataTest'!A:A, 0), MATCH(HOME!$A$25, 'language&amp;DataTest'!$A$1:$H$1, 0))))</f>
        <v>Tynamo</v>
      </c>
      <c r="D108" s="69" t="str">
        <f t="array" ref="D108">INDEX('language&amp;DataTest'!A:J, MATCH(INDEX( PointerTest!D:D, MATCH(INDEX(PointerTest!B:B, MATCH(B108, PointerTest!A:A, 0)), PointerTest!A:A, 0), 0), 'language&amp;DataTest'!A:A, 0), MATCH(HOME!$A$25, 'language&amp;DataTest'!$A$1:$H$1, 0))</f>
        <v>Mewtwo</v>
      </c>
      <c r="E108" s="69" t="str">
        <f t="array" ref="E108">INDEX( PointerTest!F:F, MATCH(B108, PointerTest!A:A, 0), 0)</f>
        <v>♢</v>
      </c>
      <c r="F108" s="70">
        <f t="array" ref="F108">LET(percentage,XLOOKUP($E108,$K$2:$K$10,L$2:L$10,"",0)/(COUNTIFS($E:$E,$E108,$D:$D,RegularFormula!$D$2)+COUNTIFS($E:$E,$E108,$D:$D,IF($D108=RegularFormula!$D$2,$K$15,$D108))),IFERROR(IF(percentage,percentage,""),""))
</f>
        <v>0.02</v>
      </c>
      <c r="G108" s="71" t="str">
        <f t="array" ref="G108">LET(percentage,XLOOKUP($E108,$K$2:$K$10,M$2:M$10,"",0)/(COUNTIFS($E:$E,$E108,$D:$D,RegularFormula!$D$2)+COUNTIFS($E:$E,$E108,$D:$D,IF($D108=RegularFormula!$D$2,$K$15,$D108))),IFERROR(IF(percentage,percentage,""),""))
</f>
        <v/>
      </c>
      <c r="H108" s="71" t="str">
        <f t="array" ref="H108">LET(percentage,XLOOKUP($E108,$K$2:$K$10,N$2:N$10,"",0)/(COUNTIFS($E:$E,$E108,$D:$D,RegularFormula!$D$2)+COUNTIFS($E:$E,$E108,$D:$D,IF($D108=RegularFormula!$D$2,$K$15,$D108))),IFERROR(IF(percentage,percentage,""),""))
</f>
        <v/>
      </c>
      <c r="I108" s="72" t="str">
        <f t="shared" si="1"/>
        <v/>
      </c>
      <c r="J108" s="73">
        <v>0.0</v>
      </c>
      <c r="K108" s="194"/>
      <c r="L108" s="55"/>
      <c r="M108" s="55"/>
      <c r="N108" s="55"/>
      <c r="O108" s="85"/>
      <c r="P108" s="103"/>
      <c r="Q108" s="103"/>
      <c r="R108" s="103"/>
      <c r="S108" s="79" t="str">
        <f t="shared" si="2"/>
        <v/>
      </c>
      <c r="T108" s="80" t="str">
        <f>IFERROR(__xludf.DUMMYFUNCTION("IF(
  Q108="""",
  """",
  IF(
   REGEXMATCH(SUBSTITUTE(Q108, "" ex"", """"), TEXTJOIN(""|"", TRUE, INDEX('language&amp;DataTest'!$A$33:$AB$182, , MATCH(HOME!$A$25, 'language&amp;DataTest'!$A$1:$G$1, 0)))),
   IF($M$26,
     IF(COUNTIFS(ARRAYFORMULA(SUBSTITUTE($C"&amp;"$2:$C287, "" ex"", """")), SUBSTITUTE(Q108, "" ex"", """"), $J$2:$J287, ""&gt;0"")=0, ""Yes"", ""No""),
     IF(COUNTIFS(ARRAYFORMULA(SUBSTITUTE($C$2:$C287, "" ex"", """")), SUBSTITUTE(Q108, "" ex"", """"), $A$2:$A287, TRUE)=0, ""Yes"", ""No"")
   ),
   ""No"&amp;"""
 )
)"),"")</f>
        <v/>
      </c>
    </row>
    <row r="109">
      <c r="A109" s="68" t="b">
        <v>1</v>
      </c>
      <c r="B109" s="69" t="s">
        <v>222</v>
      </c>
      <c r="C109" s="69" t="str">
        <f t="array" ref="C109">TEXTJOIN("", TRUE, IFERROR(INDEX('language&amp;DataTest'!A:J, MATCH(INDEX( PointerTest!C:C, MATCH(B109, PointerTest!A:A, 0), 0), 'language&amp;DataTest'!A:A, 0), MATCH(HOME!$A$25, 'language&amp;DataTest'!$A$1:$H$1, 0))),                      IFERROR(INDEX('language&amp;DataTest'!A:J, MATCH(INDEX( PointerTest!D:D, MATCH(B109, PointerTest!A:A, 0), 0), 'language&amp;DataTest'!A:A, 0), MATCH(HOME!$A$25, 'language&amp;DataTest'!$A$1:$H$1, 0))),                                          
IFERROR(INDEX('language&amp;DataTest'!A:J, MATCH(INDEX( PointerTest!E:E, MATCH(B109, PointerTest!A:A, 0), 0), 'language&amp;DataTest'!A:A, 0), MATCH(HOME!$A$25, 'language&amp;DataTest'!$A$1:$H$1, 0))))</f>
        <v>Eelektrik</v>
      </c>
      <c r="D109" s="69" t="str">
        <f t="array" ref="D109">INDEX('language&amp;DataTest'!A:J, MATCH(INDEX( PointerTest!D:D, MATCH(INDEX(PointerTest!B:B, MATCH(B109, PointerTest!A:A, 0)), PointerTest!A:A, 0), 0), 'language&amp;DataTest'!A:A, 0), MATCH(HOME!$A$25, 'language&amp;DataTest'!$A$1:$H$1, 0))</f>
        <v>Mewtwo</v>
      </c>
      <c r="E109" s="69" t="str">
        <f t="array" ref="E109">INDEX( PointerTest!F:F, MATCH(B109, PointerTest!A:A, 0), 0)</f>
        <v>♢♢</v>
      </c>
      <c r="F109" s="70" t="str">
        <f t="array" ref="F109">LET(percentage,XLOOKUP($E109,$K$2:$K$10,L$2:L$10,"",0)/(COUNTIFS($E:$E,$E109,$D:$D,RegularFormula!$D$2)+COUNTIFS($E:$E,$E109,$D:$D,IF($D109=RegularFormula!$D$2,$K$15,$D109))),IFERROR(IF(percentage,percentage,""),""))
</f>
        <v/>
      </c>
      <c r="G109" s="71">
        <f t="array" ref="G109">LET(percentage,XLOOKUP($E109,$K$2:$K$10,M$2:M$10,"",0)/(COUNTIFS($E:$E,$E109,$D:$D,RegularFormula!$D$2)+COUNTIFS($E:$E,$E109,$D:$D,IF($D109=RegularFormula!$D$2,$K$15,$D109))),IFERROR(IF(percentage,percentage,""),""))
</f>
        <v>0.02571428571</v>
      </c>
      <c r="H109" s="71">
        <f t="array" ref="H109">LET(percentage,XLOOKUP($E109,$K$2:$K$10,N$2:N$10,"",0)/(COUNTIFS($E:$E,$E109,$D:$D,RegularFormula!$D$2)+COUNTIFS($E:$E,$E109,$D:$D,IF($D109=RegularFormula!$D$2,$K$15,$D109))),IFERROR(IF(percentage,percentage,""),""))
</f>
        <v>0.01714285714</v>
      </c>
      <c r="I109" s="72" t="str">
        <f t="shared" si="1"/>
        <v/>
      </c>
      <c r="J109" s="73">
        <v>0.0</v>
      </c>
      <c r="K109" s="194"/>
      <c r="L109" s="55"/>
      <c r="M109" s="55"/>
      <c r="N109" s="55"/>
      <c r="O109" s="85"/>
      <c r="P109" s="103"/>
      <c r="Q109" s="103"/>
      <c r="R109" s="103"/>
      <c r="S109" s="79" t="str">
        <f t="shared" si="2"/>
        <v/>
      </c>
      <c r="T109" s="80" t="str">
        <f>IFERROR(__xludf.DUMMYFUNCTION("IF(
  Q109="""",
  """",
  IF(
   REGEXMATCH(SUBSTITUTE(Q109, "" ex"", """"), TEXTJOIN(""|"", TRUE, INDEX('language&amp;DataTest'!$A$33:$AB$182, , MATCH(HOME!$A$25, 'language&amp;DataTest'!$A$1:$G$1, 0)))),
   IF($M$26,
     IF(COUNTIFS(ARRAYFORMULA(SUBSTITUTE($C"&amp;"$2:$C287, "" ex"", """")), SUBSTITUTE(Q109, "" ex"", """"), $J$2:$J287, ""&gt;0"")=0, ""Yes"", ""No""),
     IF(COUNTIFS(ARRAYFORMULA(SUBSTITUTE($C$2:$C287, "" ex"", """")), SUBSTITUTE(Q109, "" ex"", """"), $A$2:$A287, TRUE)=0, ""Yes"", ""No"")
   ),
   ""No"&amp;"""
 )
)"),"")</f>
        <v/>
      </c>
    </row>
    <row r="110">
      <c r="A110" s="68" t="b">
        <v>1</v>
      </c>
      <c r="B110" s="69" t="s">
        <v>223</v>
      </c>
      <c r="C110" s="69" t="str">
        <f t="array" ref="C110">TEXTJOIN("", TRUE, IFERROR(INDEX('language&amp;DataTest'!A:J, MATCH(INDEX( PointerTest!C:C, MATCH(B110, PointerTest!A:A, 0), 0), 'language&amp;DataTest'!A:A, 0), MATCH(HOME!$A$25, 'language&amp;DataTest'!$A$1:$H$1, 0))),                      IFERROR(INDEX('language&amp;DataTest'!A:J, MATCH(INDEX( PointerTest!D:D, MATCH(B110, PointerTest!A:A, 0), 0), 'language&amp;DataTest'!A:A, 0), MATCH(HOME!$A$25, 'language&amp;DataTest'!$A$1:$H$1, 0))),                                          
IFERROR(INDEX('language&amp;DataTest'!A:J, MATCH(INDEX( PointerTest!E:E, MATCH(B110, PointerTest!A:A, 0), 0), 'language&amp;DataTest'!A:A, 0), MATCH(HOME!$A$25, 'language&amp;DataTest'!$A$1:$H$1, 0))))</f>
        <v>Eelektross</v>
      </c>
      <c r="D110" s="69" t="str">
        <f t="array" ref="D110">INDEX('language&amp;DataTest'!A:J, MATCH(INDEX( PointerTest!D:D, MATCH(INDEX(PointerTest!B:B, MATCH(B110, PointerTest!A:A, 0)), PointerTest!A:A, 0), 0), 'language&amp;DataTest'!A:A, 0), MATCH(HOME!$A$25, 'language&amp;DataTest'!$A$1:$H$1, 0))</f>
        <v>Mewtwo</v>
      </c>
      <c r="E110" s="69" t="str">
        <f t="array" ref="E110">INDEX( PointerTest!F:F, MATCH(B110, PointerTest!A:A, 0), 0)</f>
        <v>♢♢♢</v>
      </c>
      <c r="F110" s="70" t="str">
        <f t="array" ref="F110">LET(percentage,XLOOKUP($E110,$K$2:$K$10,L$2:L$10,"",0)/(COUNTIFS($E:$E,$E110,$D:$D,RegularFormula!$D$2)+COUNTIFS($E:$E,$E110,$D:$D,IF($D110=RegularFormula!$D$2,$K$15,$D110))),IFERROR(IF(percentage,percentage,""),""))
</f>
        <v/>
      </c>
      <c r="G110" s="71">
        <f t="array" ref="G110">LET(percentage,XLOOKUP($E110,$K$2:$K$10,M$2:M$10,"",0)/(COUNTIFS($E:$E,$E110,$D:$D,RegularFormula!$D$2)+COUNTIFS($E:$E,$E110,$D:$D,IF($D110=RegularFormula!$D$2,$K$15,$D110))),IFERROR(IF(percentage,percentage,""),""))
</f>
        <v>0.003571428571</v>
      </c>
      <c r="H110" s="71">
        <f t="array" ref="H110">LET(percentage,XLOOKUP($E110,$K$2:$K$10,N$2:N$10,"",0)/(COUNTIFS($E:$E,$E110,$D:$D,RegularFormula!$D$2)+COUNTIFS($E:$E,$E110,$D:$D,IF($D110=RegularFormula!$D$2,$K$15,$D110))),IFERROR(IF(percentage,percentage,""),""))
</f>
        <v>0.01428571429</v>
      </c>
      <c r="I110" s="72" t="str">
        <f t="shared" si="1"/>
        <v/>
      </c>
      <c r="J110" s="73">
        <v>0.0</v>
      </c>
      <c r="K110" s="194"/>
      <c r="L110" s="55"/>
      <c r="M110" s="55"/>
      <c r="N110" s="55"/>
      <c r="O110" s="85"/>
      <c r="P110" s="103"/>
      <c r="Q110" s="103"/>
      <c r="R110" s="103"/>
      <c r="S110" s="79" t="str">
        <f t="shared" si="2"/>
        <v/>
      </c>
      <c r="T110" s="80" t="str">
        <f>IFERROR(__xludf.DUMMYFUNCTION("IF(
  Q110="""",
  """",
  IF(
   REGEXMATCH(SUBSTITUTE(Q110, "" ex"", """"), TEXTJOIN(""|"", TRUE, INDEX('language&amp;DataTest'!$A$33:$AB$182, , MATCH(HOME!$A$25, 'language&amp;DataTest'!$A$1:$G$1, 0)))),
   IF($M$26,
     IF(COUNTIFS(ARRAYFORMULA(SUBSTITUTE($C"&amp;"$2:$C287, "" ex"", """")), SUBSTITUTE(Q110, "" ex"", """"), $J$2:$J287, ""&gt;0"")=0, ""Yes"", ""No""),
     IF(COUNTIFS(ARRAYFORMULA(SUBSTITUTE($C$2:$C287, "" ex"", """")), SUBSTITUTE(Q110, "" ex"", """"), $A$2:$A287, TRUE)=0, ""Yes"", ""No"")
   ),
   ""No"&amp;"""
 )
)"),"")</f>
        <v/>
      </c>
    </row>
    <row r="111">
      <c r="A111" s="68" t="b">
        <v>1</v>
      </c>
      <c r="B111" s="69" t="s">
        <v>224</v>
      </c>
      <c r="C111" s="69" t="str">
        <f t="array" ref="C111">TEXTJOIN("", TRUE, IFERROR(INDEX('language&amp;DataTest'!A:J, MATCH(INDEX( PointerTest!C:C, MATCH(B111, PointerTest!A:A, 0), 0), 'language&amp;DataTest'!A:A, 0), MATCH(HOME!$A$25, 'language&amp;DataTest'!$A$1:$H$1, 0))),                      IFERROR(INDEX('language&amp;DataTest'!A:J, MATCH(INDEX( PointerTest!D:D, MATCH(B111, PointerTest!A:A, 0), 0), 'language&amp;DataTest'!A:A, 0), MATCH(HOME!$A$25, 'language&amp;DataTest'!$A$1:$H$1, 0))),                                          
IFERROR(INDEX('language&amp;DataTest'!A:J, MATCH(INDEX( PointerTest!E:E, MATCH(B111, PointerTest!A:A, 0), 0), 'language&amp;DataTest'!A:A, 0), MATCH(HOME!$A$25, 'language&amp;DataTest'!$A$1:$H$1, 0))))</f>
        <v>Helioptile</v>
      </c>
      <c r="D111" s="69" t="str">
        <f t="array" ref="D111">INDEX('language&amp;DataTest'!A:J, MATCH(INDEX( PointerTest!D:D, MATCH(INDEX(PointerTest!B:B, MATCH(B111, PointerTest!A:A, 0)), PointerTest!A:A, 0), 0), 'language&amp;DataTest'!A:A, 0), MATCH(HOME!$A$25, 'language&amp;DataTest'!$A$1:$H$1, 0))</f>
        <v>All</v>
      </c>
      <c r="E111" s="69" t="str">
        <f t="array" ref="E111">INDEX( PointerTest!F:F, MATCH(B111, PointerTest!A:A, 0), 0)</f>
        <v>♢</v>
      </c>
      <c r="F111" s="70">
        <f t="array" ref="F111">LET(percentage,XLOOKUP($E111,$K$2:$K$10,L$2:L$10,"",0)/(COUNTIFS($E:$E,$E111,$D:$D,RegularFormula!$D$2)+COUNTIFS($E:$E,$E111,$D:$D,IF($D111=RegularFormula!$D$2,$K$15,$D111))),IFERROR(IF(percentage,percentage,""),""))
</f>
        <v>0.02</v>
      </c>
      <c r="G111" s="71" t="str">
        <f t="array" ref="G111">LET(percentage,XLOOKUP($E111,$K$2:$K$10,M$2:M$10,"",0)/(COUNTIFS($E:$E,$E111,$D:$D,RegularFormula!$D$2)+COUNTIFS($E:$E,$E111,$D:$D,IF($D111=RegularFormula!$D$2,$K$15,$D111))),IFERROR(IF(percentage,percentage,""),""))
</f>
        <v/>
      </c>
      <c r="H111" s="71" t="str">
        <f t="array" ref="H111">LET(percentage,XLOOKUP($E111,$K$2:$K$10,N$2:N$10,"",0)/(COUNTIFS($E:$E,$E111,$D:$D,RegularFormula!$D$2)+COUNTIFS($E:$E,$E111,$D:$D,IF($D111=RegularFormula!$D$2,$K$15,$D111))),IFERROR(IF(percentage,percentage,""),""))
</f>
        <v/>
      </c>
      <c r="I111" s="72" t="str">
        <f t="shared" si="1"/>
        <v>*Based on Mewtwo pack</v>
      </c>
      <c r="J111" s="73">
        <v>0.0</v>
      </c>
      <c r="K111" s="194"/>
      <c r="L111" s="55"/>
      <c r="M111" s="55"/>
      <c r="N111" s="55"/>
      <c r="O111" s="85"/>
      <c r="P111" s="103"/>
      <c r="Q111" s="103"/>
      <c r="R111" s="103"/>
      <c r="S111" s="79" t="str">
        <f t="shared" si="2"/>
        <v/>
      </c>
      <c r="T111" s="80" t="str">
        <f>IFERROR(__xludf.DUMMYFUNCTION("IF(
  Q111="""",
  """",
  IF(
   REGEXMATCH(SUBSTITUTE(Q111, "" ex"", """"), TEXTJOIN(""|"", TRUE, INDEX('language&amp;DataTest'!$A$33:$AB$182, , MATCH(HOME!$A$25, 'language&amp;DataTest'!$A$1:$G$1, 0)))),
   IF($M$26,
     IF(COUNTIFS(ARRAYFORMULA(SUBSTITUTE($C"&amp;"$2:$C287, "" ex"", """")), SUBSTITUTE(Q111, "" ex"", """"), $J$2:$J287, ""&gt;0"")=0, ""Yes"", ""No""),
     IF(COUNTIFS(ARRAYFORMULA(SUBSTITUTE($C$2:$C287, "" ex"", """")), SUBSTITUTE(Q111, "" ex"", """"), $A$2:$A287, TRUE)=0, ""Yes"", ""No"")
   ),
   ""No"&amp;"""
 )
)"),"")</f>
        <v/>
      </c>
    </row>
    <row r="112">
      <c r="A112" s="68" t="b">
        <v>1</v>
      </c>
      <c r="B112" s="69" t="s">
        <v>225</v>
      </c>
      <c r="C112" s="69" t="str">
        <f t="array" ref="C112">TEXTJOIN("", TRUE, IFERROR(INDEX('language&amp;DataTest'!A:J, MATCH(INDEX( PointerTest!C:C, MATCH(B112, PointerTest!A:A, 0), 0), 'language&amp;DataTest'!A:A, 0), MATCH(HOME!$A$25, 'language&amp;DataTest'!$A$1:$H$1, 0))),                      IFERROR(INDEX('language&amp;DataTest'!A:J, MATCH(INDEX( PointerTest!D:D, MATCH(B112, PointerTest!A:A, 0), 0), 'language&amp;DataTest'!A:A, 0), MATCH(HOME!$A$25, 'language&amp;DataTest'!$A$1:$H$1, 0))),                                          
IFERROR(INDEX('language&amp;DataTest'!A:J, MATCH(INDEX( PointerTest!E:E, MATCH(B112, PointerTest!A:A, 0), 0), 'language&amp;DataTest'!A:A, 0), MATCH(HOME!$A$25, 'language&amp;DataTest'!$A$1:$H$1, 0))))</f>
        <v>Heliolisk</v>
      </c>
      <c r="D112" s="69" t="str">
        <f t="array" ref="D112">INDEX('language&amp;DataTest'!A:J, MATCH(INDEX( PointerTest!D:D, MATCH(INDEX(PointerTest!B:B, MATCH(B112, PointerTest!A:A, 0)), PointerTest!A:A, 0), 0), 'language&amp;DataTest'!A:A, 0), MATCH(HOME!$A$25, 'language&amp;DataTest'!$A$1:$H$1, 0))</f>
        <v>All</v>
      </c>
      <c r="E112" s="69" t="str">
        <f t="array" ref="E112">INDEX( PointerTest!F:F, MATCH(B112, PointerTest!A:A, 0), 0)</f>
        <v>♢</v>
      </c>
      <c r="F112" s="70">
        <f t="array" ref="F112">LET(percentage,XLOOKUP($E112,$K$2:$K$10,L$2:L$10,"",0)/(COUNTIFS($E:$E,$E112,$D:$D,RegularFormula!$D$2)+COUNTIFS($E:$E,$E112,$D:$D,IF($D112=RegularFormula!$D$2,$K$15,$D112))),IFERROR(IF(percentage,percentage,""),""))
</f>
        <v>0.02</v>
      </c>
      <c r="G112" s="71" t="str">
        <f t="array" ref="G112">LET(percentage,XLOOKUP($E112,$K$2:$K$10,M$2:M$10,"",0)/(COUNTIFS($E:$E,$E112,$D:$D,RegularFormula!$D$2)+COUNTIFS($E:$E,$E112,$D:$D,IF($D112=RegularFormula!$D$2,$K$15,$D112))),IFERROR(IF(percentage,percentage,""),""))
</f>
        <v/>
      </c>
      <c r="H112" s="71" t="str">
        <f t="array" ref="H112">LET(percentage,XLOOKUP($E112,$K$2:$K$10,N$2:N$10,"",0)/(COUNTIFS($E:$E,$E112,$D:$D,RegularFormula!$D$2)+COUNTIFS($E:$E,$E112,$D:$D,IF($D112=RegularFormula!$D$2,$K$15,$D112))),IFERROR(IF(percentage,percentage,""),""))
</f>
        <v/>
      </c>
      <c r="I112" s="72" t="str">
        <f t="shared" si="1"/>
        <v>*Based on Mewtwo pack</v>
      </c>
      <c r="J112" s="73">
        <v>0.0</v>
      </c>
      <c r="K112" s="194"/>
      <c r="L112" s="55"/>
      <c r="M112" s="55"/>
      <c r="N112" s="55"/>
      <c r="O112" s="85"/>
      <c r="P112" s="103"/>
      <c r="Q112" s="103"/>
      <c r="R112" s="103"/>
      <c r="S112" s="79" t="str">
        <f t="shared" si="2"/>
        <v/>
      </c>
      <c r="T112" s="80" t="str">
        <f>IFERROR(__xludf.DUMMYFUNCTION("IF(
  Q112="""",
  """",
  IF(
   REGEXMATCH(SUBSTITUTE(Q112, "" ex"", """"), TEXTJOIN(""|"", TRUE, INDEX('language&amp;DataTest'!$A$33:$AB$182, , MATCH(HOME!$A$25, 'language&amp;DataTest'!$A$1:$G$1, 0)))),
   IF($M$26,
     IF(COUNTIFS(ARRAYFORMULA(SUBSTITUTE($C"&amp;"$2:$C287, "" ex"", """")), SUBSTITUTE(Q112, "" ex"", """"), $J$2:$J287, ""&gt;0"")=0, ""Yes"", ""No""),
     IF(COUNTIFS(ARRAYFORMULA(SUBSTITUTE($C$2:$C287, "" ex"", """")), SUBSTITUTE(Q112, "" ex"", """"), $A$2:$A287, TRUE)=0, ""Yes"", ""No"")
   ),
   ""No"&amp;"""
 )
)"),"")</f>
        <v/>
      </c>
    </row>
    <row r="113">
      <c r="A113" s="68" t="b">
        <v>1</v>
      </c>
      <c r="B113" s="69" t="s">
        <v>226</v>
      </c>
      <c r="C113" s="69" t="str">
        <f t="array" ref="C113">TEXTJOIN("", TRUE, IFERROR(INDEX('language&amp;DataTest'!A:J, MATCH(INDEX( PointerTest!C:C, MATCH(B113, PointerTest!A:A, 0), 0), 'language&amp;DataTest'!A:A, 0), MATCH(HOME!$A$25, 'language&amp;DataTest'!$A$1:$H$1, 0))),                      IFERROR(INDEX('language&amp;DataTest'!A:J, MATCH(INDEX( PointerTest!D:D, MATCH(B113, PointerTest!A:A, 0), 0), 'language&amp;DataTest'!A:A, 0), MATCH(HOME!$A$25, 'language&amp;DataTest'!$A$1:$H$1, 0))),                                          
IFERROR(INDEX('language&amp;DataTest'!A:J, MATCH(INDEX( PointerTest!E:E, MATCH(B113, PointerTest!A:A, 0), 0), 'language&amp;DataTest'!A:A, 0), MATCH(HOME!$A$25, 'language&amp;DataTest'!$A$1:$H$1, 0))))</f>
        <v>Pincurchin</v>
      </c>
      <c r="D113" s="69" t="str">
        <f t="array" ref="D113">INDEX('language&amp;DataTest'!A:J, MATCH(INDEX( PointerTest!D:D, MATCH(INDEX(PointerTest!B:B, MATCH(B113, PointerTest!A:A, 0)), PointerTest!A:A, 0), 0), 'language&amp;DataTest'!A:A, 0), MATCH(HOME!$A$25, 'language&amp;DataTest'!$A$1:$H$1, 0))</f>
        <v>All</v>
      </c>
      <c r="E113" s="69" t="str">
        <f t="array" ref="E113">INDEX( PointerTest!F:F, MATCH(B113, PointerTest!A:A, 0), 0)</f>
        <v>♢♢</v>
      </c>
      <c r="F113" s="70" t="str">
        <f t="array" ref="F113">LET(percentage,XLOOKUP($E113,$K$2:$K$10,L$2:L$10,"",0)/(COUNTIFS($E:$E,$E113,$D:$D,RegularFormula!$D$2)+COUNTIFS($E:$E,$E113,$D:$D,IF($D113=RegularFormula!$D$2,$K$15,$D113))),IFERROR(IF(percentage,percentage,""),""))
</f>
        <v/>
      </c>
      <c r="G113" s="71">
        <f t="array" ref="G113">LET(percentage,XLOOKUP($E113,$K$2:$K$10,M$2:M$10,"",0)/(COUNTIFS($E:$E,$E113,$D:$D,RegularFormula!$D$2)+COUNTIFS($E:$E,$E113,$D:$D,IF($D113=RegularFormula!$D$2,$K$15,$D113))),IFERROR(IF(percentage,percentage,""),""))
</f>
        <v>0.02571428571</v>
      </c>
      <c r="H113" s="71">
        <f t="array" ref="H113">LET(percentage,XLOOKUP($E113,$K$2:$K$10,N$2:N$10,"",0)/(COUNTIFS($E:$E,$E113,$D:$D,RegularFormula!$D$2)+COUNTIFS($E:$E,$E113,$D:$D,IF($D113=RegularFormula!$D$2,$K$15,$D113))),IFERROR(IF(percentage,percentage,""),""))
</f>
        <v>0.01714285714</v>
      </c>
      <c r="I113" s="72" t="str">
        <f t="shared" si="1"/>
        <v>*Based on Mewtwo pack</v>
      </c>
      <c r="J113" s="73">
        <v>0.0</v>
      </c>
      <c r="K113" s="194"/>
      <c r="L113" s="55"/>
      <c r="M113" s="55"/>
      <c r="N113" s="55"/>
      <c r="O113" s="85"/>
      <c r="P113" s="103"/>
      <c r="Q113" s="103"/>
      <c r="R113" s="103"/>
      <c r="S113" s="79" t="str">
        <f t="shared" si="2"/>
        <v/>
      </c>
      <c r="T113" s="80" t="str">
        <f>IFERROR(__xludf.DUMMYFUNCTION("IF(
  Q113="""",
  """",
  IF(
   REGEXMATCH(SUBSTITUTE(Q113, "" ex"", """"), TEXTJOIN(""|"", TRUE, INDEX('language&amp;DataTest'!$A$33:$AB$182, , MATCH(HOME!$A$25, 'language&amp;DataTest'!$A$1:$G$1, 0)))),
   IF($M$26,
     IF(COUNTIFS(ARRAYFORMULA(SUBSTITUTE($C"&amp;"$2:$C287, "" ex"", """")), SUBSTITUTE(Q113, "" ex"", """"), $J$2:$J287, ""&gt;0"")=0, ""Yes"", ""No""),
     IF(COUNTIFS(ARRAYFORMULA(SUBSTITUTE($C$2:$C287, "" ex"", """")), SUBSTITUTE(Q113, "" ex"", """"), $A$2:$A287, TRUE)=0, ""Yes"", ""No"")
   ),
   ""No"&amp;"""
 )
)"),"")</f>
        <v/>
      </c>
    </row>
    <row r="114">
      <c r="A114" s="68" t="b">
        <v>1</v>
      </c>
      <c r="B114" s="69" t="s">
        <v>227</v>
      </c>
      <c r="C114" s="69" t="str">
        <f t="array" ref="C114">TEXTJOIN("", TRUE, IFERROR(INDEX('language&amp;DataTest'!A:J, MATCH(INDEX( PointerTest!C:C, MATCH(B114, PointerTest!A:A, 0), 0), 'language&amp;DataTest'!A:A, 0), MATCH(HOME!$A$25, 'language&amp;DataTest'!$A$1:$H$1, 0))),                      IFERROR(INDEX('language&amp;DataTest'!A:J, MATCH(INDEX( PointerTest!D:D, MATCH(B114, PointerTest!A:A, 0), 0), 'language&amp;DataTest'!A:A, 0), MATCH(HOME!$A$25, 'language&amp;DataTest'!$A$1:$H$1, 0))),                                          
IFERROR(INDEX('language&amp;DataTest'!A:J, MATCH(INDEX( PointerTest!E:E, MATCH(B114, PointerTest!A:A, 0), 0), 'language&amp;DataTest'!A:A, 0), MATCH(HOME!$A$25, 'language&amp;DataTest'!$A$1:$H$1, 0))))</f>
        <v>Clefairy</v>
      </c>
      <c r="D114" s="69" t="str">
        <f t="array" ref="D114">INDEX('language&amp;DataTest'!A:J, MATCH(INDEX( PointerTest!D:D, MATCH(INDEX(PointerTest!B:B, MATCH(B114, PointerTest!A:A, 0)), PointerTest!A:A, 0), 0), 'language&amp;DataTest'!A:A, 0), MATCH(HOME!$A$25, 'language&amp;DataTest'!$A$1:$H$1, 0))</f>
        <v>Pikachu</v>
      </c>
      <c r="E114" s="69" t="str">
        <f t="array" ref="E114">INDEX( PointerTest!F:F, MATCH(B114, PointerTest!A:A, 0), 0)</f>
        <v>♢</v>
      </c>
      <c r="F114" s="70">
        <f t="array" ref="F114">LET(percentage,XLOOKUP($E114,$K$2:$K$10,L$2:L$10,"",0)/(COUNTIFS($E:$E,$E114,$D:$D,RegularFormula!$D$2)+COUNTIFS($E:$E,$E114,$D:$D,IF($D114=RegularFormula!$D$2,$K$15,$D114))),IFERROR(IF(percentage,percentage,""),""))
</f>
        <v>0.02</v>
      </c>
      <c r="G114" s="71" t="str">
        <f t="array" ref="G114">LET(percentage,XLOOKUP($E114,$K$2:$K$10,M$2:M$10,"",0)/(COUNTIFS($E:$E,$E114,$D:$D,RegularFormula!$D$2)+COUNTIFS($E:$E,$E114,$D:$D,IF($D114=RegularFormula!$D$2,$K$15,$D114))),IFERROR(IF(percentage,percentage,""),""))
</f>
        <v/>
      </c>
      <c r="H114" s="71" t="str">
        <f t="array" ref="H114">LET(percentage,XLOOKUP($E114,$K$2:$K$10,N$2:N$10,"",0)/(COUNTIFS($E:$E,$E114,$D:$D,RegularFormula!$D$2)+COUNTIFS($E:$E,$E114,$D:$D,IF($D114=RegularFormula!$D$2,$K$15,$D114))),IFERROR(IF(percentage,percentage,""),""))
</f>
        <v/>
      </c>
      <c r="I114" s="72" t="str">
        <f t="shared" si="1"/>
        <v/>
      </c>
      <c r="J114" s="73">
        <v>0.0</v>
      </c>
      <c r="K114" s="194"/>
      <c r="L114" s="55"/>
      <c r="M114" s="55"/>
      <c r="N114" s="55"/>
      <c r="O114" s="85"/>
      <c r="P114" s="103"/>
      <c r="Q114" s="103"/>
      <c r="R114" s="103"/>
      <c r="S114" s="79" t="str">
        <f t="shared" si="2"/>
        <v/>
      </c>
      <c r="T114" s="80" t="str">
        <f>IFERROR(__xludf.DUMMYFUNCTION("IF(
  Q114="""",
  """",
  IF(
   REGEXMATCH(SUBSTITUTE(Q114, "" ex"", """"), TEXTJOIN(""|"", TRUE, INDEX('language&amp;DataTest'!$A$33:$AB$182, , MATCH(HOME!$A$25, 'language&amp;DataTest'!$A$1:$G$1, 0)))),
   IF($M$26,
     IF(COUNTIFS(ARRAYFORMULA(SUBSTITUTE($C"&amp;"$2:$C287, "" ex"", """")), SUBSTITUTE(Q114, "" ex"", """"), $J$2:$J287, ""&gt;0"")=0, ""Yes"", ""No""),
     IF(COUNTIFS(ARRAYFORMULA(SUBSTITUTE($C$2:$C287, "" ex"", """")), SUBSTITUTE(Q114, "" ex"", """"), $A$2:$A287, TRUE)=0, ""Yes"", ""No"")
   ),
   ""No"&amp;"""
 )
)"),"")</f>
        <v/>
      </c>
    </row>
    <row r="115">
      <c r="A115" s="68" t="b">
        <v>1</v>
      </c>
      <c r="B115" s="69" t="s">
        <v>228</v>
      </c>
      <c r="C115" s="69" t="str">
        <f t="array" ref="C115">TEXTJOIN("", TRUE, IFERROR(INDEX('language&amp;DataTest'!A:J, MATCH(INDEX( PointerTest!C:C, MATCH(B115, PointerTest!A:A, 0), 0), 'language&amp;DataTest'!A:A, 0), MATCH(HOME!$A$25, 'language&amp;DataTest'!$A$1:$H$1, 0))),                      IFERROR(INDEX('language&amp;DataTest'!A:J, MATCH(INDEX( PointerTest!D:D, MATCH(B115, PointerTest!A:A, 0), 0), 'language&amp;DataTest'!A:A, 0), MATCH(HOME!$A$25, 'language&amp;DataTest'!$A$1:$H$1, 0))),                                          
IFERROR(INDEX('language&amp;DataTest'!A:J, MATCH(INDEX( PointerTest!E:E, MATCH(B115, PointerTest!A:A, 0), 0), 'language&amp;DataTest'!A:A, 0), MATCH(HOME!$A$25, 'language&amp;DataTest'!$A$1:$H$1, 0))))</f>
        <v>Clefable</v>
      </c>
      <c r="D115" s="69" t="str">
        <f t="array" ref="D115">INDEX('language&amp;DataTest'!A:J, MATCH(INDEX( PointerTest!D:D, MATCH(INDEX(PointerTest!B:B, MATCH(B115, PointerTest!A:A, 0)), PointerTest!A:A, 0), 0), 'language&amp;DataTest'!A:A, 0), MATCH(HOME!$A$25, 'language&amp;DataTest'!$A$1:$H$1, 0))</f>
        <v>Pikachu</v>
      </c>
      <c r="E115" s="69" t="str">
        <f t="array" ref="E115">INDEX( PointerTest!F:F, MATCH(B115, PointerTest!A:A, 0), 0)</f>
        <v>♢♢</v>
      </c>
      <c r="F115" s="70" t="str">
        <f t="array" ref="F115">LET(percentage,XLOOKUP($E115,$K$2:$K$10,L$2:L$10,"",0)/(COUNTIFS($E:$E,$E115,$D:$D,RegularFormula!$D$2)+COUNTIFS($E:$E,$E115,$D:$D,IF($D115=RegularFormula!$D$2,$K$15,$D115))),IFERROR(IF(percentage,percentage,""),""))
</f>
        <v/>
      </c>
      <c r="G115" s="71">
        <f t="array" ref="G115">LET(percentage,XLOOKUP($E115,$K$2:$K$10,M$2:M$10,"",0)/(COUNTIFS($E:$E,$E115,$D:$D,RegularFormula!$D$2)+COUNTIFS($E:$E,$E115,$D:$D,IF($D115=RegularFormula!$D$2,$K$15,$D115))),IFERROR(IF(percentage,percentage,""),""))
</f>
        <v>0.02571428571</v>
      </c>
      <c r="H115" s="71">
        <f t="array" ref="H115">LET(percentage,XLOOKUP($E115,$K$2:$K$10,N$2:N$10,"",0)/(COUNTIFS($E:$E,$E115,$D:$D,RegularFormula!$D$2)+COUNTIFS($E:$E,$E115,$D:$D,IF($D115=RegularFormula!$D$2,$K$15,$D115))),IFERROR(IF(percentage,percentage,""),""))
</f>
        <v>0.01714285714</v>
      </c>
      <c r="I115" s="72" t="str">
        <f t="shared" si="1"/>
        <v/>
      </c>
      <c r="J115" s="73">
        <v>0.0</v>
      </c>
      <c r="K115" s="194"/>
      <c r="L115" s="55"/>
      <c r="M115" s="55"/>
      <c r="N115" s="55"/>
      <c r="O115" s="85"/>
      <c r="P115" s="103"/>
      <c r="Q115" s="103"/>
      <c r="R115" s="103"/>
      <c r="S115" s="79" t="str">
        <f t="shared" si="2"/>
        <v/>
      </c>
      <c r="T115" s="80" t="str">
        <f>IFERROR(__xludf.DUMMYFUNCTION("IF(
  Q115="""",
  """",
  IF(
   REGEXMATCH(SUBSTITUTE(Q115, "" ex"", """"), TEXTJOIN(""|"", TRUE, INDEX('language&amp;DataTest'!$A$33:$AB$182, , MATCH(HOME!$A$25, 'language&amp;DataTest'!$A$1:$G$1, 0)))),
   IF($M$26,
     IF(COUNTIFS(ARRAYFORMULA(SUBSTITUTE($C"&amp;"$2:$C287, "" ex"", """")), SUBSTITUTE(Q115, "" ex"", """"), $J$2:$J287, ""&gt;0"")=0, ""Yes"", ""No""),
     IF(COUNTIFS(ARRAYFORMULA(SUBSTITUTE($C$2:$C287, "" ex"", """")), SUBSTITUTE(Q115, "" ex"", """"), $A$2:$A287, TRUE)=0, ""Yes"", ""No"")
   ),
   ""No"&amp;"""
 )
)"),"")</f>
        <v/>
      </c>
    </row>
    <row r="116">
      <c r="A116" s="68" t="b">
        <v>1</v>
      </c>
      <c r="B116" s="69" t="s">
        <v>229</v>
      </c>
      <c r="C116" s="69" t="str">
        <f t="array" ref="C116">TEXTJOIN("", TRUE, IFERROR(INDEX('language&amp;DataTest'!A:J, MATCH(INDEX( PointerTest!C:C, MATCH(B116, PointerTest!A:A, 0), 0), 'language&amp;DataTest'!A:A, 0), MATCH(HOME!$A$25, 'language&amp;DataTest'!$A$1:$H$1, 0))),                      IFERROR(INDEX('language&amp;DataTest'!A:J, MATCH(INDEX( PointerTest!D:D, MATCH(B116, PointerTest!A:A, 0), 0), 'language&amp;DataTest'!A:A, 0), MATCH(HOME!$A$25, 'language&amp;DataTest'!$A$1:$H$1, 0))),                                          
IFERROR(INDEX('language&amp;DataTest'!A:J, MATCH(INDEX( PointerTest!E:E, MATCH(B116, PointerTest!A:A, 0), 0), 'language&amp;DataTest'!A:A, 0), MATCH(HOME!$A$25, 'language&amp;DataTest'!$A$1:$H$1, 0))))</f>
        <v>Abra</v>
      </c>
      <c r="D116" s="69" t="str">
        <f t="array" ref="D116">INDEX('language&amp;DataTest'!A:J, MATCH(INDEX( PointerTest!D:D, MATCH(INDEX(PointerTest!B:B, MATCH(B116, PointerTest!A:A, 0)), PointerTest!A:A, 0), 0), 'language&amp;DataTest'!A:A, 0), MATCH(HOME!$A$25, 'language&amp;DataTest'!$A$1:$H$1, 0))</f>
        <v>Charizard</v>
      </c>
      <c r="E116" s="69" t="str">
        <f t="array" ref="E116">INDEX( PointerTest!F:F, MATCH(B116, PointerTest!A:A, 0), 0)</f>
        <v>♢</v>
      </c>
      <c r="F116" s="70">
        <f t="array" ref="F116">LET(percentage,XLOOKUP($E116,$K$2:$K$10,L$2:L$10,"",0)/(COUNTIFS($E:$E,$E116,$D:$D,RegularFormula!$D$2)+COUNTIFS($E:$E,$E116,$D:$D,IF($D116=RegularFormula!$D$2,$K$15,$D116))),IFERROR(IF(percentage,percentage,""),""))
</f>
        <v>0.02</v>
      </c>
      <c r="G116" s="71" t="str">
        <f t="array" ref="G116">LET(percentage,XLOOKUP($E116,$K$2:$K$10,M$2:M$10,"",0)/(COUNTIFS($E:$E,$E116,$D:$D,RegularFormula!$D$2)+COUNTIFS($E:$E,$E116,$D:$D,IF($D116=RegularFormula!$D$2,$K$15,$D116))),IFERROR(IF(percentage,percentage,""),""))
</f>
        <v/>
      </c>
      <c r="H116" s="71" t="str">
        <f t="array" ref="H116">LET(percentage,XLOOKUP($E116,$K$2:$K$10,N$2:N$10,"",0)/(COUNTIFS($E:$E,$E116,$D:$D,RegularFormula!$D$2)+COUNTIFS($E:$E,$E116,$D:$D,IF($D116=RegularFormula!$D$2,$K$15,$D116))),IFERROR(IF(percentage,percentage,""),""))
</f>
        <v/>
      </c>
      <c r="I116" s="72" t="str">
        <f t="shared" si="1"/>
        <v/>
      </c>
      <c r="J116" s="73">
        <v>0.0</v>
      </c>
      <c r="K116" s="194"/>
      <c r="L116" s="55"/>
      <c r="M116" s="55"/>
      <c r="N116" s="55"/>
      <c r="O116" s="85"/>
      <c r="P116" s="103"/>
      <c r="Q116" s="103"/>
      <c r="R116" s="103"/>
      <c r="S116" s="79" t="str">
        <f t="shared" si="2"/>
        <v/>
      </c>
      <c r="T116" s="80" t="str">
        <f>IFERROR(__xludf.DUMMYFUNCTION("IF(
  Q116="""",
  """",
  IF(
   REGEXMATCH(SUBSTITUTE(Q116, "" ex"", """"), TEXTJOIN(""|"", TRUE, INDEX('language&amp;DataTest'!$A$33:$AB$182, , MATCH(HOME!$A$25, 'language&amp;DataTest'!$A$1:$G$1, 0)))),
   IF($M$26,
     IF(COUNTIFS(ARRAYFORMULA(SUBSTITUTE($C"&amp;"$2:$C287, "" ex"", """")), SUBSTITUTE(Q116, "" ex"", """"), $J$2:$J287, ""&gt;0"")=0, ""Yes"", ""No""),
     IF(COUNTIFS(ARRAYFORMULA(SUBSTITUTE($C$2:$C287, "" ex"", """")), SUBSTITUTE(Q116, "" ex"", """"), $A$2:$A287, TRUE)=0, ""Yes"", ""No"")
   ),
   ""No"&amp;"""
 )
)"),"")</f>
        <v/>
      </c>
    </row>
    <row r="117">
      <c r="A117" s="68" t="b">
        <v>1</v>
      </c>
      <c r="B117" s="69" t="s">
        <v>230</v>
      </c>
      <c r="C117" s="69" t="str">
        <f t="array" ref="C117">TEXTJOIN("", TRUE, IFERROR(INDEX('language&amp;DataTest'!A:J, MATCH(INDEX( PointerTest!C:C, MATCH(B117, PointerTest!A:A, 0), 0), 'language&amp;DataTest'!A:A, 0), MATCH(HOME!$A$25, 'language&amp;DataTest'!$A$1:$H$1, 0))),                      IFERROR(INDEX('language&amp;DataTest'!A:J, MATCH(INDEX( PointerTest!D:D, MATCH(B117, PointerTest!A:A, 0), 0), 'language&amp;DataTest'!A:A, 0), MATCH(HOME!$A$25, 'language&amp;DataTest'!$A$1:$H$1, 0))),                                          
IFERROR(INDEX('language&amp;DataTest'!A:J, MATCH(INDEX( PointerTest!E:E, MATCH(B117, PointerTest!A:A, 0), 0), 'language&amp;DataTest'!A:A, 0), MATCH(HOME!$A$25, 'language&amp;DataTest'!$A$1:$H$1, 0))))</f>
        <v>Kadabra</v>
      </c>
      <c r="D117" s="69" t="str">
        <f t="array" ref="D117">INDEX('language&amp;DataTest'!A:J, MATCH(INDEX( PointerTest!D:D, MATCH(INDEX(PointerTest!B:B, MATCH(B117, PointerTest!A:A, 0)), PointerTest!A:A, 0), 0), 'language&amp;DataTest'!A:A, 0), MATCH(HOME!$A$25, 'language&amp;DataTest'!$A$1:$H$1, 0))</f>
        <v>Charizard</v>
      </c>
      <c r="E117" s="69" t="str">
        <f t="array" ref="E117">INDEX( PointerTest!F:F, MATCH(B117, PointerTest!A:A, 0), 0)</f>
        <v>♢♢</v>
      </c>
      <c r="F117" s="70" t="str">
        <f t="array" ref="F117">LET(percentage,XLOOKUP($E117,$K$2:$K$10,L$2:L$10,"",0)/(COUNTIFS($E:$E,$E117,$D:$D,RegularFormula!$D$2)+COUNTIFS($E:$E,$E117,$D:$D,IF($D117=RegularFormula!$D$2,$K$15,$D117))),IFERROR(IF(percentage,percentage,""),""))
</f>
        <v/>
      </c>
      <c r="G117" s="71">
        <f t="array" ref="G117">LET(percentage,XLOOKUP($E117,$K$2:$K$10,M$2:M$10,"",0)/(COUNTIFS($E:$E,$E117,$D:$D,RegularFormula!$D$2)+COUNTIFS($E:$E,$E117,$D:$D,IF($D117=RegularFormula!$D$2,$K$15,$D117))),IFERROR(IF(percentage,percentage,""),""))
</f>
        <v>0.02571428571</v>
      </c>
      <c r="H117" s="71">
        <f t="array" ref="H117">LET(percentage,XLOOKUP($E117,$K$2:$K$10,N$2:N$10,"",0)/(COUNTIFS($E:$E,$E117,$D:$D,RegularFormula!$D$2)+COUNTIFS($E:$E,$E117,$D:$D,IF($D117=RegularFormula!$D$2,$K$15,$D117))),IFERROR(IF(percentage,percentage,""),""))
</f>
        <v>0.01714285714</v>
      </c>
      <c r="I117" s="72" t="str">
        <f t="shared" si="1"/>
        <v/>
      </c>
      <c r="J117" s="73">
        <v>0.0</v>
      </c>
      <c r="K117" s="194"/>
      <c r="L117" s="55"/>
      <c r="M117" s="55"/>
      <c r="N117" s="55"/>
      <c r="O117" s="85"/>
      <c r="P117" s="103"/>
      <c r="Q117" s="103"/>
      <c r="R117" s="103"/>
      <c r="S117" s="79" t="str">
        <f t="shared" si="2"/>
        <v/>
      </c>
      <c r="T117" s="80" t="str">
        <f>IFERROR(__xludf.DUMMYFUNCTION("IF(
  Q117="""",
  """",
  IF(
   REGEXMATCH(SUBSTITUTE(Q117, "" ex"", """"), TEXTJOIN(""|"", TRUE, INDEX('language&amp;DataTest'!$A$33:$AB$182, , MATCH(HOME!$A$25, 'language&amp;DataTest'!$A$1:$G$1, 0)))),
   IF($M$26,
     IF(COUNTIFS(ARRAYFORMULA(SUBSTITUTE($C"&amp;"$2:$C287, "" ex"", """")), SUBSTITUTE(Q117, "" ex"", """"), $J$2:$J287, ""&gt;0"")=0, ""Yes"", ""No""),
     IF(COUNTIFS(ARRAYFORMULA(SUBSTITUTE($C$2:$C287, "" ex"", """")), SUBSTITUTE(Q117, "" ex"", """"), $A$2:$A287, TRUE)=0, ""Yes"", ""No"")
   ),
   ""No"&amp;"""
 )
)"),"")</f>
        <v/>
      </c>
    </row>
    <row r="118">
      <c r="A118" s="68" t="b">
        <v>1</v>
      </c>
      <c r="B118" s="69" t="s">
        <v>231</v>
      </c>
      <c r="C118" s="69" t="str">
        <f t="array" ref="C118">TEXTJOIN("", TRUE, IFERROR(INDEX('language&amp;DataTest'!A:J, MATCH(INDEX( PointerTest!C:C, MATCH(B118, PointerTest!A:A, 0), 0), 'language&amp;DataTest'!A:A, 0), MATCH(HOME!$A$25, 'language&amp;DataTest'!$A$1:$H$1, 0))),                      IFERROR(INDEX('language&amp;DataTest'!A:J, MATCH(INDEX( PointerTest!D:D, MATCH(B118, PointerTest!A:A, 0), 0), 'language&amp;DataTest'!A:A, 0), MATCH(HOME!$A$25, 'language&amp;DataTest'!$A$1:$H$1, 0))),                                          
IFERROR(INDEX('language&amp;DataTest'!A:J, MATCH(INDEX( PointerTest!E:E, MATCH(B118, PointerTest!A:A, 0), 0), 'language&amp;DataTest'!A:A, 0), MATCH(HOME!$A$25, 'language&amp;DataTest'!$A$1:$H$1, 0))))</f>
        <v>Alakazam</v>
      </c>
      <c r="D118" s="69" t="str">
        <f t="array" ref="D118">INDEX('language&amp;DataTest'!A:J, MATCH(INDEX( PointerTest!D:D, MATCH(INDEX(PointerTest!B:B, MATCH(B118, PointerTest!A:A, 0)), PointerTest!A:A, 0), 0), 'language&amp;DataTest'!A:A, 0), MATCH(HOME!$A$25, 'language&amp;DataTest'!$A$1:$H$1, 0))</f>
        <v>Charizard</v>
      </c>
      <c r="E118" s="69" t="str">
        <f t="array" ref="E118">INDEX( PointerTest!F:F, MATCH(B118, PointerTest!A:A, 0), 0)</f>
        <v>♢♢♢</v>
      </c>
      <c r="F118" s="70" t="str">
        <f t="array" ref="F118">LET(percentage,XLOOKUP($E118,$K$2:$K$10,L$2:L$10,"",0)/(COUNTIFS($E:$E,$E118,$D:$D,RegularFormula!$D$2)+COUNTIFS($E:$E,$E118,$D:$D,IF($D118=RegularFormula!$D$2,$K$15,$D118))),IFERROR(IF(percentage,percentage,""),""))
</f>
        <v/>
      </c>
      <c r="G118" s="71">
        <f t="array" ref="G118">LET(percentage,XLOOKUP($E118,$K$2:$K$10,M$2:M$10,"",0)/(COUNTIFS($E:$E,$E118,$D:$D,RegularFormula!$D$2)+COUNTIFS($E:$E,$E118,$D:$D,IF($D118=RegularFormula!$D$2,$K$15,$D118))),IFERROR(IF(percentage,percentage,""),""))
</f>
        <v>0.003571428571</v>
      </c>
      <c r="H118" s="71">
        <f t="array" ref="H118">LET(percentage,XLOOKUP($E118,$K$2:$K$10,N$2:N$10,"",0)/(COUNTIFS($E:$E,$E118,$D:$D,RegularFormula!$D$2)+COUNTIFS($E:$E,$E118,$D:$D,IF($D118=RegularFormula!$D$2,$K$15,$D118))),IFERROR(IF(percentage,percentage,""),""))
</f>
        <v>0.01428571429</v>
      </c>
      <c r="I118" s="72" t="str">
        <f t="shared" si="1"/>
        <v/>
      </c>
      <c r="J118" s="73">
        <v>0.0</v>
      </c>
      <c r="K118" s="194"/>
      <c r="L118" s="55"/>
      <c r="M118" s="55"/>
      <c r="N118" s="55"/>
      <c r="O118" s="92"/>
      <c r="P118" s="103"/>
      <c r="Q118" s="103"/>
      <c r="R118" s="103"/>
      <c r="S118" s="79" t="str">
        <f t="shared" si="2"/>
        <v/>
      </c>
      <c r="T118" s="80" t="str">
        <f>IFERROR(__xludf.DUMMYFUNCTION("IF(
  Q118="""",
  """",
  IF(
   REGEXMATCH(SUBSTITUTE(Q118, "" ex"", """"), TEXTJOIN(""|"", TRUE, INDEX('language&amp;DataTest'!$A$33:$AB$182, , MATCH(HOME!$A$25, 'language&amp;DataTest'!$A$1:$G$1, 0)))),
   IF($M$26,
     IF(COUNTIFS(ARRAYFORMULA(SUBSTITUTE($C"&amp;"$2:$C287, "" ex"", """")), SUBSTITUTE(Q118, "" ex"", """"), $J$2:$J287, ""&gt;0"")=0, ""Yes"", ""No""),
     IF(COUNTIFS(ARRAYFORMULA(SUBSTITUTE($C$2:$C287, "" ex"", """")), SUBSTITUTE(Q118, "" ex"", """"), $A$2:$A287, TRUE)=0, ""Yes"", ""No"")
   ),
   ""No"&amp;"""
 )
)"),"")</f>
        <v/>
      </c>
    </row>
    <row r="119">
      <c r="A119" s="68" t="b">
        <v>1</v>
      </c>
      <c r="B119" s="69" t="s">
        <v>232</v>
      </c>
      <c r="C119" s="69" t="str">
        <f t="array" ref="C119">TEXTJOIN("", TRUE, IFERROR(INDEX('language&amp;DataTest'!A:J, MATCH(INDEX( PointerTest!C:C, MATCH(B119, PointerTest!A:A, 0), 0), 'language&amp;DataTest'!A:A, 0), MATCH(HOME!$A$25, 'language&amp;DataTest'!$A$1:$H$1, 0))),                      IFERROR(INDEX('language&amp;DataTest'!A:J, MATCH(INDEX( PointerTest!D:D, MATCH(B119, PointerTest!A:A, 0), 0), 'language&amp;DataTest'!A:A, 0), MATCH(HOME!$A$25, 'language&amp;DataTest'!$A$1:$H$1, 0))),                                          
IFERROR(INDEX('language&amp;DataTest'!A:J, MATCH(INDEX( PointerTest!E:E, MATCH(B119, PointerTest!A:A, 0), 0), 'language&amp;DataTest'!A:A, 0), MATCH(HOME!$A$25, 'language&amp;DataTest'!$A$1:$H$1, 0))))</f>
        <v>Slowpoke</v>
      </c>
      <c r="D119" s="69" t="str">
        <f t="array" ref="D119">INDEX('language&amp;DataTest'!A:J, MATCH(INDEX( PointerTest!D:D, MATCH(INDEX(PointerTest!B:B, MATCH(B119, PointerTest!A:A, 0)), PointerTest!A:A, 0), 0), 'language&amp;DataTest'!A:A, 0), MATCH(HOME!$A$25, 'language&amp;DataTest'!$A$1:$H$1, 0))</f>
        <v>All</v>
      </c>
      <c r="E119" s="69" t="str">
        <f t="array" ref="E119">INDEX( PointerTest!F:F, MATCH(B119, PointerTest!A:A, 0), 0)</f>
        <v>♢</v>
      </c>
      <c r="F119" s="70">
        <f t="array" ref="F119">LET(percentage,XLOOKUP($E119,$K$2:$K$10,L$2:L$10,"",0)/(COUNTIFS($E:$E,$E119,$D:$D,RegularFormula!$D$2)+COUNTIFS($E:$E,$E119,$D:$D,IF($D119=RegularFormula!$D$2,$K$15,$D119))),IFERROR(IF(percentage,percentage,""),""))
</f>
        <v>0.02</v>
      </c>
      <c r="G119" s="71" t="str">
        <f t="array" ref="G119">LET(percentage,XLOOKUP($E119,$K$2:$K$10,M$2:M$10,"",0)/(COUNTIFS($E:$E,$E119,$D:$D,RegularFormula!$D$2)+COUNTIFS($E:$E,$E119,$D:$D,IF($D119=RegularFormula!$D$2,$K$15,$D119))),IFERROR(IF(percentage,percentage,""),""))
</f>
        <v/>
      </c>
      <c r="H119" s="71" t="str">
        <f t="array" ref="H119">LET(percentage,XLOOKUP($E119,$K$2:$K$10,N$2:N$10,"",0)/(COUNTIFS($E:$E,$E119,$D:$D,RegularFormula!$D$2)+COUNTIFS($E:$E,$E119,$D:$D,IF($D119=RegularFormula!$D$2,$K$15,$D119))),IFERROR(IF(percentage,percentage,""),""))
</f>
        <v/>
      </c>
      <c r="I119" s="72" t="str">
        <f t="shared" si="1"/>
        <v>*Based on Mewtwo pack</v>
      </c>
      <c r="J119" s="73">
        <v>0.0</v>
      </c>
      <c r="K119" s="194"/>
      <c r="L119" s="55"/>
      <c r="M119" s="55"/>
      <c r="N119" s="55"/>
      <c r="O119" s="95" t="s">
        <v>233</v>
      </c>
      <c r="P119" s="103"/>
      <c r="Q119" s="103"/>
      <c r="R119" s="103"/>
      <c r="S119" s="79" t="str">
        <f t="shared" si="2"/>
        <v/>
      </c>
      <c r="T119" s="80" t="str">
        <f>IFERROR(__xludf.DUMMYFUNCTION("IF(
  Q119="""",
  """",
  IF(
   REGEXMATCH(SUBSTITUTE(Q119, "" ex"", """"), TEXTJOIN(""|"", TRUE, INDEX('language&amp;DataTest'!$A$33:$AB$182, , MATCH(HOME!$A$25, 'language&amp;DataTest'!$A$1:$G$1, 0)))),
   IF($M$26,
     IF(COUNTIFS(ARRAYFORMULA(SUBSTITUTE($C"&amp;"$2:$C287, "" ex"", """")), SUBSTITUTE(Q119, "" ex"", """"), $J$2:$J287, ""&gt;0"")=0, ""Yes"", ""No""),
     IF(COUNTIFS(ARRAYFORMULA(SUBSTITUTE($C$2:$C287, "" ex"", """")), SUBSTITUTE(Q119, "" ex"", """"), $A$2:$A287, TRUE)=0, ""Yes"", ""No"")
   ),
   ""No"&amp;"""
 )
)"),"")</f>
        <v/>
      </c>
    </row>
    <row r="120">
      <c r="A120" s="68" t="b">
        <v>1</v>
      </c>
      <c r="B120" s="69" t="s">
        <v>234</v>
      </c>
      <c r="C120" s="69" t="str">
        <f t="array" ref="C120">TEXTJOIN("", TRUE, IFERROR(INDEX('language&amp;DataTest'!A:J, MATCH(INDEX( PointerTest!C:C, MATCH(B120, PointerTest!A:A, 0), 0), 'language&amp;DataTest'!A:A, 0), MATCH(HOME!$A$25, 'language&amp;DataTest'!$A$1:$H$1, 0))),                      IFERROR(INDEX('language&amp;DataTest'!A:J, MATCH(INDEX( PointerTest!D:D, MATCH(B120, PointerTest!A:A, 0), 0), 'language&amp;DataTest'!A:A, 0), MATCH(HOME!$A$25, 'language&amp;DataTest'!$A$1:$H$1, 0))),                                          
IFERROR(INDEX('language&amp;DataTest'!A:J, MATCH(INDEX( PointerTest!E:E, MATCH(B120, PointerTest!A:A, 0), 0), 'language&amp;DataTest'!A:A, 0), MATCH(HOME!$A$25, 'language&amp;DataTest'!$A$1:$H$1, 0))))</f>
        <v>Slowbro</v>
      </c>
      <c r="D120" s="69" t="str">
        <f t="array" ref="D120">INDEX('language&amp;DataTest'!A:J, MATCH(INDEX( PointerTest!D:D, MATCH(INDEX(PointerTest!B:B, MATCH(B120, PointerTest!A:A, 0)), PointerTest!A:A, 0), 0), 'language&amp;DataTest'!A:A, 0), MATCH(HOME!$A$25, 'language&amp;DataTest'!$A$1:$H$1, 0))</f>
        <v>All</v>
      </c>
      <c r="E120" s="69" t="str">
        <f t="array" ref="E120">INDEX( PointerTest!F:F, MATCH(B120, PointerTest!A:A, 0), 0)</f>
        <v>♢♢</v>
      </c>
      <c r="F120" s="70" t="str">
        <f t="array" ref="F120">LET(percentage,XLOOKUP($E120,$K$2:$K$10,L$2:L$10,"",0)/(COUNTIFS($E:$E,$E120,$D:$D,RegularFormula!$D$2)+COUNTIFS($E:$E,$E120,$D:$D,IF($D120=RegularFormula!$D$2,$K$15,$D120))),IFERROR(IF(percentage,percentage,""),""))
</f>
        <v/>
      </c>
      <c r="G120" s="71">
        <f t="array" ref="G120">LET(percentage,XLOOKUP($E120,$K$2:$K$10,M$2:M$10,"",0)/(COUNTIFS($E:$E,$E120,$D:$D,RegularFormula!$D$2)+COUNTIFS($E:$E,$E120,$D:$D,IF($D120=RegularFormula!$D$2,$K$15,$D120))),IFERROR(IF(percentage,percentage,""),""))
</f>
        <v>0.02571428571</v>
      </c>
      <c r="H120" s="71">
        <f t="array" ref="H120">LET(percentage,XLOOKUP($E120,$K$2:$K$10,N$2:N$10,"",0)/(COUNTIFS($E:$E,$E120,$D:$D,RegularFormula!$D$2)+COUNTIFS($E:$E,$E120,$D:$D,IF($D120=RegularFormula!$D$2,$K$15,$D120))),IFERROR(IF(percentage,percentage,""),""))
</f>
        <v>0.01714285714</v>
      </c>
      <c r="I120" s="72" t="str">
        <f t="shared" si="1"/>
        <v>*Based on Mewtwo pack</v>
      </c>
      <c r="J120" s="73">
        <v>0.0</v>
      </c>
      <c r="K120" s="194"/>
      <c r="L120" s="55"/>
      <c r="M120" s="55"/>
      <c r="N120" s="55"/>
      <c r="O120" s="85"/>
      <c r="P120" s="103"/>
      <c r="Q120" s="103"/>
      <c r="R120" s="103"/>
      <c r="S120" s="79" t="str">
        <f t="shared" si="2"/>
        <v/>
      </c>
      <c r="T120" s="80" t="str">
        <f>IFERROR(__xludf.DUMMYFUNCTION("IF(
  Q120="""",
  """",
  IF(
   REGEXMATCH(SUBSTITUTE(Q120, "" ex"", """"), TEXTJOIN(""|"", TRUE, INDEX('language&amp;DataTest'!$A$33:$AB$182, , MATCH(HOME!$A$25, 'language&amp;DataTest'!$A$1:$G$1, 0)))),
   IF($M$26,
     IF(COUNTIFS(ARRAYFORMULA(SUBSTITUTE($C"&amp;"$2:$C287, "" ex"", """")), SUBSTITUTE(Q120, "" ex"", """"), $J$2:$J287, ""&gt;0"")=0, ""Yes"", ""No""),
     IF(COUNTIFS(ARRAYFORMULA(SUBSTITUTE($C$2:$C287, "" ex"", """")), SUBSTITUTE(Q120, "" ex"", """"), $A$2:$A287, TRUE)=0, ""Yes"", ""No"")
   ),
   ""No"&amp;"""
 )
)"),"")</f>
        <v/>
      </c>
    </row>
    <row r="121">
      <c r="A121" s="68" t="b">
        <v>1</v>
      </c>
      <c r="B121" s="69" t="s">
        <v>235</v>
      </c>
      <c r="C121" s="69" t="str">
        <f t="array" ref="C121">TEXTJOIN("", TRUE, IFERROR(INDEX('language&amp;DataTest'!A:J, MATCH(INDEX( PointerTest!C:C, MATCH(B121, PointerTest!A:A, 0), 0), 'language&amp;DataTest'!A:A, 0), MATCH(HOME!$A$25, 'language&amp;DataTest'!$A$1:$H$1, 0))),                      IFERROR(INDEX('language&amp;DataTest'!A:J, MATCH(INDEX( PointerTest!D:D, MATCH(B121, PointerTest!A:A, 0), 0), 'language&amp;DataTest'!A:A, 0), MATCH(HOME!$A$25, 'language&amp;DataTest'!$A$1:$H$1, 0))),                                          
IFERROR(INDEX('language&amp;DataTest'!A:J, MATCH(INDEX( PointerTest!E:E, MATCH(B121, PointerTest!A:A, 0), 0), 'language&amp;DataTest'!A:A, 0), MATCH(HOME!$A$25, 'language&amp;DataTest'!$A$1:$H$1, 0))))</f>
        <v>Gastly</v>
      </c>
      <c r="D121" s="69" t="str">
        <f t="array" ref="D121">INDEX('language&amp;DataTest'!A:J, MATCH(INDEX( PointerTest!D:D, MATCH(INDEX(PointerTest!B:B, MATCH(B121, PointerTest!A:A, 0)), PointerTest!A:A, 0), 0), 'language&amp;DataTest'!A:A, 0), MATCH(HOME!$A$25, 'language&amp;DataTest'!$A$1:$H$1, 0))</f>
        <v>Mewtwo</v>
      </c>
      <c r="E121" s="69" t="str">
        <f t="array" ref="E121">INDEX( PointerTest!F:F, MATCH(B121, PointerTest!A:A, 0), 0)</f>
        <v>♢</v>
      </c>
      <c r="F121" s="70">
        <f t="array" ref="F121">LET(percentage,XLOOKUP($E121,$K$2:$K$10,L$2:L$10,"",0)/(COUNTIFS($E:$E,$E121,$D:$D,RegularFormula!$D$2)+COUNTIFS($E:$E,$E121,$D:$D,IF($D121=RegularFormula!$D$2,$K$15,$D121))),IFERROR(IF(percentage,percentage,""),""))
</f>
        <v>0.02</v>
      </c>
      <c r="G121" s="71" t="str">
        <f t="array" ref="G121">LET(percentage,XLOOKUP($E121,$K$2:$K$10,M$2:M$10,"",0)/(COUNTIFS($E:$E,$E121,$D:$D,RegularFormula!$D$2)+COUNTIFS($E:$E,$E121,$D:$D,IF($D121=RegularFormula!$D$2,$K$15,$D121))),IFERROR(IF(percentage,percentage,""),""))
</f>
        <v/>
      </c>
      <c r="H121" s="71" t="str">
        <f t="array" ref="H121">LET(percentage,XLOOKUP($E121,$K$2:$K$10,N$2:N$10,"",0)/(COUNTIFS($E:$E,$E121,$D:$D,RegularFormula!$D$2)+COUNTIFS($E:$E,$E121,$D:$D,IF($D121=RegularFormula!$D$2,$K$15,$D121))),IFERROR(IF(percentage,percentage,""),""))
</f>
        <v/>
      </c>
      <c r="I121" s="72" t="str">
        <f t="shared" si="1"/>
        <v/>
      </c>
      <c r="J121" s="73">
        <v>0.0</v>
      </c>
      <c r="K121" s="194"/>
      <c r="L121" s="55"/>
      <c r="M121" s="55"/>
      <c r="N121" s="55"/>
      <c r="O121" s="85"/>
      <c r="P121" s="103"/>
      <c r="Q121" s="103"/>
      <c r="R121" s="103"/>
      <c r="S121" s="79" t="str">
        <f t="shared" si="2"/>
        <v/>
      </c>
      <c r="T121" s="80" t="str">
        <f>IFERROR(__xludf.DUMMYFUNCTION("IF(
  Q121="""",
  """",
  IF(
   REGEXMATCH(SUBSTITUTE(Q121, "" ex"", """"), TEXTJOIN(""|"", TRUE, INDEX('language&amp;DataTest'!$A$33:$AB$182, , MATCH(HOME!$A$25, 'language&amp;DataTest'!$A$1:$G$1, 0)))),
   IF($M$26,
     IF(COUNTIFS(ARRAYFORMULA(SUBSTITUTE($C"&amp;"$2:$C287, "" ex"", """")), SUBSTITUTE(Q121, "" ex"", """"), $J$2:$J287, ""&gt;0"")=0, ""Yes"", ""No""),
     IF(COUNTIFS(ARRAYFORMULA(SUBSTITUTE($C$2:$C287, "" ex"", """")), SUBSTITUTE(Q121, "" ex"", """"), $A$2:$A287, TRUE)=0, ""Yes"", ""No"")
   ),
   ""No"&amp;"""
 )
)"),"")</f>
        <v/>
      </c>
    </row>
    <row r="122">
      <c r="A122" s="68" t="b">
        <v>1</v>
      </c>
      <c r="B122" s="69" t="s">
        <v>236</v>
      </c>
      <c r="C122" s="69" t="str">
        <f t="array" ref="C122">TEXTJOIN("", TRUE, IFERROR(INDEX('language&amp;DataTest'!A:J, MATCH(INDEX( PointerTest!C:C, MATCH(B122, PointerTest!A:A, 0), 0), 'language&amp;DataTest'!A:A, 0), MATCH(HOME!$A$25, 'language&amp;DataTest'!$A$1:$H$1, 0))),                      IFERROR(INDEX('language&amp;DataTest'!A:J, MATCH(INDEX( PointerTest!D:D, MATCH(B122, PointerTest!A:A, 0), 0), 'language&amp;DataTest'!A:A, 0), MATCH(HOME!$A$25, 'language&amp;DataTest'!$A$1:$H$1, 0))),                                          
IFERROR(INDEX('language&amp;DataTest'!A:J, MATCH(INDEX( PointerTest!E:E, MATCH(B122, PointerTest!A:A, 0), 0), 'language&amp;DataTest'!A:A, 0), MATCH(HOME!$A$25, 'language&amp;DataTest'!$A$1:$H$1, 0))))</f>
        <v>Haunter</v>
      </c>
      <c r="D122" s="69" t="str">
        <f t="array" ref="D122">INDEX('language&amp;DataTest'!A:J, MATCH(INDEX( PointerTest!D:D, MATCH(INDEX(PointerTest!B:B, MATCH(B122, PointerTest!A:A, 0)), PointerTest!A:A, 0), 0), 'language&amp;DataTest'!A:A, 0), MATCH(HOME!$A$25, 'language&amp;DataTest'!$A$1:$H$1, 0))</f>
        <v>Mewtwo</v>
      </c>
      <c r="E122" s="69" t="str">
        <f t="array" ref="E122">INDEX( PointerTest!F:F, MATCH(B122, PointerTest!A:A, 0), 0)</f>
        <v>♢♢</v>
      </c>
      <c r="F122" s="70" t="str">
        <f t="array" ref="F122">LET(percentage,XLOOKUP($E122,$K$2:$K$10,L$2:L$10,"",0)/(COUNTIFS($E:$E,$E122,$D:$D,RegularFormula!$D$2)+COUNTIFS($E:$E,$E122,$D:$D,IF($D122=RegularFormula!$D$2,$K$15,$D122))),IFERROR(IF(percentage,percentage,""),""))
</f>
        <v/>
      </c>
      <c r="G122" s="71">
        <f t="array" ref="G122">LET(percentage,XLOOKUP($E122,$K$2:$K$10,M$2:M$10,"",0)/(COUNTIFS($E:$E,$E122,$D:$D,RegularFormula!$D$2)+COUNTIFS($E:$E,$E122,$D:$D,IF($D122=RegularFormula!$D$2,$K$15,$D122))),IFERROR(IF(percentage,percentage,""),""))
</f>
        <v>0.02571428571</v>
      </c>
      <c r="H122" s="71">
        <f t="array" ref="H122">LET(percentage,XLOOKUP($E122,$K$2:$K$10,N$2:N$10,"",0)/(COUNTIFS($E:$E,$E122,$D:$D,RegularFormula!$D$2)+COUNTIFS($E:$E,$E122,$D:$D,IF($D122=RegularFormula!$D$2,$K$15,$D122))),IFERROR(IF(percentage,percentage,""),""))
</f>
        <v>0.01714285714</v>
      </c>
      <c r="I122" s="72" t="str">
        <f t="shared" si="1"/>
        <v/>
      </c>
      <c r="J122" s="73">
        <v>0.0</v>
      </c>
      <c r="K122" s="194"/>
      <c r="L122" s="55"/>
      <c r="M122" s="55"/>
      <c r="N122" s="55"/>
      <c r="O122" s="85"/>
      <c r="P122" s="103"/>
      <c r="Q122" s="103"/>
      <c r="R122" s="103"/>
      <c r="S122" s="79" t="str">
        <f t="shared" si="2"/>
        <v/>
      </c>
      <c r="T122" s="80" t="str">
        <f>IFERROR(__xludf.DUMMYFUNCTION("IF(
  Q122="""",
  """",
  IF(
   REGEXMATCH(SUBSTITUTE(Q122, "" ex"", """"), TEXTJOIN(""|"", TRUE, INDEX('language&amp;DataTest'!$A$33:$AB$182, , MATCH(HOME!$A$25, 'language&amp;DataTest'!$A$1:$G$1, 0)))),
   IF($M$26,
     IF(COUNTIFS(ARRAYFORMULA(SUBSTITUTE($C"&amp;"$2:$C287, "" ex"", """")), SUBSTITUTE(Q122, "" ex"", """"), $J$2:$J287, ""&gt;0"")=0, ""Yes"", ""No""),
     IF(COUNTIFS(ARRAYFORMULA(SUBSTITUTE($C$2:$C287, "" ex"", """")), SUBSTITUTE(Q122, "" ex"", """"), $A$2:$A287, TRUE)=0, ""Yes"", ""No"")
   ),
   ""No"&amp;"""
 )
)"),"")</f>
        <v/>
      </c>
    </row>
    <row r="123">
      <c r="A123" s="68" t="b">
        <v>1</v>
      </c>
      <c r="B123" s="69" t="s">
        <v>237</v>
      </c>
      <c r="C123" s="69" t="str">
        <f t="array" ref="C123">TEXTJOIN("", TRUE, IFERROR(INDEX('language&amp;DataTest'!A:J, MATCH(INDEX( PointerTest!C:C, MATCH(B123, PointerTest!A:A, 0), 0), 'language&amp;DataTest'!A:A, 0), MATCH(HOME!$A$25, 'language&amp;DataTest'!$A$1:$H$1, 0))),                      IFERROR(INDEX('language&amp;DataTest'!A:J, MATCH(INDEX( PointerTest!D:D, MATCH(B123, PointerTest!A:A, 0), 0), 'language&amp;DataTest'!A:A, 0), MATCH(HOME!$A$25, 'language&amp;DataTest'!$A$1:$H$1, 0))),                                          
IFERROR(INDEX('language&amp;DataTest'!A:J, MATCH(INDEX( PointerTest!E:E, MATCH(B123, PointerTest!A:A, 0), 0), 'language&amp;DataTest'!A:A, 0), MATCH(HOME!$A$25, 'language&amp;DataTest'!$A$1:$H$1, 0))))</f>
        <v>Gengar</v>
      </c>
      <c r="D123" s="69" t="str">
        <f t="array" ref="D123">INDEX('language&amp;DataTest'!A:J, MATCH(INDEX( PointerTest!D:D, MATCH(INDEX(PointerTest!B:B, MATCH(B123, PointerTest!A:A, 0)), PointerTest!A:A, 0), 0), 'language&amp;DataTest'!A:A, 0), MATCH(HOME!$A$25, 'language&amp;DataTest'!$A$1:$H$1, 0))</f>
        <v>Mewtwo</v>
      </c>
      <c r="E123" s="69" t="str">
        <f t="array" ref="E123">INDEX( PointerTest!F:F, MATCH(B123, PointerTest!A:A, 0), 0)</f>
        <v>♢♢♢</v>
      </c>
      <c r="F123" s="70" t="str">
        <f t="array" ref="F123">LET(percentage,XLOOKUP($E123,$K$2:$K$10,L$2:L$10,"",0)/(COUNTIFS($E:$E,$E123,$D:$D,RegularFormula!$D$2)+COUNTIFS($E:$E,$E123,$D:$D,IF($D123=RegularFormula!$D$2,$K$15,$D123))),IFERROR(IF(percentage,percentage,""),""))
</f>
        <v/>
      </c>
      <c r="G123" s="71">
        <f t="array" ref="G123">LET(percentage,XLOOKUP($E123,$K$2:$K$10,M$2:M$10,"",0)/(COUNTIFS($E:$E,$E123,$D:$D,RegularFormula!$D$2)+COUNTIFS($E:$E,$E123,$D:$D,IF($D123=RegularFormula!$D$2,$K$15,$D123))),IFERROR(IF(percentage,percentage,""),""))
</f>
        <v>0.003571428571</v>
      </c>
      <c r="H123" s="71">
        <f t="array" ref="H123">LET(percentage,XLOOKUP($E123,$K$2:$K$10,N$2:N$10,"",0)/(COUNTIFS($E:$E,$E123,$D:$D,RegularFormula!$D$2)+COUNTIFS($E:$E,$E123,$D:$D,IF($D123=RegularFormula!$D$2,$K$15,$D123))),IFERROR(IF(percentage,percentage,""),""))
</f>
        <v>0.01428571429</v>
      </c>
      <c r="I123" s="72" t="str">
        <f t="shared" si="1"/>
        <v/>
      </c>
      <c r="J123" s="73">
        <v>0.0</v>
      </c>
      <c r="K123" s="194"/>
      <c r="L123" s="55"/>
      <c r="M123" s="55"/>
      <c r="N123" s="55"/>
      <c r="O123" s="85"/>
      <c r="P123" s="103"/>
      <c r="Q123" s="103"/>
      <c r="R123" s="103"/>
      <c r="S123" s="79" t="str">
        <f t="shared" si="2"/>
        <v/>
      </c>
      <c r="T123" s="80" t="str">
        <f>IFERROR(__xludf.DUMMYFUNCTION("IF(
  Q123="""",
  """",
  IF(
   REGEXMATCH(SUBSTITUTE(Q123, "" ex"", """"), TEXTJOIN(""|"", TRUE, INDEX('language&amp;DataTest'!$A$33:$AB$182, , MATCH(HOME!$A$25, 'language&amp;DataTest'!$A$1:$G$1, 0)))),
   IF($M$26,
     IF(COUNTIFS(ARRAYFORMULA(SUBSTITUTE($C"&amp;"$2:$C287, "" ex"", """")), SUBSTITUTE(Q123, "" ex"", """"), $J$2:$J287, ""&gt;0"")=0, ""Yes"", ""No""),
     IF(COUNTIFS(ARRAYFORMULA(SUBSTITUTE($C$2:$C287, "" ex"", """")), SUBSTITUTE(Q123, "" ex"", """"), $A$2:$A287, TRUE)=0, ""Yes"", ""No"")
   ),
   ""No"&amp;"""
 )
)"),"")</f>
        <v/>
      </c>
    </row>
    <row r="124">
      <c r="A124" s="68" t="b">
        <v>1</v>
      </c>
      <c r="B124" s="69" t="s">
        <v>238</v>
      </c>
      <c r="C124" s="69" t="str">
        <f t="array" ref="C124">TEXTJOIN("", TRUE, IFERROR(INDEX('language&amp;DataTest'!A:J, MATCH(INDEX( PointerTest!C:C, MATCH(B124, PointerTest!A:A, 0), 0), 'language&amp;DataTest'!A:A, 0), MATCH(HOME!$A$25, 'language&amp;DataTest'!$A$1:$H$1, 0))),                      IFERROR(INDEX('language&amp;DataTest'!A:J, MATCH(INDEX( PointerTest!D:D, MATCH(B124, PointerTest!A:A, 0), 0), 'language&amp;DataTest'!A:A, 0), MATCH(HOME!$A$25, 'language&amp;DataTest'!$A$1:$H$1, 0))),                                          
IFERROR(INDEX('language&amp;DataTest'!A:J, MATCH(INDEX( PointerTest!E:E, MATCH(B124, PointerTest!A:A, 0), 0), 'language&amp;DataTest'!A:A, 0), MATCH(HOME!$A$25, 'language&amp;DataTest'!$A$1:$H$1, 0))))</f>
        <v>Gengar ex</v>
      </c>
      <c r="D124" s="69" t="str">
        <f t="array" ref="D124">INDEX('language&amp;DataTest'!A:J, MATCH(INDEX( PointerTest!D:D, MATCH(INDEX(PointerTest!B:B, MATCH(B124, PointerTest!A:A, 0)), PointerTest!A:A, 0), 0), 'language&amp;DataTest'!A:A, 0), MATCH(HOME!$A$25, 'language&amp;DataTest'!$A$1:$H$1, 0))</f>
        <v>Mewtwo</v>
      </c>
      <c r="E124" s="69" t="str">
        <f t="array" ref="E124">INDEX( PointerTest!F:F, MATCH(B124, PointerTest!A:A, 0), 0)</f>
        <v>♢♢♢♢</v>
      </c>
      <c r="F124" s="70" t="str">
        <f t="array" ref="F124">LET(percentage,XLOOKUP($E124,$K$2:$K$10,L$2:L$10,"",0)/(COUNTIFS($E:$E,$E124,$D:$D,RegularFormula!$D$2)+COUNTIFS($E:$E,$E124,$D:$D,IF($D124=RegularFormula!$D$2,$K$15,$D124))),IFERROR(IF(percentage,percentage,""),""))
</f>
        <v/>
      </c>
      <c r="G124" s="71">
        <f t="array" ref="G124">LET(percentage,XLOOKUP($E124,$K$2:$K$10,M$2:M$10,"",0)/(COUNTIFS($E:$E,$E124,$D:$D,RegularFormula!$D$2)+COUNTIFS($E:$E,$E124,$D:$D,IF($D124=RegularFormula!$D$2,$K$15,$D124))),IFERROR(IF(percentage,percentage,""),""))
</f>
        <v>0.003332</v>
      </c>
      <c r="H124" s="71">
        <f t="array" ref="H124">LET(percentage,XLOOKUP($E124,$K$2:$K$10,N$2:N$10,"",0)/(COUNTIFS($E:$E,$E124,$D:$D,RegularFormula!$D$2)+COUNTIFS($E:$E,$E124,$D:$D,IF($D124=RegularFormula!$D$2,$K$15,$D124))),IFERROR(IF(percentage,percentage,""),""))
</f>
        <v>0.013328</v>
      </c>
      <c r="I124" s="72" t="str">
        <f t="shared" si="1"/>
        <v/>
      </c>
      <c r="J124" s="73">
        <v>0.0</v>
      </c>
      <c r="K124" s="194"/>
      <c r="L124" s="55"/>
      <c r="M124" s="55"/>
      <c r="N124" s="55"/>
      <c r="O124" s="92"/>
      <c r="P124" s="103"/>
      <c r="Q124" s="103"/>
      <c r="R124" s="103"/>
      <c r="S124" s="79" t="str">
        <f t="shared" si="2"/>
        <v/>
      </c>
      <c r="T124" s="80" t="str">
        <f>IFERROR(__xludf.DUMMYFUNCTION("IF(
  Q124="""",
  """",
  IF(
   REGEXMATCH(SUBSTITUTE(Q124, "" ex"", """"), TEXTJOIN(""|"", TRUE, INDEX('language&amp;DataTest'!$A$33:$AB$182, , MATCH(HOME!$A$25, 'language&amp;DataTest'!$A$1:$G$1, 0)))),
   IF($M$26,
     IF(COUNTIFS(ARRAYFORMULA(SUBSTITUTE($C"&amp;"$2:$C287, "" ex"", """")), SUBSTITUTE(Q124, "" ex"", """"), $J$2:$J287, ""&gt;0"")=0, ""Yes"", ""No""),
     IF(COUNTIFS(ARRAYFORMULA(SUBSTITUTE($C$2:$C287, "" ex"", """")), SUBSTITUTE(Q124, "" ex"", """"), $A$2:$A287, TRUE)=0, ""Yes"", ""No"")
   ),
   ""No"&amp;"""
 )
)"),"")</f>
        <v/>
      </c>
    </row>
    <row r="125">
      <c r="A125" s="68" t="b">
        <v>1</v>
      </c>
      <c r="B125" s="69" t="s">
        <v>239</v>
      </c>
      <c r="C125" s="69" t="str">
        <f t="array" ref="C125">TEXTJOIN("", TRUE, IFERROR(INDEX('language&amp;DataTest'!A:J, MATCH(INDEX( PointerTest!C:C, MATCH(B125, PointerTest!A:A, 0), 0), 'language&amp;DataTest'!A:A, 0), MATCH(HOME!$A$25, 'language&amp;DataTest'!$A$1:$H$1, 0))),                      IFERROR(INDEX('language&amp;DataTest'!A:J, MATCH(INDEX( PointerTest!D:D, MATCH(B125, PointerTest!A:A, 0), 0), 'language&amp;DataTest'!A:A, 0), MATCH(HOME!$A$25, 'language&amp;DataTest'!$A$1:$H$1, 0))),                                          
IFERROR(INDEX('language&amp;DataTest'!A:J, MATCH(INDEX( PointerTest!E:E, MATCH(B125, PointerTest!A:A, 0), 0), 'language&amp;DataTest'!A:A, 0), MATCH(HOME!$A$25, 'language&amp;DataTest'!$A$1:$H$1, 0))))</f>
        <v>Drowzee</v>
      </c>
      <c r="D125" s="69" t="str">
        <f t="array" ref="D125">INDEX('language&amp;DataTest'!A:J, MATCH(INDEX( PointerTest!D:D, MATCH(INDEX(PointerTest!B:B, MATCH(B125, PointerTest!A:A, 0)), PointerTest!A:A, 0), 0), 'language&amp;DataTest'!A:A, 0), MATCH(HOME!$A$25, 'language&amp;DataTest'!$A$1:$H$1, 0))</f>
        <v>Pikachu</v>
      </c>
      <c r="E125" s="69" t="str">
        <f t="array" ref="E125">INDEX( PointerTest!F:F, MATCH(B125, PointerTest!A:A, 0), 0)</f>
        <v>♢</v>
      </c>
      <c r="F125" s="70">
        <f t="array" ref="F125">LET(percentage,XLOOKUP($E125,$K$2:$K$10,L$2:L$10,"",0)/(COUNTIFS($E:$E,$E125,$D:$D,RegularFormula!$D$2)+COUNTIFS($E:$E,$E125,$D:$D,IF($D125=RegularFormula!$D$2,$K$15,$D125))),IFERROR(IF(percentage,percentage,""),""))
</f>
        <v>0.02</v>
      </c>
      <c r="G125" s="71" t="str">
        <f t="array" ref="G125">LET(percentage,XLOOKUP($E125,$K$2:$K$10,M$2:M$10,"",0)/(COUNTIFS($E:$E,$E125,$D:$D,RegularFormula!$D$2)+COUNTIFS($E:$E,$E125,$D:$D,IF($D125=RegularFormula!$D$2,$K$15,$D125))),IFERROR(IF(percentage,percentage,""),""))
</f>
        <v/>
      </c>
      <c r="H125" s="71" t="str">
        <f t="array" ref="H125">LET(percentage,XLOOKUP($E125,$K$2:$K$10,N$2:N$10,"",0)/(COUNTIFS($E:$E,$E125,$D:$D,RegularFormula!$D$2)+COUNTIFS($E:$E,$E125,$D:$D,IF($D125=RegularFormula!$D$2,$K$15,$D125))),IFERROR(IF(percentage,percentage,""),""))
</f>
        <v/>
      </c>
      <c r="I125" s="72" t="str">
        <f t="shared" si="1"/>
        <v/>
      </c>
      <c r="J125" s="73">
        <v>0.0</v>
      </c>
      <c r="K125" s="194"/>
      <c r="L125" s="55"/>
      <c r="M125" s="55"/>
      <c r="N125" s="55"/>
      <c r="O125" s="195" t="s">
        <v>240</v>
      </c>
      <c r="P125" s="103"/>
      <c r="Q125" s="103"/>
      <c r="R125" s="103"/>
      <c r="S125" s="79" t="str">
        <f t="shared" si="2"/>
        <v/>
      </c>
      <c r="T125" s="80" t="str">
        <f>IFERROR(__xludf.DUMMYFUNCTION("IF(
  Q125="""",
  """",
  IF(
   REGEXMATCH(SUBSTITUTE(Q125, "" ex"", """"), TEXTJOIN(""|"", TRUE, INDEX('language&amp;DataTest'!$A$33:$AB$182, , MATCH(HOME!$A$25, 'language&amp;DataTest'!$A$1:$G$1, 0)))),
   IF($M$26,
     IF(COUNTIFS(ARRAYFORMULA(SUBSTITUTE($C"&amp;"$2:$C287, "" ex"", """")), SUBSTITUTE(Q125, "" ex"", """"), $J$2:$J287, ""&gt;0"")=0, ""Yes"", ""No""),
     IF(COUNTIFS(ARRAYFORMULA(SUBSTITUTE($C$2:$C287, "" ex"", """")), SUBSTITUTE(Q125, "" ex"", """"), $A$2:$A287, TRUE)=0, ""Yes"", ""No"")
   ),
   ""No"&amp;"""
 )
)"),"")</f>
        <v/>
      </c>
    </row>
    <row r="126">
      <c r="A126" s="68" t="b">
        <v>1</v>
      </c>
      <c r="B126" s="69" t="s">
        <v>241</v>
      </c>
      <c r="C126" s="69" t="str">
        <f t="array" ref="C126">TEXTJOIN("", TRUE, IFERROR(INDEX('language&amp;DataTest'!A:J, MATCH(INDEX( PointerTest!C:C, MATCH(B126, PointerTest!A:A, 0), 0), 'language&amp;DataTest'!A:A, 0), MATCH(HOME!$A$25, 'language&amp;DataTest'!$A$1:$H$1, 0))),                      IFERROR(INDEX('language&amp;DataTest'!A:J, MATCH(INDEX( PointerTest!D:D, MATCH(B126, PointerTest!A:A, 0), 0), 'language&amp;DataTest'!A:A, 0), MATCH(HOME!$A$25, 'language&amp;DataTest'!$A$1:$H$1, 0))),                                          
IFERROR(INDEX('language&amp;DataTest'!A:J, MATCH(INDEX( PointerTest!E:E, MATCH(B126, PointerTest!A:A, 0), 0), 'language&amp;DataTest'!A:A, 0), MATCH(HOME!$A$25, 'language&amp;DataTest'!$A$1:$H$1, 0))))</f>
        <v>Hypno</v>
      </c>
      <c r="D126" s="69" t="str">
        <f t="array" ref="D126">INDEX('language&amp;DataTest'!A:J, MATCH(INDEX( PointerTest!D:D, MATCH(INDEX(PointerTest!B:B, MATCH(B126, PointerTest!A:A, 0)), PointerTest!A:A, 0), 0), 'language&amp;DataTest'!A:A, 0), MATCH(HOME!$A$25, 'language&amp;DataTest'!$A$1:$H$1, 0))</f>
        <v>Pikachu</v>
      </c>
      <c r="E126" s="69" t="str">
        <f t="array" ref="E126">INDEX( PointerTest!F:F, MATCH(B126, PointerTest!A:A, 0), 0)</f>
        <v>♢♢♢</v>
      </c>
      <c r="F126" s="70" t="str">
        <f t="array" ref="F126">LET(percentage,XLOOKUP($E126,$K$2:$K$10,L$2:L$10,"",0)/(COUNTIFS($E:$E,$E126,$D:$D,RegularFormula!$D$2)+COUNTIFS($E:$E,$E126,$D:$D,IF($D126=RegularFormula!$D$2,$K$15,$D126))),IFERROR(IF(percentage,percentage,""),""))
</f>
        <v/>
      </c>
      <c r="G126" s="71">
        <f t="array" ref="G126">LET(percentage,XLOOKUP($E126,$K$2:$K$10,M$2:M$10,"",0)/(COUNTIFS($E:$E,$E126,$D:$D,RegularFormula!$D$2)+COUNTIFS($E:$E,$E126,$D:$D,IF($D126=RegularFormula!$D$2,$K$15,$D126))),IFERROR(IF(percentage,percentage,""),""))
</f>
        <v>0.003571428571</v>
      </c>
      <c r="H126" s="71">
        <f t="array" ref="H126">LET(percentage,XLOOKUP($E126,$K$2:$K$10,N$2:N$10,"",0)/(COUNTIFS($E:$E,$E126,$D:$D,RegularFormula!$D$2)+COUNTIFS($E:$E,$E126,$D:$D,IF($D126=RegularFormula!$D$2,$K$15,$D126))),IFERROR(IF(percentage,percentage,""),""))
</f>
        <v>0.01428571429</v>
      </c>
      <c r="I126" s="72" t="str">
        <f t="shared" si="1"/>
        <v/>
      </c>
      <c r="J126" s="73">
        <v>0.0</v>
      </c>
      <c r="K126" s="194"/>
      <c r="L126" s="55"/>
      <c r="M126" s="55"/>
      <c r="N126" s="55"/>
      <c r="O126" s="92"/>
      <c r="P126" s="103"/>
      <c r="Q126" s="103"/>
      <c r="R126" s="103"/>
      <c r="S126" s="79" t="str">
        <f t="shared" si="2"/>
        <v/>
      </c>
      <c r="T126" s="80" t="str">
        <f>IFERROR(__xludf.DUMMYFUNCTION("IF(
  Q126="""",
  """",
  IF(
   REGEXMATCH(SUBSTITUTE(Q126, "" ex"", """"), TEXTJOIN(""|"", TRUE, INDEX('language&amp;DataTest'!$A$33:$AB$182, , MATCH(HOME!$A$25, 'language&amp;DataTest'!$A$1:$G$1, 0)))),
   IF($M$26,
     IF(COUNTIFS(ARRAYFORMULA(SUBSTITUTE($C"&amp;"$2:$C287, "" ex"", """")), SUBSTITUTE(Q126, "" ex"", """"), $J$2:$J287, ""&gt;0"")=0, ""Yes"", ""No""),
     IF(COUNTIFS(ARRAYFORMULA(SUBSTITUTE($C$2:$C287, "" ex"", """")), SUBSTITUTE(Q126, "" ex"", """"), $A$2:$A287, TRUE)=0, ""Yes"", ""No"")
   ),
   ""No"&amp;"""
 )
)"),"")</f>
        <v/>
      </c>
    </row>
    <row r="127">
      <c r="A127" s="68" t="b">
        <v>1</v>
      </c>
      <c r="B127" s="69" t="s">
        <v>242</v>
      </c>
      <c r="C127" s="69" t="str">
        <f t="array" ref="C127">TEXTJOIN("", TRUE, IFERROR(INDEX('language&amp;DataTest'!A:J, MATCH(INDEX( PointerTest!C:C, MATCH(B127, PointerTest!A:A, 0), 0), 'language&amp;DataTest'!A:A, 0), MATCH(HOME!$A$25, 'language&amp;DataTest'!$A$1:$H$1, 0))),                      IFERROR(INDEX('language&amp;DataTest'!A:J, MATCH(INDEX( PointerTest!D:D, MATCH(B127, PointerTest!A:A, 0), 0), 'language&amp;DataTest'!A:A, 0), MATCH(HOME!$A$25, 'language&amp;DataTest'!$A$1:$H$1, 0))),                                          
IFERROR(INDEX('language&amp;DataTest'!A:J, MATCH(INDEX( PointerTest!E:E, MATCH(B127, PointerTest!A:A, 0), 0), 'language&amp;DataTest'!A:A, 0), MATCH(HOME!$A$25, 'language&amp;DataTest'!$A$1:$H$1, 0))))</f>
        <v>Mr. Mime</v>
      </c>
      <c r="D127" s="69" t="str">
        <f t="array" ref="D127">INDEX('language&amp;DataTest'!A:J, MATCH(INDEX( PointerTest!D:D, MATCH(INDEX(PointerTest!B:B, MATCH(B127, PointerTest!A:A, 0)), PointerTest!A:A, 0), 0), 'language&amp;DataTest'!A:A, 0), MATCH(HOME!$A$25, 'language&amp;DataTest'!$A$1:$H$1, 0))</f>
        <v>Mewtwo</v>
      </c>
      <c r="E127" s="69" t="str">
        <f t="array" ref="E127">INDEX( PointerTest!F:F, MATCH(B127, PointerTest!A:A, 0), 0)</f>
        <v>♢♢</v>
      </c>
      <c r="F127" s="70" t="str">
        <f t="array" ref="F127">LET(percentage,XLOOKUP($E127,$K$2:$K$10,L$2:L$10,"",0)/(COUNTIFS($E:$E,$E127,$D:$D,RegularFormula!$D$2)+COUNTIFS($E:$E,$E127,$D:$D,IF($D127=RegularFormula!$D$2,$K$15,$D127))),IFERROR(IF(percentage,percentage,""),""))
</f>
        <v/>
      </c>
      <c r="G127" s="71">
        <f t="array" ref="G127">LET(percentage,XLOOKUP($E127,$K$2:$K$10,M$2:M$10,"",0)/(COUNTIFS($E:$E,$E127,$D:$D,RegularFormula!$D$2)+COUNTIFS($E:$E,$E127,$D:$D,IF($D127=RegularFormula!$D$2,$K$15,$D127))),IFERROR(IF(percentage,percentage,""),""))
</f>
        <v>0.02571428571</v>
      </c>
      <c r="H127" s="71">
        <f t="array" ref="H127">LET(percentage,XLOOKUP($E127,$K$2:$K$10,N$2:N$10,"",0)/(COUNTIFS($E:$E,$E127,$D:$D,RegularFormula!$D$2)+COUNTIFS($E:$E,$E127,$D:$D,IF($D127=RegularFormula!$D$2,$K$15,$D127))),IFERROR(IF(percentage,percentage,""),""))
</f>
        <v>0.01714285714</v>
      </c>
      <c r="I127" s="72" t="str">
        <f t="shared" si="1"/>
        <v/>
      </c>
      <c r="J127" s="73">
        <v>0.0</v>
      </c>
      <c r="K127" s="194"/>
      <c r="L127" s="55"/>
      <c r="M127" s="55"/>
      <c r="N127" s="55"/>
      <c r="O127" s="95" t="s">
        <v>243</v>
      </c>
      <c r="P127" s="103"/>
      <c r="Q127" s="103"/>
      <c r="R127" s="103"/>
      <c r="S127" s="79" t="str">
        <f t="shared" si="2"/>
        <v/>
      </c>
      <c r="T127" s="80" t="str">
        <f>IFERROR(__xludf.DUMMYFUNCTION("IF(
  Q127="""",
  """",
  IF(
   REGEXMATCH(SUBSTITUTE(Q127, "" ex"", """"), TEXTJOIN(""|"", TRUE, INDEX('language&amp;DataTest'!$A$33:$AB$182, , MATCH(HOME!$A$25, 'language&amp;DataTest'!$A$1:$G$1, 0)))),
   IF($M$26,
     IF(COUNTIFS(ARRAYFORMULA(SUBSTITUTE($C"&amp;"$2:$C287, "" ex"", """")), SUBSTITUTE(Q127, "" ex"", """"), $J$2:$J287, ""&gt;0"")=0, ""Yes"", ""No""),
     IF(COUNTIFS(ARRAYFORMULA(SUBSTITUTE($C$2:$C287, "" ex"", """")), SUBSTITUTE(Q127, "" ex"", """"), $A$2:$A287, TRUE)=0, ""Yes"", ""No"")
   ),
   ""No"&amp;"""
 )
)"),"")</f>
        <v/>
      </c>
    </row>
    <row r="128">
      <c r="A128" s="68" t="b">
        <v>1</v>
      </c>
      <c r="B128" s="69" t="s">
        <v>244</v>
      </c>
      <c r="C128" s="69" t="str">
        <f t="array" ref="C128">TEXTJOIN("", TRUE, IFERROR(INDEX('language&amp;DataTest'!A:J, MATCH(INDEX( PointerTest!C:C, MATCH(B128, PointerTest!A:A, 0), 0), 'language&amp;DataTest'!A:A, 0), MATCH(HOME!$A$25, 'language&amp;DataTest'!$A$1:$H$1, 0))),                      IFERROR(INDEX('language&amp;DataTest'!A:J, MATCH(INDEX( PointerTest!D:D, MATCH(B128, PointerTest!A:A, 0), 0), 'language&amp;DataTest'!A:A, 0), MATCH(HOME!$A$25, 'language&amp;DataTest'!$A$1:$H$1, 0))),                                          
IFERROR(INDEX('language&amp;DataTest'!A:J, MATCH(INDEX( PointerTest!E:E, MATCH(B128, PointerTest!A:A, 0), 0), 'language&amp;DataTest'!A:A, 0), MATCH(HOME!$A$25, 'language&amp;DataTest'!$A$1:$H$1, 0))))</f>
        <v>Jynx</v>
      </c>
      <c r="D128" s="69" t="str">
        <f t="array" ref="D128">INDEX('language&amp;DataTest'!A:J, MATCH(INDEX( PointerTest!D:D, MATCH(INDEX(PointerTest!B:B, MATCH(B128, PointerTest!A:A, 0)), PointerTest!A:A, 0), 0), 'language&amp;DataTest'!A:A, 0), MATCH(HOME!$A$25, 'language&amp;DataTest'!$A$1:$H$1, 0))</f>
        <v>Mewtwo</v>
      </c>
      <c r="E128" s="69" t="str">
        <f t="array" ref="E128">INDEX( PointerTest!F:F, MATCH(B128, PointerTest!A:A, 0), 0)</f>
        <v>♢</v>
      </c>
      <c r="F128" s="70">
        <f t="array" ref="F128">LET(percentage,XLOOKUP($E128,$K$2:$K$10,L$2:L$10,"",0)/(COUNTIFS($E:$E,$E128,$D:$D,RegularFormula!$D$2)+COUNTIFS($E:$E,$E128,$D:$D,IF($D128=RegularFormula!$D$2,$K$15,$D128))),IFERROR(IF(percentage,percentage,""),""))
</f>
        <v>0.02</v>
      </c>
      <c r="G128" s="71" t="str">
        <f t="array" ref="G128">LET(percentage,XLOOKUP($E128,$K$2:$K$10,M$2:M$10,"",0)/(COUNTIFS($E:$E,$E128,$D:$D,RegularFormula!$D$2)+COUNTIFS($E:$E,$E128,$D:$D,IF($D128=RegularFormula!$D$2,$K$15,$D128))),IFERROR(IF(percentage,percentage,""),""))
</f>
        <v/>
      </c>
      <c r="H128" s="71" t="str">
        <f t="array" ref="H128">LET(percentage,XLOOKUP($E128,$K$2:$K$10,N$2:N$10,"",0)/(COUNTIFS($E:$E,$E128,$D:$D,RegularFormula!$D$2)+COUNTIFS($E:$E,$E128,$D:$D,IF($D128=RegularFormula!$D$2,$K$15,$D128))),IFERROR(IF(percentage,percentage,""),""))
</f>
        <v/>
      </c>
      <c r="I128" s="72" t="str">
        <f t="shared" si="1"/>
        <v/>
      </c>
      <c r="J128" s="73">
        <v>0.0</v>
      </c>
      <c r="K128" s="194"/>
      <c r="L128" s="55"/>
      <c r="M128" s="55"/>
      <c r="N128" s="55"/>
      <c r="O128" s="85"/>
      <c r="P128" s="103"/>
      <c r="Q128" s="103"/>
      <c r="R128" s="103"/>
      <c r="S128" s="79" t="str">
        <f t="shared" si="2"/>
        <v/>
      </c>
      <c r="T128" s="80" t="str">
        <f>IFERROR(__xludf.DUMMYFUNCTION("IF(
  Q128="""",
  """",
  IF(
   REGEXMATCH(SUBSTITUTE(Q128, "" ex"", """"), TEXTJOIN(""|"", TRUE, INDEX('language&amp;DataTest'!$A$33:$AB$182, , MATCH(HOME!$A$25, 'language&amp;DataTest'!$A$1:$G$1, 0)))),
   IF($M$26,
     IF(COUNTIFS(ARRAYFORMULA(SUBSTITUTE($C"&amp;"$2:$C287, "" ex"", """")), SUBSTITUTE(Q128, "" ex"", """"), $J$2:$J287, ""&gt;0"")=0, ""Yes"", ""No""),
     IF(COUNTIFS(ARRAYFORMULA(SUBSTITUTE($C$2:$C287, "" ex"", """")), SUBSTITUTE(Q128, "" ex"", """"), $A$2:$A287, TRUE)=0, ""Yes"", ""No"")
   ),
   ""No"&amp;"""
 )
)"),"")</f>
        <v/>
      </c>
    </row>
    <row r="129">
      <c r="A129" s="68" t="b">
        <v>1</v>
      </c>
      <c r="B129" s="69" t="s">
        <v>245</v>
      </c>
      <c r="C129" s="69" t="str">
        <f t="array" ref="C129">TEXTJOIN("", TRUE, IFERROR(INDEX('language&amp;DataTest'!A:J, MATCH(INDEX( PointerTest!C:C, MATCH(B129, PointerTest!A:A, 0), 0), 'language&amp;DataTest'!A:A, 0), MATCH(HOME!$A$25, 'language&amp;DataTest'!$A$1:$H$1, 0))),                      IFERROR(INDEX('language&amp;DataTest'!A:J, MATCH(INDEX( PointerTest!D:D, MATCH(B129, PointerTest!A:A, 0), 0), 'language&amp;DataTest'!A:A, 0), MATCH(HOME!$A$25, 'language&amp;DataTest'!$A$1:$H$1, 0))),                                          
IFERROR(INDEX('language&amp;DataTest'!A:J, MATCH(INDEX( PointerTest!E:E, MATCH(B129, PointerTest!A:A, 0), 0), 'language&amp;DataTest'!A:A, 0), MATCH(HOME!$A$25, 'language&amp;DataTest'!$A$1:$H$1, 0))))</f>
        <v>Mewtwo</v>
      </c>
      <c r="D129" s="69" t="str">
        <f t="array" ref="D129">INDEX('language&amp;DataTest'!A:J, MATCH(INDEX( PointerTest!D:D, MATCH(INDEX(PointerTest!B:B, MATCH(B129, PointerTest!A:A, 0)), PointerTest!A:A, 0), 0), 'language&amp;DataTest'!A:A, 0), MATCH(HOME!$A$25, 'language&amp;DataTest'!$A$1:$H$1, 0))</f>
        <v>Mewtwo</v>
      </c>
      <c r="E129" s="69" t="str">
        <f t="array" ref="E129">INDEX( PointerTest!F:F, MATCH(B129, PointerTest!A:A, 0), 0)</f>
        <v>♢♢♢</v>
      </c>
      <c r="F129" s="70" t="str">
        <f t="array" ref="F129">LET(percentage,XLOOKUP($E129,$K$2:$K$10,L$2:L$10,"",0)/(COUNTIFS($E:$E,$E129,$D:$D,RegularFormula!$D$2)+COUNTIFS($E:$E,$E129,$D:$D,IF($D129=RegularFormula!$D$2,$K$15,$D129))),IFERROR(IF(percentage,percentage,""),""))
</f>
        <v/>
      </c>
      <c r="G129" s="71">
        <f t="array" ref="G129">LET(percentage,XLOOKUP($E129,$K$2:$K$10,M$2:M$10,"",0)/(COUNTIFS($E:$E,$E129,$D:$D,RegularFormula!$D$2)+COUNTIFS($E:$E,$E129,$D:$D,IF($D129=RegularFormula!$D$2,$K$15,$D129))),IFERROR(IF(percentage,percentage,""),""))
</f>
        <v>0.003571428571</v>
      </c>
      <c r="H129" s="71">
        <f t="array" ref="H129">LET(percentage,XLOOKUP($E129,$K$2:$K$10,N$2:N$10,"",0)/(COUNTIFS($E:$E,$E129,$D:$D,RegularFormula!$D$2)+COUNTIFS($E:$E,$E129,$D:$D,IF($D129=RegularFormula!$D$2,$K$15,$D129))),IFERROR(IF(percentage,percentage,""),""))
</f>
        <v>0.01428571429</v>
      </c>
      <c r="I129" s="72" t="str">
        <f t="shared" si="1"/>
        <v/>
      </c>
      <c r="J129" s="73">
        <v>0.0</v>
      </c>
      <c r="K129" s="194"/>
      <c r="L129" s="55"/>
      <c r="M129" s="55"/>
      <c r="N129" s="55"/>
      <c r="O129" s="85"/>
      <c r="P129" s="103"/>
      <c r="Q129" s="103"/>
      <c r="R129" s="103"/>
      <c r="S129" s="79" t="str">
        <f t="shared" si="2"/>
        <v/>
      </c>
      <c r="T129" s="80" t="str">
        <f>IFERROR(__xludf.DUMMYFUNCTION("IF(
  Q129="""",
  """",
  IF(
   REGEXMATCH(SUBSTITUTE(Q129, "" ex"", """"), TEXTJOIN(""|"", TRUE, INDEX('language&amp;DataTest'!$A$33:$AB$182, , MATCH(HOME!$A$25, 'language&amp;DataTest'!$A$1:$G$1, 0)))),
   IF($M$26,
     IF(COUNTIFS(ARRAYFORMULA(SUBSTITUTE($C"&amp;"$2:$C287, "" ex"", """")), SUBSTITUTE(Q129, "" ex"", """"), $J$2:$J287, ""&gt;0"")=0, ""Yes"", ""No""),
     IF(COUNTIFS(ARRAYFORMULA(SUBSTITUTE($C$2:$C287, "" ex"", """")), SUBSTITUTE(Q129, "" ex"", """"), $A$2:$A287, TRUE)=0, ""Yes"", ""No"")
   ),
   ""No"&amp;"""
 )
)"),"")</f>
        <v/>
      </c>
    </row>
    <row r="130">
      <c r="A130" s="68" t="b">
        <v>1</v>
      </c>
      <c r="B130" s="69" t="s">
        <v>246</v>
      </c>
      <c r="C130" s="69" t="str">
        <f t="array" ref="C130">TEXTJOIN("", TRUE, IFERROR(INDEX('language&amp;DataTest'!A:J, MATCH(INDEX( PointerTest!C:C, MATCH(B130, PointerTest!A:A, 0), 0), 'language&amp;DataTest'!A:A, 0), MATCH(HOME!$A$25, 'language&amp;DataTest'!$A$1:$H$1, 0))),                      IFERROR(INDEX('language&amp;DataTest'!A:J, MATCH(INDEX( PointerTest!D:D, MATCH(B130, PointerTest!A:A, 0), 0), 'language&amp;DataTest'!A:A, 0), MATCH(HOME!$A$25, 'language&amp;DataTest'!$A$1:$H$1, 0))),                                          
IFERROR(INDEX('language&amp;DataTest'!A:J, MATCH(INDEX( PointerTest!E:E, MATCH(B130, PointerTest!A:A, 0), 0), 'language&amp;DataTest'!A:A, 0), MATCH(HOME!$A$25, 'language&amp;DataTest'!$A$1:$H$1, 0))))</f>
        <v>Mewtwo ex</v>
      </c>
      <c r="D130" s="69" t="str">
        <f t="array" ref="D130">INDEX('language&amp;DataTest'!A:J, MATCH(INDEX( PointerTest!D:D, MATCH(INDEX(PointerTest!B:B, MATCH(B130, PointerTest!A:A, 0)), PointerTest!A:A, 0), 0), 'language&amp;DataTest'!A:A, 0), MATCH(HOME!$A$25, 'language&amp;DataTest'!$A$1:$H$1, 0))</f>
        <v>Mewtwo</v>
      </c>
      <c r="E130" s="69" t="str">
        <f t="array" ref="E130">INDEX( PointerTest!F:F, MATCH(B130, PointerTest!A:A, 0), 0)</f>
        <v>♢♢♢♢</v>
      </c>
      <c r="F130" s="70" t="str">
        <f t="array" ref="F130">LET(percentage,XLOOKUP($E130,$K$2:$K$10,L$2:L$10,"",0)/(COUNTIFS($E:$E,$E130,$D:$D,RegularFormula!$D$2)+COUNTIFS($E:$E,$E130,$D:$D,IF($D130=RegularFormula!$D$2,$K$15,$D130))),IFERROR(IF(percentage,percentage,""),""))
</f>
        <v/>
      </c>
      <c r="G130" s="71">
        <f t="array" ref="G130">LET(percentage,XLOOKUP($E130,$K$2:$K$10,M$2:M$10,"",0)/(COUNTIFS($E:$E,$E130,$D:$D,RegularFormula!$D$2)+COUNTIFS($E:$E,$E130,$D:$D,IF($D130=RegularFormula!$D$2,$K$15,$D130))),IFERROR(IF(percentage,percentage,""),""))
</f>
        <v>0.003332</v>
      </c>
      <c r="H130" s="71">
        <f t="array" ref="H130">LET(percentage,XLOOKUP($E130,$K$2:$K$10,N$2:N$10,"",0)/(COUNTIFS($E:$E,$E130,$D:$D,RegularFormula!$D$2)+COUNTIFS($E:$E,$E130,$D:$D,IF($D130=RegularFormula!$D$2,$K$15,$D130))),IFERROR(IF(percentage,percentage,""),""))
</f>
        <v>0.013328</v>
      </c>
      <c r="I130" s="72" t="str">
        <f t="shared" si="1"/>
        <v/>
      </c>
      <c r="J130" s="73">
        <v>0.0</v>
      </c>
      <c r="K130" s="194"/>
      <c r="L130" s="55"/>
      <c r="M130" s="55"/>
      <c r="N130" s="55"/>
      <c r="O130" s="85"/>
      <c r="P130" s="103"/>
      <c r="Q130" s="103"/>
      <c r="R130" s="103"/>
      <c r="S130" s="79" t="str">
        <f t="shared" si="2"/>
        <v/>
      </c>
      <c r="T130" s="80" t="str">
        <f>IFERROR(__xludf.DUMMYFUNCTION("IF(
  Q130="""",
  """",
  IF(
   REGEXMATCH(SUBSTITUTE(Q130, "" ex"", """"), TEXTJOIN(""|"", TRUE, INDEX('language&amp;DataTest'!$A$33:$AB$182, , MATCH(HOME!$A$25, 'language&amp;DataTest'!$A$1:$G$1, 0)))),
   IF($M$26,
     IF(COUNTIFS(ARRAYFORMULA(SUBSTITUTE($C"&amp;"$2:$C287, "" ex"", """")), SUBSTITUTE(Q130, "" ex"", """"), $J$2:$J287, ""&gt;0"")=0, ""Yes"", ""No""),
     IF(COUNTIFS(ARRAYFORMULA(SUBSTITUTE($C$2:$C287, "" ex"", """")), SUBSTITUTE(Q130, "" ex"", """"), $A$2:$A287, TRUE)=0, ""Yes"", ""No"")
   ),
   ""No"&amp;"""
 )
)"),"")</f>
        <v/>
      </c>
    </row>
    <row r="131">
      <c r="A131" s="68" t="b">
        <v>1</v>
      </c>
      <c r="B131" s="69" t="s">
        <v>247</v>
      </c>
      <c r="C131" s="69" t="str">
        <f t="array" ref="C131">TEXTJOIN("", TRUE, IFERROR(INDEX('language&amp;DataTest'!A:J, MATCH(INDEX( PointerTest!C:C, MATCH(B131, PointerTest!A:A, 0), 0), 'language&amp;DataTest'!A:A, 0), MATCH(HOME!$A$25, 'language&amp;DataTest'!$A$1:$H$1, 0))),                      IFERROR(INDEX('language&amp;DataTest'!A:J, MATCH(INDEX( PointerTest!D:D, MATCH(B131, PointerTest!A:A, 0), 0), 'language&amp;DataTest'!A:A, 0), MATCH(HOME!$A$25, 'language&amp;DataTest'!$A$1:$H$1, 0))),                                          
IFERROR(INDEX('language&amp;DataTest'!A:J, MATCH(INDEX( PointerTest!E:E, MATCH(B131, PointerTest!A:A, 0), 0), 'language&amp;DataTest'!A:A, 0), MATCH(HOME!$A$25, 'language&amp;DataTest'!$A$1:$H$1, 0))))</f>
        <v>Ralts</v>
      </c>
      <c r="D131" s="69" t="str">
        <f t="array" ref="D131">INDEX('language&amp;DataTest'!A:J, MATCH(INDEX( PointerTest!D:D, MATCH(INDEX(PointerTest!B:B, MATCH(B131, PointerTest!A:A, 0)), PointerTest!A:A, 0), 0), 'language&amp;DataTest'!A:A, 0), MATCH(HOME!$A$25, 'language&amp;DataTest'!$A$1:$H$1, 0))</f>
        <v>Mewtwo</v>
      </c>
      <c r="E131" s="69" t="str">
        <f t="array" ref="E131">INDEX( PointerTest!F:F, MATCH(B131, PointerTest!A:A, 0), 0)</f>
        <v>♢</v>
      </c>
      <c r="F131" s="70">
        <f t="array" ref="F131">LET(percentage,XLOOKUP($E131,$K$2:$K$10,L$2:L$10,"",0)/(COUNTIFS($E:$E,$E131,$D:$D,RegularFormula!$D$2)+COUNTIFS($E:$E,$E131,$D:$D,IF($D131=RegularFormula!$D$2,$K$15,$D131))),IFERROR(IF(percentage,percentage,""),""))
</f>
        <v>0.02</v>
      </c>
      <c r="G131" s="71" t="str">
        <f t="array" ref="G131">LET(percentage,XLOOKUP($E131,$K$2:$K$10,M$2:M$10,"",0)/(COUNTIFS($E:$E,$E131,$D:$D,RegularFormula!$D$2)+COUNTIFS($E:$E,$E131,$D:$D,IF($D131=RegularFormula!$D$2,$K$15,$D131))),IFERROR(IF(percentage,percentage,""),""))
</f>
        <v/>
      </c>
      <c r="H131" s="71" t="str">
        <f t="array" ref="H131">LET(percentage,XLOOKUP($E131,$K$2:$K$10,N$2:N$10,"",0)/(COUNTIFS($E:$E,$E131,$D:$D,RegularFormula!$D$2)+COUNTIFS($E:$E,$E131,$D:$D,IF($D131=RegularFormula!$D$2,$K$15,$D131))),IFERROR(IF(percentage,percentage,""),""))
</f>
        <v/>
      </c>
      <c r="I131" s="72" t="str">
        <f t="shared" si="1"/>
        <v/>
      </c>
      <c r="J131" s="73">
        <v>0.0</v>
      </c>
      <c r="K131" s="194"/>
      <c r="L131" s="55"/>
      <c r="M131" s="55"/>
      <c r="N131" s="55"/>
      <c r="O131" s="85"/>
      <c r="P131" s="103"/>
      <c r="Q131" s="103"/>
      <c r="R131" s="103"/>
      <c r="S131" s="79" t="str">
        <f t="shared" si="2"/>
        <v/>
      </c>
      <c r="T131" s="80" t="str">
        <f>IFERROR(__xludf.DUMMYFUNCTION("IF(
  Q131="""",
  """",
  IF(
   REGEXMATCH(SUBSTITUTE(Q131, "" ex"", """"), TEXTJOIN(""|"", TRUE, INDEX('language&amp;DataTest'!$A$33:$AB$182, , MATCH(HOME!$A$25, 'language&amp;DataTest'!$A$1:$G$1, 0)))),
   IF($M$26,
     IF(COUNTIFS(ARRAYFORMULA(SUBSTITUTE($C"&amp;"$2:$C287, "" ex"", """")), SUBSTITUTE(Q131, "" ex"", """"), $J$2:$J287, ""&gt;0"")=0, ""Yes"", ""No""),
     IF(COUNTIFS(ARRAYFORMULA(SUBSTITUTE($C$2:$C287, "" ex"", """")), SUBSTITUTE(Q131, "" ex"", """"), $A$2:$A287, TRUE)=0, ""Yes"", ""No"")
   ),
   ""No"&amp;"""
 )
)"),"")</f>
        <v/>
      </c>
    </row>
    <row r="132">
      <c r="A132" s="68" t="b">
        <v>1</v>
      </c>
      <c r="B132" s="69" t="s">
        <v>248</v>
      </c>
      <c r="C132" s="69" t="str">
        <f t="array" ref="C132">TEXTJOIN("", TRUE, IFERROR(INDEX('language&amp;DataTest'!A:J, MATCH(INDEX( PointerTest!C:C, MATCH(B132, PointerTest!A:A, 0), 0), 'language&amp;DataTest'!A:A, 0), MATCH(HOME!$A$25, 'language&amp;DataTest'!$A$1:$H$1, 0))),                      IFERROR(INDEX('language&amp;DataTest'!A:J, MATCH(INDEX( PointerTest!D:D, MATCH(B132, PointerTest!A:A, 0), 0), 'language&amp;DataTest'!A:A, 0), MATCH(HOME!$A$25, 'language&amp;DataTest'!$A$1:$H$1, 0))),                                          
IFERROR(INDEX('language&amp;DataTest'!A:J, MATCH(INDEX( PointerTest!E:E, MATCH(B132, PointerTest!A:A, 0), 0), 'language&amp;DataTest'!A:A, 0), MATCH(HOME!$A$25, 'language&amp;DataTest'!$A$1:$H$1, 0))))</f>
        <v>Kirlia</v>
      </c>
      <c r="D132" s="69" t="str">
        <f t="array" ref="D132">INDEX('language&amp;DataTest'!A:J, MATCH(INDEX( PointerTest!D:D, MATCH(INDEX(PointerTest!B:B, MATCH(B132, PointerTest!A:A, 0)), PointerTest!A:A, 0), 0), 'language&amp;DataTest'!A:A, 0), MATCH(HOME!$A$25, 'language&amp;DataTest'!$A$1:$H$1, 0))</f>
        <v>Mewtwo</v>
      </c>
      <c r="E132" s="69" t="str">
        <f t="array" ref="E132">INDEX( PointerTest!F:F, MATCH(B132, PointerTest!A:A, 0), 0)</f>
        <v>♢♢</v>
      </c>
      <c r="F132" s="70" t="str">
        <f t="array" ref="F132">LET(percentage,XLOOKUP($E132,$K$2:$K$10,L$2:L$10,"",0)/(COUNTIFS($E:$E,$E132,$D:$D,RegularFormula!$D$2)+COUNTIFS($E:$E,$E132,$D:$D,IF($D132=RegularFormula!$D$2,$K$15,$D132))),IFERROR(IF(percentage,percentage,""),""))
</f>
        <v/>
      </c>
      <c r="G132" s="71">
        <f t="array" ref="G132">LET(percentage,XLOOKUP($E132,$K$2:$K$10,M$2:M$10,"",0)/(COUNTIFS($E:$E,$E132,$D:$D,RegularFormula!$D$2)+COUNTIFS($E:$E,$E132,$D:$D,IF($D132=RegularFormula!$D$2,$K$15,$D132))),IFERROR(IF(percentage,percentage,""),""))
</f>
        <v>0.02571428571</v>
      </c>
      <c r="H132" s="71">
        <f t="array" ref="H132">LET(percentage,XLOOKUP($E132,$K$2:$K$10,N$2:N$10,"",0)/(COUNTIFS($E:$E,$E132,$D:$D,RegularFormula!$D$2)+COUNTIFS($E:$E,$E132,$D:$D,IF($D132=RegularFormula!$D$2,$K$15,$D132))),IFERROR(IF(percentage,percentage,""),""))
</f>
        <v>0.01714285714</v>
      </c>
      <c r="I132" s="72" t="str">
        <f t="shared" si="1"/>
        <v/>
      </c>
      <c r="J132" s="73">
        <v>0.0</v>
      </c>
      <c r="K132" s="194"/>
      <c r="L132" s="55"/>
      <c r="M132" s="55"/>
      <c r="N132" s="55"/>
      <c r="O132" s="85"/>
      <c r="P132" s="103"/>
      <c r="Q132" s="103"/>
      <c r="R132" s="103"/>
      <c r="S132" s="79" t="str">
        <f t="shared" si="2"/>
        <v/>
      </c>
      <c r="T132" s="80" t="str">
        <f>IFERROR(__xludf.DUMMYFUNCTION("IF(
  Q132="""",
  """",
  IF(
   REGEXMATCH(SUBSTITUTE(Q132, "" ex"", """"), TEXTJOIN(""|"", TRUE, INDEX('language&amp;DataTest'!$A$33:$AB$182, , MATCH(HOME!$A$25, 'language&amp;DataTest'!$A$1:$G$1, 0)))),
   IF($M$26,
     IF(COUNTIFS(ARRAYFORMULA(SUBSTITUTE($C"&amp;"$2:$C287, "" ex"", """")), SUBSTITUTE(Q132, "" ex"", """"), $J$2:$J287, ""&gt;0"")=0, ""Yes"", ""No""),
     IF(COUNTIFS(ARRAYFORMULA(SUBSTITUTE($C$2:$C287, "" ex"", """")), SUBSTITUTE(Q132, "" ex"", """"), $A$2:$A287, TRUE)=0, ""Yes"", ""No"")
   ),
   ""No"&amp;"""
 )
)"),"")</f>
        <v/>
      </c>
    </row>
    <row r="133">
      <c r="A133" s="68" t="b">
        <v>1</v>
      </c>
      <c r="B133" s="69" t="s">
        <v>249</v>
      </c>
      <c r="C133" s="69" t="str">
        <f t="array" ref="C133">TEXTJOIN("", TRUE, IFERROR(INDEX('language&amp;DataTest'!A:J, MATCH(INDEX( PointerTest!C:C, MATCH(B133, PointerTest!A:A, 0), 0), 'language&amp;DataTest'!A:A, 0), MATCH(HOME!$A$25, 'language&amp;DataTest'!$A$1:$H$1, 0))),                      IFERROR(INDEX('language&amp;DataTest'!A:J, MATCH(INDEX( PointerTest!D:D, MATCH(B133, PointerTest!A:A, 0), 0), 'language&amp;DataTest'!A:A, 0), MATCH(HOME!$A$25, 'language&amp;DataTest'!$A$1:$H$1, 0))),                                          
IFERROR(INDEX('language&amp;DataTest'!A:J, MATCH(INDEX( PointerTest!E:E, MATCH(B133, PointerTest!A:A, 0), 0), 'language&amp;DataTest'!A:A, 0), MATCH(HOME!$A$25, 'language&amp;DataTest'!$A$1:$H$1, 0))))</f>
        <v>Gardevoir</v>
      </c>
      <c r="D133" s="69" t="str">
        <f t="array" ref="D133">INDEX('language&amp;DataTest'!A:J, MATCH(INDEX( PointerTest!D:D, MATCH(INDEX(PointerTest!B:B, MATCH(B133, PointerTest!A:A, 0)), PointerTest!A:A, 0), 0), 'language&amp;DataTest'!A:A, 0), MATCH(HOME!$A$25, 'language&amp;DataTest'!$A$1:$H$1, 0))</f>
        <v>Mewtwo</v>
      </c>
      <c r="E133" s="69" t="str">
        <f t="array" ref="E133">INDEX( PointerTest!F:F, MATCH(B133, PointerTest!A:A, 0), 0)</f>
        <v>♢♢♢</v>
      </c>
      <c r="F133" s="70" t="str">
        <f t="array" ref="F133">LET(percentage,XLOOKUP($E133,$K$2:$K$10,L$2:L$10,"",0)/(COUNTIFS($E:$E,$E133,$D:$D,RegularFormula!$D$2)+COUNTIFS($E:$E,$E133,$D:$D,IF($D133=RegularFormula!$D$2,$K$15,$D133))),IFERROR(IF(percentage,percentage,""),""))
</f>
        <v/>
      </c>
      <c r="G133" s="71">
        <f t="array" ref="G133">LET(percentage,XLOOKUP($E133,$K$2:$K$10,M$2:M$10,"",0)/(COUNTIFS($E:$E,$E133,$D:$D,RegularFormula!$D$2)+COUNTIFS($E:$E,$E133,$D:$D,IF($D133=RegularFormula!$D$2,$K$15,$D133))),IFERROR(IF(percentage,percentage,""),""))
</f>
        <v>0.003571428571</v>
      </c>
      <c r="H133" s="71">
        <f t="array" ref="H133">LET(percentage,XLOOKUP($E133,$K$2:$K$10,N$2:N$10,"",0)/(COUNTIFS($E:$E,$E133,$D:$D,RegularFormula!$D$2)+COUNTIFS($E:$E,$E133,$D:$D,IF($D133=RegularFormula!$D$2,$K$15,$D133))),IFERROR(IF(percentage,percentage,""),""))
</f>
        <v>0.01428571429</v>
      </c>
      <c r="I133" s="72" t="str">
        <f t="shared" si="1"/>
        <v/>
      </c>
      <c r="J133" s="73">
        <v>0.0</v>
      </c>
      <c r="K133" s="194"/>
      <c r="L133" s="55"/>
      <c r="M133" s="55"/>
      <c r="N133" s="55"/>
      <c r="O133" s="85"/>
      <c r="P133" s="103"/>
      <c r="Q133" s="103"/>
      <c r="R133" s="103"/>
      <c r="S133" s="79" t="str">
        <f t="shared" si="2"/>
        <v/>
      </c>
      <c r="T133" s="80" t="str">
        <f>IFERROR(__xludf.DUMMYFUNCTION("IF(
  Q133="""",
  """",
  IF(
   REGEXMATCH(SUBSTITUTE(Q133, "" ex"", """"), TEXTJOIN(""|"", TRUE, INDEX('language&amp;DataTest'!$A$33:$AB$182, , MATCH(HOME!$A$25, 'language&amp;DataTest'!$A$1:$G$1, 0)))),
   IF($M$26,
     IF(COUNTIFS(ARRAYFORMULA(SUBSTITUTE($C"&amp;"$2:$C287, "" ex"", """")), SUBSTITUTE(Q133, "" ex"", """"), $J$2:$J287, ""&gt;0"")=0, ""Yes"", ""No""),
     IF(COUNTIFS(ARRAYFORMULA(SUBSTITUTE($C$2:$C287, "" ex"", """")), SUBSTITUTE(Q133, "" ex"", """"), $A$2:$A287, TRUE)=0, ""Yes"", ""No"")
   ),
   ""No"&amp;"""
 )
)"),"")</f>
        <v/>
      </c>
    </row>
    <row r="134">
      <c r="A134" s="68" t="b">
        <v>1</v>
      </c>
      <c r="B134" s="69" t="s">
        <v>250</v>
      </c>
      <c r="C134" s="69" t="str">
        <f t="array" ref="C134">TEXTJOIN("", TRUE, IFERROR(INDEX('language&amp;DataTest'!A:J, MATCH(INDEX( PointerTest!C:C, MATCH(B134, PointerTest!A:A, 0), 0), 'language&amp;DataTest'!A:A, 0), MATCH(HOME!$A$25, 'language&amp;DataTest'!$A$1:$H$1, 0))),                      IFERROR(INDEX('language&amp;DataTest'!A:J, MATCH(INDEX( PointerTest!D:D, MATCH(B134, PointerTest!A:A, 0), 0), 'language&amp;DataTest'!A:A, 0), MATCH(HOME!$A$25, 'language&amp;DataTest'!$A$1:$H$1, 0))),                                          
IFERROR(INDEX('language&amp;DataTest'!A:J, MATCH(INDEX( PointerTest!E:E, MATCH(B134, PointerTest!A:A, 0), 0), 'language&amp;DataTest'!A:A, 0), MATCH(HOME!$A$25, 'language&amp;DataTest'!$A$1:$H$1, 0))))</f>
        <v>Woobat</v>
      </c>
      <c r="D134" s="69" t="str">
        <f t="array" ref="D134">INDEX('language&amp;DataTest'!A:J, MATCH(INDEX( PointerTest!D:D, MATCH(INDEX(PointerTest!B:B, MATCH(B134, PointerTest!A:A, 0)), PointerTest!A:A, 0), 0), 'language&amp;DataTest'!A:A, 0), MATCH(HOME!$A$25, 'language&amp;DataTest'!$A$1:$H$1, 0))</f>
        <v>All</v>
      </c>
      <c r="E134" s="69" t="str">
        <f t="array" ref="E134">INDEX( PointerTest!F:F, MATCH(B134, PointerTest!A:A, 0), 0)</f>
        <v>♢</v>
      </c>
      <c r="F134" s="70">
        <f t="array" ref="F134">LET(percentage,XLOOKUP($E134,$K$2:$K$10,L$2:L$10,"",0)/(COUNTIFS($E:$E,$E134,$D:$D,RegularFormula!$D$2)+COUNTIFS($E:$E,$E134,$D:$D,IF($D134=RegularFormula!$D$2,$K$15,$D134))),IFERROR(IF(percentage,percentage,""),""))
</f>
        <v>0.02</v>
      </c>
      <c r="G134" s="71" t="str">
        <f t="array" ref="G134">LET(percentage,XLOOKUP($E134,$K$2:$K$10,M$2:M$10,"",0)/(COUNTIFS($E:$E,$E134,$D:$D,RegularFormula!$D$2)+COUNTIFS($E:$E,$E134,$D:$D,IF($D134=RegularFormula!$D$2,$K$15,$D134))),IFERROR(IF(percentage,percentage,""),""))
</f>
        <v/>
      </c>
      <c r="H134" s="71" t="str">
        <f t="array" ref="H134">LET(percentage,XLOOKUP($E134,$K$2:$K$10,N$2:N$10,"",0)/(COUNTIFS($E:$E,$E134,$D:$D,RegularFormula!$D$2)+COUNTIFS($E:$E,$E134,$D:$D,IF($D134=RegularFormula!$D$2,$K$15,$D134))),IFERROR(IF(percentage,percentage,""),""))
</f>
        <v/>
      </c>
      <c r="I134" s="72" t="str">
        <f t="shared" si="1"/>
        <v>*Based on Mewtwo pack</v>
      </c>
      <c r="J134" s="73">
        <v>0.0</v>
      </c>
      <c r="K134" s="194"/>
      <c r="L134" s="55"/>
      <c r="M134" s="55"/>
      <c r="N134" s="55"/>
      <c r="O134" s="85"/>
      <c r="P134" s="103"/>
      <c r="Q134" s="103"/>
      <c r="R134" s="103"/>
      <c r="S134" s="79" t="str">
        <f t="shared" si="2"/>
        <v/>
      </c>
      <c r="T134" s="80" t="str">
        <f>IFERROR(__xludf.DUMMYFUNCTION("IF(
  Q134="""",
  """",
  IF(
   REGEXMATCH(SUBSTITUTE(Q134, "" ex"", """"), TEXTJOIN(""|"", TRUE, INDEX('language&amp;DataTest'!$A$33:$AB$182, , MATCH(HOME!$A$25, 'language&amp;DataTest'!$A$1:$G$1, 0)))),
   IF($M$26,
     IF(COUNTIFS(ARRAYFORMULA(SUBSTITUTE($C"&amp;"$2:$C287, "" ex"", """")), SUBSTITUTE(Q134, "" ex"", """"), $J$2:$J287, ""&gt;0"")=0, ""Yes"", ""No""),
     IF(COUNTIFS(ARRAYFORMULA(SUBSTITUTE($C$2:$C287, "" ex"", """")), SUBSTITUTE(Q134, "" ex"", """"), $A$2:$A287, TRUE)=0, ""Yes"", ""No"")
   ),
   ""No"&amp;"""
 )
)"),"")</f>
        <v/>
      </c>
    </row>
    <row r="135">
      <c r="A135" s="68" t="b">
        <v>1</v>
      </c>
      <c r="B135" s="69" t="s">
        <v>251</v>
      </c>
      <c r="C135" s="69" t="str">
        <f t="array" ref="C135">TEXTJOIN("", TRUE, IFERROR(INDEX('language&amp;DataTest'!A:J, MATCH(INDEX( PointerTest!C:C, MATCH(B135, PointerTest!A:A, 0), 0), 'language&amp;DataTest'!A:A, 0), MATCH(HOME!$A$25, 'language&amp;DataTest'!$A$1:$H$1, 0))),                      IFERROR(INDEX('language&amp;DataTest'!A:J, MATCH(INDEX( PointerTest!D:D, MATCH(B135, PointerTest!A:A, 0), 0), 'language&amp;DataTest'!A:A, 0), MATCH(HOME!$A$25, 'language&amp;DataTest'!$A$1:$H$1, 0))),                                          
IFERROR(INDEX('language&amp;DataTest'!A:J, MATCH(INDEX( PointerTest!E:E, MATCH(B135, PointerTest!A:A, 0), 0), 'language&amp;DataTest'!A:A, 0), MATCH(HOME!$A$25, 'language&amp;DataTest'!$A$1:$H$1, 0))))</f>
        <v>Swoobat</v>
      </c>
      <c r="D135" s="69" t="str">
        <f t="array" ref="D135">INDEX('language&amp;DataTest'!A:J, MATCH(INDEX( PointerTest!D:D, MATCH(INDEX(PointerTest!B:B, MATCH(B135, PointerTest!A:A, 0)), PointerTest!A:A, 0), 0), 'language&amp;DataTest'!A:A, 0), MATCH(HOME!$A$25, 'language&amp;DataTest'!$A$1:$H$1, 0))</f>
        <v>All</v>
      </c>
      <c r="E135" s="69" t="str">
        <f t="array" ref="E135">INDEX( PointerTest!F:F, MATCH(B135, PointerTest!A:A, 0), 0)</f>
        <v>♢</v>
      </c>
      <c r="F135" s="70">
        <f t="array" ref="F135">LET(percentage,XLOOKUP($E135,$K$2:$K$10,L$2:L$10,"",0)/(COUNTIFS($E:$E,$E135,$D:$D,RegularFormula!$D$2)+COUNTIFS($E:$E,$E135,$D:$D,IF($D135=RegularFormula!$D$2,$K$15,$D135))),IFERROR(IF(percentage,percentage,""),""))
</f>
        <v>0.02</v>
      </c>
      <c r="G135" s="71" t="str">
        <f t="array" ref="G135">LET(percentage,XLOOKUP($E135,$K$2:$K$10,M$2:M$10,"",0)/(COUNTIFS($E:$E,$E135,$D:$D,RegularFormula!$D$2)+COUNTIFS($E:$E,$E135,$D:$D,IF($D135=RegularFormula!$D$2,$K$15,$D135))),IFERROR(IF(percentage,percentage,""),""))
</f>
        <v/>
      </c>
      <c r="H135" s="71" t="str">
        <f t="array" ref="H135">LET(percentage,XLOOKUP($E135,$K$2:$K$10,N$2:N$10,"",0)/(COUNTIFS($E:$E,$E135,$D:$D,RegularFormula!$D$2)+COUNTIFS($E:$E,$E135,$D:$D,IF($D135=RegularFormula!$D$2,$K$15,$D135))),IFERROR(IF(percentage,percentage,""),""))
</f>
        <v/>
      </c>
      <c r="I135" s="72" t="str">
        <f t="shared" si="1"/>
        <v>*Based on Mewtwo pack</v>
      </c>
      <c r="J135" s="73">
        <v>0.0</v>
      </c>
      <c r="K135" s="194"/>
      <c r="L135" s="55"/>
      <c r="M135" s="55"/>
      <c r="N135" s="55"/>
      <c r="O135" s="85"/>
      <c r="P135" s="103"/>
      <c r="Q135" s="103"/>
      <c r="R135" s="103"/>
      <c r="S135" s="79" t="str">
        <f t="shared" si="2"/>
        <v/>
      </c>
      <c r="T135" s="80" t="str">
        <f>IFERROR(__xludf.DUMMYFUNCTION("IF(
  Q135="""",
  """",
  IF(
   REGEXMATCH(SUBSTITUTE(Q135, "" ex"", """"), TEXTJOIN(""|"", TRUE, INDEX('language&amp;DataTest'!$A$33:$AB$182, , MATCH(HOME!$A$25, 'language&amp;DataTest'!$A$1:$G$1, 0)))),
   IF($M$26,
     IF(COUNTIFS(ARRAYFORMULA(SUBSTITUTE($C"&amp;"$2:$C287, "" ex"", """")), SUBSTITUTE(Q135, "" ex"", """"), $J$2:$J287, ""&gt;0"")=0, ""Yes"", ""No""),
     IF(COUNTIFS(ARRAYFORMULA(SUBSTITUTE($C$2:$C287, "" ex"", """")), SUBSTITUTE(Q135, "" ex"", """"), $A$2:$A287, TRUE)=0, ""Yes"", ""No"")
   ),
   ""No"&amp;"""
 )
)"),"")</f>
        <v/>
      </c>
    </row>
    <row r="136">
      <c r="A136" s="68" t="b">
        <v>1</v>
      </c>
      <c r="B136" s="69" t="s">
        <v>252</v>
      </c>
      <c r="C136" s="69" t="str">
        <f t="array" ref="C136">TEXTJOIN("", TRUE, IFERROR(INDEX('language&amp;DataTest'!A:J, MATCH(INDEX( PointerTest!C:C, MATCH(B136, PointerTest!A:A, 0), 0), 'language&amp;DataTest'!A:A, 0), MATCH(HOME!$A$25, 'language&amp;DataTest'!$A$1:$H$1, 0))),                      IFERROR(INDEX('language&amp;DataTest'!A:J, MATCH(INDEX( PointerTest!D:D, MATCH(B136, PointerTest!A:A, 0), 0), 'language&amp;DataTest'!A:A, 0), MATCH(HOME!$A$25, 'language&amp;DataTest'!$A$1:$H$1, 0))),                                          
IFERROR(INDEX('language&amp;DataTest'!A:J, MATCH(INDEX( PointerTest!E:E, MATCH(B136, PointerTest!A:A, 0), 0), 'language&amp;DataTest'!A:A, 0), MATCH(HOME!$A$25, 'language&amp;DataTest'!$A$1:$H$1, 0))))</f>
        <v>Golett</v>
      </c>
      <c r="D136" s="69" t="str">
        <f t="array" ref="D136">INDEX('language&amp;DataTest'!A:J, MATCH(INDEX( PointerTest!D:D, MATCH(INDEX(PointerTest!B:B, MATCH(B136, PointerTest!A:A, 0)), PointerTest!A:A, 0), 0), 'language&amp;DataTest'!A:A, 0), MATCH(HOME!$A$25, 'language&amp;DataTest'!$A$1:$H$1, 0))</f>
        <v>All</v>
      </c>
      <c r="E136" s="69" t="str">
        <f t="array" ref="E136">INDEX( PointerTest!F:F, MATCH(B136, PointerTest!A:A, 0), 0)</f>
        <v>♢</v>
      </c>
      <c r="F136" s="70">
        <f t="array" ref="F136">LET(percentage,XLOOKUP($E136,$K$2:$K$10,L$2:L$10,"",0)/(COUNTIFS($E:$E,$E136,$D:$D,RegularFormula!$D$2)+COUNTIFS($E:$E,$E136,$D:$D,IF($D136=RegularFormula!$D$2,$K$15,$D136))),IFERROR(IF(percentage,percentage,""),""))
</f>
        <v>0.02</v>
      </c>
      <c r="G136" s="71" t="str">
        <f t="array" ref="G136">LET(percentage,XLOOKUP($E136,$K$2:$K$10,M$2:M$10,"",0)/(COUNTIFS($E:$E,$E136,$D:$D,RegularFormula!$D$2)+COUNTIFS($E:$E,$E136,$D:$D,IF($D136=RegularFormula!$D$2,$K$15,$D136))),IFERROR(IF(percentage,percentage,""),""))
</f>
        <v/>
      </c>
      <c r="H136" s="71" t="str">
        <f t="array" ref="H136">LET(percentage,XLOOKUP($E136,$K$2:$K$10,N$2:N$10,"",0)/(COUNTIFS($E:$E,$E136,$D:$D,RegularFormula!$D$2)+COUNTIFS($E:$E,$E136,$D:$D,IF($D136=RegularFormula!$D$2,$K$15,$D136))),IFERROR(IF(percentage,percentage,""),""))
</f>
        <v/>
      </c>
      <c r="I136" s="72" t="str">
        <f t="shared" si="1"/>
        <v>*Based on Mewtwo pack</v>
      </c>
      <c r="J136" s="73">
        <v>0.0</v>
      </c>
      <c r="K136" s="194"/>
      <c r="L136" s="55"/>
      <c r="M136" s="55"/>
      <c r="N136" s="55"/>
      <c r="O136" s="85"/>
      <c r="P136" s="103"/>
      <c r="Q136" s="103"/>
      <c r="R136" s="103"/>
      <c r="S136" s="79" t="str">
        <f t="shared" si="2"/>
        <v/>
      </c>
      <c r="T136" s="80" t="str">
        <f>IFERROR(__xludf.DUMMYFUNCTION("IF(
  Q136="""",
  """",
  IF(
   REGEXMATCH(SUBSTITUTE(Q136, "" ex"", """"), TEXTJOIN(""|"", TRUE, INDEX('language&amp;DataTest'!$A$33:$AB$182, , MATCH(HOME!$A$25, 'language&amp;DataTest'!$A$1:$G$1, 0)))),
   IF($M$26,
     IF(COUNTIFS(ARRAYFORMULA(SUBSTITUTE($C"&amp;"$2:$C287, "" ex"", """")), SUBSTITUTE(Q136, "" ex"", """"), $J$2:$J287, ""&gt;0"")=0, ""Yes"", ""No""),
     IF(COUNTIFS(ARRAYFORMULA(SUBSTITUTE($C$2:$C287, "" ex"", """")), SUBSTITUTE(Q136, "" ex"", """"), $A$2:$A287, TRUE)=0, ""Yes"", ""No"")
   ),
   ""No"&amp;"""
 )
)"),"")</f>
        <v/>
      </c>
    </row>
    <row r="137">
      <c r="A137" s="68" t="b">
        <v>1</v>
      </c>
      <c r="B137" s="69" t="s">
        <v>253</v>
      </c>
      <c r="C137" s="69" t="str">
        <f t="array" ref="C137">TEXTJOIN("", TRUE, IFERROR(INDEX('language&amp;DataTest'!A:J, MATCH(INDEX( PointerTest!C:C, MATCH(B137, PointerTest!A:A, 0), 0), 'language&amp;DataTest'!A:A, 0), MATCH(HOME!$A$25, 'language&amp;DataTest'!$A$1:$H$1, 0))),                      IFERROR(INDEX('language&amp;DataTest'!A:J, MATCH(INDEX( PointerTest!D:D, MATCH(B137, PointerTest!A:A, 0), 0), 'language&amp;DataTest'!A:A, 0), MATCH(HOME!$A$25, 'language&amp;DataTest'!$A$1:$H$1, 0))),                                          
IFERROR(INDEX('language&amp;DataTest'!A:J, MATCH(INDEX( PointerTest!E:E, MATCH(B137, PointerTest!A:A, 0), 0), 'language&amp;DataTest'!A:A, 0), MATCH(HOME!$A$25, 'language&amp;DataTest'!$A$1:$H$1, 0))))</f>
        <v>Golurk</v>
      </c>
      <c r="D137" s="69" t="str">
        <f t="array" ref="D137">INDEX('language&amp;DataTest'!A:J, MATCH(INDEX( PointerTest!D:D, MATCH(INDEX(PointerTest!B:B, MATCH(B137, PointerTest!A:A, 0)), PointerTest!A:A, 0), 0), 'language&amp;DataTest'!A:A, 0), MATCH(HOME!$A$25, 'language&amp;DataTest'!$A$1:$H$1, 0))</f>
        <v>All</v>
      </c>
      <c r="E137" s="69" t="str">
        <f t="array" ref="E137">INDEX( PointerTest!F:F, MATCH(B137, PointerTest!A:A, 0), 0)</f>
        <v>♢♢</v>
      </c>
      <c r="F137" s="70" t="str">
        <f t="array" ref="F137">LET(percentage,XLOOKUP($E137,$K$2:$K$10,L$2:L$10,"",0)/(COUNTIFS($E:$E,$E137,$D:$D,RegularFormula!$D$2)+COUNTIFS($E:$E,$E137,$D:$D,IF($D137=RegularFormula!$D$2,$K$15,$D137))),IFERROR(IF(percentage,percentage,""),""))
</f>
        <v/>
      </c>
      <c r="G137" s="71">
        <f t="array" ref="G137">LET(percentage,XLOOKUP($E137,$K$2:$K$10,M$2:M$10,"",0)/(COUNTIFS($E:$E,$E137,$D:$D,RegularFormula!$D$2)+COUNTIFS($E:$E,$E137,$D:$D,IF($D137=RegularFormula!$D$2,$K$15,$D137))),IFERROR(IF(percentage,percentage,""),""))
</f>
        <v>0.02571428571</v>
      </c>
      <c r="H137" s="71">
        <f t="array" ref="H137">LET(percentage,XLOOKUP($E137,$K$2:$K$10,N$2:N$10,"",0)/(COUNTIFS($E:$E,$E137,$D:$D,RegularFormula!$D$2)+COUNTIFS($E:$E,$E137,$D:$D,IF($D137=RegularFormula!$D$2,$K$15,$D137))),IFERROR(IF(percentage,percentage,""),""))
</f>
        <v>0.01714285714</v>
      </c>
      <c r="I137" s="72" t="str">
        <f t="shared" si="1"/>
        <v>*Based on Mewtwo pack</v>
      </c>
      <c r="J137" s="73">
        <v>0.0</v>
      </c>
      <c r="K137" s="194"/>
      <c r="L137" s="55"/>
      <c r="M137" s="55"/>
      <c r="N137" s="55"/>
      <c r="O137" s="92"/>
      <c r="P137" s="103"/>
      <c r="Q137" s="103"/>
      <c r="R137" s="103"/>
      <c r="S137" s="79" t="str">
        <f t="shared" si="2"/>
        <v/>
      </c>
      <c r="T137" s="80" t="str">
        <f>IFERROR(__xludf.DUMMYFUNCTION("IF(
  Q137="""",
  """",
  IF(
   REGEXMATCH(SUBSTITUTE(Q137, "" ex"", """"), TEXTJOIN(""|"", TRUE, INDEX('language&amp;DataTest'!$A$33:$AB$182, , MATCH(HOME!$A$25, 'language&amp;DataTest'!$A$1:$G$1, 0)))),
   IF($M$26,
     IF(COUNTIFS(ARRAYFORMULA(SUBSTITUTE($C"&amp;"$2:$C287, "" ex"", """")), SUBSTITUTE(Q137, "" ex"", """"), $J$2:$J287, ""&gt;0"")=0, ""Yes"", ""No""),
     IF(COUNTIFS(ARRAYFORMULA(SUBSTITUTE($C$2:$C287, "" ex"", """")), SUBSTITUTE(Q137, "" ex"", """"), $A$2:$A287, TRUE)=0, ""Yes"", ""No"")
   ),
   ""No"&amp;"""
 )
)"),"")</f>
        <v/>
      </c>
    </row>
    <row r="138">
      <c r="A138" s="68" t="b">
        <v>1</v>
      </c>
      <c r="B138" s="69" t="s">
        <v>254</v>
      </c>
      <c r="C138" s="69" t="str">
        <f t="array" ref="C138">TEXTJOIN("", TRUE, IFERROR(INDEX('language&amp;DataTest'!A:J, MATCH(INDEX( PointerTest!C:C, MATCH(B138, PointerTest!A:A, 0), 0), 'language&amp;DataTest'!A:A, 0), MATCH(HOME!$A$25, 'language&amp;DataTest'!$A$1:$H$1, 0))),                      IFERROR(INDEX('language&amp;DataTest'!A:J, MATCH(INDEX( PointerTest!D:D, MATCH(B138, PointerTest!A:A, 0), 0), 'language&amp;DataTest'!A:A, 0), MATCH(HOME!$A$25, 'language&amp;DataTest'!$A$1:$H$1, 0))),                                          
IFERROR(INDEX('language&amp;DataTest'!A:J, MATCH(INDEX( PointerTest!E:E, MATCH(B138, PointerTest!A:A, 0), 0), 'language&amp;DataTest'!A:A, 0), MATCH(HOME!$A$25, 'language&amp;DataTest'!$A$1:$H$1, 0))))</f>
        <v>Sandshrew</v>
      </c>
      <c r="D138" s="69" t="str">
        <f t="array" ref="D138">INDEX('language&amp;DataTest'!A:J, MATCH(INDEX( PointerTest!D:D, MATCH(INDEX(PointerTest!B:B, MATCH(B138, PointerTest!A:A, 0)), PointerTest!A:A, 0), 0), 'language&amp;DataTest'!A:A, 0), MATCH(HOME!$A$25, 'language&amp;DataTest'!$A$1:$H$1, 0))</f>
        <v>All</v>
      </c>
      <c r="E138" s="69" t="str">
        <f t="array" ref="E138">INDEX( PointerTest!F:F, MATCH(B138, PointerTest!A:A, 0), 0)</f>
        <v>♢</v>
      </c>
      <c r="F138" s="70">
        <f t="array" ref="F138">LET(percentage,XLOOKUP($E138,$K$2:$K$10,L$2:L$10,"",0)/(COUNTIFS($E:$E,$E138,$D:$D,RegularFormula!$D$2)+COUNTIFS($E:$E,$E138,$D:$D,IF($D138=RegularFormula!$D$2,$K$15,$D138))),IFERROR(IF(percentage,percentage,""),""))
</f>
        <v>0.02</v>
      </c>
      <c r="G138" s="71" t="str">
        <f t="array" ref="G138">LET(percentage,XLOOKUP($E138,$K$2:$K$10,M$2:M$10,"",0)/(COUNTIFS($E:$E,$E138,$D:$D,RegularFormula!$D$2)+COUNTIFS($E:$E,$E138,$D:$D,IF($D138=RegularFormula!$D$2,$K$15,$D138))),IFERROR(IF(percentage,percentage,""),""))
</f>
        <v/>
      </c>
      <c r="H138" s="71" t="str">
        <f t="array" ref="H138">LET(percentage,XLOOKUP($E138,$K$2:$K$10,N$2:N$10,"",0)/(COUNTIFS($E:$E,$E138,$D:$D,RegularFormula!$D$2)+COUNTIFS($E:$E,$E138,$D:$D,IF($D138=RegularFormula!$D$2,$K$15,$D138))),IFERROR(IF(percentage,percentage,""),""))
</f>
        <v/>
      </c>
      <c r="I138" s="72" t="str">
        <f t="shared" si="1"/>
        <v>*Based on Mewtwo pack</v>
      </c>
      <c r="J138" s="73">
        <v>0.0</v>
      </c>
      <c r="K138" s="194"/>
      <c r="L138" s="55"/>
      <c r="M138" s="55"/>
      <c r="N138" s="55"/>
      <c r="O138" s="95" t="s">
        <v>255</v>
      </c>
      <c r="P138" s="103"/>
      <c r="Q138" s="103"/>
      <c r="R138" s="103"/>
      <c r="S138" s="79" t="str">
        <f t="shared" si="2"/>
        <v/>
      </c>
      <c r="T138" s="80" t="str">
        <f>IFERROR(__xludf.DUMMYFUNCTION("IF(
  Q138="""",
  """",
  IF(
   REGEXMATCH(SUBSTITUTE(Q138, "" ex"", """"), TEXTJOIN(""|"", TRUE, INDEX('language&amp;DataTest'!$A$33:$AB$182, , MATCH(HOME!$A$25, 'language&amp;DataTest'!$A$1:$G$1, 0)))),
   IF($M$26,
     IF(COUNTIFS(ARRAYFORMULA(SUBSTITUTE($C"&amp;"$2:$C287, "" ex"", """")), SUBSTITUTE(Q138, "" ex"", """"), $J$2:$J287, ""&gt;0"")=0, ""Yes"", ""No""),
     IF(COUNTIFS(ARRAYFORMULA(SUBSTITUTE($C$2:$C287, "" ex"", """")), SUBSTITUTE(Q138, "" ex"", """"), $A$2:$A287, TRUE)=0, ""Yes"", ""No"")
   ),
   ""No"&amp;"""
 )
)"),"")</f>
        <v/>
      </c>
    </row>
    <row r="139">
      <c r="A139" s="68" t="b">
        <v>1</v>
      </c>
      <c r="B139" s="69" t="s">
        <v>256</v>
      </c>
      <c r="C139" s="69" t="str">
        <f t="array" ref="C139">TEXTJOIN("", TRUE, IFERROR(INDEX('language&amp;DataTest'!A:J, MATCH(INDEX( PointerTest!C:C, MATCH(B139, PointerTest!A:A, 0), 0), 'language&amp;DataTest'!A:A, 0), MATCH(HOME!$A$25, 'language&amp;DataTest'!$A$1:$H$1, 0))),                      IFERROR(INDEX('language&amp;DataTest'!A:J, MATCH(INDEX( PointerTest!D:D, MATCH(B139, PointerTest!A:A, 0), 0), 'language&amp;DataTest'!A:A, 0), MATCH(HOME!$A$25, 'language&amp;DataTest'!$A$1:$H$1, 0))),                                          
IFERROR(INDEX('language&amp;DataTest'!A:J, MATCH(INDEX( PointerTest!E:E, MATCH(B139, PointerTest!A:A, 0), 0), 'language&amp;DataTest'!A:A, 0), MATCH(HOME!$A$25, 'language&amp;DataTest'!$A$1:$H$1, 0))))</f>
        <v>Sandslash</v>
      </c>
      <c r="D139" s="69" t="str">
        <f t="array" ref="D139">INDEX('language&amp;DataTest'!A:J, MATCH(INDEX( PointerTest!D:D, MATCH(INDEX(PointerTest!B:B, MATCH(B139, PointerTest!A:A, 0)), PointerTest!A:A, 0), 0), 'language&amp;DataTest'!A:A, 0), MATCH(HOME!$A$25, 'language&amp;DataTest'!$A$1:$H$1, 0))</f>
        <v>All</v>
      </c>
      <c r="E139" s="69" t="str">
        <f t="array" ref="E139">INDEX( PointerTest!F:F, MATCH(B139, PointerTest!A:A, 0), 0)</f>
        <v>♢♢</v>
      </c>
      <c r="F139" s="70" t="str">
        <f t="array" ref="F139">LET(percentage,XLOOKUP($E139,$K$2:$K$10,L$2:L$10,"",0)/(COUNTIFS($E:$E,$E139,$D:$D,RegularFormula!$D$2)+COUNTIFS($E:$E,$E139,$D:$D,IF($D139=RegularFormula!$D$2,$K$15,$D139))),IFERROR(IF(percentage,percentage,""),""))
</f>
        <v/>
      </c>
      <c r="G139" s="71">
        <f t="array" ref="G139">LET(percentage,XLOOKUP($E139,$K$2:$K$10,M$2:M$10,"",0)/(COUNTIFS($E:$E,$E139,$D:$D,RegularFormula!$D$2)+COUNTIFS($E:$E,$E139,$D:$D,IF($D139=RegularFormula!$D$2,$K$15,$D139))),IFERROR(IF(percentage,percentage,""),""))
</f>
        <v>0.02571428571</v>
      </c>
      <c r="H139" s="71">
        <f t="array" ref="H139">LET(percentage,XLOOKUP($E139,$K$2:$K$10,N$2:N$10,"",0)/(COUNTIFS($E:$E,$E139,$D:$D,RegularFormula!$D$2)+COUNTIFS($E:$E,$E139,$D:$D,IF($D139=RegularFormula!$D$2,$K$15,$D139))),IFERROR(IF(percentage,percentage,""),""))
</f>
        <v>0.01714285714</v>
      </c>
      <c r="I139" s="72" t="str">
        <f t="shared" si="1"/>
        <v>*Based on Mewtwo pack</v>
      </c>
      <c r="J139" s="73">
        <v>0.0</v>
      </c>
      <c r="K139" s="194"/>
      <c r="L139" s="55"/>
      <c r="M139" s="55"/>
      <c r="N139" s="55"/>
      <c r="O139" s="85"/>
      <c r="P139" s="103"/>
      <c r="Q139" s="103"/>
      <c r="R139" s="103"/>
      <c r="S139" s="79" t="str">
        <f t="shared" si="2"/>
        <v/>
      </c>
      <c r="T139" s="80" t="str">
        <f>IFERROR(__xludf.DUMMYFUNCTION("IF(
  Q139="""",
  """",
  IF(
   REGEXMATCH(SUBSTITUTE(Q139, "" ex"", """"), TEXTJOIN(""|"", TRUE, INDEX('language&amp;DataTest'!$A$33:$AB$182, , MATCH(HOME!$A$25, 'language&amp;DataTest'!$A$1:$G$1, 0)))),
   IF($M$26,
     IF(COUNTIFS(ARRAYFORMULA(SUBSTITUTE($C"&amp;"$2:$C287, "" ex"", """")), SUBSTITUTE(Q139, "" ex"", """"), $J$2:$J287, ""&gt;0"")=0, ""Yes"", ""No""),
     IF(COUNTIFS(ARRAYFORMULA(SUBSTITUTE($C$2:$C287, "" ex"", """")), SUBSTITUTE(Q139, "" ex"", """"), $A$2:$A287, TRUE)=0, ""Yes"", ""No"")
   ),
   ""No"&amp;"""
 )
)"),"")</f>
        <v/>
      </c>
    </row>
    <row r="140">
      <c r="A140" s="68" t="b">
        <v>1</v>
      </c>
      <c r="B140" s="69" t="s">
        <v>257</v>
      </c>
      <c r="C140" s="69" t="str">
        <f t="array" ref="C140">TEXTJOIN("", TRUE, IFERROR(INDEX('language&amp;DataTest'!A:J, MATCH(INDEX( PointerTest!C:C, MATCH(B140, PointerTest!A:A, 0), 0), 'language&amp;DataTest'!A:A, 0), MATCH(HOME!$A$25, 'language&amp;DataTest'!$A$1:$H$1, 0))),                      IFERROR(INDEX('language&amp;DataTest'!A:J, MATCH(INDEX( PointerTest!D:D, MATCH(B140, PointerTest!A:A, 0), 0), 'language&amp;DataTest'!A:A, 0), MATCH(HOME!$A$25, 'language&amp;DataTest'!$A$1:$H$1, 0))),                                          
IFERROR(INDEX('language&amp;DataTest'!A:J, MATCH(INDEX( PointerTest!E:E, MATCH(B140, PointerTest!A:A, 0), 0), 'language&amp;DataTest'!A:A, 0), MATCH(HOME!$A$25, 'language&amp;DataTest'!$A$1:$H$1, 0))))</f>
        <v>Diglett</v>
      </c>
      <c r="D140" s="69" t="str">
        <f t="array" ref="D140">INDEX('language&amp;DataTest'!A:J, MATCH(INDEX( PointerTest!D:D, MATCH(INDEX(PointerTest!B:B, MATCH(B140, PointerTest!A:A, 0)), PointerTest!A:A, 0), 0), 'language&amp;DataTest'!A:A, 0), MATCH(HOME!$A$25, 'language&amp;DataTest'!$A$1:$H$1, 0))</f>
        <v>Pikachu</v>
      </c>
      <c r="E140" s="69" t="str">
        <f t="array" ref="E140">INDEX( PointerTest!F:F, MATCH(B140, PointerTest!A:A, 0), 0)</f>
        <v>♢</v>
      </c>
      <c r="F140" s="70">
        <f t="array" ref="F140">LET(percentage,XLOOKUP($E140,$K$2:$K$10,L$2:L$10,"",0)/(COUNTIFS($E:$E,$E140,$D:$D,RegularFormula!$D$2)+COUNTIFS($E:$E,$E140,$D:$D,IF($D140=RegularFormula!$D$2,$K$15,$D140))),IFERROR(IF(percentage,percentage,""),""))
</f>
        <v>0.02</v>
      </c>
      <c r="G140" s="71" t="str">
        <f t="array" ref="G140">LET(percentage,XLOOKUP($E140,$K$2:$K$10,M$2:M$10,"",0)/(COUNTIFS($E:$E,$E140,$D:$D,RegularFormula!$D$2)+COUNTIFS($E:$E,$E140,$D:$D,IF($D140=RegularFormula!$D$2,$K$15,$D140))),IFERROR(IF(percentage,percentage,""),""))
</f>
        <v/>
      </c>
      <c r="H140" s="71" t="str">
        <f t="array" ref="H140">LET(percentage,XLOOKUP($E140,$K$2:$K$10,N$2:N$10,"",0)/(COUNTIFS($E:$E,$E140,$D:$D,RegularFormula!$D$2)+COUNTIFS($E:$E,$E140,$D:$D,IF($D140=RegularFormula!$D$2,$K$15,$D140))),IFERROR(IF(percentage,percentage,""),""))
</f>
        <v/>
      </c>
      <c r="I140" s="72" t="str">
        <f t="shared" si="1"/>
        <v/>
      </c>
      <c r="J140" s="73">
        <v>0.0</v>
      </c>
      <c r="K140" s="194"/>
      <c r="L140" s="55"/>
      <c r="M140" s="55"/>
      <c r="N140" s="55"/>
      <c r="O140" s="85"/>
      <c r="P140" s="103"/>
      <c r="Q140" s="103"/>
      <c r="R140" s="103"/>
      <c r="S140" s="79" t="str">
        <f t="shared" si="2"/>
        <v/>
      </c>
      <c r="T140" s="80" t="str">
        <f>IFERROR(__xludf.DUMMYFUNCTION("IF(
  Q140="""",
  """",
  IF(
   REGEXMATCH(SUBSTITUTE(Q140, "" ex"", """"), TEXTJOIN(""|"", TRUE, INDEX('language&amp;DataTest'!$A$33:$AB$182, , MATCH(HOME!$A$25, 'language&amp;DataTest'!$A$1:$G$1, 0)))),
   IF($M$26,
     IF(COUNTIFS(ARRAYFORMULA(SUBSTITUTE($C"&amp;"$2:$C287, "" ex"", """")), SUBSTITUTE(Q140, "" ex"", """"), $J$2:$J287, ""&gt;0"")=0, ""Yes"", ""No""),
     IF(COUNTIFS(ARRAYFORMULA(SUBSTITUTE($C$2:$C287, "" ex"", """")), SUBSTITUTE(Q140, "" ex"", """"), $A$2:$A287, TRUE)=0, ""Yes"", ""No"")
   ),
   ""No"&amp;"""
 )
)"),"")</f>
        <v/>
      </c>
    </row>
    <row r="141">
      <c r="A141" s="68" t="b">
        <v>1</v>
      </c>
      <c r="B141" s="69" t="s">
        <v>258</v>
      </c>
      <c r="C141" s="69" t="str">
        <f t="array" ref="C141">TEXTJOIN("", TRUE, IFERROR(INDEX('language&amp;DataTest'!A:J, MATCH(INDEX( PointerTest!C:C, MATCH(B141, PointerTest!A:A, 0), 0), 'language&amp;DataTest'!A:A, 0), MATCH(HOME!$A$25, 'language&amp;DataTest'!$A$1:$H$1, 0))),                      IFERROR(INDEX('language&amp;DataTest'!A:J, MATCH(INDEX( PointerTest!D:D, MATCH(B141, PointerTest!A:A, 0), 0), 'language&amp;DataTest'!A:A, 0), MATCH(HOME!$A$25, 'language&amp;DataTest'!$A$1:$H$1, 0))),                                          
IFERROR(INDEX('language&amp;DataTest'!A:J, MATCH(INDEX( PointerTest!E:E, MATCH(B141, PointerTest!A:A, 0), 0), 'language&amp;DataTest'!A:A, 0), MATCH(HOME!$A$25, 'language&amp;DataTest'!$A$1:$H$1, 0))))</f>
        <v>Dugtrio</v>
      </c>
      <c r="D141" s="69" t="str">
        <f t="array" ref="D141">INDEX('language&amp;DataTest'!A:J, MATCH(INDEX( PointerTest!D:D, MATCH(INDEX(PointerTest!B:B, MATCH(B141, PointerTest!A:A, 0)), PointerTest!A:A, 0), 0), 'language&amp;DataTest'!A:A, 0), MATCH(HOME!$A$25, 'language&amp;DataTest'!$A$1:$H$1, 0))</f>
        <v>Pikachu</v>
      </c>
      <c r="E141" s="69" t="str">
        <f t="array" ref="E141">INDEX( PointerTest!F:F, MATCH(B141, PointerTest!A:A, 0), 0)</f>
        <v>♢♢</v>
      </c>
      <c r="F141" s="70" t="str">
        <f t="array" ref="F141">LET(percentage,XLOOKUP($E141,$K$2:$K$10,L$2:L$10,"",0)/(COUNTIFS($E:$E,$E141,$D:$D,RegularFormula!$D$2)+COUNTIFS($E:$E,$E141,$D:$D,IF($D141=RegularFormula!$D$2,$K$15,$D141))),IFERROR(IF(percentage,percentage,""),""))
</f>
        <v/>
      </c>
      <c r="G141" s="71">
        <f t="array" ref="G141">LET(percentage,XLOOKUP($E141,$K$2:$K$10,M$2:M$10,"",0)/(COUNTIFS($E:$E,$E141,$D:$D,RegularFormula!$D$2)+COUNTIFS($E:$E,$E141,$D:$D,IF($D141=RegularFormula!$D$2,$K$15,$D141))),IFERROR(IF(percentage,percentage,""),""))
</f>
        <v>0.02571428571</v>
      </c>
      <c r="H141" s="71">
        <f t="array" ref="H141">LET(percentage,XLOOKUP($E141,$K$2:$K$10,N$2:N$10,"",0)/(COUNTIFS($E:$E,$E141,$D:$D,RegularFormula!$D$2)+COUNTIFS($E:$E,$E141,$D:$D,IF($D141=RegularFormula!$D$2,$K$15,$D141))),IFERROR(IF(percentage,percentage,""),""))
</f>
        <v>0.01714285714</v>
      </c>
      <c r="I141" s="72" t="str">
        <f t="shared" si="1"/>
        <v/>
      </c>
      <c r="J141" s="73">
        <v>0.0</v>
      </c>
      <c r="K141" s="194"/>
      <c r="L141" s="55"/>
      <c r="M141" s="55"/>
      <c r="N141" s="55"/>
      <c r="O141" s="85"/>
      <c r="P141" s="103"/>
      <c r="Q141" s="103"/>
      <c r="R141" s="103"/>
      <c r="S141" s="79" t="str">
        <f t="shared" si="2"/>
        <v/>
      </c>
      <c r="T141" s="80" t="str">
        <f>IFERROR(__xludf.DUMMYFUNCTION("IF(
  Q141="""",
  """",
  IF(
   REGEXMATCH(SUBSTITUTE(Q141, "" ex"", """"), TEXTJOIN(""|"", TRUE, INDEX('language&amp;DataTest'!$A$33:$AB$182, , MATCH(HOME!$A$25, 'language&amp;DataTest'!$A$1:$G$1, 0)))),
   IF($M$26,
     IF(COUNTIFS(ARRAYFORMULA(SUBSTITUTE($C"&amp;"$2:$C287, "" ex"", """")), SUBSTITUTE(Q141, "" ex"", """"), $J$2:$J287, ""&gt;0"")=0, ""Yes"", ""No""),
     IF(COUNTIFS(ARRAYFORMULA(SUBSTITUTE($C$2:$C287, "" ex"", """")), SUBSTITUTE(Q141, "" ex"", """"), $A$2:$A287, TRUE)=0, ""Yes"", ""No"")
   ),
   ""No"&amp;"""
 )
)"),"")</f>
        <v/>
      </c>
    </row>
    <row r="142">
      <c r="A142" s="68" t="b">
        <v>1</v>
      </c>
      <c r="B142" s="69" t="s">
        <v>259</v>
      </c>
      <c r="C142" s="69" t="str">
        <f t="array" ref="C142">TEXTJOIN("", TRUE, IFERROR(INDEX('language&amp;DataTest'!A:J, MATCH(INDEX( PointerTest!C:C, MATCH(B142, PointerTest!A:A, 0), 0), 'language&amp;DataTest'!A:A, 0), MATCH(HOME!$A$25, 'language&amp;DataTest'!$A$1:$H$1, 0))),                      IFERROR(INDEX('language&amp;DataTest'!A:J, MATCH(INDEX( PointerTest!D:D, MATCH(B142, PointerTest!A:A, 0), 0), 'language&amp;DataTest'!A:A, 0), MATCH(HOME!$A$25, 'language&amp;DataTest'!$A$1:$H$1, 0))),                                          
IFERROR(INDEX('language&amp;DataTest'!A:J, MATCH(INDEX( PointerTest!E:E, MATCH(B142, PointerTest!A:A, 0), 0), 'language&amp;DataTest'!A:A, 0), MATCH(HOME!$A$25, 'language&amp;DataTest'!$A$1:$H$1, 0))))</f>
        <v>Mankey</v>
      </c>
      <c r="D142" s="69" t="str">
        <f t="array" ref="D142">INDEX('language&amp;DataTest'!A:J, MATCH(INDEX( PointerTest!D:D, MATCH(INDEX(PointerTest!B:B, MATCH(B142, PointerTest!A:A, 0)), PointerTest!A:A, 0), 0), 'language&amp;DataTest'!A:A, 0), MATCH(HOME!$A$25, 'language&amp;DataTest'!$A$1:$H$1, 0))</f>
        <v>Charizard</v>
      </c>
      <c r="E142" s="69" t="str">
        <f t="array" ref="E142">INDEX( PointerTest!F:F, MATCH(B142, PointerTest!A:A, 0), 0)</f>
        <v>♢</v>
      </c>
      <c r="F142" s="70">
        <f t="array" ref="F142">LET(percentage,XLOOKUP($E142,$K$2:$K$10,L$2:L$10,"",0)/(COUNTIFS($E:$E,$E142,$D:$D,RegularFormula!$D$2)+COUNTIFS($E:$E,$E142,$D:$D,IF($D142=RegularFormula!$D$2,$K$15,$D142))),IFERROR(IF(percentage,percentage,""),""))
</f>
        <v>0.02</v>
      </c>
      <c r="G142" s="71" t="str">
        <f t="array" ref="G142">LET(percentage,XLOOKUP($E142,$K$2:$K$10,M$2:M$10,"",0)/(COUNTIFS($E:$E,$E142,$D:$D,RegularFormula!$D$2)+COUNTIFS($E:$E,$E142,$D:$D,IF($D142=RegularFormula!$D$2,$K$15,$D142))),IFERROR(IF(percentage,percentage,""),""))
</f>
        <v/>
      </c>
      <c r="H142" s="71" t="str">
        <f t="array" ref="H142">LET(percentage,XLOOKUP($E142,$K$2:$K$10,N$2:N$10,"",0)/(COUNTIFS($E:$E,$E142,$D:$D,RegularFormula!$D$2)+COUNTIFS($E:$E,$E142,$D:$D,IF($D142=RegularFormula!$D$2,$K$15,$D142))),IFERROR(IF(percentage,percentage,""),""))
</f>
        <v/>
      </c>
      <c r="I142" s="72" t="str">
        <f t="shared" si="1"/>
        <v/>
      </c>
      <c r="J142" s="73">
        <v>0.0</v>
      </c>
      <c r="K142" s="194"/>
      <c r="L142" s="55"/>
      <c r="M142" s="55"/>
      <c r="N142" s="55"/>
      <c r="O142" s="85"/>
      <c r="P142" s="103"/>
      <c r="Q142" s="103"/>
      <c r="R142" s="103"/>
      <c r="S142" s="79" t="str">
        <f t="shared" si="2"/>
        <v/>
      </c>
      <c r="T142" s="80" t="str">
        <f>IFERROR(__xludf.DUMMYFUNCTION("IF(
  Q142="""",
  """",
  IF(
   REGEXMATCH(SUBSTITUTE(Q142, "" ex"", """"), TEXTJOIN(""|"", TRUE, INDEX('language&amp;DataTest'!$A$33:$AB$182, , MATCH(HOME!$A$25, 'language&amp;DataTest'!$A$1:$G$1, 0)))),
   IF($M$26,
     IF(COUNTIFS(ARRAYFORMULA(SUBSTITUTE($C"&amp;"$2:$C287, "" ex"", """")), SUBSTITUTE(Q142, "" ex"", """"), $J$2:$J287, ""&gt;0"")=0, ""Yes"", ""No""),
     IF(COUNTIFS(ARRAYFORMULA(SUBSTITUTE($C$2:$C287, "" ex"", """")), SUBSTITUTE(Q142, "" ex"", """"), $A$2:$A287, TRUE)=0, ""Yes"", ""No"")
   ),
   ""No"&amp;"""
 )
)"),"")</f>
        <v/>
      </c>
    </row>
    <row r="143">
      <c r="A143" s="68" t="b">
        <v>1</v>
      </c>
      <c r="B143" s="69" t="s">
        <v>260</v>
      </c>
      <c r="C143" s="69" t="str">
        <f t="array" ref="C143">TEXTJOIN("", TRUE, IFERROR(INDEX('language&amp;DataTest'!A:J, MATCH(INDEX( PointerTest!C:C, MATCH(B143, PointerTest!A:A, 0), 0), 'language&amp;DataTest'!A:A, 0), MATCH(HOME!$A$25, 'language&amp;DataTest'!$A$1:$H$1, 0))),                      IFERROR(INDEX('language&amp;DataTest'!A:J, MATCH(INDEX( PointerTest!D:D, MATCH(B143, PointerTest!A:A, 0), 0), 'language&amp;DataTest'!A:A, 0), MATCH(HOME!$A$25, 'language&amp;DataTest'!$A$1:$H$1, 0))),                                          
IFERROR(INDEX('language&amp;DataTest'!A:J, MATCH(INDEX( PointerTest!E:E, MATCH(B143, PointerTest!A:A, 0), 0), 'language&amp;DataTest'!A:A, 0), MATCH(HOME!$A$25, 'language&amp;DataTest'!$A$1:$H$1, 0))))</f>
        <v>Primeape</v>
      </c>
      <c r="D143" s="69" t="str">
        <f t="array" ref="D143">INDEX('language&amp;DataTest'!A:J, MATCH(INDEX( PointerTest!D:D, MATCH(INDEX(PointerTest!B:B, MATCH(B143, PointerTest!A:A, 0)), PointerTest!A:A, 0), 0), 'language&amp;DataTest'!A:A, 0), MATCH(HOME!$A$25, 'language&amp;DataTest'!$A$1:$H$1, 0))</f>
        <v>Charizard</v>
      </c>
      <c r="E143" s="69" t="str">
        <f t="array" ref="E143">INDEX( PointerTest!F:F, MATCH(B143, PointerTest!A:A, 0), 0)</f>
        <v>♢♢</v>
      </c>
      <c r="F143" s="70" t="str">
        <f t="array" ref="F143">LET(percentage,XLOOKUP($E143,$K$2:$K$10,L$2:L$10,"",0)/(COUNTIFS($E:$E,$E143,$D:$D,RegularFormula!$D$2)+COUNTIFS($E:$E,$E143,$D:$D,IF($D143=RegularFormula!$D$2,$K$15,$D143))),IFERROR(IF(percentage,percentage,""),""))
</f>
        <v/>
      </c>
      <c r="G143" s="71">
        <f t="array" ref="G143">LET(percentage,XLOOKUP($E143,$K$2:$K$10,M$2:M$10,"",0)/(COUNTIFS($E:$E,$E143,$D:$D,RegularFormula!$D$2)+COUNTIFS($E:$E,$E143,$D:$D,IF($D143=RegularFormula!$D$2,$K$15,$D143))),IFERROR(IF(percentage,percentage,""),""))
</f>
        <v>0.02571428571</v>
      </c>
      <c r="H143" s="71">
        <f t="array" ref="H143">LET(percentage,XLOOKUP($E143,$K$2:$K$10,N$2:N$10,"",0)/(COUNTIFS($E:$E,$E143,$D:$D,RegularFormula!$D$2)+COUNTIFS($E:$E,$E143,$D:$D,IF($D143=RegularFormula!$D$2,$K$15,$D143))),IFERROR(IF(percentage,percentage,""),""))
</f>
        <v>0.01714285714</v>
      </c>
      <c r="I143" s="72" t="str">
        <f t="shared" si="1"/>
        <v/>
      </c>
      <c r="J143" s="73">
        <v>0.0</v>
      </c>
      <c r="K143" s="194"/>
      <c r="L143" s="55"/>
      <c r="M143" s="55"/>
      <c r="N143" s="55"/>
      <c r="O143" s="196"/>
      <c r="P143" s="103"/>
      <c r="Q143" s="103"/>
      <c r="R143" s="103"/>
      <c r="S143" s="79" t="str">
        <f t="shared" si="2"/>
        <v/>
      </c>
      <c r="T143" s="80" t="str">
        <f>IFERROR(__xludf.DUMMYFUNCTION("IF(
  Q143="""",
  """",
  IF(
   REGEXMATCH(SUBSTITUTE(Q143, "" ex"", """"), TEXTJOIN(""|"", TRUE, INDEX('language&amp;DataTest'!$A$33:$AB$182, , MATCH(HOME!$A$25, 'language&amp;DataTest'!$A$1:$G$1, 0)))),
   IF($M$26,
     IF(COUNTIFS(ARRAYFORMULA(SUBSTITUTE($C"&amp;"$2:$C287, "" ex"", """")), SUBSTITUTE(Q143, "" ex"", """"), $J$2:$J287, ""&gt;0"")=0, ""Yes"", ""No""),
     IF(COUNTIFS(ARRAYFORMULA(SUBSTITUTE($C$2:$C287, "" ex"", """")), SUBSTITUTE(Q143, "" ex"", """"), $A$2:$A287, TRUE)=0, ""Yes"", ""No"")
   ),
   ""No"&amp;"""
 )
)"),"")</f>
        <v/>
      </c>
    </row>
    <row r="144">
      <c r="A144" s="68" t="b">
        <v>1</v>
      </c>
      <c r="B144" s="69" t="s">
        <v>261</v>
      </c>
      <c r="C144" s="69" t="str">
        <f t="array" ref="C144">TEXTJOIN("", TRUE, IFERROR(INDEX('language&amp;DataTest'!A:J, MATCH(INDEX( PointerTest!C:C, MATCH(B144, PointerTest!A:A, 0), 0), 'language&amp;DataTest'!A:A, 0), MATCH(HOME!$A$25, 'language&amp;DataTest'!$A$1:$H$1, 0))),                      IFERROR(INDEX('language&amp;DataTest'!A:J, MATCH(INDEX( PointerTest!D:D, MATCH(B144, PointerTest!A:A, 0), 0), 'language&amp;DataTest'!A:A, 0), MATCH(HOME!$A$25, 'language&amp;DataTest'!$A$1:$H$1, 0))),                                          
IFERROR(INDEX('language&amp;DataTest'!A:J, MATCH(INDEX( PointerTest!E:E, MATCH(B144, PointerTest!A:A, 0), 0), 'language&amp;DataTest'!A:A, 0), MATCH(HOME!$A$25, 'language&amp;DataTest'!$A$1:$H$1, 0))))</f>
        <v>Machop</v>
      </c>
      <c r="D144" s="69" t="str">
        <f t="array" ref="D144">INDEX('language&amp;DataTest'!A:J, MATCH(INDEX( PointerTest!D:D, MATCH(INDEX(PointerTest!B:B, MATCH(B144, PointerTest!A:A, 0)), PointerTest!A:A, 0), 0), 'language&amp;DataTest'!A:A, 0), MATCH(HOME!$A$25, 'language&amp;DataTest'!$A$1:$H$1, 0))</f>
        <v>Charizard</v>
      </c>
      <c r="E144" s="69" t="str">
        <f t="array" ref="E144">INDEX( PointerTest!F:F, MATCH(B144, PointerTest!A:A, 0), 0)</f>
        <v>♢</v>
      </c>
      <c r="F144" s="70">
        <f t="array" ref="F144">LET(percentage,XLOOKUP($E144,$K$2:$K$10,L$2:L$10,"",0)/(COUNTIFS($E:$E,$E144,$D:$D,RegularFormula!$D$2)+COUNTIFS($E:$E,$E144,$D:$D,IF($D144=RegularFormula!$D$2,$K$15,$D144))),IFERROR(IF(percentage,percentage,""),""))
</f>
        <v>0.02</v>
      </c>
      <c r="G144" s="71" t="str">
        <f t="array" ref="G144">LET(percentage,XLOOKUP($E144,$K$2:$K$10,M$2:M$10,"",0)/(COUNTIFS($E:$E,$E144,$D:$D,RegularFormula!$D$2)+COUNTIFS($E:$E,$E144,$D:$D,IF($D144=RegularFormula!$D$2,$K$15,$D144))),IFERROR(IF(percentage,percentage,""),""))
</f>
        <v/>
      </c>
      <c r="H144" s="71" t="str">
        <f t="array" ref="H144">LET(percentage,XLOOKUP($E144,$K$2:$K$10,N$2:N$10,"",0)/(COUNTIFS($E:$E,$E144,$D:$D,RegularFormula!$D$2)+COUNTIFS($E:$E,$E144,$D:$D,IF($D144=RegularFormula!$D$2,$K$15,$D144))),IFERROR(IF(percentage,percentage,""),""))
</f>
        <v/>
      </c>
      <c r="I144" s="72" t="str">
        <f t="shared" si="1"/>
        <v/>
      </c>
      <c r="J144" s="73">
        <v>0.0</v>
      </c>
      <c r="K144" s="194"/>
      <c r="L144" s="55"/>
      <c r="M144" s="55"/>
      <c r="N144" s="55"/>
      <c r="P144" s="103"/>
      <c r="Q144" s="103"/>
      <c r="R144" s="103"/>
      <c r="S144" s="79" t="str">
        <f t="shared" si="2"/>
        <v/>
      </c>
      <c r="T144" s="80" t="str">
        <f>IFERROR(__xludf.DUMMYFUNCTION("IF(
  Q144="""",
  """",
  IF(
   REGEXMATCH(SUBSTITUTE(Q144, "" ex"", """"), TEXTJOIN(""|"", TRUE, INDEX('language&amp;DataTest'!$A$33:$AB$182, , MATCH(HOME!$A$25, 'language&amp;DataTest'!$A$1:$G$1, 0)))),
   IF($M$26,
     IF(COUNTIFS(ARRAYFORMULA(SUBSTITUTE($C"&amp;"$2:$C287, "" ex"", """")), SUBSTITUTE(Q144, "" ex"", """"), $J$2:$J287, ""&gt;0"")=0, ""Yes"", ""No""),
     IF(COUNTIFS(ARRAYFORMULA(SUBSTITUTE($C$2:$C287, "" ex"", """")), SUBSTITUTE(Q144, "" ex"", """"), $A$2:$A287, TRUE)=0, ""Yes"", ""No"")
   ),
   ""No"&amp;"""
 )
)"),"")</f>
        <v/>
      </c>
    </row>
    <row r="145">
      <c r="A145" s="68" t="b">
        <v>1</v>
      </c>
      <c r="B145" s="69" t="s">
        <v>262</v>
      </c>
      <c r="C145" s="69" t="str">
        <f t="array" ref="C145">TEXTJOIN("", TRUE, IFERROR(INDEX('language&amp;DataTest'!A:J, MATCH(INDEX( PointerTest!C:C, MATCH(B145, PointerTest!A:A, 0), 0), 'language&amp;DataTest'!A:A, 0), MATCH(HOME!$A$25, 'language&amp;DataTest'!$A$1:$H$1, 0))),                      IFERROR(INDEX('language&amp;DataTest'!A:J, MATCH(INDEX( PointerTest!D:D, MATCH(B145, PointerTest!A:A, 0), 0), 'language&amp;DataTest'!A:A, 0), MATCH(HOME!$A$25, 'language&amp;DataTest'!$A$1:$H$1, 0))),                                          
IFERROR(INDEX('language&amp;DataTest'!A:J, MATCH(INDEX( PointerTest!E:E, MATCH(B145, PointerTest!A:A, 0), 0), 'language&amp;DataTest'!A:A, 0), MATCH(HOME!$A$25, 'language&amp;DataTest'!$A$1:$H$1, 0))))</f>
        <v>Machoke</v>
      </c>
      <c r="D145" s="69" t="str">
        <f t="array" ref="D145">INDEX('language&amp;DataTest'!A:J, MATCH(INDEX( PointerTest!D:D, MATCH(INDEX(PointerTest!B:B, MATCH(B145, PointerTest!A:A, 0)), PointerTest!A:A, 0), 0), 'language&amp;DataTest'!A:A, 0), MATCH(HOME!$A$25, 'language&amp;DataTest'!$A$1:$H$1, 0))</f>
        <v>Charizard</v>
      </c>
      <c r="E145" s="69" t="str">
        <f t="array" ref="E145">INDEX( PointerTest!F:F, MATCH(B145, PointerTest!A:A, 0), 0)</f>
        <v>♢♢</v>
      </c>
      <c r="F145" s="70" t="str">
        <f t="array" ref="F145">LET(percentage,XLOOKUP($E145,$K$2:$K$10,L$2:L$10,"",0)/(COUNTIFS($E:$E,$E145,$D:$D,RegularFormula!$D$2)+COUNTIFS($E:$E,$E145,$D:$D,IF($D145=RegularFormula!$D$2,$K$15,$D145))),IFERROR(IF(percentage,percentage,""),""))
</f>
        <v/>
      </c>
      <c r="G145" s="71">
        <f t="array" ref="G145">LET(percentage,XLOOKUP($E145,$K$2:$K$10,M$2:M$10,"",0)/(COUNTIFS($E:$E,$E145,$D:$D,RegularFormula!$D$2)+COUNTIFS($E:$E,$E145,$D:$D,IF($D145=RegularFormula!$D$2,$K$15,$D145))),IFERROR(IF(percentage,percentage,""),""))
</f>
        <v>0.02571428571</v>
      </c>
      <c r="H145" s="71">
        <f t="array" ref="H145">LET(percentage,XLOOKUP($E145,$K$2:$K$10,N$2:N$10,"",0)/(COUNTIFS($E:$E,$E145,$D:$D,RegularFormula!$D$2)+COUNTIFS($E:$E,$E145,$D:$D,IF($D145=RegularFormula!$D$2,$K$15,$D145))),IFERROR(IF(percentage,percentage,""),""))
</f>
        <v>0.01714285714</v>
      </c>
      <c r="I145" s="72" t="str">
        <f t="shared" si="1"/>
        <v/>
      </c>
      <c r="J145" s="73">
        <v>0.0</v>
      </c>
      <c r="K145" s="194"/>
      <c r="L145" s="55"/>
      <c r="M145" s="55"/>
      <c r="N145" s="55"/>
      <c r="O145" s="197"/>
      <c r="P145" s="103"/>
      <c r="Q145" s="103"/>
      <c r="R145" s="103"/>
      <c r="S145" s="79" t="str">
        <f t="shared" si="2"/>
        <v/>
      </c>
      <c r="T145" s="80" t="str">
        <f>IFERROR(__xludf.DUMMYFUNCTION("IF(
  Q145="""",
  """",
  IF(
   REGEXMATCH(SUBSTITUTE(Q145, "" ex"", """"), TEXTJOIN(""|"", TRUE, INDEX('language&amp;DataTest'!$A$33:$AB$182, , MATCH(HOME!$A$25, 'language&amp;DataTest'!$A$1:$G$1, 0)))),
   IF($M$26,
     IF(COUNTIFS(ARRAYFORMULA(SUBSTITUTE($C"&amp;"$2:$C287, "" ex"", """")), SUBSTITUTE(Q145, "" ex"", """"), $J$2:$J287, ""&gt;0"")=0, ""Yes"", ""No""),
     IF(COUNTIFS(ARRAYFORMULA(SUBSTITUTE($C$2:$C287, "" ex"", """")), SUBSTITUTE(Q145, "" ex"", """"), $A$2:$A287, TRUE)=0, ""Yes"", ""No"")
   ),
   ""No"&amp;"""
 )
)"),"")</f>
        <v/>
      </c>
    </row>
    <row r="146">
      <c r="A146" s="68" t="b">
        <v>1</v>
      </c>
      <c r="B146" s="69" t="s">
        <v>263</v>
      </c>
      <c r="C146" s="69" t="str">
        <f t="array" ref="C146">TEXTJOIN("", TRUE, IFERROR(INDEX('language&amp;DataTest'!A:J, MATCH(INDEX( PointerTest!C:C, MATCH(B146, PointerTest!A:A, 0), 0), 'language&amp;DataTest'!A:A, 0), MATCH(HOME!$A$25, 'language&amp;DataTest'!$A$1:$H$1, 0))),                      IFERROR(INDEX('language&amp;DataTest'!A:J, MATCH(INDEX( PointerTest!D:D, MATCH(B146, PointerTest!A:A, 0), 0), 'language&amp;DataTest'!A:A, 0), MATCH(HOME!$A$25, 'language&amp;DataTest'!$A$1:$H$1, 0))),                                          
IFERROR(INDEX('language&amp;DataTest'!A:J, MATCH(INDEX( PointerTest!E:E, MATCH(B146, PointerTest!A:A, 0), 0), 'language&amp;DataTest'!A:A, 0), MATCH(HOME!$A$25, 'language&amp;DataTest'!$A$1:$H$1, 0))))</f>
        <v>Machamp</v>
      </c>
      <c r="D146" s="69" t="str">
        <f t="array" ref="D146">INDEX('language&amp;DataTest'!A:J, MATCH(INDEX( PointerTest!D:D, MATCH(INDEX(PointerTest!B:B, MATCH(B146, PointerTest!A:A, 0)), PointerTest!A:A, 0), 0), 'language&amp;DataTest'!A:A, 0), MATCH(HOME!$A$25, 'language&amp;DataTest'!$A$1:$H$1, 0))</f>
        <v>Charizard</v>
      </c>
      <c r="E146" s="69" t="str">
        <f t="array" ref="E146">INDEX( PointerTest!F:F, MATCH(B146, PointerTest!A:A, 0), 0)</f>
        <v>♢♢♢</v>
      </c>
      <c r="F146" s="70" t="str">
        <f t="array" ref="F146">LET(percentage,XLOOKUP($E146,$K$2:$K$10,L$2:L$10,"",0)/(COUNTIFS($E:$E,$E146,$D:$D,RegularFormula!$D$2)+COUNTIFS($E:$E,$E146,$D:$D,IF($D146=RegularFormula!$D$2,$K$15,$D146))),IFERROR(IF(percentage,percentage,""),""))
</f>
        <v/>
      </c>
      <c r="G146" s="71">
        <f t="array" ref="G146">LET(percentage,XLOOKUP($E146,$K$2:$K$10,M$2:M$10,"",0)/(COUNTIFS($E:$E,$E146,$D:$D,RegularFormula!$D$2)+COUNTIFS($E:$E,$E146,$D:$D,IF($D146=RegularFormula!$D$2,$K$15,$D146))),IFERROR(IF(percentage,percentage,""),""))
</f>
        <v>0.003571428571</v>
      </c>
      <c r="H146" s="71">
        <f t="array" ref="H146">LET(percentage,XLOOKUP($E146,$K$2:$K$10,N$2:N$10,"",0)/(COUNTIFS($E:$E,$E146,$D:$D,RegularFormula!$D$2)+COUNTIFS($E:$E,$E146,$D:$D,IF($D146=RegularFormula!$D$2,$K$15,$D146))),IFERROR(IF(percentage,percentage,""),""))
</f>
        <v>0.01428571429</v>
      </c>
      <c r="I146" s="72" t="str">
        <f t="shared" si="1"/>
        <v/>
      </c>
      <c r="J146" s="73">
        <v>0.0</v>
      </c>
      <c r="K146" s="194"/>
      <c r="L146" s="55"/>
      <c r="M146" s="55"/>
      <c r="N146" s="55"/>
      <c r="O146" s="197"/>
      <c r="P146" s="103"/>
      <c r="Q146" s="103"/>
      <c r="R146" s="103"/>
      <c r="S146" s="79" t="str">
        <f t="shared" si="2"/>
        <v/>
      </c>
      <c r="T146" s="80" t="str">
        <f>IFERROR(__xludf.DUMMYFUNCTION("IF(
  Q146="""",
  """",
  IF(
   REGEXMATCH(SUBSTITUTE(Q146, "" ex"", """"), TEXTJOIN(""|"", TRUE, INDEX('language&amp;DataTest'!$A$33:$AB$182, , MATCH(HOME!$A$25, 'language&amp;DataTest'!$A$1:$G$1, 0)))),
   IF($M$26,
     IF(COUNTIFS(ARRAYFORMULA(SUBSTITUTE($C"&amp;"$2:$C287, "" ex"", """")), SUBSTITUTE(Q146, "" ex"", """"), $J$2:$J287, ""&gt;0"")=0, ""Yes"", ""No""),
     IF(COUNTIFS(ARRAYFORMULA(SUBSTITUTE($C$2:$C287, "" ex"", """")), SUBSTITUTE(Q146, "" ex"", """"), $A$2:$A287, TRUE)=0, ""Yes"", ""No"")
   ),
   ""No"&amp;"""
 )
)"),"")</f>
        <v/>
      </c>
    </row>
    <row r="147">
      <c r="A147" s="68" t="b">
        <v>1</v>
      </c>
      <c r="B147" s="69" t="s">
        <v>264</v>
      </c>
      <c r="C147" s="69" t="str">
        <f t="array" ref="C147">TEXTJOIN("", TRUE, IFERROR(INDEX('language&amp;DataTest'!A:J, MATCH(INDEX( PointerTest!C:C, MATCH(B147, PointerTest!A:A, 0), 0), 'language&amp;DataTest'!A:A, 0), MATCH(HOME!$A$25, 'language&amp;DataTest'!$A$1:$H$1, 0))),                      IFERROR(INDEX('language&amp;DataTest'!A:J, MATCH(INDEX( PointerTest!D:D, MATCH(B147, PointerTest!A:A, 0), 0), 'language&amp;DataTest'!A:A, 0), MATCH(HOME!$A$25, 'language&amp;DataTest'!$A$1:$H$1, 0))),                                          
IFERROR(INDEX('language&amp;DataTest'!A:J, MATCH(INDEX( PointerTest!E:E, MATCH(B147, PointerTest!A:A, 0), 0), 'language&amp;DataTest'!A:A, 0), MATCH(HOME!$A$25, 'language&amp;DataTest'!$A$1:$H$1, 0))))</f>
        <v>Machamp ex</v>
      </c>
      <c r="D147" s="69" t="str">
        <f t="array" ref="D147">INDEX('language&amp;DataTest'!A:J, MATCH(INDEX( PointerTest!D:D, MATCH(INDEX(PointerTest!B:B, MATCH(B147, PointerTest!A:A, 0)), PointerTest!A:A, 0), 0), 'language&amp;DataTest'!A:A, 0), MATCH(HOME!$A$25, 'language&amp;DataTest'!$A$1:$H$1, 0))</f>
        <v>Charizard</v>
      </c>
      <c r="E147" s="69" t="str">
        <f t="array" ref="E147">INDEX( PointerTest!F:F, MATCH(B147, PointerTest!A:A, 0), 0)</f>
        <v>♢♢♢♢</v>
      </c>
      <c r="F147" s="70" t="str">
        <f t="array" ref="F147">LET(percentage,XLOOKUP($E147,$K$2:$K$10,L$2:L$10,"",0)/(COUNTIFS($E:$E,$E147,$D:$D,RegularFormula!$D$2)+COUNTIFS($E:$E,$E147,$D:$D,IF($D147=RegularFormula!$D$2,$K$15,$D147))),IFERROR(IF(percentage,percentage,""),""))
</f>
        <v/>
      </c>
      <c r="G147" s="71">
        <f t="array" ref="G147">LET(percentage,XLOOKUP($E147,$K$2:$K$10,M$2:M$10,"",0)/(COUNTIFS($E:$E,$E147,$D:$D,RegularFormula!$D$2)+COUNTIFS($E:$E,$E147,$D:$D,IF($D147=RegularFormula!$D$2,$K$15,$D147))),IFERROR(IF(percentage,percentage,""),""))
</f>
        <v>0.003332</v>
      </c>
      <c r="H147" s="71">
        <f t="array" ref="H147">LET(percentage,XLOOKUP($E147,$K$2:$K$10,N$2:N$10,"",0)/(COUNTIFS($E:$E,$E147,$D:$D,RegularFormula!$D$2)+COUNTIFS($E:$E,$E147,$D:$D,IF($D147=RegularFormula!$D$2,$K$15,$D147))),IFERROR(IF(percentage,percentage,""),""))
</f>
        <v>0.013328</v>
      </c>
      <c r="I147" s="72" t="str">
        <f t="shared" si="1"/>
        <v/>
      </c>
      <c r="J147" s="73">
        <v>0.0</v>
      </c>
      <c r="K147" s="194"/>
      <c r="L147" s="55"/>
      <c r="M147" s="55"/>
      <c r="N147" s="55"/>
      <c r="O147" s="197"/>
      <c r="P147" s="103"/>
      <c r="Q147" s="103"/>
      <c r="R147" s="103"/>
      <c r="S147" s="79" t="str">
        <f t="shared" si="2"/>
        <v/>
      </c>
      <c r="T147" s="80" t="str">
        <f>IFERROR(__xludf.DUMMYFUNCTION("IF(
  Q147="""",
  """",
  IF(
   REGEXMATCH(SUBSTITUTE(Q147, "" ex"", """"), TEXTJOIN(""|"", TRUE, INDEX('language&amp;DataTest'!$A$33:$AB$182, , MATCH(HOME!$A$25, 'language&amp;DataTest'!$A$1:$G$1, 0)))),
   IF($M$26,
     IF(COUNTIFS(ARRAYFORMULA(SUBSTITUTE($C"&amp;"$2:$C287, "" ex"", """")), SUBSTITUTE(Q147, "" ex"", """"), $J$2:$J287, ""&gt;0"")=0, ""Yes"", ""No""),
     IF(COUNTIFS(ARRAYFORMULA(SUBSTITUTE($C$2:$C287, "" ex"", """")), SUBSTITUTE(Q147, "" ex"", """"), $A$2:$A287, TRUE)=0, ""Yes"", ""No"")
   ),
   ""No"&amp;"""
 )
)"),"")</f>
        <v/>
      </c>
    </row>
    <row r="148">
      <c r="A148" s="68" t="b">
        <v>1</v>
      </c>
      <c r="B148" s="69" t="s">
        <v>265</v>
      </c>
      <c r="C148" s="69" t="str">
        <f t="array" ref="C148">TEXTJOIN("", TRUE, IFERROR(INDEX('language&amp;DataTest'!A:J, MATCH(INDEX( PointerTest!C:C, MATCH(B148, PointerTest!A:A, 0), 0), 'language&amp;DataTest'!A:A, 0), MATCH(HOME!$A$25, 'language&amp;DataTest'!$A$1:$H$1, 0))),                      IFERROR(INDEX('language&amp;DataTest'!A:J, MATCH(INDEX( PointerTest!D:D, MATCH(B148, PointerTest!A:A, 0), 0), 'language&amp;DataTest'!A:A, 0), MATCH(HOME!$A$25, 'language&amp;DataTest'!$A$1:$H$1, 0))),                                          
IFERROR(INDEX('language&amp;DataTest'!A:J, MATCH(INDEX( PointerTest!E:E, MATCH(B148, PointerTest!A:A, 0), 0), 'language&amp;DataTest'!A:A, 0), MATCH(HOME!$A$25, 'language&amp;DataTest'!$A$1:$H$1, 0))))</f>
        <v>Geodude</v>
      </c>
      <c r="D148" s="69" t="str">
        <f t="array" ref="D148">INDEX('language&amp;DataTest'!A:J, MATCH(INDEX( PointerTest!D:D, MATCH(INDEX(PointerTest!B:B, MATCH(B148, PointerTest!A:A, 0)), PointerTest!A:A, 0), 0), 'language&amp;DataTest'!A:A, 0), MATCH(HOME!$A$25, 'language&amp;DataTest'!$A$1:$H$1, 0))</f>
        <v>Pikachu</v>
      </c>
      <c r="E148" s="69" t="str">
        <f t="array" ref="E148">INDEX( PointerTest!F:F, MATCH(B148, PointerTest!A:A, 0), 0)</f>
        <v>♢</v>
      </c>
      <c r="F148" s="70">
        <f t="array" ref="F148">LET(percentage,XLOOKUP($E148,$K$2:$K$10,L$2:L$10,"",0)/(COUNTIFS($E:$E,$E148,$D:$D,RegularFormula!$D$2)+COUNTIFS($E:$E,$E148,$D:$D,IF($D148=RegularFormula!$D$2,$K$15,$D148))),IFERROR(IF(percentage,percentage,""),""))
</f>
        <v>0.02</v>
      </c>
      <c r="G148" s="71" t="str">
        <f t="array" ref="G148">LET(percentage,XLOOKUP($E148,$K$2:$K$10,M$2:M$10,"",0)/(COUNTIFS($E:$E,$E148,$D:$D,RegularFormula!$D$2)+COUNTIFS($E:$E,$E148,$D:$D,IF($D148=RegularFormula!$D$2,$K$15,$D148))),IFERROR(IF(percentage,percentage,""),""))
</f>
        <v/>
      </c>
      <c r="H148" s="71" t="str">
        <f t="array" ref="H148">LET(percentage,XLOOKUP($E148,$K$2:$K$10,N$2:N$10,"",0)/(COUNTIFS($E:$E,$E148,$D:$D,RegularFormula!$D$2)+COUNTIFS($E:$E,$E148,$D:$D,IF($D148=RegularFormula!$D$2,$K$15,$D148))),IFERROR(IF(percentage,percentage,""),""))
</f>
        <v/>
      </c>
      <c r="I148" s="72" t="str">
        <f t="shared" si="1"/>
        <v/>
      </c>
      <c r="J148" s="73">
        <v>0.0</v>
      </c>
      <c r="K148" s="194"/>
      <c r="L148" s="55"/>
      <c r="M148" s="55"/>
      <c r="N148" s="55"/>
      <c r="O148" s="197"/>
      <c r="P148" s="103"/>
      <c r="Q148" s="103"/>
      <c r="R148" s="103"/>
      <c r="S148" s="79" t="str">
        <f t="shared" si="2"/>
        <v/>
      </c>
      <c r="T148" s="80" t="str">
        <f>IFERROR(__xludf.DUMMYFUNCTION("IF(
  Q148="""",
  """",
  IF(
   REGEXMATCH(SUBSTITUTE(Q148, "" ex"", """"), TEXTJOIN(""|"", TRUE, INDEX('language&amp;DataTest'!$A$33:$AB$182, , MATCH(HOME!$A$25, 'language&amp;DataTest'!$A$1:$G$1, 0)))),
   IF($M$26,
     IF(COUNTIFS(ARRAYFORMULA(SUBSTITUTE($C"&amp;"$2:$C287, "" ex"", """")), SUBSTITUTE(Q148, "" ex"", """"), $J$2:$J287, ""&gt;0"")=0, ""Yes"", ""No""),
     IF(COUNTIFS(ARRAYFORMULA(SUBSTITUTE($C$2:$C287, "" ex"", """")), SUBSTITUTE(Q148, "" ex"", """"), $A$2:$A287, TRUE)=0, ""Yes"", ""No"")
   ),
   ""No"&amp;"""
 )
)"),"")</f>
        <v/>
      </c>
    </row>
    <row r="149">
      <c r="A149" s="68" t="b">
        <v>1</v>
      </c>
      <c r="B149" s="69" t="s">
        <v>266</v>
      </c>
      <c r="C149" s="69" t="str">
        <f t="array" ref="C149">TEXTJOIN("", TRUE, IFERROR(INDEX('language&amp;DataTest'!A:J, MATCH(INDEX( PointerTest!C:C, MATCH(B149, PointerTest!A:A, 0), 0), 'language&amp;DataTest'!A:A, 0), MATCH(HOME!$A$25, 'language&amp;DataTest'!$A$1:$H$1, 0))),                      IFERROR(INDEX('language&amp;DataTest'!A:J, MATCH(INDEX( PointerTest!D:D, MATCH(B149, PointerTest!A:A, 0), 0), 'language&amp;DataTest'!A:A, 0), MATCH(HOME!$A$25, 'language&amp;DataTest'!$A$1:$H$1, 0))),                                          
IFERROR(INDEX('language&amp;DataTest'!A:J, MATCH(INDEX( PointerTest!E:E, MATCH(B149, PointerTest!A:A, 0), 0), 'language&amp;DataTest'!A:A, 0), MATCH(HOME!$A$25, 'language&amp;DataTest'!$A$1:$H$1, 0))))</f>
        <v>Graveler</v>
      </c>
      <c r="D149" s="69" t="str">
        <f t="array" ref="D149">INDEX('language&amp;DataTest'!A:J, MATCH(INDEX( PointerTest!D:D, MATCH(INDEX(PointerTest!B:B, MATCH(B149, PointerTest!A:A, 0)), PointerTest!A:A, 0), 0), 'language&amp;DataTest'!A:A, 0), MATCH(HOME!$A$25, 'language&amp;DataTest'!$A$1:$H$1, 0))</f>
        <v>Pikachu</v>
      </c>
      <c r="E149" s="69" t="str">
        <f t="array" ref="E149">INDEX( PointerTest!F:F, MATCH(B149, PointerTest!A:A, 0), 0)</f>
        <v>♢♢</v>
      </c>
      <c r="F149" s="70" t="str">
        <f t="array" ref="F149">LET(percentage,XLOOKUP($E149,$K$2:$K$10,L$2:L$10,"",0)/(COUNTIFS($E:$E,$E149,$D:$D,RegularFormula!$D$2)+COUNTIFS($E:$E,$E149,$D:$D,IF($D149=RegularFormula!$D$2,$K$15,$D149))),IFERROR(IF(percentage,percentage,""),""))
</f>
        <v/>
      </c>
      <c r="G149" s="71">
        <f t="array" ref="G149">LET(percentage,XLOOKUP($E149,$K$2:$K$10,M$2:M$10,"",0)/(COUNTIFS($E:$E,$E149,$D:$D,RegularFormula!$D$2)+COUNTIFS($E:$E,$E149,$D:$D,IF($D149=RegularFormula!$D$2,$K$15,$D149))),IFERROR(IF(percentage,percentage,""),""))
</f>
        <v>0.02571428571</v>
      </c>
      <c r="H149" s="71">
        <f t="array" ref="H149">LET(percentage,XLOOKUP($E149,$K$2:$K$10,N$2:N$10,"",0)/(COUNTIFS($E:$E,$E149,$D:$D,RegularFormula!$D$2)+COUNTIFS($E:$E,$E149,$D:$D,IF($D149=RegularFormula!$D$2,$K$15,$D149))),IFERROR(IF(percentage,percentage,""),""))
</f>
        <v>0.01714285714</v>
      </c>
      <c r="I149" s="72" t="str">
        <f t="shared" si="1"/>
        <v/>
      </c>
      <c r="J149" s="73">
        <v>0.0</v>
      </c>
      <c r="K149" s="194"/>
      <c r="L149" s="55"/>
      <c r="M149" s="55"/>
      <c r="N149" s="55"/>
      <c r="O149" s="197"/>
      <c r="P149" s="103"/>
      <c r="Q149" s="103"/>
      <c r="R149" s="103"/>
      <c r="S149" s="79" t="str">
        <f t="shared" si="2"/>
        <v/>
      </c>
      <c r="T149" s="80" t="str">
        <f>IFERROR(__xludf.DUMMYFUNCTION("IF(
  Q149="""",
  """",
  IF(
   REGEXMATCH(SUBSTITUTE(Q149, "" ex"", """"), TEXTJOIN(""|"", TRUE, INDEX('language&amp;DataTest'!$A$33:$AB$182, , MATCH(HOME!$A$25, 'language&amp;DataTest'!$A$1:$G$1, 0)))),
   IF($M$26,
     IF(COUNTIFS(ARRAYFORMULA(SUBSTITUTE($C"&amp;"$2:$C287, "" ex"", """")), SUBSTITUTE(Q149, "" ex"", """"), $J$2:$J287, ""&gt;0"")=0, ""Yes"", ""No""),
     IF(COUNTIFS(ARRAYFORMULA(SUBSTITUTE($C$2:$C287, "" ex"", """")), SUBSTITUTE(Q149, "" ex"", """"), $A$2:$A287, TRUE)=0, ""Yes"", ""No"")
   ),
   ""No"&amp;"""
 )
)"),"")</f>
        <v/>
      </c>
    </row>
    <row r="150">
      <c r="A150" s="68" t="b">
        <v>1</v>
      </c>
      <c r="B150" s="69" t="s">
        <v>267</v>
      </c>
      <c r="C150" s="69" t="str">
        <f t="array" ref="C150">TEXTJOIN("", TRUE, IFERROR(INDEX('language&amp;DataTest'!A:J, MATCH(INDEX( PointerTest!C:C, MATCH(B150, PointerTest!A:A, 0), 0), 'language&amp;DataTest'!A:A, 0), MATCH(HOME!$A$25, 'language&amp;DataTest'!$A$1:$H$1, 0))),                      IFERROR(INDEX('language&amp;DataTest'!A:J, MATCH(INDEX( PointerTest!D:D, MATCH(B150, PointerTest!A:A, 0), 0), 'language&amp;DataTest'!A:A, 0), MATCH(HOME!$A$25, 'language&amp;DataTest'!$A$1:$H$1, 0))),                                          
IFERROR(INDEX('language&amp;DataTest'!A:J, MATCH(INDEX( PointerTest!E:E, MATCH(B150, PointerTest!A:A, 0), 0), 'language&amp;DataTest'!A:A, 0), MATCH(HOME!$A$25, 'language&amp;DataTest'!$A$1:$H$1, 0))))</f>
        <v>Golem</v>
      </c>
      <c r="D150" s="69" t="str">
        <f t="array" ref="D150">INDEX('language&amp;DataTest'!A:J, MATCH(INDEX( PointerTest!D:D, MATCH(INDEX(PointerTest!B:B, MATCH(B150, PointerTest!A:A, 0)), PointerTest!A:A, 0), 0), 'language&amp;DataTest'!A:A, 0), MATCH(HOME!$A$25, 'language&amp;DataTest'!$A$1:$H$1, 0))</f>
        <v>Pikachu</v>
      </c>
      <c r="E150" s="69" t="str">
        <f t="array" ref="E150">INDEX( PointerTest!F:F, MATCH(B150, PointerTest!A:A, 0), 0)</f>
        <v>♢♢♢</v>
      </c>
      <c r="F150" s="70" t="str">
        <f t="array" ref="F150">LET(percentage,XLOOKUP($E150,$K$2:$K$10,L$2:L$10,"",0)/(COUNTIFS($E:$E,$E150,$D:$D,RegularFormula!$D$2)+COUNTIFS($E:$E,$E150,$D:$D,IF($D150=RegularFormula!$D$2,$K$15,$D150))),IFERROR(IF(percentage,percentage,""),""))
</f>
        <v/>
      </c>
      <c r="G150" s="71">
        <f t="array" ref="G150">LET(percentage,XLOOKUP($E150,$K$2:$K$10,M$2:M$10,"",0)/(COUNTIFS($E:$E,$E150,$D:$D,RegularFormula!$D$2)+COUNTIFS($E:$E,$E150,$D:$D,IF($D150=RegularFormula!$D$2,$K$15,$D150))),IFERROR(IF(percentage,percentage,""),""))
</f>
        <v>0.003571428571</v>
      </c>
      <c r="H150" s="71">
        <f t="array" ref="H150">LET(percentage,XLOOKUP($E150,$K$2:$K$10,N$2:N$10,"",0)/(COUNTIFS($E:$E,$E150,$D:$D,RegularFormula!$D$2)+COUNTIFS($E:$E,$E150,$D:$D,IF($D150=RegularFormula!$D$2,$K$15,$D150))),IFERROR(IF(percentage,percentage,""),""))
</f>
        <v>0.01428571429</v>
      </c>
      <c r="I150" s="72" t="str">
        <f t="shared" si="1"/>
        <v/>
      </c>
      <c r="J150" s="73">
        <v>0.0</v>
      </c>
      <c r="K150" s="194"/>
      <c r="L150" s="55"/>
      <c r="M150" s="55"/>
      <c r="N150" s="55"/>
      <c r="O150" s="197"/>
      <c r="P150" s="103"/>
      <c r="Q150" s="103"/>
      <c r="R150" s="103"/>
      <c r="S150" s="79" t="str">
        <f t="shared" si="2"/>
        <v/>
      </c>
      <c r="T150" s="80" t="str">
        <f>IFERROR(__xludf.DUMMYFUNCTION("IF(
  Q150="""",
  """",
  IF(
   REGEXMATCH(SUBSTITUTE(Q150, "" ex"", """"), TEXTJOIN(""|"", TRUE, INDEX('language&amp;DataTest'!$A$33:$AB$182, , MATCH(HOME!$A$25, 'language&amp;DataTest'!$A$1:$G$1, 0)))),
   IF($M$26,
     IF(COUNTIFS(ARRAYFORMULA(SUBSTITUTE($C"&amp;"$2:$C287, "" ex"", """")), SUBSTITUTE(Q150, "" ex"", """"), $J$2:$J287, ""&gt;0"")=0, ""Yes"", ""No""),
     IF(COUNTIFS(ARRAYFORMULA(SUBSTITUTE($C$2:$C287, "" ex"", """")), SUBSTITUTE(Q150, "" ex"", """"), $A$2:$A287, TRUE)=0, ""Yes"", ""No"")
   ),
   ""No"&amp;"""
 )
)"),"")</f>
        <v/>
      </c>
    </row>
    <row r="151">
      <c r="A151" s="68" t="b">
        <v>1</v>
      </c>
      <c r="B151" s="69" t="s">
        <v>268</v>
      </c>
      <c r="C151" s="69" t="str">
        <f t="array" ref="C151">TEXTJOIN("", TRUE, IFERROR(INDEX('language&amp;DataTest'!A:J, MATCH(INDEX( PointerTest!C:C, MATCH(B151, PointerTest!A:A, 0), 0), 'language&amp;DataTest'!A:A, 0), MATCH(HOME!$A$25, 'language&amp;DataTest'!$A$1:$H$1, 0))),                      IFERROR(INDEX('language&amp;DataTest'!A:J, MATCH(INDEX( PointerTest!D:D, MATCH(B151, PointerTest!A:A, 0), 0), 'language&amp;DataTest'!A:A, 0), MATCH(HOME!$A$25, 'language&amp;DataTest'!$A$1:$H$1, 0))),                                          
IFERROR(INDEX('language&amp;DataTest'!A:J, MATCH(INDEX( PointerTest!E:E, MATCH(B151, PointerTest!A:A, 0), 0), 'language&amp;DataTest'!A:A, 0), MATCH(HOME!$A$25, 'language&amp;DataTest'!$A$1:$H$1, 0))))</f>
        <v>Onix</v>
      </c>
      <c r="D151" s="69" t="str">
        <f t="array" ref="D151">INDEX('language&amp;DataTest'!A:J, MATCH(INDEX( PointerTest!D:D, MATCH(INDEX(PointerTest!B:B, MATCH(B151, PointerTest!A:A, 0)), PointerTest!A:A, 0), 0), 'language&amp;DataTest'!A:A, 0), MATCH(HOME!$A$25, 'language&amp;DataTest'!$A$1:$H$1, 0))</f>
        <v>Pikachu</v>
      </c>
      <c r="E151" s="69" t="str">
        <f t="array" ref="E151">INDEX( PointerTest!F:F, MATCH(B151, PointerTest!A:A, 0), 0)</f>
        <v>♢♢</v>
      </c>
      <c r="F151" s="70" t="str">
        <f t="array" ref="F151">LET(percentage,XLOOKUP($E151,$K$2:$K$10,L$2:L$10,"",0)/(COUNTIFS($E:$E,$E151,$D:$D,RegularFormula!$D$2)+COUNTIFS($E:$E,$E151,$D:$D,IF($D151=RegularFormula!$D$2,$K$15,$D151))),IFERROR(IF(percentage,percentage,""),""))
</f>
        <v/>
      </c>
      <c r="G151" s="71">
        <f t="array" ref="G151">LET(percentage,XLOOKUP($E151,$K$2:$K$10,M$2:M$10,"",0)/(COUNTIFS($E:$E,$E151,$D:$D,RegularFormula!$D$2)+COUNTIFS($E:$E,$E151,$D:$D,IF($D151=RegularFormula!$D$2,$K$15,$D151))),IFERROR(IF(percentage,percentage,""),""))
</f>
        <v>0.02571428571</v>
      </c>
      <c r="H151" s="71">
        <f t="array" ref="H151">LET(percentage,XLOOKUP($E151,$K$2:$K$10,N$2:N$10,"",0)/(COUNTIFS($E:$E,$E151,$D:$D,RegularFormula!$D$2)+COUNTIFS($E:$E,$E151,$D:$D,IF($D151=RegularFormula!$D$2,$K$15,$D151))),IFERROR(IF(percentage,percentage,""),""))
</f>
        <v>0.01714285714</v>
      </c>
      <c r="I151" s="72" t="str">
        <f t="shared" si="1"/>
        <v/>
      </c>
      <c r="J151" s="73">
        <v>0.0</v>
      </c>
      <c r="K151" s="194"/>
      <c r="L151" s="55"/>
      <c r="M151" s="55"/>
      <c r="N151" s="55"/>
      <c r="O151" s="197"/>
      <c r="P151" s="103"/>
      <c r="Q151" s="103"/>
      <c r="R151" s="103"/>
      <c r="S151" s="79" t="str">
        <f t="shared" si="2"/>
        <v/>
      </c>
      <c r="T151" s="80" t="str">
        <f>IFERROR(__xludf.DUMMYFUNCTION("IF(
  Q151="""",
  """",
  IF(
   REGEXMATCH(SUBSTITUTE(Q151, "" ex"", """"), TEXTJOIN(""|"", TRUE, INDEX('language&amp;DataTest'!$A$33:$AB$182, , MATCH(HOME!$A$25, 'language&amp;DataTest'!$A$1:$G$1, 0)))),
   IF($M$26,
     IF(COUNTIFS(ARRAYFORMULA(SUBSTITUTE($C"&amp;"$2:$C287, "" ex"", """")), SUBSTITUTE(Q151, "" ex"", """"), $J$2:$J287, ""&gt;0"")=0, ""Yes"", ""No""),
     IF(COUNTIFS(ARRAYFORMULA(SUBSTITUTE($C$2:$C287, "" ex"", """")), SUBSTITUTE(Q151, "" ex"", """"), $A$2:$A287, TRUE)=0, ""Yes"", ""No"")
   ),
   ""No"&amp;"""
 )
)"),"")</f>
        <v/>
      </c>
    </row>
    <row r="152">
      <c r="A152" s="68" t="b">
        <v>1</v>
      </c>
      <c r="B152" s="69" t="s">
        <v>269</v>
      </c>
      <c r="C152" s="69" t="str">
        <f t="array" ref="C152">TEXTJOIN("", TRUE, IFERROR(INDEX('language&amp;DataTest'!A:J, MATCH(INDEX( PointerTest!C:C, MATCH(B152, PointerTest!A:A, 0), 0), 'language&amp;DataTest'!A:A, 0), MATCH(HOME!$A$25, 'language&amp;DataTest'!$A$1:$H$1, 0))),                      IFERROR(INDEX('language&amp;DataTest'!A:J, MATCH(INDEX( PointerTest!D:D, MATCH(B152, PointerTest!A:A, 0), 0), 'language&amp;DataTest'!A:A, 0), MATCH(HOME!$A$25, 'language&amp;DataTest'!$A$1:$H$1, 0))),                                          
IFERROR(INDEX('language&amp;DataTest'!A:J, MATCH(INDEX( PointerTest!E:E, MATCH(B152, PointerTest!A:A, 0), 0), 'language&amp;DataTest'!A:A, 0), MATCH(HOME!$A$25, 'language&amp;DataTest'!$A$1:$H$1, 0))))</f>
        <v>Cubone</v>
      </c>
      <c r="D152" s="69" t="str">
        <f t="array" ref="D152">INDEX('language&amp;DataTest'!A:J, MATCH(INDEX( PointerTest!D:D, MATCH(INDEX(PointerTest!B:B, MATCH(B152, PointerTest!A:A, 0)), PointerTest!A:A, 0), 0), 'language&amp;DataTest'!A:A, 0), MATCH(HOME!$A$25, 'language&amp;DataTest'!$A$1:$H$1, 0))</f>
        <v>Mewtwo</v>
      </c>
      <c r="E152" s="69" t="str">
        <f t="array" ref="E152">INDEX( PointerTest!F:F, MATCH(B152, PointerTest!A:A, 0), 0)</f>
        <v>♢</v>
      </c>
      <c r="F152" s="70">
        <f t="array" ref="F152">LET(percentage,XLOOKUP($E152,$K$2:$K$10,L$2:L$10,"",0)/(COUNTIFS($E:$E,$E152,$D:$D,RegularFormula!$D$2)+COUNTIFS($E:$E,$E152,$D:$D,IF($D152=RegularFormula!$D$2,$K$15,$D152))),IFERROR(IF(percentage,percentage,""),""))
</f>
        <v>0.02</v>
      </c>
      <c r="G152" s="71" t="str">
        <f t="array" ref="G152">LET(percentage,XLOOKUP($E152,$K$2:$K$10,M$2:M$10,"",0)/(COUNTIFS($E:$E,$E152,$D:$D,RegularFormula!$D$2)+COUNTIFS($E:$E,$E152,$D:$D,IF($D152=RegularFormula!$D$2,$K$15,$D152))),IFERROR(IF(percentage,percentage,""),""))
</f>
        <v/>
      </c>
      <c r="H152" s="71" t="str">
        <f t="array" ref="H152">LET(percentage,XLOOKUP($E152,$K$2:$K$10,N$2:N$10,"",0)/(COUNTIFS($E:$E,$E152,$D:$D,RegularFormula!$D$2)+COUNTIFS($E:$E,$E152,$D:$D,IF($D152=RegularFormula!$D$2,$K$15,$D152))),IFERROR(IF(percentage,percentage,""),""))
</f>
        <v/>
      </c>
      <c r="I152" s="72" t="str">
        <f t="shared" si="1"/>
        <v/>
      </c>
      <c r="J152" s="73">
        <v>0.0</v>
      </c>
      <c r="K152" s="194"/>
      <c r="L152" s="55"/>
      <c r="M152" s="55"/>
      <c r="N152" s="55"/>
      <c r="O152" s="197"/>
      <c r="P152" s="103"/>
      <c r="Q152" s="103"/>
      <c r="R152" s="103"/>
      <c r="S152" s="79" t="str">
        <f t="shared" si="2"/>
        <v/>
      </c>
      <c r="T152" s="80" t="str">
        <f>IFERROR(__xludf.DUMMYFUNCTION("IF(
  Q152="""",
  """",
  IF(
   REGEXMATCH(SUBSTITUTE(Q152, "" ex"", """"), TEXTJOIN(""|"", TRUE, INDEX('language&amp;DataTest'!$A$33:$AB$182, , MATCH(HOME!$A$25, 'language&amp;DataTest'!$A$1:$G$1, 0)))),
   IF($M$26,
     IF(COUNTIFS(ARRAYFORMULA(SUBSTITUTE($C"&amp;"$2:$C287, "" ex"", """")), SUBSTITUTE(Q152, "" ex"", """"), $J$2:$J287, ""&gt;0"")=0, ""Yes"", ""No""),
     IF(COUNTIFS(ARRAYFORMULA(SUBSTITUTE($C$2:$C287, "" ex"", """")), SUBSTITUTE(Q152, "" ex"", """"), $A$2:$A287, TRUE)=0, ""Yes"", ""No"")
   ),
   ""No"&amp;"""
 )
)"),"")</f>
        <v/>
      </c>
    </row>
    <row r="153">
      <c r="A153" s="68" t="b">
        <v>1</v>
      </c>
      <c r="B153" s="69" t="s">
        <v>270</v>
      </c>
      <c r="C153" s="69" t="str">
        <f t="array" ref="C153">TEXTJOIN("", TRUE, IFERROR(INDEX('language&amp;DataTest'!A:J, MATCH(INDEX( PointerTest!C:C, MATCH(B153, PointerTest!A:A, 0), 0), 'language&amp;DataTest'!A:A, 0), MATCH(HOME!$A$25, 'language&amp;DataTest'!$A$1:$H$1, 0))),                      IFERROR(INDEX('language&amp;DataTest'!A:J, MATCH(INDEX( PointerTest!D:D, MATCH(B153, PointerTest!A:A, 0), 0), 'language&amp;DataTest'!A:A, 0), MATCH(HOME!$A$25, 'language&amp;DataTest'!$A$1:$H$1, 0))),                                          
IFERROR(INDEX('language&amp;DataTest'!A:J, MATCH(INDEX( PointerTest!E:E, MATCH(B153, PointerTest!A:A, 0), 0), 'language&amp;DataTest'!A:A, 0), MATCH(HOME!$A$25, 'language&amp;DataTest'!$A$1:$H$1, 0))))</f>
        <v>Marowak</v>
      </c>
      <c r="D153" s="69" t="str">
        <f t="array" ref="D153">INDEX('language&amp;DataTest'!A:J, MATCH(INDEX( PointerTest!D:D, MATCH(INDEX(PointerTest!B:B, MATCH(B153, PointerTest!A:A, 0)), PointerTest!A:A, 0), 0), 'language&amp;DataTest'!A:A, 0), MATCH(HOME!$A$25, 'language&amp;DataTest'!$A$1:$H$1, 0))</f>
        <v>Mewtwo</v>
      </c>
      <c r="E153" s="69" t="str">
        <f t="array" ref="E153">INDEX( PointerTest!F:F, MATCH(B153, PointerTest!A:A, 0), 0)</f>
        <v>♢♢</v>
      </c>
      <c r="F153" s="70" t="str">
        <f t="array" ref="F153">LET(percentage,XLOOKUP($E153,$K$2:$K$10,L$2:L$10,"",0)/(COUNTIFS($E:$E,$E153,$D:$D,RegularFormula!$D$2)+COUNTIFS($E:$E,$E153,$D:$D,IF($D153=RegularFormula!$D$2,$K$15,$D153))),IFERROR(IF(percentage,percentage,""),""))
</f>
        <v/>
      </c>
      <c r="G153" s="71">
        <f t="array" ref="G153">LET(percentage,XLOOKUP($E153,$K$2:$K$10,M$2:M$10,"",0)/(COUNTIFS($E:$E,$E153,$D:$D,RegularFormula!$D$2)+COUNTIFS($E:$E,$E153,$D:$D,IF($D153=RegularFormula!$D$2,$K$15,$D153))),IFERROR(IF(percentage,percentage,""),""))
</f>
        <v>0.02571428571</v>
      </c>
      <c r="H153" s="71">
        <f t="array" ref="H153">LET(percentage,XLOOKUP($E153,$K$2:$K$10,N$2:N$10,"",0)/(COUNTIFS($E:$E,$E153,$D:$D,RegularFormula!$D$2)+COUNTIFS($E:$E,$E153,$D:$D,IF($D153=RegularFormula!$D$2,$K$15,$D153))),IFERROR(IF(percentage,percentage,""),""))
</f>
        <v>0.01714285714</v>
      </c>
      <c r="I153" s="72" t="str">
        <f t="shared" si="1"/>
        <v/>
      </c>
      <c r="J153" s="73">
        <v>0.0</v>
      </c>
      <c r="K153" s="194"/>
      <c r="L153" s="55"/>
      <c r="M153" s="55"/>
      <c r="N153" s="55"/>
      <c r="O153" s="197"/>
      <c r="P153" s="103"/>
      <c r="Q153" s="103"/>
      <c r="R153" s="103"/>
      <c r="S153" s="79" t="str">
        <f t="shared" si="2"/>
        <v/>
      </c>
      <c r="T153" s="80" t="str">
        <f>IFERROR(__xludf.DUMMYFUNCTION("IF(
  Q153="""",
  """",
  IF(
   REGEXMATCH(SUBSTITUTE(Q153, "" ex"", """"), TEXTJOIN(""|"", TRUE, INDEX('language&amp;DataTest'!$A$33:$AB$182, , MATCH(HOME!$A$25, 'language&amp;DataTest'!$A$1:$G$1, 0)))),
   IF($M$26,
     IF(COUNTIFS(ARRAYFORMULA(SUBSTITUTE($C"&amp;"$2:$C287, "" ex"", """")), SUBSTITUTE(Q153, "" ex"", """"), $J$2:$J287, ""&gt;0"")=0, ""Yes"", ""No""),
     IF(COUNTIFS(ARRAYFORMULA(SUBSTITUTE($C$2:$C287, "" ex"", """")), SUBSTITUTE(Q153, "" ex"", """"), $A$2:$A287, TRUE)=0, ""Yes"", ""No"")
   ),
   ""No"&amp;"""
 )
)"),"")</f>
        <v/>
      </c>
    </row>
    <row r="154">
      <c r="A154" s="68" t="b">
        <v>1</v>
      </c>
      <c r="B154" s="69" t="s">
        <v>271</v>
      </c>
      <c r="C154" s="69" t="str">
        <f t="array" ref="C154">TEXTJOIN("", TRUE, IFERROR(INDEX('language&amp;DataTest'!A:J, MATCH(INDEX( PointerTest!C:C, MATCH(B154, PointerTest!A:A, 0), 0), 'language&amp;DataTest'!A:A, 0), MATCH(HOME!$A$25, 'language&amp;DataTest'!$A$1:$H$1, 0))),                      IFERROR(INDEX('language&amp;DataTest'!A:J, MATCH(INDEX( PointerTest!D:D, MATCH(B154, PointerTest!A:A, 0), 0), 'language&amp;DataTest'!A:A, 0), MATCH(HOME!$A$25, 'language&amp;DataTest'!$A$1:$H$1, 0))),                                          
IFERROR(INDEX('language&amp;DataTest'!A:J, MATCH(INDEX( PointerTest!E:E, MATCH(B154, PointerTest!A:A, 0), 0), 'language&amp;DataTest'!A:A, 0), MATCH(HOME!$A$25, 'language&amp;DataTest'!$A$1:$H$1, 0))))</f>
        <v>Marowak ex</v>
      </c>
      <c r="D154" s="69" t="str">
        <f t="array" ref="D154">INDEX('language&amp;DataTest'!A:J, MATCH(INDEX( PointerTest!D:D, MATCH(INDEX(PointerTest!B:B, MATCH(B154, PointerTest!A:A, 0)), PointerTest!A:A, 0), 0), 'language&amp;DataTest'!A:A, 0), MATCH(HOME!$A$25, 'language&amp;DataTest'!$A$1:$H$1, 0))</f>
        <v>Mewtwo</v>
      </c>
      <c r="E154" s="69" t="str">
        <f t="array" ref="E154">INDEX( PointerTest!F:F, MATCH(B154, PointerTest!A:A, 0), 0)</f>
        <v>♢♢♢♢</v>
      </c>
      <c r="F154" s="70" t="str">
        <f t="array" ref="F154">LET(percentage,XLOOKUP($E154,$K$2:$K$10,L$2:L$10,"",0)/(COUNTIFS($E:$E,$E154,$D:$D,RegularFormula!$D$2)+COUNTIFS($E:$E,$E154,$D:$D,IF($D154=RegularFormula!$D$2,$K$15,$D154))),IFERROR(IF(percentage,percentage,""),""))
</f>
        <v/>
      </c>
      <c r="G154" s="71">
        <f t="array" ref="G154">LET(percentage,XLOOKUP($E154,$K$2:$K$10,M$2:M$10,"",0)/(COUNTIFS($E:$E,$E154,$D:$D,RegularFormula!$D$2)+COUNTIFS($E:$E,$E154,$D:$D,IF($D154=RegularFormula!$D$2,$K$15,$D154))),IFERROR(IF(percentage,percentage,""),""))
</f>
        <v>0.003332</v>
      </c>
      <c r="H154" s="71">
        <f t="array" ref="H154">LET(percentage,XLOOKUP($E154,$K$2:$K$10,N$2:N$10,"",0)/(COUNTIFS($E:$E,$E154,$D:$D,RegularFormula!$D$2)+COUNTIFS($E:$E,$E154,$D:$D,IF($D154=RegularFormula!$D$2,$K$15,$D154))),IFERROR(IF(percentage,percentage,""),""))
</f>
        <v>0.013328</v>
      </c>
      <c r="I154" s="72" t="str">
        <f t="shared" si="1"/>
        <v/>
      </c>
      <c r="J154" s="73">
        <v>0.0</v>
      </c>
      <c r="K154" s="194"/>
      <c r="L154" s="55"/>
      <c r="M154" s="55"/>
      <c r="N154" s="55"/>
      <c r="O154" s="197"/>
      <c r="P154" s="103"/>
      <c r="Q154" s="103"/>
      <c r="R154" s="103"/>
      <c r="S154" s="79" t="str">
        <f t="shared" si="2"/>
        <v/>
      </c>
      <c r="T154" s="80" t="str">
        <f>IFERROR(__xludf.DUMMYFUNCTION("IF(
  Q154="""",
  """",
  IF(
   REGEXMATCH(SUBSTITUTE(Q154, "" ex"", """"), TEXTJOIN(""|"", TRUE, INDEX('language&amp;DataTest'!$A$33:$AB$182, , MATCH(HOME!$A$25, 'language&amp;DataTest'!$A$1:$G$1, 0)))),
   IF($M$26,
     IF(COUNTIFS(ARRAYFORMULA(SUBSTITUTE($C"&amp;"$2:$C287, "" ex"", """")), SUBSTITUTE(Q154, "" ex"", """"), $J$2:$J287, ""&gt;0"")=0, ""Yes"", ""No""),
     IF(COUNTIFS(ARRAYFORMULA(SUBSTITUTE($C$2:$C287, "" ex"", """")), SUBSTITUTE(Q154, "" ex"", """"), $A$2:$A287, TRUE)=0, ""Yes"", ""No"")
   ),
   ""No"&amp;"""
 )
)"),"")</f>
        <v/>
      </c>
    </row>
    <row r="155">
      <c r="A155" s="68" t="b">
        <v>1</v>
      </c>
      <c r="B155" s="69" t="s">
        <v>272</v>
      </c>
      <c r="C155" s="69" t="str">
        <f t="array" ref="C155">TEXTJOIN("", TRUE, IFERROR(INDEX('language&amp;DataTest'!A:J, MATCH(INDEX( PointerTest!C:C, MATCH(B155, PointerTest!A:A, 0), 0), 'language&amp;DataTest'!A:A, 0), MATCH(HOME!$A$25, 'language&amp;DataTest'!$A$1:$H$1, 0))),                      IFERROR(INDEX('language&amp;DataTest'!A:J, MATCH(INDEX( PointerTest!D:D, MATCH(B155, PointerTest!A:A, 0), 0), 'language&amp;DataTest'!A:A, 0), MATCH(HOME!$A$25, 'language&amp;DataTest'!$A$1:$H$1, 0))),                                          
IFERROR(INDEX('language&amp;DataTest'!A:J, MATCH(INDEX( PointerTest!E:E, MATCH(B155, PointerTest!A:A, 0), 0), 'language&amp;DataTest'!A:A, 0), MATCH(HOME!$A$25, 'language&amp;DataTest'!$A$1:$H$1, 0))))</f>
        <v>Hitmonlee</v>
      </c>
      <c r="D155" s="69" t="str">
        <f t="array" ref="D155">INDEX('language&amp;DataTest'!A:J, MATCH(INDEX( PointerTest!D:D, MATCH(INDEX(PointerTest!B:B, MATCH(B155, PointerTest!A:A, 0)), PointerTest!A:A, 0), 0), 'language&amp;DataTest'!A:A, 0), MATCH(HOME!$A$25, 'language&amp;DataTest'!$A$1:$H$1, 0))</f>
        <v>Mewtwo</v>
      </c>
      <c r="E155" s="69" t="str">
        <f t="array" ref="E155">INDEX( PointerTest!F:F, MATCH(B155, PointerTest!A:A, 0), 0)</f>
        <v>♢</v>
      </c>
      <c r="F155" s="70">
        <f t="array" ref="F155">LET(percentage,XLOOKUP($E155,$K$2:$K$10,L$2:L$10,"",0)/(COUNTIFS($E:$E,$E155,$D:$D,RegularFormula!$D$2)+COUNTIFS($E:$E,$E155,$D:$D,IF($D155=RegularFormula!$D$2,$K$15,$D155))),IFERROR(IF(percentage,percentage,""),""))
</f>
        <v>0.02</v>
      </c>
      <c r="G155" s="71" t="str">
        <f t="array" ref="G155">LET(percentage,XLOOKUP($E155,$K$2:$K$10,M$2:M$10,"",0)/(COUNTIFS($E:$E,$E155,$D:$D,RegularFormula!$D$2)+COUNTIFS($E:$E,$E155,$D:$D,IF($D155=RegularFormula!$D$2,$K$15,$D155))),IFERROR(IF(percentage,percentage,""),""))
</f>
        <v/>
      </c>
      <c r="H155" s="71" t="str">
        <f t="array" ref="H155">LET(percentage,XLOOKUP($E155,$K$2:$K$10,N$2:N$10,"",0)/(COUNTIFS($E:$E,$E155,$D:$D,RegularFormula!$D$2)+COUNTIFS($E:$E,$E155,$D:$D,IF($D155=RegularFormula!$D$2,$K$15,$D155))),IFERROR(IF(percentage,percentage,""),""))
</f>
        <v/>
      </c>
      <c r="I155" s="72" t="str">
        <f t="shared" si="1"/>
        <v/>
      </c>
      <c r="J155" s="73">
        <v>0.0</v>
      </c>
      <c r="K155" s="194"/>
      <c r="L155" s="55"/>
      <c r="M155" s="55"/>
      <c r="N155" s="55"/>
      <c r="O155" s="197"/>
      <c r="P155" s="103"/>
      <c r="Q155" s="103"/>
      <c r="R155" s="103"/>
      <c r="S155" s="79" t="str">
        <f t="shared" si="2"/>
        <v/>
      </c>
      <c r="T155" s="80" t="str">
        <f>IFERROR(__xludf.DUMMYFUNCTION("IF(
  Q155="""",
  """",
  IF(
   REGEXMATCH(SUBSTITUTE(Q155, "" ex"", """"), TEXTJOIN(""|"", TRUE, INDEX('language&amp;DataTest'!$A$33:$AB$182, , MATCH(HOME!$A$25, 'language&amp;DataTest'!$A$1:$G$1, 0)))),
   IF($M$26,
     IF(COUNTIFS(ARRAYFORMULA(SUBSTITUTE($C"&amp;"$2:$C287, "" ex"", """")), SUBSTITUTE(Q155, "" ex"", """"), $J$2:$J287, ""&gt;0"")=0, ""Yes"", ""No""),
     IF(COUNTIFS(ARRAYFORMULA(SUBSTITUTE($C$2:$C287, "" ex"", """")), SUBSTITUTE(Q155, "" ex"", """"), $A$2:$A287, TRUE)=0, ""Yes"", ""No"")
   ),
   ""No"&amp;"""
 )
)"),"")</f>
        <v/>
      </c>
    </row>
    <row r="156">
      <c r="A156" s="68" t="b">
        <v>1</v>
      </c>
      <c r="B156" s="69" t="s">
        <v>273</v>
      </c>
      <c r="C156" s="69" t="str">
        <f t="array" ref="C156">TEXTJOIN("", TRUE, IFERROR(INDEX('language&amp;DataTest'!A:J, MATCH(INDEX( PointerTest!C:C, MATCH(B156, PointerTest!A:A, 0), 0), 'language&amp;DataTest'!A:A, 0), MATCH(HOME!$A$25, 'language&amp;DataTest'!$A$1:$H$1, 0))),                      IFERROR(INDEX('language&amp;DataTest'!A:J, MATCH(INDEX( PointerTest!D:D, MATCH(B156, PointerTest!A:A, 0), 0), 'language&amp;DataTest'!A:A, 0), MATCH(HOME!$A$25, 'language&amp;DataTest'!$A$1:$H$1, 0))),                                          
IFERROR(INDEX('language&amp;DataTest'!A:J, MATCH(INDEX( PointerTest!E:E, MATCH(B156, PointerTest!A:A, 0), 0), 'language&amp;DataTest'!A:A, 0), MATCH(HOME!$A$25, 'language&amp;DataTest'!$A$1:$H$1, 0))))</f>
        <v>Hitmonchan</v>
      </c>
      <c r="D156" s="69" t="str">
        <f t="array" ref="D156">INDEX('language&amp;DataTest'!A:J, MATCH(INDEX( PointerTest!D:D, MATCH(INDEX(PointerTest!B:B, MATCH(B156, PointerTest!A:A, 0)), PointerTest!A:A, 0), 0), 'language&amp;DataTest'!A:A, 0), MATCH(HOME!$A$25, 'language&amp;DataTest'!$A$1:$H$1, 0))</f>
        <v>Charizard</v>
      </c>
      <c r="E156" s="69" t="str">
        <f t="array" ref="E156">INDEX( PointerTest!F:F, MATCH(B156, PointerTest!A:A, 0), 0)</f>
        <v>♢</v>
      </c>
      <c r="F156" s="70">
        <f t="array" ref="F156">LET(percentage,XLOOKUP($E156,$K$2:$K$10,L$2:L$10,"",0)/(COUNTIFS($E:$E,$E156,$D:$D,RegularFormula!$D$2)+COUNTIFS($E:$E,$E156,$D:$D,IF($D156=RegularFormula!$D$2,$K$15,$D156))),IFERROR(IF(percentage,percentage,""),""))
</f>
        <v>0.02</v>
      </c>
      <c r="G156" s="71" t="str">
        <f t="array" ref="G156">LET(percentage,XLOOKUP($E156,$K$2:$K$10,M$2:M$10,"",0)/(COUNTIFS($E:$E,$E156,$D:$D,RegularFormula!$D$2)+COUNTIFS($E:$E,$E156,$D:$D,IF($D156=RegularFormula!$D$2,$K$15,$D156))),IFERROR(IF(percentage,percentage,""),""))
</f>
        <v/>
      </c>
      <c r="H156" s="71" t="str">
        <f t="array" ref="H156">LET(percentage,XLOOKUP($E156,$K$2:$K$10,N$2:N$10,"",0)/(COUNTIFS($E:$E,$E156,$D:$D,RegularFormula!$D$2)+COUNTIFS($E:$E,$E156,$D:$D,IF($D156=RegularFormula!$D$2,$K$15,$D156))),IFERROR(IF(percentage,percentage,""),""))
</f>
        <v/>
      </c>
      <c r="I156" s="72" t="str">
        <f t="shared" si="1"/>
        <v/>
      </c>
      <c r="J156" s="73">
        <v>0.0</v>
      </c>
      <c r="K156" s="194"/>
      <c r="L156" s="55"/>
      <c r="M156" s="55"/>
      <c r="N156" s="55"/>
      <c r="O156" s="197"/>
      <c r="P156" s="103"/>
      <c r="Q156" s="103"/>
      <c r="R156" s="103"/>
      <c r="S156" s="79" t="str">
        <f t="shared" si="2"/>
        <v/>
      </c>
      <c r="T156" s="80" t="str">
        <f>IFERROR(__xludf.DUMMYFUNCTION("IF(
  Q156="""",
  """",
  IF(
   REGEXMATCH(SUBSTITUTE(Q156, "" ex"", """"), TEXTJOIN(""|"", TRUE, INDEX('language&amp;DataTest'!$A$33:$AB$182, , MATCH(HOME!$A$25, 'language&amp;DataTest'!$A$1:$G$1, 0)))),
   IF($M$26,
     IF(COUNTIFS(ARRAYFORMULA(SUBSTITUTE($C"&amp;"$2:$C287, "" ex"", """")), SUBSTITUTE(Q156, "" ex"", """"), $J$2:$J287, ""&gt;0"")=0, ""Yes"", ""No""),
     IF(COUNTIFS(ARRAYFORMULA(SUBSTITUTE($C$2:$C287, "" ex"", """")), SUBSTITUTE(Q156, "" ex"", """"), $A$2:$A287, TRUE)=0, ""Yes"", ""No"")
   ),
   ""No"&amp;"""
 )
)"),"")</f>
        <v/>
      </c>
    </row>
    <row r="157">
      <c r="A157" s="68" t="b">
        <v>1</v>
      </c>
      <c r="B157" s="69" t="s">
        <v>274</v>
      </c>
      <c r="C157" s="69" t="str">
        <f t="array" ref="C157">TEXTJOIN("", TRUE, IFERROR(INDEX('language&amp;DataTest'!A:J, MATCH(INDEX( PointerTest!C:C, MATCH(B157, PointerTest!A:A, 0), 0), 'language&amp;DataTest'!A:A, 0), MATCH(HOME!$A$25, 'language&amp;DataTest'!$A$1:$H$1, 0))),                      IFERROR(INDEX('language&amp;DataTest'!A:J, MATCH(INDEX( PointerTest!D:D, MATCH(B157, PointerTest!A:A, 0), 0), 'language&amp;DataTest'!A:A, 0), MATCH(HOME!$A$25, 'language&amp;DataTest'!$A$1:$H$1, 0))),                                          
IFERROR(INDEX('language&amp;DataTest'!A:J, MATCH(INDEX( PointerTest!E:E, MATCH(B157, PointerTest!A:A, 0), 0), 'language&amp;DataTest'!A:A, 0), MATCH(HOME!$A$25, 'language&amp;DataTest'!$A$1:$H$1, 0))))</f>
        <v>Rhyhorn</v>
      </c>
      <c r="D157" s="69" t="str">
        <f t="array" ref="D157">INDEX('language&amp;DataTest'!A:J, MATCH(INDEX( PointerTest!D:D, MATCH(INDEX(PointerTest!B:B, MATCH(B157, PointerTest!A:A, 0)), PointerTest!A:A, 0), 0), 'language&amp;DataTest'!A:A, 0), MATCH(HOME!$A$25, 'language&amp;DataTest'!$A$1:$H$1, 0))</f>
        <v>Mewtwo</v>
      </c>
      <c r="E157" s="69" t="str">
        <f t="array" ref="E157">INDEX( PointerTest!F:F, MATCH(B157, PointerTest!A:A, 0), 0)</f>
        <v>♢</v>
      </c>
      <c r="F157" s="70">
        <f t="array" ref="F157">LET(percentage,XLOOKUP($E157,$K$2:$K$10,L$2:L$10,"",0)/(COUNTIFS($E:$E,$E157,$D:$D,RegularFormula!$D$2)+COUNTIFS($E:$E,$E157,$D:$D,IF($D157=RegularFormula!$D$2,$K$15,$D157))),IFERROR(IF(percentage,percentage,""),""))
</f>
        <v>0.02</v>
      </c>
      <c r="G157" s="71" t="str">
        <f t="array" ref="G157">LET(percentage,XLOOKUP($E157,$K$2:$K$10,M$2:M$10,"",0)/(COUNTIFS($E:$E,$E157,$D:$D,RegularFormula!$D$2)+COUNTIFS($E:$E,$E157,$D:$D,IF($D157=RegularFormula!$D$2,$K$15,$D157))),IFERROR(IF(percentage,percentage,""),""))
</f>
        <v/>
      </c>
      <c r="H157" s="71" t="str">
        <f t="array" ref="H157">LET(percentage,XLOOKUP($E157,$K$2:$K$10,N$2:N$10,"",0)/(COUNTIFS($E:$E,$E157,$D:$D,RegularFormula!$D$2)+COUNTIFS($E:$E,$E157,$D:$D,IF($D157=RegularFormula!$D$2,$K$15,$D157))),IFERROR(IF(percentage,percentage,""),""))
</f>
        <v/>
      </c>
      <c r="I157" s="72" t="str">
        <f t="shared" si="1"/>
        <v/>
      </c>
      <c r="J157" s="73">
        <v>0.0</v>
      </c>
      <c r="K157" s="194"/>
      <c r="L157" s="55"/>
      <c r="M157" s="55"/>
      <c r="N157" s="55"/>
      <c r="O157" s="197"/>
      <c r="P157" s="103"/>
      <c r="Q157" s="103"/>
      <c r="R157" s="103"/>
      <c r="S157" s="79" t="str">
        <f t="shared" si="2"/>
        <v/>
      </c>
      <c r="T157" s="80" t="str">
        <f>IFERROR(__xludf.DUMMYFUNCTION("IF(
  Q157="""",
  """",
  IF(
   REGEXMATCH(SUBSTITUTE(Q157, "" ex"", """"), TEXTJOIN(""|"", TRUE, INDEX('language&amp;DataTest'!$A$33:$AB$182, , MATCH(HOME!$A$25, 'language&amp;DataTest'!$A$1:$G$1, 0)))),
   IF($M$26,
     IF(COUNTIFS(ARRAYFORMULA(SUBSTITUTE($C"&amp;"$2:$C287, "" ex"", """")), SUBSTITUTE(Q157, "" ex"", """"), $J$2:$J287, ""&gt;0"")=0, ""Yes"", ""No""),
     IF(COUNTIFS(ARRAYFORMULA(SUBSTITUTE($C$2:$C287, "" ex"", """")), SUBSTITUTE(Q157, "" ex"", """"), $A$2:$A287, TRUE)=0, ""Yes"", ""No"")
   ),
   ""No"&amp;"""
 )
)"),"")</f>
        <v/>
      </c>
    </row>
    <row r="158">
      <c r="A158" s="68" t="b">
        <v>1</v>
      </c>
      <c r="B158" s="69" t="s">
        <v>275</v>
      </c>
      <c r="C158" s="69" t="str">
        <f t="array" ref="C158">TEXTJOIN("", TRUE, IFERROR(INDEX('language&amp;DataTest'!A:J, MATCH(INDEX( PointerTest!C:C, MATCH(B158, PointerTest!A:A, 0), 0), 'language&amp;DataTest'!A:A, 0), MATCH(HOME!$A$25, 'language&amp;DataTest'!$A$1:$H$1, 0))),                      IFERROR(INDEX('language&amp;DataTest'!A:J, MATCH(INDEX( PointerTest!D:D, MATCH(B158, PointerTest!A:A, 0), 0), 'language&amp;DataTest'!A:A, 0), MATCH(HOME!$A$25, 'language&amp;DataTest'!$A$1:$H$1, 0))),                                          
IFERROR(INDEX('language&amp;DataTest'!A:J, MATCH(INDEX( PointerTest!E:E, MATCH(B158, PointerTest!A:A, 0), 0), 'language&amp;DataTest'!A:A, 0), MATCH(HOME!$A$25, 'language&amp;DataTest'!$A$1:$H$1, 0))))</f>
        <v>Rhydon</v>
      </c>
      <c r="D158" s="69" t="str">
        <f t="array" ref="D158">INDEX('language&amp;DataTest'!A:J, MATCH(INDEX( PointerTest!D:D, MATCH(INDEX(PointerTest!B:B, MATCH(B158, PointerTest!A:A, 0)), PointerTest!A:A, 0), 0), 'language&amp;DataTest'!A:A, 0), MATCH(HOME!$A$25, 'language&amp;DataTest'!$A$1:$H$1, 0))</f>
        <v>Mewtwo</v>
      </c>
      <c r="E158" s="69" t="str">
        <f t="array" ref="E158">INDEX( PointerTest!F:F, MATCH(B158, PointerTest!A:A, 0), 0)</f>
        <v>♢♢</v>
      </c>
      <c r="F158" s="70" t="str">
        <f t="array" ref="F158">LET(percentage,XLOOKUP($E158,$K$2:$K$10,L$2:L$10,"",0)/(COUNTIFS($E:$E,$E158,$D:$D,RegularFormula!$D$2)+COUNTIFS($E:$E,$E158,$D:$D,IF($D158=RegularFormula!$D$2,$K$15,$D158))),IFERROR(IF(percentage,percentage,""),""))
</f>
        <v/>
      </c>
      <c r="G158" s="71">
        <f t="array" ref="G158">LET(percentage,XLOOKUP($E158,$K$2:$K$10,M$2:M$10,"",0)/(COUNTIFS($E:$E,$E158,$D:$D,RegularFormula!$D$2)+COUNTIFS($E:$E,$E158,$D:$D,IF($D158=RegularFormula!$D$2,$K$15,$D158))),IFERROR(IF(percentage,percentage,""),""))
</f>
        <v>0.02571428571</v>
      </c>
      <c r="H158" s="71">
        <f t="array" ref="H158">LET(percentage,XLOOKUP($E158,$K$2:$K$10,N$2:N$10,"",0)/(COUNTIFS($E:$E,$E158,$D:$D,RegularFormula!$D$2)+COUNTIFS($E:$E,$E158,$D:$D,IF($D158=RegularFormula!$D$2,$K$15,$D158))),IFERROR(IF(percentage,percentage,""),""))
</f>
        <v>0.01714285714</v>
      </c>
      <c r="I158" s="72" t="str">
        <f t="shared" si="1"/>
        <v/>
      </c>
      <c r="J158" s="73">
        <v>0.0</v>
      </c>
      <c r="K158" s="194"/>
      <c r="L158" s="55"/>
      <c r="M158" s="55"/>
      <c r="N158" s="55"/>
      <c r="O158" s="197"/>
      <c r="P158" s="103"/>
      <c r="Q158" s="103"/>
      <c r="R158" s="103"/>
      <c r="S158" s="79" t="str">
        <f t="shared" si="2"/>
        <v/>
      </c>
      <c r="T158" s="80" t="str">
        <f>IFERROR(__xludf.DUMMYFUNCTION("IF(
  Q158="""",
  """",
  IF(
   REGEXMATCH(SUBSTITUTE(Q158, "" ex"", """"), TEXTJOIN(""|"", TRUE, INDEX('language&amp;DataTest'!$A$33:$AB$182, , MATCH(HOME!$A$25, 'language&amp;DataTest'!$A$1:$G$1, 0)))),
   IF($M$26,
     IF(COUNTIFS(ARRAYFORMULA(SUBSTITUTE($C"&amp;"$2:$C287, "" ex"", """")), SUBSTITUTE(Q158, "" ex"", """"), $J$2:$J287, ""&gt;0"")=0, ""Yes"", ""No""),
     IF(COUNTIFS(ARRAYFORMULA(SUBSTITUTE($C$2:$C287, "" ex"", """")), SUBSTITUTE(Q158, "" ex"", """"), $A$2:$A287, TRUE)=0, ""Yes"", ""No"")
   ),
   ""No"&amp;"""
 )
)"),"")</f>
        <v/>
      </c>
    </row>
    <row r="159">
      <c r="A159" s="68" t="b">
        <v>1</v>
      </c>
      <c r="B159" s="69" t="s">
        <v>276</v>
      </c>
      <c r="C159" s="69" t="str">
        <f t="array" ref="C159">TEXTJOIN("", TRUE, IFERROR(INDEX('language&amp;DataTest'!A:J, MATCH(INDEX( PointerTest!C:C, MATCH(B159, PointerTest!A:A, 0), 0), 'language&amp;DataTest'!A:A, 0), MATCH(HOME!$A$25, 'language&amp;DataTest'!$A$1:$H$1, 0))),                      IFERROR(INDEX('language&amp;DataTest'!A:J, MATCH(INDEX( PointerTest!D:D, MATCH(B159, PointerTest!A:A, 0), 0), 'language&amp;DataTest'!A:A, 0), MATCH(HOME!$A$25, 'language&amp;DataTest'!$A$1:$H$1, 0))),                                          
IFERROR(INDEX('language&amp;DataTest'!A:J, MATCH(INDEX( PointerTest!E:E, MATCH(B159, PointerTest!A:A, 0), 0), 'language&amp;DataTest'!A:A, 0), MATCH(HOME!$A$25, 'language&amp;DataTest'!$A$1:$H$1, 0))))</f>
        <v>Kabuto</v>
      </c>
      <c r="D159" s="69" t="str">
        <f t="array" ref="D159">INDEX('language&amp;DataTest'!A:J, MATCH(INDEX( PointerTest!D:D, MATCH(INDEX(PointerTest!B:B, MATCH(B159, PointerTest!A:A, 0)), PointerTest!A:A, 0), 0), 'language&amp;DataTest'!A:A, 0), MATCH(HOME!$A$25, 'language&amp;DataTest'!$A$1:$H$1, 0))</f>
        <v>Charizard</v>
      </c>
      <c r="E159" s="69" t="str">
        <f t="array" ref="E159">INDEX( PointerTest!F:F, MATCH(B159, PointerTest!A:A, 0), 0)</f>
        <v>♢♢</v>
      </c>
      <c r="F159" s="70" t="str">
        <f t="array" ref="F159">LET(percentage,XLOOKUP($E159,$K$2:$K$10,L$2:L$10,"",0)/(COUNTIFS($E:$E,$E159,$D:$D,RegularFormula!$D$2)+COUNTIFS($E:$E,$E159,$D:$D,IF($D159=RegularFormula!$D$2,$K$15,$D159))),IFERROR(IF(percentage,percentage,""),""))
</f>
        <v/>
      </c>
      <c r="G159" s="71">
        <f t="array" ref="G159">LET(percentage,XLOOKUP($E159,$K$2:$K$10,M$2:M$10,"",0)/(COUNTIFS($E:$E,$E159,$D:$D,RegularFormula!$D$2)+COUNTIFS($E:$E,$E159,$D:$D,IF($D159=RegularFormula!$D$2,$K$15,$D159))),IFERROR(IF(percentage,percentage,""),""))
</f>
        <v>0.02571428571</v>
      </c>
      <c r="H159" s="71">
        <f t="array" ref="H159">LET(percentage,XLOOKUP($E159,$K$2:$K$10,N$2:N$10,"",0)/(COUNTIFS($E:$E,$E159,$D:$D,RegularFormula!$D$2)+COUNTIFS($E:$E,$E159,$D:$D,IF($D159=RegularFormula!$D$2,$K$15,$D159))),IFERROR(IF(percentage,percentage,""),""))
</f>
        <v>0.01714285714</v>
      </c>
      <c r="I159" s="72" t="str">
        <f t="shared" si="1"/>
        <v/>
      </c>
      <c r="J159" s="73">
        <v>0.0</v>
      </c>
      <c r="K159" s="194"/>
      <c r="L159" s="55"/>
      <c r="M159" s="55"/>
      <c r="N159" s="55"/>
      <c r="O159" s="197"/>
      <c r="P159" s="103"/>
      <c r="Q159" s="103"/>
      <c r="R159" s="103"/>
      <c r="S159" s="79" t="str">
        <f t="shared" si="2"/>
        <v/>
      </c>
      <c r="T159" s="80" t="str">
        <f>IFERROR(__xludf.DUMMYFUNCTION("IF(
  Q159="""",
  """",
  IF(
   REGEXMATCH(SUBSTITUTE(Q159, "" ex"", """"), TEXTJOIN(""|"", TRUE, INDEX('language&amp;DataTest'!$A$33:$AB$182, , MATCH(HOME!$A$25, 'language&amp;DataTest'!$A$1:$G$1, 0)))),
   IF($M$26,
     IF(COUNTIFS(ARRAYFORMULA(SUBSTITUTE($C"&amp;"$2:$C287, "" ex"", """")), SUBSTITUTE(Q159, "" ex"", """"), $J$2:$J287, ""&gt;0"")=0, ""Yes"", ""No""),
     IF(COUNTIFS(ARRAYFORMULA(SUBSTITUTE($C$2:$C287, "" ex"", """")), SUBSTITUTE(Q159, "" ex"", """"), $A$2:$A287, TRUE)=0, ""Yes"", ""No"")
   ),
   ""No"&amp;"""
 )
)"),"")</f>
        <v/>
      </c>
    </row>
    <row r="160">
      <c r="A160" s="68" t="b">
        <v>1</v>
      </c>
      <c r="B160" s="69" t="s">
        <v>277</v>
      </c>
      <c r="C160" s="69" t="str">
        <f t="array" ref="C160">TEXTJOIN("", TRUE, IFERROR(INDEX('language&amp;DataTest'!A:J, MATCH(INDEX( PointerTest!C:C, MATCH(B160, PointerTest!A:A, 0), 0), 'language&amp;DataTest'!A:A, 0), MATCH(HOME!$A$25, 'language&amp;DataTest'!$A$1:$H$1, 0))),                      IFERROR(INDEX('language&amp;DataTest'!A:J, MATCH(INDEX( PointerTest!D:D, MATCH(B160, PointerTest!A:A, 0), 0), 'language&amp;DataTest'!A:A, 0), MATCH(HOME!$A$25, 'language&amp;DataTest'!$A$1:$H$1, 0))),                                          
IFERROR(INDEX('language&amp;DataTest'!A:J, MATCH(INDEX( PointerTest!E:E, MATCH(B160, PointerTest!A:A, 0), 0), 'language&amp;DataTest'!A:A, 0), MATCH(HOME!$A$25, 'language&amp;DataTest'!$A$1:$H$1, 0))))</f>
        <v>Kabutops</v>
      </c>
      <c r="D160" s="69" t="str">
        <f t="array" ref="D160">INDEX('language&amp;DataTest'!A:J, MATCH(INDEX( PointerTest!D:D, MATCH(INDEX(PointerTest!B:B, MATCH(B160, PointerTest!A:A, 0)), PointerTest!A:A, 0), 0), 'language&amp;DataTest'!A:A, 0), MATCH(HOME!$A$25, 'language&amp;DataTest'!$A$1:$H$1, 0))</f>
        <v>Charizard</v>
      </c>
      <c r="E160" s="69" t="str">
        <f t="array" ref="E160">INDEX( PointerTest!F:F, MATCH(B160, PointerTest!A:A, 0), 0)</f>
        <v>♢♢♢</v>
      </c>
      <c r="F160" s="70" t="str">
        <f t="array" ref="F160">LET(percentage,XLOOKUP($E160,$K$2:$K$10,L$2:L$10,"",0)/(COUNTIFS($E:$E,$E160,$D:$D,RegularFormula!$D$2)+COUNTIFS($E:$E,$E160,$D:$D,IF($D160=RegularFormula!$D$2,$K$15,$D160))),IFERROR(IF(percentage,percentage,""),""))
</f>
        <v/>
      </c>
      <c r="G160" s="71">
        <f t="array" ref="G160">LET(percentage,XLOOKUP($E160,$K$2:$K$10,M$2:M$10,"",0)/(COUNTIFS($E:$E,$E160,$D:$D,RegularFormula!$D$2)+COUNTIFS($E:$E,$E160,$D:$D,IF($D160=RegularFormula!$D$2,$K$15,$D160))),IFERROR(IF(percentage,percentage,""),""))
</f>
        <v>0.003571428571</v>
      </c>
      <c r="H160" s="71">
        <f t="array" ref="H160">LET(percentage,XLOOKUP($E160,$K$2:$K$10,N$2:N$10,"",0)/(COUNTIFS($E:$E,$E160,$D:$D,RegularFormula!$D$2)+COUNTIFS($E:$E,$E160,$D:$D,IF($D160=RegularFormula!$D$2,$K$15,$D160))),IFERROR(IF(percentage,percentage,""),""))
</f>
        <v>0.01428571429</v>
      </c>
      <c r="I160" s="72" t="str">
        <f t="shared" si="1"/>
        <v/>
      </c>
      <c r="J160" s="73">
        <v>0.0</v>
      </c>
      <c r="K160" s="194"/>
      <c r="L160" s="55"/>
      <c r="M160" s="55"/>
      <c r="N160" s="55"/>
      <c r="O160" s="197"/>
      <c r="P160" s="103"/>
      <c r="Q160" s="103"/>
      <c r="R160" s="103"/>
      <c r="S160" s="79" t="str">
        <f t="shared" si="2"/>
        <v/>
      </c>
      <c r="T160" s="80" t="str">
        <f>IFERROR(__xludf.DUMMYFUNCTION("IF(
  Q160="""",
  """",
  IF(
   REGEXMATCH(SUBSTITUTE(Q160, "" ex"", """"), TEXTJOIN(""|"", TRUE, INDEX('language&amp;DataTest'!$A$33:$AB$182, , MATCH(HOME!$A$25, 'language&amp;DataTest'!$A$1:$G$1, 0)))),
   IF($M$26,
     IF(COUNTIFS(ARRAYFORMULA(SUBSTITUTE($C"&amp;"$2:$C287, "" ex"", """")), SUBSTITUTE(Q160, "" ex"", """"), $J$2:$J287, ""&gt;0"")=0, ""Yes"", ""No""),
     IF(COUNTIFS(ARRAYFORMULA(SUBSTITUTE($C$2:$C287, "" ex"", """")), SUBSTITUTE(Q160, "" ex"", """"), $A$2:$A287, TRUE)=0, ""Yes"", ""No"")
   ),
   ""No"&amp;"""
 )
)"),"")</f>
        <v/>
      </c>
    </row>
    <row r="161">
      <c r="A161" s="68" t="b">
        <v>1</v>
      </c>
      <c r="B161" s="69" t="s">
        <v>278</v>
      </c>
      <c r="C161" s="69" t="str">
        <f t="array" ref="C161">TEXTJOIN("", TRUE, IFERROR(INDEX('language&amp;DataTest'!A:J, MATCH(INDEX( PointerTest!C:C, MATCH(B161, PointerTest!A:A, 0), 0), 'language&amp;DataTest'!A:A, 0), MATCH(HOME!$A$25, 'language&amp;DataTest'!$A$1:$H$1, 0))),                      IFERROR(INDEX('language&amp;DataTest'!A:J, MATCH(INDEX( PointerTest!D:D, MATCH(B161, PointerTest!A:A, 0), 0), 'language&amp;DataTest'!A:A, 0), MATCH(HOME!$A$25, 'language&amp;DataTest'!$A$1:$H$1, 0))),                                          
IFERROR(INDEX('language&amp;DataTest'!A:J, MATCH(INDEX( PointerTest!E:E, MATCH(B161, PointerTest!A:A, 0), 0), 'language&amp;DataTest'!A:A, 0), MATCH(HOME!$A$25, 'language&amp;DataTest'!$A$1:$H$1, 0))))</f>
        <v>Mienfoo</v>
      </c>
      <c r="D161" s="69" t="str">
        <f t="array" ref="D161">INDEX('language&amp;DataTest'!A:J, MATCH(INDEX( PointerTest!D:D, MATCH(INDEX(PointerTest!B:B, MATCH(B161, PointerTest!A:A, 0)), PointerTest!A:A, 0), 0), 'language&amp;DataTest'!A:A, 0), MATCH(HOME!$A$25, 'language&amp;DataTest'!$A$1:$H$1, 0))</f>
        <v>Pikachu</v>
      </c>
      <c r="E161" s="69" t="str">
        <f t="array" ref="E161">INDEX( PointerTest!F:F, MATCH(B161, PointerTest!A:A, 0), 0)</f>
        <v>♢</v>
      </c>
      <c r="F161" s="70">
        <f t="array" ref="F161">LET(percentage,XLOOKUP($E161,$K$2:$K$10,L$2:L$10,"",0)/(COUNTIFS($E:$E,$E161,$D:$D,RegularFormula!$D$2)+COUNTIFS($E:$E,$E161,$D:$D,IF($D161=RegularFormula!$D$2,$K$15,$D161))),IFERROR(IF(percentage,percentage,""),""))
</f>
        <v>0.02</v>
      </c>
      <c r="G161" s="71" t="str">
        <f t="array" ref="G161">LET(percentage,XLOOKUP($E161,$K$2:$K$10,M$2:M$10,"",0)/(COUNTIFS($E:$E,$E161,$D:$D,RegularFormula!$D$2)+COUNTIFS($E:$E,$E161,$D:$D,IF($D161=RegularFormula!$D$2,$K$15,$D161))),IFERROR(IF(percentage,percentage,""),""))
</f>
        <v/>
      </c>
      <c r="H161" s="71" t="str">
        <f t="array" ref="H161">LET(percentage,XLOOKUP($E161,$K$2:$K$10,N$2:N$10,"",0)/(COUNTIFS($E:$E,$E161,$D:$D,RegularFormula!$D$2)+COUNTIFS($E:$E,$E161,$D:$D,IF($D161=RegularFormula!$D$2,$K$15,$D161))),IFERROR(IF(percentage,percentage,""),""))
</f>
        <v/>
      </c>
      <c r="I161" s="72" t="str">
        <f t="shared" si="1"/>
        <v/>
      </c>
      <c r="J161" s="73">
        <v>0.0</v>
      </c>
      <c r="K161" s="194"/>
      <c r="L161" s="55"/>
      <c r="M161" s="55"/>
      <c r="N161" s="55"/>
      <c r="O161" s="197"/>
      <c r="P161" s="103"/>
      <c r="Q161" s="103"/>
      <c r="R161" s="103"/>
      <c r="S161" s="79" t="str">
        <f t="shared" si="2"/>
        <v/>
      </c>
      <c r="T161" s="80" t="str">
        <f>IFERROR(__xludf.DUMMYFUNCTION("IF(
  Q161="""",
  """",
  IF(
   REGEXMATCH(SUBSTITUTE(Q161, "" ex"", """"), TEXTJOIN(""|"", TRUE, INDEX('language&amp;DataTest'!$A$33:$AB$182, , MATCH(HOME!$A$25, 'language&amp;DataTest'!$A$1:$G$1, 0)))),
   IF($M$26,
     IF(COUNTIFS(ARRAYFORMULA(SUBSTITUTE($C"&amp;"$2:$C287, "" ex"", """")), SUBSTITUTE(Q161, "" ex"", """"), $J$2:$J287, ""&gt;0"")=0, ""Yes"", ""No""),
     IF(COUNTIFS(ARRAYFORMULA(SUBSTITUTE($C$2:$C287, "" ex"", """")), SUBSTITUTE(Q161, "" ex"", """"), $A$2:$A287, TRUE)=0, ""Yes"", ""No"")
   ),
   ""No"&amp;"""
 )
)"),"")</f>
        <v/>
      </c>
    </row>
    <row r="162">
      <c r="A162" s="68" t="b">
        <v>1</v>
      </c>
      <c r="B162" s="69" t="s">
        <v>279</v>
      </c>
      <c r="C162" s="69" t="str">
        <f t="array" ref="C162">TEXTJOIN("", TRUE, IFERROR(INDEX('language&amp;DataTest'!A:J, MATCH(INDEX( PointerTest!C:C, MATCH(B162, PointerTest!A:A, 0), 0), 'language&amp;DataTest'!A:A, 0), MATCH(HOME!$A$25, 'language&amp;DataTest'!$A$1:$H$1, 0))),                      IFERROR(INDEX('language&amp;DataTest'!A:J, MATCH(INDEX( PointerTest!D:D, MATCH(B162, PointerTest!A:A, 0), 0), 'language&amp;DataTest'!A:A, 0), MATCH(HOME!$A$25, 'language&amp;DataTest'!$A$1:$H$1, 0))),                                          
IFERROR(INDEX('language&amp;DataTest'!A:J, MATCH(INDEX( PointerTest!E:E, MATCH(B162, PointerTest!A:A, 0), 0), 'language&amp;DataTest'!A:A, 0), MATCH(HOME!$A$25, 'language&amp;DataTest'!$A$1:$H$1, 0))))</f>
        <v>Mienshao</v>
      </c>
      <c r="D162" s="69" t="str">
        <f t="array" ref="D162">INDEX('language&amp;DataTest'!A:J, MATCH(INDEX( PointerTest!D:D, MATCH(INDEX(PointerTest!B:B, MATCH(B162, PointerTest!A:A, 0)), PointerTest!A:A, 0), 0), 'language&amp;DataTest'!A:A, 0), MATCH(HOME!$A$25, 'language&amp;DataTest'!$A$1:$H$1, 0))</f>
        <v>Pikachu</v>
      </c>
      <c r="E162" s="69" t="str">
        <f t="array" ref="E162">INDEX( PointerTest!F:F, MATCH(B162, PointerTest!A:A, 0), 0)</f>
        <v>♢♢</v>
      </c>
      <c r="F162" s="70" t="str">
        <f t="array" ref="F162">LET(percentage,XLOOKUP($E162,$K$2:$K$10,L$2:L$10,"",0)/(COUNTIFS($E:$E,$E162,$D:$D,RegularFormula!$D$2)+COUNTIFS($E:$E,$E162,$D:$D,IF($D162=RegularFormula!$D$2,$K$15,$D162))),IFERROR(IF(percentage,percentage,""),""))
</f>
        <v/>
      </c>
      <c r="G162" s="71">
        <f t="array" ref="G162">LET(percentage,XLOOKUP($E162,$K$2:$K$10,M$2:M$10,"",0)/(COUNTIFS($E:$E,$E162,$D:$D,RegularFormula!$D$2)+COUNTIFS($E:$E,$E162,$D:$D,IF($D162=RegularFormula!$D$2,$K$15,$D162))),IFERROR(IF(percentage,percentage,""),""))
</f>
        <v>0.02571428571</v>
      </c>
      <c r="H162" s="71">
        <f t="array" ref="H162">LET(percentage,XLOOKUP($E162,$K$2:$K$10,N$2:N$10,"",0)/(COUNTIFS($E:$E,$E162,$D:$D,RegularFormula!$D$2)+COUNTIFS($E:$E,$E162,$D:$D,IF($D162=RegularFormula!$D$2,$K$15,$D162))),IFERROR(IF(percentage,percentage,""),""))
</f>
        <v>0.01714285714</v>
      </c>
      <c r="I162" s="72" t="str">
        <f t="shared" si="1"/>
        <v/>
      </c>
      <c r="J162" s="73">
        <v>0.0</v>
      </c>
      <c r="K162" s="194"/>
      <c r="L162" s="55"/>
      <c r="M162" s="55"/>
      <c r="N162" s="55"/>
      <c r="O162" s="197"/>
      <c r="P162" s="103"/>
      <c r="Q162" s="103"/>
      <c r="R162" s="103"/>
      <c r="S162" s="79" t="str">
        <f t="shared" si="2"/>
        <v/>
      </c>
      <c r="T162" s="80" t="str">
        <f>IFERROR(__xludf.DUMMYFUNCTION("IF(
  Q162="""",
  """",
  IF(
   REGEXMATCH(SUBSTITUTE(Q162, "" ex"", """"), TEXTJOIN(""|"", TRUE, INDEX('language&amp;DataTest'!$A$33:$AB$182, , MATCH(HOME!$A$25, 'language&amp;DataTest'!$A$1:$G$1, 0)))),
   IF($M$26,
     IF(COUNTIFS(ARRAYFORMULA(SUBSTITUTE($C"&amp;"$2:$C287, "" ex"", """")), SUBSTITUTE(Q162, "" ex"", """"), $J$2:$J287, ""&gt;0"")=0, ""Yes"", ""No""),
     IF(COUNTIFS(ARRAYFORMULA(SUBSTITUTE($C$2:$C287, "" ex"", """")), SUBSTITUTE(Q162, "" ex"", """"), $A$2:$A287, TRUE)=0, ""Yes"", ""No"")
   ),
   ""No"&amp;"""
 )
)"),"")</f>
        <v/>
      </c>
    </row>
    <row r="163">
      <c r="A163" s="68" t="b">
        <v>1</v>
      </c>
      <c r="B163" s="69" t="s">
        <v>280</v>
      </c>
      <c r="C163" s="69" t="str">
        <f t="array" ref="C163">TEXTJOIN("", TRUE, IFERROR(INDEX('language&amp;DataTest'!A:J, MATCH(INDEX( PointerTest!C:C, MATCH(B163, PointerTest!A:A, 0), 0), 'language&amp;DataTest'!A:A, 0), MATCH(HOME!$A$25, 'language&amp;DataTest'!$A$1:$H$1, 0))),                      IFERROR(INDEX('language&amp;DataTest'!A:J, MATCH(INDEX( PointerTest!D:D, MATCH(B163, PointerTest!A:A, 0), 0), 'language&amp;DataTest'!A:A, 0), MATCH(HOME!$A$25, 'language&amp;DataTest'!$A$1:$H$1, 0))),                                          
IFERROR(INDEX('language&amp;DataTest'!A:J, MATCH(INDEX( PointerTest!E:E, MATCH(B163, PointerTest!A:A, 0), 0), 'language&amp;DataTest'!A:A, 0), MATCH(HOME!$A$25, 'language&amp;DataTest'!$A$1:$H$1, 0))))</f>
        <v>Clobbopus</v>
      </c>
      <c r="D163" s="69" t="str">
        <f t="array" ref="D163">INDEX('language&amp;DataTest'!A:J, MATCH(INDEX( PointerTest!D:D, MATCH(INDEX(PointerTest!B:B, MATCH(B163, PointerTest!A:A, 0)), PointerTest!A:A, 0), 0), 'language&amp;DataTest'!A:A, 0), MATCH(HOME!$A$25, 'language&amp;DataTest'!$A$1:$H$1, 0))</f>
        <v>All</v>
      </c>
      <c r="E163" s="69" t="str">
        <f t="array" ref="E163">INDEX( PointerTest!F:F, MATCH(B163, PointerTest!A:A, 0), 0)</f>
        <v>♢</v>
      </c>
      <c r="F163" s="70">
        <f t="array" ref="F163">LET(percentage,XLOOKUP($E163,$K$2:$K$10,L$2:L$10,"",0)/(COUNTIFS($E:$E,$E163,$D:$D,RegularFormula!$D$2)+COUNTIFS($E:$E,$E163,$D:$D,IF($D163=RegularFormula!$D$2,$K$15,$D163))),IFERROR(IF(percentage,percentage,""),""))
</f>
        <v>0.02</v>
      </c>
      <c r="G163" s="71" t="str">
        <f t="array" ref="G163">LET(percentage,XLOOKUP($E163,$K$2:$K$10,M$2:M$10,"",0)/(COUNTIFS($E:$E,$E163,$D:$D,RegularFormula!$D$2)+COUNTIFS($E:$E,$E163,$D:$D,IF($D163=RegularFormula!$D$2,$K$15,$D163))),IFERROR(IF(percentage,percentage,""),""))
</f>
        <v/>
      </c>
      <c r="H163" s="71" t="str">
        <f t="array" ref="H163">LET(percentage,XLOOKUP($E163,$K$2:$K$10,N$2:N$10,"",0)/(COUNTIFS($E:$E,$E163,$D:$D,RegularFormula!$D$2)+COUNTIFS($E:$E,$E163,$D:$D,IF($D163=RegularFormula!$D$2,$K$15,$D163))),IFERROR(IF(percentage,percentage,""),""))
</f>
        <v/>
      </c>
      <c r="I163" s="72" t="str">
        <f t="shared" si="1"/>
        <v>*Based on Mewtwo pack</v>
      </c>
      <c r="J163" s="73">
        <v>0.0</v>
      </c>
      <c r="K163" s="194"/>
      <c r="L163" s="55"/>
      <c r="M163" s="55"/>
      <c r="N163" s="55"/>
      <c r="O163" s="197"/>
      <c r="P163" s="103"/>
      <c r="Q163" s="103"/>
      <c r="R163" s="103"/>
      <c r="S163" s="79" t="str">
        <f t="shared" si="2"/>
        <v/>
      </c>
      <c r="T163" s="80" t="str">
        <f>IFERROR(__xludf.DUMMYFUNCTION("IF(
  Q163="""",
  """",
  IF(
   REGEXMATCH(SUBSTITUTE(Q163, "" ex"", """"), TEXTJOIN(""|"", TRUE, INDEX('language&amp;DataTest'!$A$33:$AB$182, , MATCH(HOME!$A$25, 'language&amp;DataTest'!$A$1:$G$1, 0)))),
   IF($M$26,
     IF(COUNTIFS(ARRAYFORMULA(SUBSTITUTE($C"&amp;"$2:$C287, "" ex"", """")), SUBSTITUTE(Q163, "" ex"", """"), $J$2:$J287, ""&gt;0"")=0, ""Yes"", ""No""),
     IF(COUNTIFS(ARRAYFORMULA(SUBSTITUTE($C$2:$C287, "" ex"", """")), SUBSTITUTE(Q163, "" ex"", """"), $A$2:$A287, TRUE)=0, ""Yes"", ""No"")
   ),
   ""No"&amp;"""
 )
)"),"")</f>
        <v/>
      </c>
    </row>
    <row r="164">
      <c r="A164" s="68" t="b">
        <v>1</v>
      </c>
      <c r="B164" s="69" t="s">
        <v>281</v>
      </c>
      <c r="C164" s="69" t="str">
        <f t="array" ref="C164">TEXTJOIN("", TRUE, IFERROR(INDEX('language&amp;DataTest'!A:J, MATCH(INDEX( PointerTest!C:C, MATCH(B164, PointerTest!A:A, 0), 0), 'language&amp;DataTest'!A:A, 0), MATCH(HOME!$A$25, 'language&amp;DataTest'!$A$1:$H$1, 0))),                      IFERROR(INDEX('language&amp;DataTest'!A:J, MATCH(INDEX( PointerTest!D:D, MATCH(B164, PointerTest!A:A, 0), 0), 'language&amp;DataTest'!A:A, 0), MATCH(HOME!$A$25, 'language&amp;DataTest'!$A$1:$H$1, 0))),                                          
IFERROR(INDEX('language&amp;DataTest'!A:J, MATCH(INDEX( PointerTest!E:E, MATCH(B164, PointerTest!A:A, 0), 0), 'language&amp;DataTest'!A:A, 0), MATCH(HOME!$A$25, 'language&amp;DataTest'!$A$1:$H$1, 0))))</f>
        <v>Grapploct</v>
      </c>
      <c r="D164" s="69" t="str">
        <f t="array" ref="D164">INDEX('language&amp;DataTest'!A:J, MATCH(INDEX( PointerTest!D:D, MATCH(INDEX(PointerTest!B:B, MATCH(B164, PointerTest!A:A, 0)), PointerTest!A:A, 0), 0), 'language&amp;DataTest'!A:A, 0), MATCH(HOME!$A$25, 'language&amp;DataTest'!$A$1:$H$1, 0))</f>
        <v>All</v>
      </c>
      <c r="E164" s="69" t="str">
        <f t="array" ref="E164">INDEX( PointerTest!F:F, MATCH(B164, PointerTest!A:A, 0), 0)</f>
        <v>♢♢</v>
      </c>
      <c r="F164" s="70" t="str">
        <f t="array" ref="F164">LET(percentage,XLOOKUP($E164,$K$2:$K$10,L$2:L$10,"",0)/(COUNTIFS($E:$E,$E164,$D:$D,RegularFormula!$D$2)+COUNTIFS($E:$E,$E164,$D:$D,IF($D164=RegularFormula!$D$2,$K$15,$D164))),IFERROR(IF(percentage,percentage,""),""))
</f>
        <v/>
      </c>
      <c r="G164" s="71">
        <f t="array" ref="G164">LET(percentage,XLOOKUP($E164,$K$2:$K$10,M$2:M$10,"",0)/(COUNTIFS($E:$E,$E164,$D:$D,RegularFormula!$D$2)+COUNTIFS($E:$E,$E164,$D:$D,IF($D164=RegularFormula!$D$2,$K$15,$D164))),IFERROR(IF(percentage,percentage,""),""))
</f>
        <v>0.02571428571</v>
      </c>
      <c r="H164" s="71">
        <f t="array" ref="H164">LET(percentage,XLOOKUP($E164,$K$2:$K$10,N$2:N$10,"",0)/(COUNTIFS($E:$E,$E164,$D:$D,RegularFormula!$D$2)+COUNTIFS($E:$E,$E164,$D:$D,IF($D164=RegularFormula!$D$2,$K$15,$D164))),IFERROR(IF(percentage,percentage,""),""))
</f>
        <v>0.01714285714</v>
      </c>
      <c r="I164" s="72" t="str">
        <f t="shared" si="1"/>
        <v>*Based on Mewtwo pack</v>
      </c>
      <c r="J164" s="73">
        <v>0.0</v>
      </c>
      <c r="K164" s="194"/>
      <c r="L164" s="55"/>
      <c r="M164" s="55"/>
      <c r="N164" s="55"/>
      <c r="O164" s="197"/>
      <c r="P164" s="103"/>
      <c r="Q164" s="103"/>
      <c r="R164" s="103"/>
      <c r="S164" s="79" t="str">
        <f t="shared" si="2"/>
        <v/>
      </c>
      <c r="T164" s="80" t="str">
        <f>IFERROR(__xludf.DUMMYFUNCTION("IF(
  Q164="""",
  """",
  IF(
   REGEXMATCH(SUBSTITUTE(Q164, "" ex"", """"), TEXTJOIN(""|"", TRUE, INDEX('language&amp;DataTest'!$A$33:$AB$182, , MATCH(HOME!$A$25, 'language&amp;DataTest'!$A$1:$G$1, 0)))),
   IF($M$26,
     IF(COUNTIFS(ARRAYFORMULA(SUBSTITUTE($C"&amp;"$2:$C287, "" ex"", """")), SUBSTITUTE(Q164, "" ex"", """"), $J$2:$J287, ""&gt;0"")=0, ""Yes"", ""No""),
     IF(COUNTIFS(ARRAYFORMULA(SUBSTITUTE($C$2:$C287, "" ex"", """")), SUBSTITUTE(Q164, "" ex"", """"), $A$2:$A287, TRUE)=0, ""Yes"", ""No"")
   ),
   ""No"&amp;"""
 )
)"),"")</f>
        <v/>
      </c>
    </row>
    <row r="165">
      <c r="A165" s="68" t="b">
        <v>1</v>
      </c>
      <c r="B165" s="69" t="s">
        <v>282</v>
      </c>
      <c r="C165" s="69" t="str">
        <f t="array" ref="C165">TEXTJOIN("", TRUE, IFERROR(INDEX('language&amp;DataTest'!A:J, MATCH(INDEX( PointerTest!C:C, MATCH(B165, PointerTest!A:A, 0), 0), 'language&amp;DataTest'!A:A, 0), MATCH(HOME!$A$25, 'language&amp;DataTest'!$A$1:$H$1, 0))),                      IFERROR(INDEX('language&amp;DataTest'!A:J, MATCH(INDEX( PointerTest!D:D, MATCH(B165, PointerTest!A:A, 0), 0), 'language&amp;DataTest'!A:A, 0), MATCH(HOME!$A$25, 'language&amp;DataTest'!$A$1:$H$1, 0))),                                          
IFERROR(INDEX('language&amp;DataTest'!A:J, MATCH(INDEX( PointerTest!E:E, MATCH(B165, PointerTest!A:A, 0), 0), 'language&amp;DataTest'!A:A, 0), MATCH(HOME!$A$25, 'language&amp;DataTest'!$A$1:$H$1, 0))))</f>
        <v>Ekans</v>
      </c>
      <c r="D165" s="69" t="str">
        <f t="array" ref="D165">INDEX('language&amp;DataTest'!A:J, MATCH(INDEX( PointerTest!D:D, MATCH(INDEX(PointerTest!B:B, MATCH(B165, PointerTest!A:A, 0)), PointerTest!A:A, 0), 0), 'language&amp;DataTest'!A:A, 0), MATCH(HOME!$A$25, 'language&amp;DataTest'!$A$1:$H$1, 0))</f>
        <v>All</v>
      </c>
      <c r="E165" s="69" t="str">
        <f t="array" ref="E165">INDEX( PointerTest!F:F, MATCH(B165, PointerTest!A:A, 0), 0)</f>
        <v>♢</v>
      </c>
      <c r="F165" s="70">
        <f t="array" ref="F165">LET(percentage,XLOOKUP($E165,$K$2:$K$10,L$2:L$10,"",0)/(COUNTIFS($E:$E,$E165,$D:$D,RegularFormula!$D$2)+COUNTIFS($E:$E,$E165,$D:$D,IF($D165=RegularFormula!$D$2,$K$15,$D165))),IFERROR(IF(percentage,percentage,""),""))
</f>
        <v>0.02</v>
      </c>
      <c r="G165" s="71" t="str">
        <f t="array" ref="G165">LET(percentage,XLOOKUP($E165,$K$2:$K$10,M$2:M$10,"",0)/(COUNTIFS($E:$E,$E165,$D:$D,RegularFormula!$D$2)+COUNTIFS($E:$E,$E165,$D:$D,IF($D165=RegularFormula!$D$2,$K$15,$D165))),IFERROR(IF(percentage,percentage,""),""))
</f>
        <v/>
      </c>
      <c r="H165" s="71" t="str">
        <f t="array" ref="H165">LET(percentage,XLOOKUP($E165,$K$2:$K$10,N$2:N$10,"",0)/(COUNTIFS($E:$E,$E165,$D:$D,RegularFormula!$D$2)+COUNTIFS($E:$E,$E165,$D:$D,IF($D165=RegularFormula!$D$2,$K$15,$D165))),IFERROR(IF(percentage,percentage,""),""))
</f>
        <v/>
      </c>
      <c r="I165" s="72" t="str">
        <f t="shared" si="1"/>
        <v>*Based on Mewtwo pack</v>
      </c>
      <c r="J165" s="73">
        <v>0.0</v>
      </c>
      <c r="K165" s="194"/>
      <c r="L165" s="55"/>
      <c r="M165" s="55"/>
      <c r="N165" s="55"/>
      <c r="O165" s="197"/>
      <c r="P165" s="103"/>
      <c r="Q165" s="103"/>
      <c r="R165" s="103"/>
      <c r="S165" s="79" t="str">
        <f t="shared" si="2"/>
        <v/>
      </c>
      <c r="T165" s="80" t="str">
        <f>IFERROR(__xludf.DUMMYFUNCTION("IF(
  Q165="""",
  """",
  IF(
   REGEXMATCH(SUBSTITUTE(Q165, "" ex"", """"), TEXTJOIN(""|"", TRUE, INDEX('language&amp;DataTest'!$A$33:$AB$182, , MATCH(HOME!$A$25, 'language&amp;DataTest'!$A$1:$G$1, 0)))),
   IF($M$26,
     IF(COUNTIFS(ARRAYFORMULA(SUBSTITUTE($C"&amp;"$2:$C287, "" ex"", """")), SUBSTITUTE(Q165, "" ex"", """"), $J$2:$J287, ""&gt;0"")=0, ""Yes"", ""No""),
     IF(COUNTIFS(ARRAYFORMULA(SUBSTITUTE($C$2:$C287, "" ex"", """")), SUBSTITUTE(Q165, "" ex"", """"), $A$2:$A287, TRUE)=0, ""Yes"", ""No"")
   ),
   ""No"&amp;"""
 )
)"),"")</f>
        <v/>
      </c>
    </row>
    <row r="166">
      <c r="A166" s="68" t="b">
        <v>1</v>
      </c>
      <c r="B166" s="69" t="s">
        <v>283</v>
      </c>
      <c r="C166" s="69" t="str">
        <f t="array" ref="C166">TEXTJOIN("", TRUE, IFERROR(INDEX('language&amp;DataTest'!A:J, MATCH(INDEX( PointerTest!C:C, MATCH(B166, PointerTest!A:A, 0), 0), 'language&amp;DataTest'!A:A, 0), MATCH(HOME!$A$25, 'language&amp;DataTest'!$A$1:$H$1, 0))),                      IFERROR(INDEX('language&amp;DataTest'!A:J, MATCH(INDEX( PointerTest!D:D, MATCH(B166, PointerTest!A:A, 0), 0), 'language&amp;DataTest'!A:A, 0), MATCH(HOME!$A$25, 'language&amp;DataTest'!$A$1:$H$1, 0))),                                          
IFERROR(INDEX('language&amp;DataTest'!A:J, MATCH(INDEX( PointerTest!E:E, MATCH(B166, PointerTest!A:A, 0), 0), 'language&amp;DataTest'!A:A, 0), MATCH(HOME!$A$25, 'language&amp;DataTest'!$A$1:$H$1, 0))))</f>
        <v>Arbok</v>
      </c>
      <c r="D166" s="69" t="str">
        <f t="array" ref="D166">INDEX('language&amp;DataTest'!A:J, MATCH(INDEX( PointerTest!D:D, MATCH(INDEX(PointerTest!B:B, MATCH(B166, PointerTest!A:A, 0)), PointerTest!A:A, 0), 0), 'language&amp;DataTest'!A:A, 0), MATCH(HOME!$A$25, 'language&amp;DataTest'!$A$1:$H$1, 0))</f>
        <v>All</v>
      </c>
      <c r="E166" s="69" t="str">
        <f t="array" ref="E166">INDEX( PointerTest!F:F, MATCH(B166, PointerTest!A:A, 0), 0)</f>
        <v>♢♢</v>
      </c>
      <c r="F166" s="70" t="str">
        <f t="array" ref="F166">LET(percentage,XLOOKUP($E166,$K$2:$K$10,L$2:L$10,"",0)/(COUNTIFS($E:$E,$E166,$D:$D,RegularFormula!$D$2)+COUNTIFS($E:$E,$E166,$D:$D,IF($D166=RegularFormula!$D$2,$K$15,$D166))),IFERROR(IF(percentage,percentage,""),""))
</f>
        <v/>
      </c>
      <c r="G166" s="71">
        <f t="array" ref="G166">LET(percentage,XLOOKUP($E166,$K$2:$K$10,M$2:M$10,"",0)/(COUNTIFS($E:$E,$E166,$D:$D,RegularFormula!$D$2)+COUNTIFS($E:$E,$E166,$D:$D,IF($D166=RegularFormula!$D$2,$K$15,$D166))),IFERROR(IF(percentage,percentage,""),""))
</f>
        <v>0.02571428571</v>
      </c>
      <c r="H166" s="71">
        <f t="array" ref="H166">LET(percentage,XLOOKUP($E166,$K$2:$K$10,N$2:N$10,"",0)/(COUNTIFS($E:$E,$E166,$D:$D,RegularFormula!$D$2)+COUNTIFS($E:$E,$E166,$D:$D,IF($D166=RegularFormula!$D$2,$K$15,$D166))),IFERROR(IF(percentage,percentage,""),""))
</f>
        <v>0.01714285714</v>
      </c>
      <c r="I166" s="72" t="str">
        <f t="shared" si="1"/>
        <v>*Based on Mewtwo pack</v>
      </c>
      <c r="J166" s="73">
        <v>0.0</v>
      </c>
      <c r="K166" s="194"/>
      <c r="L166" s="55"/>
      <c r="M166" s="55"/>
      <c r="N166" s="55"/>
      <c r="O166" s="197"/>
      <c r="P166" s="103"/>
      <c r="Q166" s="103"/>
      <c r="R166" s="103"/>
      <c r="S166" s="79" t="str">
        <f t="shared" si="2"/>
        <v/>
      </c>
      <c r="T166" s="80" t="str">
        <f>IFERROR(__xludf.DUMMYFUNCTION("IF(
  Q166="""",
  """",
  IF(
   REGEXMATCH(SUBSTITUTE(Q166, "" ex"", """"), TEXTJOIN(""|"", TRUE, INDEX('language&amp;DataTest'!$A$33:$AB$182, , MATCH(HOME!$A$25, 'language&amp;DataTest'!$A$1:$G$1, 0)))),
   IF($M$26,
     IF(COUNTIFS(ARRAYFORMULA(SUBSTITUTE($C"&amp;"$2:$C287, "" ex"", """")), SUBSTITUTE(Q166, "" ex"", """"), $J$2:$J287, ""&gt;0"")=0, ""Yes"", ""No""),
     IF(COUNTIFS(ARRAYFORMULA(SUBSTITUTE($C$2:$C287, "" ex"", """")), SUBSTITUTE(Q166, "" ex"", """"), $A$2:$A287, TRUE)=0, ""Yes"", ""No"")
   ),
   ""No"&amp;"""
 )
)"),"")</f>
        <v/>
      </c>
    </row>
    <row r="167">
      <c r="A167" s="68" t="b">
        <v>1</v>
      </c>
      <c r="B167" s="69" t="s">
        <v>284</v>
      </c>
      <c r="C167" s="69" t="str">
        <f t="array" ref="C167">TEXTJOIN("", TRUE, IFERROR(INDEX('language&amp;DataTest'!A:J, MATCH(INDEX( PointerTest!C:C, MATCH(B167, PointerTest!A:A, 0), 0), 'language&amp;DataTest'!A:A, 0), MATCH(HOME!$A$25, 'language&amp;DataTest'!$A$1:$H$1, 0))),                      IFERROR(INDEX('language&amp;DataTest'!A:J, MATCH(INDEX( PointerTest!D:D, MATCH(B167, PointerTest!A:A, 0), 0), 'language&amp;DataTest'!A:A, 0), MATCH(HOME!$A$25, 'language&amp;DataTest'!$A$1:$H$1, 0))),                                          
IFERROR(INDEX('language&amp;DataTest'!A:J, MATCH(INDEX( PointerTest!E:E, MATCH(B167, PointerTest!A:A, 0), 0), 'language&amp;DataTest'!A:A, 0), MATCH(HOME!$A$25, 'language&amp;DataTest'!$A$1:$H$1, 0))))</f>
        <v>Nidoran♀</v>
      </c>
      <c r="D167" s="69" t="str">
        <f t="array" ref="D167">INDEX('language&amp;DataTest'!A:J, MATCH(INDEX( PointerTest!D:D, MATCH(INDEX(PointerTest!B:B, MATCH(B167, PointerTest!A:A, 0)), PointerTest!A:A, 0), 0), 'language&amp;DataTest'!A:A, 0), MATCH(HOME!$A$25, 'language&amp;DataTest'!$A$1:$H$1, 0))</f>
        <v>Pikachu</v>
      </c>
      <c r="E167" s="69" t="str">
        <f t="array" ref="E167">INDEX( PointerTest!F:F, MATCH(B167, PointerTest!A:A, 0), 0)</f>
        <v>♢</v>
      </c>
      <c r="F167" s="70">
        <f t="array" ref="F167">LET(percentage,XLOOKUP($E167,$K$2:$K$10,L$2:L$10,"",0)/(COUNTIFS($E:$E,$E167,$D:$D,RegularFormula!$D$2)+COUNTIFS($E:$E,$E167,$D:$D,IF($D167=RegularFormula!$D$2,$K$15,$D167))),IFERROR(IF(percentage,percentage,""),""))
</f>
        <v>0.02</v>
      </c>
      <c r="G167" s="71" t="str">
        <f t="array" ref="G167">LET(percentage,XLOOKUP($E167,$K$2:$K$10,M$2:M$10,"",0)/(COUNTIFS($E:$E,$E167,$D:$D,RegularFormula!$D$2)+COUNTIFS($E:$E,$E167,$D:$D,IF($D167=RegularFormula!$D$2,$K$15,$D167))),IFERROR(IF(percentage,percentage,""),""))
</f>
        <v/>
      </c>
      <c r="H167" s="71" t="str">
        <f t="array" ref="H167">LET(percentage,XLOOKUP($E167,$K$2:$K$10,N$2:N$10,"",0)/(COUNTIFS($E:$E,$E167,$D:$D,RegularFormula!$D$2)+COUNTIFS($E:$E,$E167,$D:$D,IF($D167=RegularFormula!$D$2,$K$15,$D167))),IFERROR(IF(percentage,percentage,""),""))
</f>
        <v/>
      </c>
      <c r="I167" s="72" t="str">
        <f t="shared" si="1"/>
        <v/>
      </c>
      <c r="J167" s="73">
        <v>0.0</v>
      </c>
      <c r="K167" s="194"/>
      <c r="L167" s="55"/>
      <c r="M167" s="55"/>
      <c r="N167" s="55"/>
      <c r="O167" s="197"/>
      <c r="P167" s="103"/>
      <c r="Q167" s="103"/>
      <c r="R167" s="103"/>
      <c r="S167" s="79" t="str">
        <f t="shared" si="2"/>
        <v/>
      </c>
      <c r="T167" s="80" t="str">
        <f>IFERROR(__xludf.DUMMYFUNCTION("IF(
  Q167="""",
  """",
  IF(
   REGEXMATCH(SUBSTITUTE(Q167, "" ex"", """"), TEXTJOIN(""|"", TRUE, INDEX('language&amp;DataTest'!$A$33:$AB$182, , MATCH(HOME!$A$25, 'language&amp;DataTest'!$A$1:$G$1, 0)))),
   IF($M$26,
     IF(COUNTIFS(ARRAYFORMULA(SUBSTITUTE($C"&amp;"$2:$C287, "" ex"", """")), SUBSTITUTE(Q167, "" ex"", """"), $J$2:$J287, ""&gt;0"")=0, ""Yes"", ""No""),
     IF(COUNTIFS(ARRAYFORMULA(SUBSTITUTE($C$2:$C287, "" ex"", """")), SUBSTITUTE(Q167, "" ex"", """"), $A$2:$A287, TRUE)=0, ""Yes"", ""No"")
   ),
   ""No"&amp;"""
 )
)"),"")</f>
        <v/>
      </c>
    </row>
    <row r="168">
      <c r="A168" s="68" t="b">
        <v>1</v>
      </c>
      <c r="B168" s="69" t="s">
        <v>285</v>
      </c>
      <c r="C168" s="69" t="str">
        <f t="array" ref="C168">TEXTJOIN("", TRUE, IFERROR(INDEX('language&amp;DataTest'!A:J, MATCH(INDEX( PointerTest!C:C, MATCH(B168, PointerTest!A:A, 0), 0), 'language&amp;DataTest'!A:A, 0), MATCH(HOME!$A$25, 'language&amp;DataTest'!$A$1:$H$1, 0))),                      IFERROR(INDEX('language&amp;DataTest'!A:J, MATCH(INDEX( PointerTest!D:D, MATCH(B168, PointerTest!A:A, 0), 0), 'language&amp;DataTest'!A:A, 0), MATCH(HOME!$A$25, 'language&amp;DataTest'!$A$1:$H$1, 0))),                                          
IFERROR(INDEX('language&amp;DataTest'!A:J, MATCH(INDEX( PointerTest!E:E, MATCH(B168, PointerTest!A:A, 0), 0), 'language&amp;DataTest'!A:A, 0), MATCH(HOME!$A$25, 'language&amp;DataTest'!$A$1:$H$1, 0))))</f>
        <v>Nidorina</v>
      </c>
      <c r="D168" s="69" t="str">
        <f t="array" ref="D168">INDEX('language&amp;DataTest'!A:J, MATCH(INDEX( PointerTest!D:D, MATCH(INDEX(PointerTest!B:B, MATCH(B168, PointerTest!A:A, 0)), PointerTest!A:A, 0), 0), 'language&amp;DataTest'!A:A, 0), MATCH(HOME!$A$25, 'language&amp;DataTest'!$A$1:$H$1, 0))</f>
        <v>Pikachu</v>
      </c>
      <c r="E168" s="69" t="str">
        <f t="array" ref="E168">INDEX( PointerTest!F:F, MATCH(B168, PointerTest!A:A, 0), 0)</f>
        <v>♢♢</v>
      </c>
      <c r="F168" s="70" t="str">
        <f t="array" ref="F168">LET(percentage,XLOOKUP($E168,$K$2:$K$10,L$2:L$10,"",0)/(COUNTIFS($E:$E,$E168,$D:$D,RegularFormula!$D$2)+COUNTIFS($E:$E,$E168,$D:$D,IF($D168=RegularFormula!$D$2,$K$15,$D168))),IFERROR(IF(percentage,percentage,""),""))
</f>
        <v/>
      </c>
      <c r="G168" s="71">
        <f t="array" ref="G168">LET(percentage,XLOOKUP($E168,$K$2:$K$10,M$2:M$10,"",0)/(COUNTIFS($E:$E,$E168,$D:$D,RegularFormula!$D$2)+COUNTIFS($E:$E,$E168,$D:$D,IF($D168=RegularFormula!$D$2,$K$15,$D168))),IFERROR(IF(percentage,percentage,""),""))
</f>
        <v>0.02571428571</v>
      </c>
      <c r="H168" s="71">
        <f t="array" ref="H168">LET(percentage,XLOOKUP($E168,$K$2:$K$10,N$2:N$10,"",0)/(COUNTIFS($E:$E,$E168,$D:$D,RegularFormula!$D$2)+COUNTIFS($E:$E,$E168,$D:$D,IF($D168=RegularFormula!$D$2,$K$15,$D168))),IFERROR(IF(percentage,percentage,""),""))
</f>
        <v>0.01714285714</v>
      </c>
      <c r="I168" s="72" t="str">
        <f t="shared" si="1"/>
        <v/>
      </c>
      <c r="J168" s="73">
        <v>0.0</v>
      </c>
      <c r="K168" s="194"/>
      <c r="L168" s="55"/>
      <c r="M168" s="55"/>
      <c r="N168" s="55"/>
      <c r="O168" s="197"/>
      <c r="P168" s="103"/>
      <c r="Q168" s="103"/>
      <c r="R168" s="103"/>
      <c r="S168" s="79" t="str">
        <f t="shared" si="2"/>
        <v/>
      </c>
      <c r="T168" s="80" t="str">
        <f>IFERROR(__xludf.DUMMYFUNCTION("IF(
  Q168="""",
  """",
  IF(
   REGEXMATCH(SUBSTITUTE(Q168, "" ex"", """"), TEXTJOIN(""|"", TRUE, INDEX('language&amp;DataTest'!$A$33:$AB$182, , MATCH(HOME!$A$25, 'language&amp;DataTest'!$A$1:$G$1, 0)))),
   IF($M$26,
     IF(COUNTIFS(ARRAYFORMULA(SUBSTITUTE($C"&amp;"$2:$C287, "" ex"", """")), SUBSTITUTE(Q168, "" ex"", """"), $J$2:$J287, ""&gt;0"")=0, ""Yes"", ""No""),
     IF(COUNTIFS(ARRAYFORMULA(SUBSTITUTE($C$2:$C287, "" ex"", """")), SUBSTITUTE(Q168, "" ex"", """"), $A$2:$A287, TRUE)=0, ""Yes"", ""No"")
   ),
   ""No"&amp;"""
 )
)"),"")</f>
        <v/>
      </c>
    </row>
    <row r="169">
      <c r="A169" s="68" t="b">
        <v>1</v>
      </c>
      <c r="B169" s="69" t="s">
        <v>286</v>
      </c>
      <c r="C169" s="69" t="str">
        <f t="array" ref="C169">TEXTJOIN("", TRUE, IFERROR(INDEX('language&amp;DataTest'!A:J, MATCH(INDEX( PointerTest!C:C, MATCH(B169, PointerTest!A:A, 0), 0), 'language&amp;DataTest'!A:A, 0), MATCH(HOME!$A$25, 'language&amp;DataTest'!$A$1:$H$1, 0))),                      IFERROR(INDEX('language&amp;DataTest'!A:J, MATCH(INDEX( PointerTest!D:D, MATCH(B169, PointerTest!A:A, 0), 0), 'language&amp;DataTest'!A:A, 0), MATCH(HOME!$A$25, 'language&amp;DataTest'!$A$1:$H$1, 0))),                                          
IFERROR(INDEX('language&amp;DataTest'!A:J, MATCH(INDEX( PointerTest!E:E, MATCH(B169, PointerTest!A:A, 0), 0), 'language&amp;DataTest'!A:A, 0), MATCH(HOME!$A$25, 'language&amp;DataTest'!$A$1:$H$1, 0))))</f>
        <v>Nidoqueen</v>
      </c>
      <c r="D169" s="69" t="str">
        <f t="array" ref="D169">INDEX('language&amp;DataTest'!A:J, MATCH(INDEX( PointerTest!D:D, MATCH(INDEX(PointerTest!B:B, MATCH(B169, PointerTest!A:A, 0)), PointerTest!A:A, 0), 0), 'language&amp;DataTest'!A:A, 0), MATCH(HOME!$A$25, 'language&amp;DataTest'!$A$1:$H$1, 0))</f>
        <v>Pikachu</v>
      </c>
      <c r="E169" s="69" t="str">
        <f t="array" ref="E169">INDEX( PointerTest!F:F, MATCH(B169, PointerTest!A:A, 0), 0)</f>
        <v>♢♢♢</v>
      </c>
      <c r="F169" s="70" t="str">
        <f t="array" ref="F169">LET(percentage,XLOOKUP($E169,$K$2:$K$10,L$2:L$10,"",0)/(COUNTIFS($E:$E,$E169,$D:$D,RegularFormula!$D$2)+COUNTIFS($E:$E,$E169,$D:$D,IF($D169=RegularFormula!$D$2,$K$15,$D169))),IFERROR(IF(percentage,percentage,""),""))
</f>
        <v/>
      </c>
      <c r="G169" s="71">
        <f t="array" ref="G169">LET(percentage,XLOOKUP($E169,$K$2:$K$10,M$2:M$10,"",0)/(COUNTIFS($E:$E,$E169,$D:$D,RegularFormula!$D$2)+COUNTIFS($E:$E,$E169,$D:$D,IF($D169=RegularFormula!$D$2,$K$15,$D169))),IFERROR(IF(percentage,percentage,""),""))
</f>
        <v>0.003571428571</v>
      </c>
      <c r="H169" s="71">
        <f t="array" ref="H169">LET(percentage,XLOOKUP($E169,$K$2:$K$10,N$2:N$10,"",0)/(COUNTIFS($E:$E,$E169,$D:$D,RegularFormula!$D$2)+COUNTIFS($E:$E,$E169,$D:$D,IF($D169=RegularFormula!$D$2,$K$15,$D169))),IFERROR(IF(percentage,percentage,""),""))
</f>
        <v>0.01428571429</v>
      </c>
      <c r="I169" s="72" t="str">
        <f t="shared" si="1"/>
        <v/>
      </c>
      <c r="J169" s="73">
        <v>0.0</v>
      </c>
      <c r="K169" s="194"/>
      <c r="L169" s="55"/>
      <c r="M169" s="55"/>
      <c r="N169" s="55"/>
      <c r="O169" s="197"/>
      <c r="P169" s="103"/>
      <c r="Q169" s="103"/>
      <c r="R169" s="103"/>
      <c r="S169" s="79" t="str">
        <f t="shared" si="2"/>
        <v/>
      </c>
      <c r="T169" s="80" t="str">
        <f>IFERROR(__xludf.DUMMYFUNCTION("IF(
  Q169="""",
  """",
  IF(
   REGEXMATCH(SUBSTITUTE(Q169, "" ex"", """"), TEXTJOIN(""|"", TRUE, INDEX('language&amp;DataTest'!$A$33:$AB$182, , MATCH(HOME!$A$25, 'language&amp;DataTest'!$A$1:$G$1, 0)))),
   IF($M$26,
     IF(COUNTIFS(ARRAYFORMULA(SUBSTITUTE($C"&amp;"$2:$C287, "" ex"", """")), SUBSTITUTE(Q169, "" ex"", """"), $J$2:$J287, ""&gt;0"")=0, ""Yes"", ""No""),
     IF(COUNTIFS(ARRAYFORMULA(SUBSTITUTE($C$2:$C287, "" ex"", """")), SUBSTITUTE(Q169, "" ex"", """"), $A$2:$A287, TRUE)=0, ""Yes"", ""No"")
   ),
   ""No"&amp;"""
 )
)"),"")</f>
        <v/>
      </c>
    </row>
    <row r="170">
      <c r="A170" s="68" t="b">
        <v>1</v>
      </c>
      <c r="B170" s="69" t="s">
        <v>287</v>
      </c>
      <c r="C170" s="69" t="str">
        <f t="array" ref="C170">TEXTJOIN("", TRUE, IFERROR(INDEX('language&amp;DataTest'!A:J, MATCH(INDEX( PointerTest!C:C, MATCH(B170, PointerTest!A:A, 0), 0), 'language&amp;DataTest'!A:A, 0), MATCH(HOME!$A$25, 'language&amp;DataTest'!$A$1:$H$1, 0))),                      IFERROR(INDEX('language&amp;DataTest'!A:J, MATCH(INDEX( PointerTest!D:D, MATCH(B170, PointerTest!A:A, 0), 0), 'language&amp;DataTest'!A:A, 0), MATCH(HOME!$A$25, 'language&amp;DataTest'!$A$1:$H$1, 0))),                                          
IFERROR(INDEX('language&amp;DataTest'!A:J, MATCH(INDEX( PointerTest!E:E, MATCH(B170, PointerTest!A:A, 0), 0), 'language&amp;DataTest'!A:A, 0), MATCH(HOME!$A$25, 'language&amp;DataTest'!$A$1:$H$1, 0))))</f>
        <v>Nidoran♂</v>
      </c>
      <c r="D170" s="69" t="str">
        <f t="array" ref="D170">INDEX('language&amp;DataTest'!A:J, MATCH(INDEX( PointerTest!D:D, MATCH(INDEX(PointerTest!B:B, MATCH(B170, PointerTest!A:A, 0)), PointerTest!A:A, 0), 0), 'language&amp;DataTest'!A:A, 0), MATCH(HOME!$A$25, 'language&amp;DataTest'!$A$1:$H$1, 0))</f>
        <v>Pikachu</v>
      </c>
      <c r="E170" s="69" t="str">
        <f t="array" ref="E170">INDEX( PointerTest!F:F, MATCH(B170, PointerTest!A:A, 0), 0)</f>
        <v>♢</v>
      </c>
      <c r="F170" s="70">
        <f t="array" ref="F170">LET(percentage,XLOOKUP($E170,$K$2:$K$10,L$2:L$10,"",0)/(COUNTIFS($E:$E,$E170,$D:$D,RegularFormula!$D$2)+COUNTIFS($E:$E,$E170,$D:$D,IF($D170=RegularFormula!$D$2,$K$15,$D170))),IFERROR(IF(percentage,percentage,""),""))
</f>
        <v>0.02</v>
      </c>
      <c r="G170" s="71" t="str">
        <f t="array" ref="G170">LET(percentage,XLOOKUP($E170,$K$2:$K$10,M$2:M$10,"",0)/(COUNTIFS($E:$E,$E170,$D:$D,RegularFormula!$D$2)+COUNTIFS($E:$E,$E170,$D:$D,IF($D170=RegularFormula!$D$2,$K$15,$D170))),IFERROR(IF(percentage,percentage,""),""))
</f>
        <v/>
      </c>
      <c r="H170" s="71" t="str">
        <f t="array" ref="H170">LET(percentage,XLOOKUP($E170,$K$2:$K$10,N$2:N$10,"",0)/(COUNTIFS($E:$E,$E170,$D:$D,RegularFormula!$D$2)+COUNTIFS($E:$E,$E170,$D:$D,IF($D170=RegularFormula!$D$2,$K$15,$D170))),IFERROR(IF(percentage,percentage,""),""))
</f>
        <v/>
      </c>
      <c r="I170" s="72" t="str">
        <f t="shared" si="1"/>
        <v/>
      </c>
      <c r="J170" s="73">
        <v>0.0</v>
      </c>
      <c r="K170" s="194"/>
      <c r="L170" s="55"/>
      <c r="M170" s="55"/>
      <c r="N170" s="55"/>
      <c r="O170" s="197"/>
      <c r="P170" s="103"/>
      <c r="Q170" s="103"/>
      <c r="R170" s="103"/>
      <c r="S170" s="79" t="str">
        <f t="shared" si="2"/>
        <v/>
      </c>
      <c r="T170" s="80" t="str">
        <f>IFERROR(__xludf.DUMMYFUNCTION("IF(
  Q170="""",
  """",
  IF(
   REGEXMATCH(SUBSTITUTE(Q170, "" ex"", """"), TEXTJOIN(""|"", TRUE, INDEX('language&amp;DataTest'!$A$33:$AB$182, , MATCH(HOME!$A$25, 'language&amp;DataTest'!$A$1:$G$1, 0)))),
   IF($M$26,
     IF(COUNTIFS(ARRAYFORMULA(SUBSTITUTE($C"&amp;"$2:$C287, "" ex"", """")), SUBSTITUTE(Q170, "" ex"", """"), $J$2:$J287, ""&gt;0"")=0, ""Yes"", ""No""),
     IF(COUNTIFS(ARRAYFORMULA(SUBSTITUTE($C$2:$C287, "" ex"", """")), SUBSTITUTE(Q170, "" ex"", """"), $A$2:$A287, TRUE)=0, ""Yes"", ""No"")
   ),
   ""No"&amp;"""
 )
)"),"")</f>
        <v/>
      </c>
    </row>
    <row r="171">
      <c r="A171" s="68" t="b">
        <v>1</v>
      </c>
      <c r="B171" s="69" t="s">
        <v>288</v>
      </c>
      <c r="C171" s="69" t="str">
        <f t="array" ref="C171">TEXTJOIN("", TRUE, IFERROR(INDEX('language&amp;DataTest'!A:J, MATCH(INDEX( PointerTest!C:C, MATCH(B171, PointerTest!A:A, 0), 0), 'language&amp;DataTest'!A:A, 0), MATCH(HOME!$A$25, 'language&amp;DataTest'!$A$1:$H$1, 0))),                      IFERROR(INDEX('language&amp;DataTest'!A:J, MATCH(INDEX( PointerTest!D:D, MATCH(B171, PointerTest!A:A, 0), 0), 'language&amp;DataTest'!A:A, 0), MATCH(HOME!$A$25, 'language&amp;DataTest'!$A$1:$H$1, 0))),                                          
IFERROR(INDEX('language&amp;DataTest'!A:J, MATCH(INDEX( PointerTest!E:E, MATCH(B171, PointerTest!A:A, 0), 0), 'language&amp;DataTest'!A:A, 0), MATCH(HOME!$A$25, 'language&amp;DataTest'!$A$1:$H$1, 0))))</f>
        <v>Nidorino</v>
      </c>
      <c r="D171" s="69" t="str">
        <f t="array" ref="D171">INDEX('language&amp;DataTest'!A:J, MATCH(INDEX( PointerTest!D:D, MATCH(INDEX(PointerTest!B:B, MATCH(B171, PointerTest!A:A, 0)), PointerTest!A:A, 0), 0), 'language&amp;DataTest'!A:A, 0), MATCH(HOME!$A$25, 'language&amp;DataTest'!$A$1:$H$1, 0))</f>
        <v>Pikachu</v>
      </c>
      <c r="E171" s="69" t="str">
        <f t="array" ref="E171">INDEX( PointerTest!F:F, MATCH(B171, PointerTest!A:A, 0), 0)</f>
        <v>♢♢</v>
      </c>
      <c r="F171" s="70" t="str">
        <f t="array" ref="F171">LET(percentage,XLOOKUP($E171,$K$2:$K$10,L$2:L$10,"",0)/(COUNTIFS($E:$E,$E171,$D:$D,RegularFormula!$D$2)+COUNTIFS($E:$E,$E171,$D:$D,IF($D171=RegularFormula!$D$2,$K$15,$D171))),IFERROR(IF(percentage,percentage,""),""))
</f>
        <v/>
      </c>
      <c r="G171" s="71">
        <f t="array" ref="G171">LET(percentage,XLOOKUP($E171,$K$2:$K$10,M$2:M$10,"",0)/(COUNTIFS($E:$E,$E171,$D:$D,RegularFormula!$D$2)+COUNTIFS($E:$E,$E171,$D:$D,IF($D171=RegularFormula!$D$2,$K$15,$D171))),IFERROR(IF(percentage,percentage,""),""))
</f>
        <v>0.02571428571</v>
      </c>
      <c r="H171" s="71">
        <f t="array" ref="H171">LET(percentage,XLOOKUP($E171,$K$2:$K$10,N$2:N$10,"",0)/(COUNTIFS($E:$E,$E171,$D:$D,RegularFormula!$D$2)+COUNTIFS($E:$E,$E171,$D:$D,IF($D171=RegularFormula!$D$2,$K$15,$D171))),IFERROR(IF(percentage,percentage,""),""))
</f>
        <v>0.01714285714</v>
      </c>
      <c r="I171" s="72" t="str">
        <f t="shared" si="1"/>
        <v/>
      </c>
      <c r="J171" s="73">
        <v>0.0</v>
      </c>
      <c r="K171" s="194"/>
      <c r="L171" s="55"/>
      <c r="M171" s="55"/>
      <c r="N171" s="55"/>
      <c r="O171" s="197"/>
      <c r="P171" s="103"/>
      <c r="Q171" s="103"/>
      <c r="R171" s="103"/>
      <c r="S171" s="79" t="str">
        <f t="shared" si="2"/>
        <v/>
      </c>
      <c r="T171" s="80" t="str">
        <f>IFERROR(__xludf.DUMMYFUNCTION("IF(
  Q171="""",
  """",
  IF(
   REGEXMATCH(SUBSTITUTE(Q171, "" ex"", """"), TEXTJOIN(""|"", TRUE, INDEX('language&amp;DataTest'!$A$33:$AB$182, , MATCH(HOME!$A$25, 'language&amp;DataTest'!$A$1:$G$1, 0)))),
   IF($M$26,
     IF(COUNTIFS(ARRAYFORMULA(SUBSTITUTE($C"&amp;"$2:$C287, "" ex"", """")), SUBSTITUTE(Q171, "" ex"", """"), $J$2:$J287, ""&gt;0"")=0, ""Yes"", ""No""),
     IF(COUNTIFS(ARRAYFORMULA(SUBSTITUTE($C$2:$C287, "" ex"", """")), SUBSTITUTE(Q171, "" ex"", """"), $A$2:$A287, TRUE)=0, ""Yes"", ""No"")
   ),
   ""No"&amp;"""
 )
)"),"")</f>
        <v/>
      </c>
    </row>
    <row r="172">
      <c r="A172" s="68" t="b">
        <v>1</v>
      </c>
      <c r="B172" s="69" t="s">
        <v>289</v>
      </c>
      <c r="C172" s="69" t="str">
        <f t="array" ref="C172">TEXTJOIN("", TRUE, IFERROR(INDEX('language&amp;DataTest'!A:J, MATCH(INDEX( PointerTest!C:C, MATCH(B172, PointerTest!A:A, 0), 0), 'language&amp;DataTest'!A:A, 0), MATCH(HOME!$A$25, 'language&amp;DataTest'!$A$1:$H$1, 0))),                      IFERROR(INDEX('language&amp;DataTest'!A:J, MATCH(INDEX( PointerTest!D:D, MATCH(B172, PointerTest!A:A, 0), 0), 'language&amp;DataTest'!A:A, 0), MATCH(HOME!$A$25, 'language&amp;DataTest'!$A$1:$H$1, 0))),                                          
IFERROR(INDEX('language&amp;DataTest'!A:J, MATCH(INDEX( PointerTest!E:E, MATCH(B172, PointerTest!A:A, 0), 0), 'language&amp;DataTest'!A:A, 0), MATCH(HOME!$A$25, 'language&amp;DataTest'!$A$1:$H$1, 0))))</f>
        <v>Nidoking</v>
      </c>
      <c r="D172" s="69" t="str">
        <f t="array" ref="D172">INDEX('language&amp;DataTest'!A:J, MATCH(INDEX( PointerTest!D:D, MATCH(INDEX(PointerTest!B:B, MATCH(B172, PointerTest!A:A, 0)), PointerTest!A:A, 0), 0), 'language&amp;DataTest'!A:A, 0), MATCH(HOME!$A$25, 'language&amp;DataTest'!$A$1:$H$1, 0))</f>
        <v>Pikachu</v>
      </c>
      <c r="E172" s="69" t="str">
        <f t="array" ref="E172">INDEX( PointerTest!F:F, MATCH(B172, PointerTest!A:A, 0), 0)</f>
        <v>♢♢♢</v>
      </c>
      <c r="F172" s="70" t="str">
        <f t="array" ref="F172">LET(percentage,XLOOKUP($E172,$K$2:$K$10,L$2:L$10,"",0)/(COUNTIFS($E:$E,$E172,$D:$D,RegularFormula!$D$2)+COUNTIFS($E:$E,$E172,$D:$D,IF($D172=RegularFormula!$D$2,$K$15,$D172))),IFERROR(IF(percentage,percentage,""),""))
</f>
        <v/>
      </c>
      <c r="G172" s="71">
        <f t="array" ref="G172">LET(percentage,XLOOKUP($E172,$K$2:$K$10,M$2:M$10,"",0)/(COUNTIFS($E:$E,$E172,$D:$D,RegularFormula!$D$2)+COUNTIFS($E:$E,$E172,$D:$D,IF($D172=RegularFormula!$D$2,$K$15,$D172))),IFERROR(IF(percentage,percentage,""),""))
</f>
        <v>0.003571428571</v>
      </c>
      <c r="H172" s="71">
        <f t="array" ref="H172">LET(percentage,XLOOKUP($E172,$K$2:$K$10,N$2:N$10,"",0)/(COUNTIFS($E:$E,$E172,$D:$D,RegularFormula!$D$2)+COUNTIFS($E:$E,$E172,$D:$D,IF($D172=RegularFormula!$D$2,$K$15,$D172))),IFERROR(IF(percentage,percentage,""),""))
</f>
        <v>0.01428571429</v>
      </c>
      <c r="I172" s="72" t="str">
        <f t="shared" si="1"/>
        <v/>
      </c>
      <c r="J172" s="73">
        <v>0.0</v>
      </c>
      <c r="K172" s="194"/>
      <c r="L172" s="55"/>
      <c r="M172" s="55"/>
      <c r="N172" s="55"/>
      <c r="O172" s="197"/>
      <c r="P172" s="103"/>
      <c r="Q172" s="103"/>
      <c r="R172" s="103"/>
      <c r="S172" s="79" t="str">
        <f t="shared" si="2"/>
        <v/>
      </c>
      <c r="T172" s="80" t="str">
        <f>IFERROR(__xludf.DUMMYFUNCTION("IF(
  Q172="""",
  """",
  IF(
   REGEXMATCH(SUBSTITUTE(Q172, "" ex"", """"), TEXTJOIN(""|"", TRUE, INDEX('language&amp;DataTest'!$A$33:$AB$182, , MATCH(HOME!$A$25, 'language&amp;DataTest'!$A$1:$G$1, 0)))),
   IF($M$26,
     IF(COUNTIFS(ARRAYFORMULA(SUBSTITUTE($C"&amp;"$2:$C287, "" ex"", """")), SUBSTITUTE(Q172, "" ex"", """"), $J$2:$J287, ""&gt;0"")=0, ""Yes"", ""No""),
     IF(COUNTIFS(ARRAYFORMULA(SUBSTITUTE($C$2:$C287, "" ex"", """")), SUBSTITUTE(Q172, "" ex"", """"), $A$2:$A287, TRUE)=0, ""Yes"", ""No"")
   ),
   ""No"&amp;"""
 )
)"),"")</f>
        <v/>
      </c>
    </row>
    <row r="173">
      <c r="A173" s="68" t="b">
        <v>1</v>
      </c>
      <c r="B173" s="69" t="s">
        <v>290</v>
      </c>
      <c r="C173" s="69" t="str">
        <f t="array" ref="C173">TEXTJOIN("", TRUE, IFERROR(INDEX('language&amp;DataTest'!A:J, MATCH(INDEX( PointerTest!C:C, MATCH(B173, PointerTest!A:A, 0), 0), 'language&amp;DataTest'!A:A, 0), MATCH(HOME!$A$25, 'language&amp;DataTest'!$A$1:$H$1, 0))),                      IFERROR(INDEX('language&amp;DataTest'!A:J, MATCH(INDEX( PointerTest!D:D, MATCH(B173, PointerTest!A:A, 0), 0), 'language&amp;DataTest'!A:A, 0), MATCH(HOME!$A$25, 'language&amp;DataTest'!$A$1:$H$1, 0))),                                          
IFERROR(INDEX('language&amp;DataTest'!A:J, MATCH(INDEX( PointerTest!E:E, MATCH(B173, PointerTest!A:A, 0), 0), 'language&amp;DataTest'!A:A, 0), MATCH(HOME!$A$25, 'language&amp;DataTest'!$A$1:$H$1, 0))))</f>
        <v>Zubat</v>
      </c>
      <c r="D173" s="69" t="str">
        <f t="array" ref="D173">INDEX('language&amp;DataTest'!A:J, MATCH(INDEX( PointerTest!D:D, MATCH(INDEX(PointerTest!B:B, MATCH(B173, PointerTest!A:A, 0)), PointerTest!A:A, 0), 0), 'language&amp;DataTest'!A:A, 0), MATCH(HOME!$A$25, 'language&amp;DataTest'!$A$1:$H$1, 0))</f>
        <v>Mewtwo</v>
      </c>
      <c r="E173" s="69" t="str">
        <f t="array" ref="E173">INDEX( PointerTest!F:F, MATCH(B173, PointerTest!A:A, 0), 0)</f>
        <v>♢</v>
      </c>
      <c r="F173" s="70">
        <f t="array" ref="F173">LET(percentage,XLOOKUP($E173,$K$2:$K$10,L$2:L$10,"",0)/(COUNTIFS($E:$E,$E173,$D:$D,RegularFormula!$D$2)+COUNTIFS($E:$E,$E173,$D:$D,IF($D173=RegularFormula!$D$2,$K$15,$D173))),IFERROR(IF(percentage,percentage,""),""))
</f>
        <v>0.02</v>
      </c>
      <c r="G173" s="71" t="str">
        <f t="array" ref="G173">LET(percentage,XLOOKUP($E173,$K$2:$K$10,M$2:M$10,"",0)/(COUNTIFS($E:$E,$E173,$D:$D,RegularFormula!$D$2)+COUNTIFS($E:$E,$E173,$D:$D,IF($D173=RegularFormula!$D$2,$K$15,$D173))),IFERROR(IF(percentage,percentage,""),""))
</f>
        <v/>
      </c>
      <c r="H173" s="71" t="str">
        <f t="array" ref="H173">LET(percentage,XLOOKUP($E173,$K$2:$K$10,N$2:N$10,"",0)/(COUNTIFS($E:$E,$E173,$D:$D,RegularFormula!$D$2)+COUNTIFS($E:$E,$E173,$D:$D,IF($D173=RegularFormula!$D$2,$K$15,$D173))),IFERROR(IF(percentage,percentage,""),""))
</f>
        <v/>
      </c>
      <c r="I173" s="72" t="str">
        <f t="shared" si="1"/>
        <v/>
      </c>
      <c r="J173" s="73">
        <v>0.0</v>
      </c>
      <c r="K173" s="194"/>
      <c r="L173" s="55"/>
      <c r="M173" s="55"/>
      <c r="N173" s="55"/>
      <c r="O173" s="197"/>
      <c r="P173" s="103"/>
      <c r="Q173" s="103"/>
      <c r="R173" s="103"/>
      <c r="S173" s="79" t="str">
        <f t="shared" si="2"/>
        <v/>
      </c>
      <c r="T173" s="80" t="str">
        <f>IFERROR(__xludf.DUMMYFUNCTION("IF(
  Q173="""",
  """",
  IF(
   REGEXMATCH(SUBSTITUTE(Q173, "" ex"", """"), TEXTJOIN(""|"", TRUE, INDEX('language&amp;DataTest'!$A$33:$AB$182, , MATCH(HOME!$A$25, 'language&amp;DataTest'!$A$1:$G$1, 0)))),
   IF($M$26,
     IF(COUNTIFS(ARRAYFORMULA(SUBSTITUTE($C"&amp;"$2:$C287, "" ex"", """")), SUBSTITUTE(Q173, "" ex"", """"), $J$2:$J287, ""&gt;0"")=0, ""Yes"", ""No""),
     IF(COUNTIFS(ARRAYFORMULA(SUBSTITUTE($C$2:$C287, "" ex"", """")), SUBSTITUTE(Q173, "" ex"", """"), $A$2:$A287, TRUE)=0, ""Yes"", ""No"")
   ),
   ""No"&amp;"""
 )
)"),"")</f>
        <v/>
      </c>
    </row>
    <row r="174">
      <c r="A174" s="68" t="b">
        <v>1</v>
      </c>
      <c r="B174" s="69" t="s">
        <v>291</v>
      </c>
      <c r="C174" s="69" t="str">
        <f t="array" ref="C174">TEXTJOIN("", TRUE, IFERROR(INDEX('language&amp;DataTest'!A:J, MATCH(INDEX( PointerTest!C:C, MATCH(B174, PointerTest!A:A, 0), 0), 'language&amp;DataTest'!A:A, 0), MATCH(HOME!$A$25, 'language&amp;DataTest'!$A$1:$H$1, 0))),                      IFERROR(INDEX('language&amp;DataTest'!A:J, MATCH(INDEX( PointerTest!D:D, MATCH(B174, PointerTest!A:A, 0), 0), 'language&amp;DataTest'!A:A, 0), MATCH(HOME!$A$25, 'language&amp;DataTest'!$A$1:$H$1, 0))),                                          
IFERROR(INDEX('language&amp;DataTest'!A:J, MATCH(INDEX( PointerTest!E:E, MATCH(B174, PointerTest!A:A, 0), 0), 'language&amp;DataTest'!A:A, 0), MATCH(HOME!$A$25, 'language&amp;DataTest'!$A$1:$H$1, 0))))</f>
        <v>Golbat</v>
      </c>
      <c r="D174" s="69" t="str">
        <f t="array" ref="D174">INDEX('language&amp;DataTest'!A:J, MATCH(INDEX( PointerTest!D:D, MATCH(INDEX(PointerTest!B:B, MATCH(B174, PointerTest!A:A, 0)), PointerTest!A:A, 0), 0), 'language&amp;DataTest'!A:A, 0), MATCH(HOME!$A$25, 'language&amp;DataTest'!$A$1:$H$1, 0))</f>
        <v>Mewtwo</v>
      </c>
      <c r="E174" s="69" t="str">
        <f t="array" ref="E174">INDEX( PointerTest!F:F, MATCH(B174, PointerTest!A:A, 0), 0)</f>
        <v>♢♢</v>
      </c>
      <c r="F174" s="70" t="str">
        <f t="array" ref="F174">LET(percentage,XLOOKUP($E174,$K$2:$K$10,L$2:L$10,"",0)/(COUNTIFS($E:$E,$E174,$D:$D,RegularFormula!$D$2)+COUNTIFS($E:$E,$E174,$D:$D,IF($D174=RegularFormula!$D$2,$K$15,$D174))),IFERROR(IF(percentage,percentage,""),""))
</f>
        <v/>
      </c>
      <c r="G174" s="71">
        <f t="array" ref="G174">LET(percentage,XLOOKUP($E174,$K$2:$K$10,M$2:M$10,"",0)/(COUNTIFS($E:$E,$E174,$D:$D,RegularFormula!$D$2)+COUNTIFS($E:$E,$E174,$D:$D,IF($D174=RegularFormula!$D$2,$K$15,$D174))),IFERROR(IF(percentage,percentage,""),""))
</f>
        <v>0.02571428571</v>
      </c>
      <c r="H174" s="71">
        <f t="array" ref="H174">LET(percentage,XLOOKUP($E174,$K$2:$K$10,N$2:N$10,"",0)/(COUNTIFS($E:$E,$E174,$D:$D,RegularFormula!$D$2)+COUNTIFS($E:$E,$E174,$D:$D,IF($D174=RegularFormula!$D$2,$K$15,$D174))),IFERROR(IF(percentage,percentage,""),""))
</f>
        <v>0.01714285714</v>
      </c>
      <c r="I174" s="72" t="str">
        <f t="shared" si="1"/>
        <v/>
      </c>
      <c r="J174" s="73">
        <v>0.0</v>
      </c>
      <c r="K174" s="194"/>
      <c r="L174" s="55"/>
      <c r="M174" s="55"/>
      <c r="N174" s="55"/>
      <c r="O174" s="197"/>
      <c r="P174" s="103"/>
      <c r="Q174" s="103"/>
      <c r="R174" s="103"/>
      <c r="S174" s="79" t="str">
        <f t="shared" si="2"/>
        <v/>
      </c>
      <c r="T174" s="80" t="str">
        <f>IFERROR(__xludf.DUMMYFUNCTION("IF(
  Q174="""",
  """",
  IF(
   REGEXMATCH(SUBSTITUTE(Q174, "" ex"", """"), TEXTJOIN(""|"", TRUE, INDEX('language&amp;DataTest'!$A$33:$AB$182, , MATCH(HOME!$A$25, 'language&amp;DataTest'!$A$1:$G$1, 0)))),
   IF($M$26,
     IF(COUNTIFS(ARRAYFORMULA(SUBSTITUTE($C"&amp;"$2:$C287, "" ex"", """")), SUBSTITUTE(Q174, "" ex"", """"), $J$2:$J287, ""&gt;0"")=0, ""Yes"", ""No""),
     IF(COUNTIFS(ARRAYFORMULA(SUBSTITUTE($C$2:$C287, "" ex"", """")), SUBSTITUTE(Q174, "" ex"", """"), $A$2:$A287, TRUE)=0, ""Yes"", ""No"")
   ),
   ""No"&amp;"""
 )
)"),"")</f>
        <v/>
      </c>
    </row>
    <row r="175">
      <c r="A175" s="68" t="b">
        <v>1</v>
      </c>
      <c r="B175" s="69" t="s">
        <v>292</v>
      </c>
      <c r="C175" s="69" t="str">
        <f t="array" ref="C175">TEXTJOIN("", TRUE, IFERROR(INDEX('language&amp;DataTest'!A:J, MATCH(INDEX( PointerTest!C:C, MATCH(B175, PointerTest!A:A, 0), 0), 'language&amp;DataTest'!A:A, 0), MATCH(HOME!$A$25, 'language&amp;DataTest'!$A$1:$H$1, 0))),                      IFERROR(INDEX('language&amp;DataTest'!A:J, MATCH(INDEX( PointerTest!D:D, MATCH(B175, PointerTest!A:A, 0), 0), 'language&amp;DataTest'!A:A, 0), MATCH(HOME!$A$25, 'language&amp;DataTest'!$A$1:$H$1, 0))),                                          
IFERROR(INDEX('language&amp;DataTest'!A:J, MATCH(INDEX( PointerTest!E:E, MATCH(B175, PointerTest!A:A, 0), 0), 'language&amp;DataTest'!A:A, 0), MATCH(HOME!$A$25, 'language&amp;DataTest'!$A$1:$H$1, 0))))</f>
        <v>Grimer</v>
      </c>
      <c r="D175" s="69" t="str">
        <f t="array" ref="D175">INDEX('language&amp;DataTest'!A:J, MATCH(INDEX( PointerTest!D:D, MATCH(INDEX(PointerTest!B:B, MATCH(B175, PointerTest!A:A, 0)), PointerTest!A:A, 0), 0), 'language&amp;DataTest'!A:A, 0), MATCH(HOME!$A$25, 'language&amp;DataTest'!$A$1:$H$1, 0))</f>
        <v>Mewtwo</v>
      </c>
      <c r="E175" s="69" t="str">
        <f t="array" ref="E175">INDEX( PointerTest!F:F, MATCH(B175, PointerTest!A:A, 0), 0)</f>
        <v>♢</v>
      </c>
      <c r="F175" s="70">
        <f t="array" ref="F175">LET(percentage,XLOOKUP($E175,$K$2:$K$10,L$2:L$10,"",0)/(COUNTIFS($E:$E,$E175,$D:$D,RegularFormula!$D$2)+COUNTIFS($E:$E,$E175,$D:$D,IF($D175=RegularFormula!$D$2,$K$15,$D175))),IFERROR(IF(percentage,percentage,""),""))
</f>
        <v>0.02</v>
      </c>
      <c r="G175" s="71" t="str">
        <f t="array" ref="G175">LET(percentage,XLOOKUP($E175,$K$2:$K$10,M$2:M$10,"",0)/(COUNTIFS($E:$E,$E175,$D:$D,RegularFormula!$D$2)+COUNTIFS($E:$E,$E175,$D:$D,IF($D175=RegularFormula!$D$2,$K$15,$D175))),IFERROR(IF(percentage,percentage,""),""))
</f>
        <v/>
      </c>
      <c r="H175" s="71" t="str">
        <f t="array" ref="H175">LET(percentage,XLOOKUP($E175,$K$2:$K$10,N$2:N$10,"",0)/(COUNTIFS($E:$E,$E175,$D:$D,RegularFormula!$D$2)+COUNTIFS($E:$E,$E175,$D:$D,IF($D175=RegularFormula!$D$2,$K$15,$D175))),IFERROR(IF(percentage,percentage,""),""))
</f>
        <v/>
      </c>
      <c r="I175" s="72" t="str">
        <f t="shared" si="1"/>
        <v/>
      </c>
      <c r="J175" s="73">
        <v>0.0</v>
      </c>
      <c r="K175" s="194"/>
      <c r="L175" s="55"/>
      <c r="M175" s="55"/>
      <c r="N175" s="55"/>
      <c r="O175" s="197"/>
      <c r="P175" s="103"/>
      <c r="Q175" s="103"/>
      <c r="R175" s="103"/>
      <c r="S175" s="79" t="str">
        <f t="shared" si="2"/>
        <v/>
      </c>
      <c r="T175" s="80" t="str">
        <f>IFERROR(__xludf.DUMMYFUNCTION("IF(
  Q175="""",
  """",
  IF(
   REGEXMATCH(SUBSTITUTE(Q175, "" ex"", """"), TEXTJOIN(""|"", TRUE, INDEX('language&amp;DataTest'!$A$33:$AB$182, , MATCH(HOME!$A$25, 'language&amp;DataTest'!$A$1:$G$1, 0)))),
   IF($M$26,
     IF(COUNTIFS(ARRAYFORMULA(SUBSTITUTE($C"&amp;"$2:$C287, "" ex"", """")), SUBSTITUTE(Q175, "" ex"", """"), $J$2:$J287, ""&gt;0"")=0, ""Yes"", ""No""),
     IF(COUNTIFS(ARRAYFORMULA(SUBSTITUTE($C$2:$C287, "" ex"", """")), SUBSTITUTE(Q175, "" ex"", """"), $A$2:$A287, TRUE)=0, ""Yes"", ""No"")
   ),
   ""No"&amp;"""
 )
)"),"")</f>
        <v/>
      </c>
    </row>
    <row r="176">
      <c r="A176" s="68" t="b">
        <v>1</v>
      </c>
      <c r="B176" s="69" t="s">
        <v>293</v>
      </c>
      <c r="C176" s="69" t="str">
        <f t="array" ref="C176">TEXTJOIN("", TRUE, IFERROR(INDEX('language&amp;DataTest'!A:J, MATCH(INDEX( PointerTest!C:C, MATCH(B176, PointerTest!A:A, 0), 0), 'language&amp;DataTest'!A:A, 0), MATCH(HOME!$A$25, 'language&amp;DataTest'!$A$1:$H$1, 0))),                      IFERROR(INDEX('language&amp;DataTest'!A:J, MATCH(INDEX( PointerTest!D:D, MATCH(B176, PointerTest!A:A, 0), 0), 'language&amp;DataTest'!A:A, 0), MATCH(HOME!$A$25, 'language&amp;DataTest'!$A$1:$H$1, 0))),                                          
IFERROR(INDEX('language&amp;DataTest'!A:J, MATCH(INDEX( PointerTest!E:E, MATCH(B176, PointerTest!A:A, 0), 0), 'language&amp;DataTest'!A:A, 0), MATCH(HOME!$A$25, 'language&amp;DataTest'!$A$1:$H$1, 0))))</f>
        <v>Muk</v>
      </c>
      <c r="D176" s="69" t="str">
        <f t="array" ref="D176">INDEX('language&amp;DataTest'!A:J, MATCH(INDEX( PointerTest!D:D, MATCH(INDEX(PointerTest!B:B, MATCH(B176, PointerTest!A:A, 0)), PointerTest!A:A, 0), 0), 'language&amp;DataTest'!A:A, 0), MATCH(HOME!$A$25, 'language&amp;DataTest'!$A$1:$H$1, 0))</f>
        <v>Mewtwo</v>
      </c>
      <c r="E176" s="69" t="str">
        <f t="array" ref="E176">INDEX( PointerTest!F:F, MATCH(B176, PointerTest!A:A, 0), 0)</f>
        <v>♢♢♢</v>
      </c>
      <c r="F176" s="70" t="str">
        <f t="array" ref="F176">LET(percentage,XLOOKUP($E176,$K$2:$K$10,L$2:L$10,"",0)/(COUNTIFS($E:$E,$E176,$D:$D,RegularFormula!$D$2)+COUNTIFS($E:$E,$E176,$D:$D,IF($D176=RegularFormula!$D$2,$K$15,$D176))),IFERROR(IF(percentage,percentage,""),""))
</f>
        <v/>
      </c>
      <c r="G176" s="71">
        <f t="array" ref="G176">LET(percentage,XLOOKUP($E176,$K$2:$K$10,M$2:M$10,"",0)/(COUNTIFS($E:$E,$E176,$D:$D,RegularFormula!$D$2)+COUNTIFS($E:$E,$E176,$D:$D,IF($D176=RegularFormula!$D$2,$K$15,$D176))),IFERROR(IF(percentage,percentage,""),""))
</f>
        <v>0.003571428571</v>
      </c>
      <c r="H176" s="71">
        <f t="array" ref="H176">LET(percentage,XLOOKUP($E176,$K$2:$K$10,N$2:N$10,"",0)/(COUNTIFS($E:$E,$E176,$D:$D,RegularFormula!$D$2)+COUNTIFS($E:$E,$E176,$D:$D,IF($D176=RegularFormula!$D$2,$K$15,$D176))),IFERROR(IF(percentage,percentage,""),""))
</f>
        <v>0.01428571429</v>
      </c>
      <c r="I176" s="72" t="str">
        <f t="shared" si="1"/>
        <v/>
      </c>
      <c r="J176" s="73">
        <v>0.0</v>
      </c>
      <c r="K176" s="194"/>
      <c r="L176" s="55"/>
      <c r="M176" s="55"/>
      <c r="N176" s="55"/>
      <c r="O176" s="197"/>
      <c r="P176" s="103"/>
      <c r="Q176" s="103"/>
      <c r="R176" s="103"/>
      <c r="S176" s="79" t="str">
        <f t="shared" si="2"/>
        <v/>
      </c>
      <c r="T176" s="80" t="str">
        <f>IFERROR(__xludf.DUMMYFUNCTION("IF(
  Q176="""",
  """",
  IF(
   REGEXMATCH(SUBSTITUTE(Q176, "" ex"", """"), TEXTJOIN(""|"", TRUE, INDEX('language&amp;DataTest'!$A$33:$AB$182, , MATCH(HOME!$A$25, 'language&amp;DataTest'!$A$1:$G$1, 0)))),
   IF($M$26,
     IF(COUNTIFS(ARRAYFORMULA(SUBSTITUTE($C"&amp;"$2:$C287, "" ex"", """")), SUBSTITUTE(Q176, "" ex"", """"), $J$2:$J287, ""&gt;0"")=0, ""Yes"", ""No""),
     IF(COUNTIFS(ARRAYFORMULA(SUBSTITUTE($C$2:$C287, "" ex"", """")), SUBSTITUTE(Q176, "" ex"", """"), $A$2:$A287, TRUE)=0, ""Yes"", ""No"")
   ),
   ""No"&amp;"""
 )
)"),"")</f>
        <v/>
      </c>
    </row>
    <row r="177">
      <c r="A177" s="68" t="b">
        <v>1</v>
      </c>
      <c r="B177" s="69" t="s">
        <v>294</v>
      </c>
      <c r="C177" s="69" t="str">
        <f t="array" ref="C177">TEXTJOIN("", TRUE, IFERROR(INDEX('language&amp;DataTest'!A:J, MATCH(INDEX( PointerTest!C:C, MATCH(B177, PointerTest!A:A, 0), 0), 'language&amp;DataTest'!A:A, 0), MATCH(HOME!$A$25, 'language&amp;DataTest'!$A$1:$H$1, 0))),                      IFERROR(INDEX('language&amp;DataTest'!A:J, MATCH(INDEX( PointerTest!D:D, MATCH(B177, PointerTest!A:A, 0), 0), 'language&amp;DataTest'!A:A, 0), MATCH(HOME!$A$25, 'language&amp;DataTest'!$A$1:$H$1, 0))),                                          
IFERROR(INDEX('language&amp;DataTest'!A:J, MATCH(INDEX( PointerTest!E:E, MATCH(B177, PointerTest!A:A, 0), 0), 'language&amp;DataTest'!A:A, 0), MATCH(HOME!$A$25, 'language&amp;DataTest'!$A$1:$H$1, 0))))</f>
        <v>Koffing</v>
      </c>
      <c r="D177" s="69" t="str">
        <f t="array" ref="D177">INDEX('language&amp;DataTest'!A:J, MATCH(INDEX( PointerTest!D:D, MATCH(INDEX(PointerTest!B:B, MATCH(B177, PointerTest!A:A, 0)), PointerTest!A:A, 0), 0), 'language&amp;DataTest'!A:A, 0), MATCH(HOME!$A$25, 'language&amp;DataTest'!$A$1:$H$1, 0))</f>
        <v>Mewtwo</v>
      </c>
      <c r="E177" s="69" t="str">
        <f t="array" ref="E177">INDEX( PointerTest!F:F, MATCH(B177, PointerTest!A:A, 0), 0)</f>
        <v>♢</v>
      </c>
      <c r="F177" s="70">
        <f t="array" ref="F177">LET(percentage,XLOOKUP($E177,$K$2:$K$10,L$2:L$10,"",0)/(COUNTIFS($E:$E,$E177,$D:$D,RegularFormula!$D$2)+COUNTIFS($E:$E,$E177,$D:$D,IF($D177=RegularFormula!$D$2,$K$15,$D177))),IFERROR(IF(percentage,percentage,""),""))
</f>
        <v>0.02</v>
      </c>
      <c r="G177" s="71" t="str">
        <f t="array" ref="G177">LET(percentage,XLOOKUP($E177,$K$2:$K$10,M$2:M$10,"",0)/(COUNTIFS($E:$E,$E177,$D:$D,RegularFormula!$D$2)+COUNTIFS($E:$E,$E177,$D:$D,IF($D177=RegularFormula!$D$2,$K$15,$D177))),IFERROR(IF(percentage,percentage,""),""))
</f>
        <v/>
      </c>
      <c r="H177" s="71" t="str">
        <f t="array" ref="H177">LET(percentage,XLOOKUP($E177,$K$2:$K$10,N$2:N$10,"",0)/(COUNTIFS($E:$E,$E177,$D:$D,RegularFormula!$D$2)+COUNTIFS($E:$E,$E177,$D:$D,IF($D177=RegularFormula!$D$2,$K$15,$D177))),IFERROR(IF(percentage,percentage,""),""))
</f>
        <v/>
      </c>
      <c r="I177" s="72" t="str">
        <f t="shared" si="1"/>
        <v/>
      </c>
      <c r="J177" s="73">
        <v>0.0</v>
      </c>
      <c r="K177" s="194"/>
      <c r="L177" s="55"/>
      <c r="M177" s="55"/>
      <c r="N177" s="55"/>
      <c r="O177" s="197"/>
      <c r="P177" s="103"/>
      <c r="Q177" s="103"/>
      <c r="R177" s="103"/>
      <c r="S177" s="79" t="str">
        <f t="shared" si="2"/>
        <v/>
      </c>
      <c r="T177" s="80" t="str">
        <f>IFERROR(__xludf.DUMMYFUNCTION("IF(
  Q177="""",
  """",
  IF(
   REGEXMATCH(SUBSTITUTE(Q177, "" ex"", """"), TEXTJOIN(""|"", TRUE, INDEX('language&amp;DataTest'!$A$33:$AB$182, , MATCH(HOME!$A$25, 'language&amp;DataTest'!$A$1:$G$1, 0)))),
   IF($M$26,
     IF(COUNTIFS(ARRAYFORMULA(SUBSTITUTE($C"&amp;"$2:$C287, "" ex"", """")), SUBSTITUTE(Q177, "" ex"", """"), $J$2:$J287, ""&gt;0"")=0, ""Yes"", ""No""),
     IF(COUNTIFS(ARRAYFORMULA(SUBSTITUTE($C$2:$C287, "" ex"", """")), SUBSTITUTE(Q177, "" ex"", """"), $A$2:$A287, TRUE)=0, ""Yes"", ""No"")
   ),
   ""No"&amp;"""
 )
)"),"")</f>
        <v/>
      </c>
    </row>
    <row r="178">
      <c r="A178" s="68" t="b">
        <v>1</v>
      </c>
      <c r="B178" s="69" t="s">
        <v>295</v>
      </c>
      <c r="C178" s="69" t="str">
        <f t="array" ref="C178">TEXTJOIN("", TRUE, IFERROR(INDEX('language&amp;DataTest'!A:J, MATCH(INDEX( PointerTest!C:C, MATCH(B178, PointerTest!A:A, 0), 0), 'language&amp;DataTest'!A:A, 0), MATCH(HOME!$A$25, 'language&amp;DataTest'!$A$1:$H$1, 0))),                      IFERROR(INDEX('language&amp;DataTest'!A:J, MATCH(INDEX( PointerTest!D:D, MATCH(B178, PointerTest!A:A, 0), 0), 'language&amp;DataTest'!A:A, 0), MATCH(HOME!$A$25, 'language&amp;DataTest'!$A$1:$H$1, 0))),                                          
IFERROR(INDEX('language&amp;DataTest'!A:J, MATCH(INDEX( PointerTest!E:E, MATCH(B178, PointerTest!A:A, 0), 0), 'language&amp;DataTest'!A:A, 0), MATCH(HOME!$A$25, 'language&amp;DataTest'!$A$1:$H$1, 0))))</f>
        <v>Weezing</v>
      </c>
      <c r="D178" s="69" t="str">
        <f t="array" ref="D178">INDEX('language&amp;DataTest'!A:J, MATCH(INDEX( PointerTest!D:D, MATCH(INDEX(PointerTest!B:B, MATCH(B178, PointerTest!A:A, 0)), PointerTest!A:A, 0), 0), 'language&amp;DataTest'!A:A, 0), MATCH(HOME!$A$25, 'language&amp;DataTest'!$A$1:$H$1, 0))</f>
        <v>Mewtwo</v>
      </c>
      <c r="E178" s="69" t="str">
        <f t="array" ref="E178">INDEX( PointerTest!F:F, MATCH(B178, PointerTest!A:A, 0), 0)</f>
        <v>♢♢♢</v>
      </c>
      <c r="F178" s="70" t="str">
        <f t="array" ref="F178">LET(percentage,XLOOKUP($E178,$K$2:$K$10,L$2:L$10,"",0)/(COUNTIFS($E:$E,$E178,$D:$D,RegularFormula!$D$2)+COUNTIFS($E:$E,$E178,$D:$D,IF($D178=RegularFormula!$D$2,$K$15,$D178))),IFERROR(IF(percentage,percentage,""),""))
</f>
        <v/>
      </c>
      <c r="G178" s="71">
        <f t="array" ref="G178">LET(percentage,XLOOKUP($E178,$K$2:$K$10,M$2:M$10,"",0)/(COUNTIFS($E:$E,$E178,$D:$D,RegularFormula!$D$2)+COUNTIFS($E:$E,$E178,$D:$D,IF($D178=RegularFormula!$D$2,$K$15,$D178))),IFERROR(IF(percentage,percentage,""),""))
</f>
        <v>0.003571428571</v>
      </c>
      <c r="H178" s="71">
        <f t="array" ref="H178">LET(percentage,XLOOKUP($E178,$K$2:$K$10,N$2:N$10,"",0)/(COUNTIFS($E:$E,$E178,$D:$D,RegularFormula!$D$2)+COUNTIFS($E:$E,$E178,$D:$D,IF($D178=RegularFormula!$D$2,$K$15,$D178))),IFERROR(IF(percentage,percentage,""),""))
</f>
        <v>0.01428571429</v>
      </c>
      <c r="I178" s="72" t="str">
        <f t="shared" si="1"/>
        <v/>
      </c>
      <c r="J178" s="73">
        <v>0.0</v>
      </c>
      <c r="K178" s="194"/>
      <c r="L178" s="55"/>
      <c r="M178" s="55"/>
      <c r="N178" s="55"/>
      <c r="O178" s="197"/>
      <c r="P178" s="103"/>
      <c r="Q178" s="103"/>
      <c r="R178" s="103"/>
      <c r="S178" s="79" t="str">
        <f t="shared" si="2"/>
        <v/>
      </c>
      <c r="T178" s="80" t="str">
        <f>IFERROR(__xludf.DUMMYFUNCTION("IF(
  Q178="""",
  """",
  IF(
   REGEXMATCH(SUBSTITUTE(Q178, "" ex"", """"), TEXTJOIN(""|"", TRUE, INDEX('language&amp;DataTest'!$A$33:$AB$182, , MATCH(HOME!$A$25, 'language&amp;DataTest'!$A$1:$G$1, 0)))),
   IF($M$26,
     IF(COUNTIFS(ARRAYFORMULA(SUBSTITUTE($C"&amp;"$2:$C287, "" ex"", """")), SUBSTITUTE(Q178, "" ex"", """"), $J$2:$J287, ""&gt;0"")=0, ""Yes"", ""No""),
     IF(COUNTIFS(ARRAYFORMULA(SUBSTITUTE($C$2:$C287, "" ex"", """")), SUBSTITUTE(Q178, "" ex"", """"), $A$2:$A287, TRUE)=0, ""Yes"", ""No"")
   ),
   ""No"&amp;"""
 )
)"),"")</f>
        <v/>
      </c>
    </row>
    <row r="179">
      <c r="A179" s="68" t="b">
        <v>1</v>
      </c>
      <c r="B179" s="69" t="s">
        <v>296</v>
      </c>
      <c r="C179" s="69" t="str">
        <f t="array" ref="C179">TEXTJOIN("", TRUE, IFERROR(INDEX('language&amp;DataTest'!A:J, MATCH(INDEX( PointerTest!C:C, MATCH(B179, PointerTest!A:A, 0), 0), 'language&amp;DataTest'!A:A, 0), MATCH(HOME!$A$25, 'language&amp;DataTest'!$A$1:$H$1, 0))),                      IFERROR(INDEX('language&amp;DataTest'!A:J, MATCH(INDEX( PointerTest!D:D, MATCH(B179, PointerTest!A:A, 0), 0), 'language&amp;DataTest'!A:A, 0), MATCH(HOME!$A$25, 'language&amp;DataTest'!$A$1:$H$1, 0))),                                          
IFERROR(INDEX('language&amp;DataTest'!A:J, MATCH(INDEX( PointerTest!E:E, MATCH(B179, PointerTest!A:A, 0), 0), 'language&amp;DataTest'!A:A, 0), MATCH(HOME!$A$25, 'language&amp;DataTest'!$A$1:$H$1, 0))))</f>
        <v>Mawile</v>
      </c>
      <c r="D179" s="69" t="str">
        <f t="array" ref="D179">INDEX('language&amp;DataTest'!A:J, MATCH(INDEX( PointerTest!D:D, MATCH(INDEX(PointerTest!B:B, MATCH(B179, PointerTest!A:A, 0)), PointerTest!A:A, 0), 0), 'language&amp;DataTest'!A:A, 0), MATCH(HOME!$A$25, 'language&amp;DataTest'!$A$1:$H$1, 0))</f>
        <v>Charizard</v>
      </c>
      <c r="E179" s="69" t="str">
        <f t="array" ref="E179">INDEX( PointerTest!F:F, MATCH(B179, PointerTest!A:A, 0), 0)</f>
        <v>♢</v>
      </c>
      <c r="F179" s="70">
        <f t="array" ref="F179">LET(percentage,XLOOKUP($E179,$K$2:$K$10,L$2:L$10,"",0)/(COUNTIFS($E:$E,$E179,$D:$D,RegularFormula!$D$2)+COUNTIFS($E:$E,$E179,$D:$D,IF($D179=RegularFormula!$D$2,$K$15,$D179))),IFERROR(IF(percentage,percentage,""),""))
</f>
        <v>0.02</v>
      </c>
      <c r="G179" s="71" t="str">
        <f t="array" ref="G179">LET(percentage,XLOOKUP($E179,$K$2:$K$10,M$2:M$10,"",0)/(COUNTIFS($E:$E,$E179,$D:$D,RegularFormula!$D$2)+COUNTIFS($E:$E,$E179,$D:$D,IF($D179=RegularFormula!$D$2,$K$15,$D179))),IFERROR(IF(percentage,percentage,""),""))
</f>
        <v/>
      </c>
      <c r="H179" s="71" t="str">
        <f t="array" ref="H179">LET(percentage,XLOOKUP($E179,$K$2:$K$10,N$2:N$10,"",0)/(COUNTIFS($E:$E,$E179,$D:$D,RegularFormula!$D$2)+COUNTIFS($E:$E,$E179,$D:$D,IF($D179=RegularFormula!$D$2,$K$15,$D179))),IFERROR(IF(percentage,percentage,""),""))
</f>
        <v/>
      </c>
      <c r="I179" s="72" t="str">
        <f t="shared" si="1"/>
        <v/>
      </c>
      <c r="J179" s="73">
        <v>0.0</v>
      </c>
      <c r="K179" s="194"/>
      <c r="L179" s="55"/>
      <c r="M179" s="55"/>
      <c r="N179" s="55"/>
      <c r="O179" s="197"/>
      <c r="P179" s="103"/>
      <c r="Q179" s="103"/>
      <c r="R179" s="103"/>
      <c r="S179" s="79" t="str">
        <f t="shared" si="2"/>
        <v/>
      </c>
      <c r="T179" s="80" t="str">
        <f>IFERROR(__xludf.DUMMYFUNCTION("IF(
  Q179="""",
  """",
  IF(
   REGEXMATCH(SUBSTITUTE(Q179, "" ex"", """"), TEXTJOIN(""|"", TRUE, INDEX('language&amp;DataTest'!$A$33:$AB$182, , MATCH(HOME!$A$25, 'language&amp;DataTest'!$A$1:$G$1, 0)))),
   IF($M$26,
     IF(COUNTIFS(ARRAYFORMULA(SUBSTITUTE($C"&amp;"$2:$C287, "" ex"", """")), SUBSTITUTE(Q179, "" ex"", """"), $J$2:$J287, ""&gt;0"")=0, ""Yes"", ""No""),
     IF(COUNTIFS(ARRAYFORMULA(SUBSTITUTE($C$2:$C287, "" ex"", """")), SUBSTITUTE(Q179, "" ex"", """"), $A$2:$A287, TRUE)=0, ""Yes"", ""No"")
   ),
   ""No"&amp;"""
 )
)"),"")</f>
        <v/>
      </c>
    </row>
    <row r="180">
      <c r="A180" s="68" t="b">
        <v>1</v>
      </c>
      <c r="B180" s="69" t="s">
        <v>297</v>
      </c>
      <c r="C180" s="69" t="str">
        <f t="array" ref="C180">TEXTJOIN("", TRUE, IFERROR(INDEX('language&amp;DataTest'!A:J, MATCH(INDEX( PointerTest!C:C, MATCH(B180, PointerTest!A:A, 0), 0), 'language&amp;DataTest'!A:A, 0), MATCH(HOME!$A$25, 'language&amp;DataTest'!$A$1:$H$1, 0))),                      IFERROR(INDEX('language&amp;DataTest'!A:J, MATCH(INDEX( PointerTest!D:D, MATCH(B180, PointerTest!A:A, 0), 0), 'language&amp;DataTest'!A:A, 0), MATCH(HOME!$A$25, 'language&amp;DataTest'!$A$1:$H$1, 0))),                                          
IFERROR(INDEX('language&amp;DataTest'!A:J, MATCH(INDEX( PointerTest!E:E, MATCH(B180, PointerTest!A:A, 0), 0), 'language&amp;DataTest'!A:A, 0), MATCH(HOME!$A$25, 'language&amp;DataTest'!$A$1:$H$1, 0))))</f>
        <v>Pawniard</v>
      </c>
      <c r="D180" s="69" t="str">
        <f t="array" ref="D180">INDEX('language&amp;DataTest'!A:J, MATCH(INDEX( PointerTest!D:D, MATCH(INDEX(PointerTest!B:B, MATCH(B180, PointerTest!A:A, 0)), PointerTest!A:A, 0), 0), 'language&amp;DataTest'!A:A, 0), MATCH(HOME!$A$25, 'language&amp;DataTest'!$A$1:$H$1, 0))</f>
        <v>All</v>
      </c>
      <c r="E180" s="69" t="str">
        <f t="array" ref="E180">INDEX( PointerTest!F:F, MATCH(B180, PointerTest!A:A, 0), 0)</f>
        <v>♢</v>
      </c>
      <c r="F180" s="70">
        <f t="array" ref="F180">LET(percentage,XLOOKUP($E180,$K$2:$K$10,L$2:L$10,"",0)/(COUNTIFS($E:$E,$E180,$D:$D,RegularFormula!$D$2)+COUNTIFS($E:$E,$E180,$D:$D,IF($D180=RegularFormula!$D$2,$K$15,$D180))),IFERROR(IF(percentage,percentage,""),""))
</f>
        <v>0.02</v>
      </c>
      <c r="G180" s="71" t="str">
        <f t="array" ref="G180">LET(percentage,XLOOKUP($E180,$K$2:$K$10,M$2:M$10,"",0)/(COUNTIFS($E:$E,$E180,$D:$D,RegularFormula!$D$2)+COUNTIFS($E:$E,$E180,$D:$D,IF($D180=RegularFormula!$D$2,$K$15,$D180))),IFERROR(IF(percentage,percentage,""),""))
</f>
        <v/>
      </c>
      <c r="H180" s="71" t="str">
        <f t="array" ref="H180">LET(percentage,XLOOKUP($E180,$K$2:$K$10,N$2:N$10,"",0)/(COUNTIFS($E:$E,$E180,$D:$D,RegularFormula!$D$2)+COUNTIFS($E:$E,$E180,$D:$D,IF($D180=RegularFormula!$D$2,$K$15,$D180))),IFERROR(IF(percentage,percentage,""),""))
</f>
        <v/>
      </c>
      <c r="I180" s="72" t="str">
        <f t="shared" si="1"/>
        <v>*Based on Mewtwo pack</v>
      </c>
      <c r="J180" s="73">
        <v>0.0</v>
      </c>
      <c r="K180" s="194"/>
      <c r="L180" s="55"/>
      <c r="M180" s="55"/>
      <c r="N180" s="55"/>
      <c r="O180" s="197"/>
      <c r="P180" s="103"/>
      <c r="Q180" s="103"/>
      <c r="R180" s="103"/>
      <c r="S180" s="79" t="str">
        <f t="shared" si="2"/>
        <v/>
      </c>
      <c r="T180" s="80" t="str">
        <f>IFERROR(__xludf.DUMMYFUNCTION("IF(
  Q180="""",
  """",
  IF(
   REGEXMATCH(SUBSTITUTE(Q180, "" ex"", """"), TEXTJOIN(""|"", TRUE, INDEX('language&amp;DataTest'!$A$33:$AB$182, , MATCH(HOME!$A$25, 'language&amp;DataTest'!$A$1:$G$1, 0)))),
   IF($M$26,
     IF(COUNTIFS(ARRAYFORMULA(SUBSTITUTE($C"&amp;"$2:$C287, "" ex"", """")), SUBSTITUTE(Q180, "" ex"", """"), $J$2:$J287, ""&gt;0"")=0, ""Yes"", ""No""),
     IF(COUNTIFS(ARRAYFORMULA(SUBSTITUTE($C$2:$C287, "" ex"", """")), SUBSTITUTE(Q180, "" ex"", """"), $A$2:$A287, TRUE)=0, ""Yes"", ""No"")
   ),
   ""No"&amp;"""
 )
)"),"")</f>
        <v/>
      </c>
    </row>
    <row r="181">
      <c r="A181" s="68" t="b">
        <v>1</v>
      </c>
      <c r="B181" s="69" t="s">
        <v>298</v>
      </c>
      <c r="C181" s="69" t="str">
        <f t="array" ref="C181">TEXTJOIN("", TRUE, IFERROR(INDEX('language&amp;DataTest'!A:J, MATCH(INDEX( PointerTest!C:C, MATCH(B181, PointerTest!A:A, 0), 0), 'language&amp;DataTest'!A:A, 0), MATCH(HOME!$A$25, 'language&amp;DataTest'!$A$1:$H$1, 0))),                      IFERROR(INDEX('language&amp;DataTest'!A:J, MATCH(INDEX( PointerTest!D:D, MATCH(B181, PointerTest!A:A, 0), 0), 'language&amp;DataTest'!A:A, 0), MATCH(HOME!$A$25, 'language&amp;DataTest'!$A$1:$H$1, 0))),                                          
IFERROR(INDEX('language&amp;DataTest'!A:J, MATCH(INDEX( PointerTest!E:E, MATCH(B181, PointerTest!A:A, 0), 0), 'language&amp;DataTest'!A:A, 0), MATCH(HOME!$A$25, 'language&amp;DataTest'!$A$1:$H$1, 0))))</f>
        <v>Bisharp</v>
      </c>
      <c r="D181" s="69" t="str">
        <f t="array" ref="D181">INDEX('language&amp;DataTest'!A:J, MATCH(INDEX( PointerTest!D:D, MATCH(INDEX(PointerTest!B:B, MATCH(B181, PointerTest!A:A, 0)), PointerTest!A:A, 0), 0), 'language&amp;DataTest'!A:A, 0), MATCH(HOME!$A$25, 'language&amp;DataTest'!$A$1:$H$1, 0))</f>
        <v>All</v>
      </c>
      <c r="E181" s="69" t="str">
        <f t="array" ref="E181">INDEX( PointerTest!F:F, MATCH(B181, PointerTest!A:A, 0), 0)</f>
        <v>♢♢</v>
      </c>
      <c r="F181" s="70" t="str">
        <f t="array" ref="F181">LET(percentage,XLOOKUP($E181,$K$2:$K$10,L$2:L$10,"",0)/(COUNTIFS($E:$E,$E181,$D:$D,RegularFormula!$D$2)+COUNTIFS($E:$E,$E181,$D:$D,IF($D181=RegularFormula!$D$2,$K$15,$D181))),IFERROR(IF(percentage,percentage,""),""))
</f>
        <v/>
      </c>
      <c r="G181" s="71">
        <f t="array" ref="G181">LET(percentage,XLOOKUP($E181,$K$2:$K$10,M$2:M$10,"",0)/(COUNTIFS($E:$E,$E181,$D:$D,RegularFormula!$D$2)+COUNTIFS($E:$E,$E181,$D:$D,IF($D181=RegularFormula!$D$2,$K$15,$D181))),IFERROR(IF(percentage,percentage,""),""))
</f>
        <v>0.02571428571</v>
      </c>
      <c r="H181" s="71">
        <f t="array" ref="H181">LET(percentage,XLOOKUP($E181,$K$2:$K$10,N$2:N$10,"",0)/(COUNTIFS($E:$E,$E181,$D:$D,RegularFormula!$D$2)+COUNTIFS($E:$E,$E181,$D:$D,IF($D181=RegularFormula!$D$2,$K$15,$D181))),IFERROR(IF(percentage,percentage,""),""))
</f>
        <v>0.01714285714</v>
      </c>
      <c r="I181" s="72" t="str">
        <f t="shared" si="1"/>
        <v>*Based on Mewtwo pack</v>
      </c>
      <c r="J181" s="73">
        <v>0.0</v>
      </c>
      <c r="K181" s="194"/>
      <c r="L181" s="55"/>
      <c r="M181" s="55"/>
      <c r="N181" s="55"/>
      <c r="O181" s="197"/>
      <c r="P181" s="103"/>
      <c r="Q181" s="103"/>
      <c r="R181" s="103"/>
      <c r="S181" s="79" t="str">
        <f t="shared" si="2"/>
        <v/>
      </c>
      <c r="T181" s="80" t="str">
        <f>IFERROR(__xludf.DUMMYFUNCTION("IF(
  Q181="""",
  """",
  IF(
   REGEXMATCH(SUBSTITUTE(Q181, "" ex"", """"), TEXTJOIN(""|"", TRUE, INDEX('language&amp;DataTest'!$A$33:$AB$182, , MATCH(HOME!$A$25, 'language&amp;DataTest'!$A$1:$G$1, 0)))),
   IF($M$26,
     IF(COUNTIFS(ARRAYFORMULA(SUBSTITUTE($C"&amp;"$2:$C287, "" ex"", """")), SUBSTITUTE(Q181, "" ex"", """"), $J$2:$J287, ""&gt;0"")=0, ""Yes"", ""No""),
     IF(COUNTIFS(ARRAYFORMULA(SUBSTITUTE($C$2:$C287, "" ex"", """")), SUBSTITUTE(Q181, "" ex"", """"), $A$2:$A287, TRUE)=0, ""Yes"", ""No"")
   ),
   ""No"&amp;"""
 )
)"),"")</f>
        <v/>
      </c>
    </row>
    <row r="182">
      <c r="A182" s="68" t="b">
        <v>1</v>
      </c>
      <c r="B182" s="69" t="s">
        <v>299</v>
      </c>
      <c r="C182" s="69" t="str">
        <f t="array" ref="C182">TEXTJOIN("", TRUE, IFERROR(INDEX('language&amp;DataTest'!A:J, MATCH(INDEX( PointerTest!C:C, MATCH(B182, PointerTest!A:A, 0), 0), 'language&amp;DataTest'!A:A, 0), MATCH(HOME!$A$25, 'language&amp;DataTest'!$A$1:$H$1, 0))),                      IFERROR(INDEX('language&amp;DataTest'!A:J, MATCH(INDEX( PointerTest!D:D, MATCH(B182, PointerTest!A:A, 0), 0), 'language&amp;DataTest'!A:A, 0), MATCH(HOME!$A$25, 'language&amp;DataTest'!$A$1:$H$1, 0))),                                          
IFERROR(INDEX('language&amp;DataTest'!A:J, MATCH(INDEX( PointerTest!E:E, MATCH(B182, PointerTest!A:A, 0), 0), 'language&amp;DataTest'!A:A, 0), MATCH(HOME!$A$25, 'language&amp;DataTest'!$A$1:$H$1, 0))))</f>
        <v>Meltan</v>
      </c>
      <c r="D182" s="69" t="str">
        <f t="array" ref="D182">INDEX('language&amp;DataTest'!A:J, MATCH(INDEX( PointerTest!D:D, MATCH(INDEX(PointerTest!B:B, MATCH(B182, PointerTest!A:A, 0)), PointerTest!A:A, 0), 0), 'language&amp;DataTest'!A:A, 0), MATCH(HOME!$A$25, 'language&amp;DataTest'!$A$1:$H$1, 0))</f>
        <v>Charizard</v>
      </c>
      <c r="E182" s="69" t="str">
        <f t="array" ref="E182">INDEX( PointerTest!F:F, MATCH(B182, PointerTest!A:A, 0), 0)</f>
        <v>♢</v>
      </c>
      <c r="F182" s="70">
        <f t="array" ref="F182">LET(percentage,XLOOKUP($E182,$K$2:$K$10,L$2:L$10,"",0)/(COUNTIFS($E:$E,$E182,$D:$D,RegularFormula!$D$2)+COUNTIFS($E:$E,$E182,$D:$D,IF($D182=RegularFormula!$D$2,$K$15,$D182))),IFERROR(IF(percentage,percentage,""),""))
</f>
        <v>0.02</v>
      </c>
      <c r="G182" s="71" t="str">
        <f t="array" ref="G182">LET(percentage,XLOOKUP($E182,$K$2:$K$10,M$2:M$10,"",0)/(COUNTIFS($E:$E,$E182,$D:$D,RegularFormula!$D$2)+COUNTIFS($E:$E,$E182,$D:$D,IF($D182=RegularFormula!$D$2,$K$15,$D182))),IFERROR(IF(percentage,percentage,""),""))
</f>
        <v/>
      </c>
      <c r="H182" s="71" t="str">
        <f t="array" ref="H182">LET(percentage,XLOOKUP($E182,$K$2:$K$10,N$2:N$10,"",0)/(COUNTIFS($E:$E,$E182,$D:$D,RegularFormula!$D$2)+COUNTIFS($E:$E,$E182,$D:$D,IF($D182=RegularFormula!$D$2,$K$15,$D182))),IFERROR(IF(percentage,percentage,""),""))
</f>
        <v/>
      </c>
      <c r="I182" s="72" t="str">
        <f t="shared" si="1"/>
        <v/>
      </c>
      <c r="J182" s="73">
        <v>0.0</v>
      </c>
      <c r="K182" s="194"/>
      <c r="L182" s="55"/>
      <c r="M182" s="55"/>
      <c r="N182" s="55"/>
      <c r="O182" s="197"/>
      <c r="P182" s="103"/>
      <c r="Q182" s="103"/>
      <c r="R182" s="103"/>
      <c r="S182" s="79" t="str">
        <f t="shared" si="2"/>
        <v/>
      </c>
      <c r="T182" s="80" t="str">
        <f>IFERROR(__xludf.DUMMYFUNCTION("IF(
  Q182="""",
  """",
  IF(
   REGEXMATCH(SUBSTITUTE(Q182, "" ex"", """"), TEXTJOIN(""|"", TRUE, INDEX('language&amp;DataTest'!$A$33:$AB$182, , MATCH(HOME!$A$25, 'language&amp;DataTest'!$A$1:$G$1, 0)))),
   IF($M$26,
     IF(COUNTIFS(ARRAYFORMULA(SUBSTITUTE($C"&amp;"$2:$C287, "" ex"", """")), SUBSTITUTE(Q182, "" ex"", """"), $J$2:$J287, ""&gt;0"")=0, ""Yes"", ""No""),
     IF(COUNTIFS(ARRAYFORMULA(SUBSTITUTE($C$2:$C287, "" ex"", """")), SUBSTITUTE(Q182, "" ex"", """"), $A$2:$A287, TRUE)=0, ""Yes"", ""No"")
   ),
   ""No"&amp;"""
 )
)"),"")</f>
        <v/>
      </c>
    </row>
    <row r="183">
      <c r="A183" s="68" t="b">
        <v>1</v>
      </c>
      <c r="B183" s="69" t="s">
        <v>300</v>
      </c>
      <c r="C183" s="69" t="str">
        <f t="array" ref="C183">TEXTJOIN("", TRUE, IFERROR(INDEX('language&amp;DataTest'!A:J, MATCH(INDEX( PointerTest!C:C, MATCH(B183, PointerTest!A:A, 0), 0), 'language&amp;DataTest'!A:A, 0), MATCH(HOME!$A$25, 'language&amp;DataTest'!$A$1:$H$1, 0))),                      IFERROR(INDEX('language&amp;DataTest'!A:J, MATCH(INDEX( PointerTest!D:D, MATCH(B183, PointerTest!A:A, 0), 0), 'language&amp;DataTest'!A:A, 0), MATCH(HOME!$A$25, 'language&amp;DataTest'!$A$1:$H$1, 0))),                                          
IFERROR(INDEX('language&amp;DataTest'!A:J, MATCH(INDEX( PointerTest!E:E, MATCH(B183, PointerTest!A:A, 0), 0), 'language&amp;DataTest'!A:A, 0), MATCH(HOME!$A$25, 'language&amp;DataTest'!$A$1:$H$1, 0))))</f>
        <v>Melmetal</v>
      </c>
      <c r="D183" s="69" t="str">
        <f t="array" ref="D183">INDEX('language&amp;DataTest'!A:J, MATCH(INDEX( PointerTest!D:D, MATCH(INDEX(PointerTest!B:B, MATCH(B183, PointerTest!A:A, 0)), PointerTest!A:A, 0), 0), 'language&amp;DataTest'!A:A, 0), MATCH(HOME!$A$25, 'language&amp;DataTest'!$A$1:$H$1, 0))</f>
        <v>Charizard</v>
      </c>
      <c r="E183" s="69" t="str">
        <f t="array" ref="E183">INDEX( PointerTest!F:F, MATCH(B183, PointerTest!A:A, 0), 0)</f>
        <v>♢♢♢</v>
      </c>
      <c r="F183" s="70" t="str">
        <f t="array" ref="F183">LET(percentage,XLOOKUP($E183,$K$2:$K$10,L$2:L$10,"",0)/(COUNTIFS($E:$E,$E183,$D:$D,RegularFormula!$D$2)+COUNTIFS($E:$E,$E183,$D:$D,IF($D183=RegularFormula!$D$2,$K$15,$D183))),IFERROR(IF(percentage,percentage,""),""))
</f>
        <v/>
      </c>
      <c r="G183" s="71">
        <f t="array" ref="G183">LET(percentage,XLOOKUP($E183,$K$2:$K$10,M$2:M$10,"",0)/(COUNTIFS($E:$E,$E183,$D:$D,RegularFormula!$D$2)+COUNTIFS($E:$E,$E183,$D:$D,IF($D183=RegularFormula!$D$2,$K$15,$D183))),IFERROR(IF(percentage,percentage,""),""))
</f>
        <v>0.003571428571</v>
      </c>
      <c r="H183" s="71">
        <f t="array" ref="H183">LET(percentage,XLOOKUP($E183,$K$2:$K$10,N$2:N$10,"",0)/(COUNTIFS($E:$E,$E183,$D:$D,RegularFormula!$D$2)+COUNTIFS($E:$E,$E183,$D:$D,IF($D183=RegularFormula!$D$2,$K$15,$D183))),IFERROR(IF(percentage,percentage,""),""))
</f>
        <v>0.01428571429</v>
      </c>
      <c r="I183" s="72" t="str">
        <f t="shared" si="1"/>
        <v/>
      </c>
      <c r="J183" s="73">
        <v>0.0</v>
      </c>
      <c r="K183" s="194"/>
      <c r="L183" s="55"/>
      <c r="M183" s="55"/>
      <c r="N183" s="55"/>
      <c r="O183" s="197"/>
      <c r="P183" s="103"/>
      <c r="Q183" s="103"/>
      <c r="R183" s="103"/>
      <c r="S183" s="79" t="str">
        <f t="shared" si="2"/>
        <v/>
      </c>
      <c r="T183" s="80" t="str">
        <f>IFERROR(__xludf.DUMMYFUNCTION("IF(
  Q183="""",
  """",
  IF(
   REGEXMATCH(SUBSTITUTE(Q183, "" ex"", """"), TEXTJOIN(""|"", TRUE, INDEX('language&amp;DataTest'!$A$33:$AB$182, , MATCH(HOME!$A$25, 'language&amp;DataTest'!$A$1:$G$1, 0)))),
   IF($M$26,
     IF(COUNTIFS(ARRAYFORMULA(SUBSTITUTE($C"&amp;"$2:$C287, "" ex"", """")), SUBSTITUTE(Q183, "" ex"", """"), $J$2:$J287, ""&gt;0"")=0, ""Yes"", ""No""),
     IF(COUNTIFS(ARRAYFORMULA(SUBSTITUTE($C$2:$C287, "" ex"", """")), SUBSTITUTE(Q183, "" ex"", """"), $A$2:$A287, TRUE)=0, ""Yes"", ""No"")
   ),
   ""No"&amp;"""
 )
)"),"")</f>
        <v/>
      </c>
    </row>
    <row r="184">
      <c r="A184" s="68" t="b">
        <v>1</v>
      </c>
      <c r="B184" s="69" t="s">
        <v>301</v>
      </c>
      <c r="C184" s="69" t="str">
        <f t="array" ref="C184">TEXTJOIN("", TRUE, IFERROR(INDEX('language&amp;DataTest'!A:J, MATCH(INDEX( PointerTest!C:C, MATCH(B184, PointerTest!A:A, 0), 0), 'language&amp;DataTest'!A:A, 0), MATCH(HOME!$A$25, 'language&amp;DataTest'!$A$1:$H$1, 0))),                      IFERROR(INDEX('language&amp;DataTest'!A:J, MATCH(INDEX( PointerTest!D:D, MATCH(B184, PointerTest!A:A, 0), 0), 'language&amp;DataTest'!A:A, 0), MATCH(HOME!$A$25, 'language&amp;DataTest'!$A$1:$H$1, 0))),                                          
IFERROR(INDEX('language&amp;DataTest'!A:J, MATCH(INDEX( PointerTest!E:E, MATCH(B184, PointerTest!A:A, 0), 0), 'language&amp;DataTest'!A:A, 0), MATCH(HOME!$A$25, 'language&amp;DataTest'!$A$1:$H$1, 0))))</f>
        <v>Dratini</v>
      </c>
      <c r="D184" s="69" t="str">
        <f t="array" ref="D184">INDEX('language&amp;DataTest'!A:J, MATCH(INDEX( PointerTest!D:D, MATCH(INDEX(PointerTest!B:B, MATCH(B184, PointerTest!A:A, 0)), PointerTest!A:A, 0), 0), 'language&amp;DataTest'!A:A, 0), MATCH(HOME!$A$25, 'language&amp;DataTest'!$A$1:$H$1, 0))</f>
        <v>Mewtwo</v>
      </c>
      <c r="E184" s="69" t="str">
        <f t="array" ref="E184">INDEX( PointerTest!F:F, MATCH(B184, PointerTest!A:A, 0), 0)</f>
        <v>♢</v>
      </c>
      <c r="F184" s="70">
        <f t="array" ref="F184">LET(percentage,XLOOKUP($E184,$K$2:$K$10,L$2:L$10,"",0)/(COUNTIFS($E:$E,$E184,$D:$D,RegularFormula!$D$2)+COUNTIFS($E:$E,$E184,$D:$D,IF($D184=RegularFormula!$D$2,$K$15,$D184))),IFERROR(IF(percentage,percentage,""),""))
</f>
        <v>0.02</v>
      </c>
      <c r="G184" s="71" t="str">
        <f t="array" ref="G184">LET(percentage,XLOOKUP($E184,$K$2:$K$10,M$2:M$10,"",0)/(COUNTIFS($E:$E,$E184,$D:$D,RegularFormula!$D$2)+COUNTIFS($E:$E,$E184,$D:$D,IF($D184=RegularFormula!$D$2,$K$15,$D184))),IFERROR(IF(percentage,percentage,""),""))
</f>
        <v/>
      </c>
      <c r="H184" s="71" t="str">
        <f t="array" ref="H184">LET(percentage,XLOOKUP($E184,$K$2:$K$10,N$2:N$10,"",0)/(COUNTIFS($E:$E,$E184,$D:$D,RegularFormula!$D$2)+COUNTIFS($E:$E,$E184,$D:$D,IF($D184=RegularFormula!$D$2,$K$15,$D184))),IFERROR(IF(percentage,percentage,""),""))
</f>
        <v/>
      </c>
      <c r="I184" s="72" t="str">
        <f t="shared" si="1"/>
        <v/>
      </c>
      <c r="J184" s="73">
        <v>0.0</v>
      </c>
      <c r="K184" s="194"/>
      <c r="L184" s="55"/>
      <c r="M184" s="55"/>
      <c r="N184" s="55"/>
      <c r="O184" s="197"/>
      <c r="P184" s="103"/>
      <c r="Q184" s="103"/>
      <c r="R184" s="103"/>
      <c r="S184" s="79" t="str">
        <f t="shared" si="2"/>
        <v/>
      </c>
      <c r="T184" s="80" t="str">
        <f>IFERROR(__xludf.DUMMYFUNCTION("IF(
  Q184="""",
  """",
  IF(
   REGEXMATCH(SUBSTITUTE(Q184, "" ex"", """"), TEXTJOIN(""|"", TRUE, INDEX('language&amp;DataTest'!$A$33:$AB$182, , MATCH(HOME!$A$25, 'language&amp;DataTest'!$A$1:$G$1, 0)))),
   IF($M$26,
     IF(COUNTIFS(ARRAYFORMULA(SUBSTITUTE($C"&amp;"$2:$C287, "" ex"", """")), SUBSTITUTE(Q184, "" ex"", """"), $J$2:$J287, ""&gt;0"")=0, ""Yes"", ""No""),
     IF(COUNTIFS(ARRAYFORMULA(SUBSTITUTE($C$2:$C287, "" ex"", """")), SUBSTITUTE(Q184, "" ex"", """"), $A$2:$A287, TRUE)=0, ""Yes"", ""No"")
   ),
   ""No"&amp;"""
 )
)"),"")</f>
        <v/>
      </c>
    </row>
    <row r="185">
      <c r="A185" s="68" t="b">
        <v>1</v>
      </c>
      <c r="B185" s="69" t="s">
        <v>302</v>
      </c>
      <c r="C185" s="69" t="str">
        <f t="array" ref="C185">TEXTJOIN("", TRUE, IFERROR(INDEX('language&amp;DataTest'!A:J, MATCH(INDEX( PointerTest!C:C, MATCH(B185, PointerTest!A:A, 0), 0), 'language&amp;DataTest'!A:A, 0), MATCH(HOME!$A$25, 'language&amp;DataTest'!$A$1:$H$1, 0))),                      IFERROR(INDEX('language&amp;DataTest'!A:J, MATCH(INDEX( PointerTest!D:D, MATCH(B185, PointerTest!A:A, 0), 0), 'language&amp;DataTest'!A:A, 0), MATCH(HOME!$A$25, 'language&amp;DataTest'!$A$1:$H$1, 0))),                                          
IFERROR(INDEX('language&amp;DataTest'!A:J, MATCH(INDEX( PointerTest!E:E, MATCH(B185, PointerTest!A:A, 0), 0), 'language&amp;DataTest'!A:A, 0), MATCH(HOME!$A$25, 'language&amp;DataTest'!$A$1:$H$1, 0))))</f>
        <v>Dragonair</v>
      </c>
      <c r="D185" s="69" t="str">
        <f t="array" ref="D185">INDEX('language&amp;DataTest'!A:J, MATCH(INDEX( PointerTest!D:D, MATCH(INDEX(PointerTest!B:B, MATCH(B185, PointerTest!A:A, 0)), PointerTest!A:A, 0), 0), 'language&amp;DataTest'!A:A, 0), MATCH(HOME!$A$25, 'language&amp;DataTest'!$A$1:$H$1, 0))</f>
        <v>Mewtwo</v>
      </c>
      <c r="E185" s="69" t="str">
        <f t="array" ref="E185">INDEX( PointerTest!F:F, MATCH(B185, PointerTest!A:A, 0), 0)</f>
        <v>♢♢</v>
      </c>
      <c r="F185" s="70" t="str">
        <f t="array" ref="F185">LET(percentage,XLOOKUP($E185,$K$2:$K$10,L$2:L$10,"",0)/(COUNTIFS($E:$E,$E185,$D:$D,RegularFormula!$D$2)+COUNTIFS($E:$E,$E185,$D:$D,IF($D185=RegularFormula!$D$2,$K$15,$D185))),IFERROR(IF(percentage,percentage,""),""))
</f>
        <v/>
      </c>
      <c r="G185" s="71">
        <f t="array" ref="G185">LET(percentage,XLOOKUP($E185,$K$2:$K$10,M$2:M$10,"",0)/(COUNTIFS($E:$E,$E185,$D:$D,RegularFormula!$D$2)+COUNTIFS($E:$E,$E185,$D:$D,IF($D185=RegularFormula!$D$2,$K$15,$D185))),IFERROR(IF(percentage,percentage,""),""))
</f>
        <v>0.02571428571</v>
      </c>
      <c r="H185" s="71">
        <f t="array" ref="H185">LET(percentage,XLOOKUP($E185,$K$2:$K$10,N$2:N$10,"",0)/(COUNTIFS($E:$E,$E185,$D:$D,RegularFormula!$D$2)+COUNTIFS($E:$E,$E185,$D:$D,IF($D185=RegularFormula!$D$2,$K$15,$D185))),IFERROR(IF(percentage,percentage,""),""))
</f>
        <v>0.01714285714</v>
      </c>
      <c r="I185" s="72" t="str">
        <f t="shared" si="1"/>
        <v/>
      </c>
      <c r="J185" s="73">
        <v>0.0</v>
      </c>
      <c r="K185" s="194"/>
      <c r="L185" s="55"/>
      <c r="M185" s="55"/>
      <c r="N185" s="55"/>
      <c r="O185" s="197"/>
      <c r="P185" s="103"/>
      <c r="Q185" s="103"/>
      <c r="R185" s="103"/>
      <c r="S185" s="79" t="str">
        <f t="shared" si="2"/>
        <v/>
      </c>
      <c r="T185" s="80" t="str">
        <f>IFERROR(__xludf.DUMMYFUNCTION("IF(
  Q185="""",
  """",
  IF(
   REGEXMATCH(SUBSTITUTE(Q185, "" ex"", """"), TEXTJOIN(""|"", TRUE, INDEX('language&amp;DataTest'!$A$33:$AB$182, , MATCH(HOME!$A$25, 'language&amp;DataTest'!$A$1:$G$1, 0)))),
   IF($M$26,
     IF(COUNTIFS(ARRAYFORMULA(SUBSTITUTE($C"&amp;"$2:$C287, "" ex"", """")), SUBSTITUTE(Q185, "" ex"", """"), $J$2:$J287, ""&gt;0"")=0, ""Yes"", ""No""),
     IF(COUNTIFS(ARRAYFORMULA(SUBSTITUTE($C$2:$C287, "" ex"", """")), SUBSTITUTE(Q185, "" ex"", """"), $A$2:$A287, TRUE)=0, ""Yes"", ""No"")
   ),
   ""No"&amp;"""
 )
)"),"")</f>
        <v/>
      </c>
    </row>
    <row r="186">
      <c r="A186" s="68" t="b">
        <v>1</v>
      </c>
      <c r="B186" s="69" t="s">
        <v>303</v>
      </c>
      <c r="C186" s="69" t="str">
        <f t="array" ref="C186">TEXTJOIN("", TRUE, IFERROR(INDEX('language&amp;DataTest'!A:J, MATCH(INDEX( PointerTest!C:C, MATCH(B186, PointerTest!A:A, 0), 0), 'language&amp;DataTest'!A:A, 0), MATCH(HOME!$A$25, 'language&amp;DataTest'!$A$1:$H$1, 0))),                      IFERROR(INDEX('language&amp;DataTest'!A:J, MATCH(INDEX( PointerTest!D:D, MATCH(B186, PointerTest!A:A, 0), 0), 'language&amp;DataTest'!A:A, 0), MATCH(HOME!$A$25, 'language&amp;DataTest'!$A$1:$H$1, 0))),                                          
IFERROR(INDEX('language&amp;DataTest'!A:J, MATCH(INDEX( PointerTest!E:E, MATCH(B186, PointerTest!A:A, 0), 0), 'language&amp;DataTest'!A:A, 0), MATCH(HOME!$A$25, 'language&amp;DataTest'!$A$1:$H$1, 0))))</f>
        <v>Dragonite</v>
      </c>
      <c r="D186" s="69" t="str">
        <f t="array" ref="D186">INDEX('language&amp;DataTest'!A:J, MATCH(INDEX( PointerTest!D:D, MATCH(INDEX(PointerTest!B:B, MATCH(B186, PointerTest!A:A, 0)), PointerTest!A:A, 0), 0), 'language&amp;DataTest'!A:A, 0), MATCH(HOME!$A$25, 'language&amp;DataTest'!$A$1:$H$1, 0))</f>
        <v>Mewtwo</v>
      </c>
      <c r="E186" s="69" t="str">
        <f t="array" ref="E186">INDEX( PointerTest!F:F, MATCH(B186, PointerTest!A:A, 0), 0)</f>
        <v>♢♢♢</v>
      </c>
      <c r="F186" s="70" t="str">
        <f t="array" ref="F186">LET(percentage,XLOOKUP($E186,$K$2:$K$10,L$2:L$10,"",0)/(COUNTIFS($E:$E,$E186,$D:$D,RegularFormula!$D$2)+COUNTIFS($E:$E,$E186,$D:$D,IF($D186=RegularFormula!$D$2,$K$15,$D186))),IFERROR(IF(percentage,percentage,""),""))
</f>
        <v/>
      </c>
      <c r="G186" s="71">
        <f t="array" ref="G186">LET(percentage,XLOOKUP($E186,$K$2:$K$10,M$2:M$10,"",0)/(COUNTIFS($E:$E,$E186,$D:$D,RegularFormula!$D$2)+COUNTIFS($E:$E,$E186,$D:$D,IF($D186=RegularFormula!$D$2,$K$15,$D186))),IFERROR(IF(percentage,percentage,""),""))
</f>
        <v>0.003571428571</v>
      </c>
      <c r="H186" s="71">
        <f t="array" ref="H186">LET(percentage,XLOOKUP($E186,$K$2:$K$10,N$2:N$10,"",0)/(COUNTIFS($E:$E,$E186,$D:$D,RegularFormula!$D$2)+COUNTIFS($E:$E,$E186,$D:$D,IF($D186=RegularFormula!$D$2,$K$15,$D186))),IFERROR(IF(percentage,percentage,""),""))
</f>
        <v>0.01428571429</v>
      </c>
      <c r="I186" s="72" t="str">
        <f t="shared" si="1"/>
        <v/>
      </c>
      <c r="J186" s="73">
        <v>0.0</v>
      </c>
      <c r="K186" s="194"/>
      <c r="L186" s="55"/>
      <c r="M186" s="55"/>
      <c r="N186" s="55"/>
      <c r="O186" s="197"/>
      <c r="P186" s="103"/>
      <c r="Q186" s="103"/>
      <c r="R186" s="103"/>
      <c r="S186" s="79" t="str">
        <f t="shared" si="2"/>
        <v/>
      </c>
      <c r="T186" s="80" t="str">
        <f>IFERROR(__xludf.DUMMYFUNCTION("IF(
  Q186="""",
  """",
  IF(
   REGEXMATCH(SUBSTITUTE(Q186, "" ex"", """"), TEXTJOIN(""|"", TRUE, INDEX('language&amp;DataTest'!$A$33:$AB$182, , MATCH(HOME!$A$25, 'language&amp;DataTest'!$A$1:$G$1, 0)))),
   IF($M$26,
     IF(COUNTIFS(ARRAYFORMULA(SUBSTITUTE($C"&amp;"$2:$C287, "" ex"", """")), SUBSTITUTE(Q186, "" ex"", """"), $J$2:$J287, ""&gt;0"")=0, ""Yes"", ""No""),
     IF(COUNTIFS(ARRAYFORMULA(SUBSTITUTE($C$2:$C287, "" ex"", """")), SUBSTITUTE(Q186, "" ex"", """"), $A$2:$A287, TRUE)=0, ""Yes"", ""No"")
   ),
   ""No"&amp;"""
 )
)"),"")</f>
        <v/>
      </c>
    </row>
    <row r="187">
      <c r="A187" s="68" t="b">
        <v>1</v>
      </c>
      <c r="B187" s="69" t="s">
        <v>304</v>
      </c>
      <c r="C187" s="69" t="str">
        <f t="array" ref="C187">TEXTJOIN("", TRUE, IFERROR(INDEX('language&amp;DataTest'!A:J, MATCH(INDEX( PointerTest!C:C, MATCH(B187, PointerTest!A:A, 0), 0), 'language&amp;DataTest'!A:A, 0), MATCH(HOME!$A$25, 'language&amp;DataTest'!$A$1:$H$1, 0))),                      IFERROR(INDEX('language&amp;DataTest'!A:J, MATCH(INDEX( PointerTest!D:D, MATCH(B187, PointerTest!A:A, 0), 0), 'language&amp;DataTest'!A:A, 0), MATCH(HOME!$A$25, 'language&amp;DataTest'!$A$1:$H$1, 0))),                                          
IFERROR(INDEX('language&amp;DataTest'!A:J, MATCH(INDEX( PointerTest!E:E, MATCH(B187, PointerTest!A:A, 0), 0), 'language&amp;DataTest'!A:A, 0), MATCH(HOME!$A$25, 'language&amp;DataTest'!$A$1:$H$1, 0))))</f>
        <v>Pidgey</v>
      </c>
      <c r="D187" s="69" t="str">
        <f t="array" ref="D187">INDEX('language&amp;DataTest'!A:J, MATCH(INDEX( PointerTest!D:D, MATCH(INDEX(PointerTest!B:B, MATCH(B187, PointerTest!A:A, 0)), PointerTest!A:A, 0), 0), 'language&amp;DataTest'!A:A, 0), MATCH(HOME!$A$25, 'language&amp;DataTest'!$A$1:$H$1, 0))</f>
        <v>Mewtwo</v>
      </c>
      <c r="E187" s="69" t="str">
        <f t="array" ref="E187">INDEX( PointerTest!F:F, MATCH(B187, PointerTest!A:A, 0), 0)</f>
        <v>♢</v>
      </c>
      <c r="F187" s="70">
        <f t="array" ref="F187">LET(percentage,XLOOKUP($E187,$K$2:$K$10,L$2:L$10,"",0)/(COUNTIFS($E:$E,$E187,$D:$D,RegularFormula!$D$2)+COUNTIFS($E:$E,$E187,$D:$D,IF($D187=RegularFormula!$D$2,$K$15,$D187))),IFERROR(IF(percentage,percentage,""),""))
</f>
        <v>0.02</v>
      </c>
      <c r="G187" s="71" t="str">
        <f t="array" ref="G187">LET(percentage,XLOOKUP($E187,$K$2:$K$10,M$2:M$10,"",0)/(COUNTIFS($E:$E,$E187,$D:$D,RegularFormula!$D$2)+COUNTIFS($E:$E,$E187,$D:$D,IF($D187=RegularFormula!$D$2,$K$15,$D187))),IFERROR(IF(percentage,percentage,""),""))
</f>
        <v/>
      </c>
      <c r="H187" s="71" t="str">
        <f t="array" ref="H187">LET(percentage,XLOOKUP($E187,$K$2:$K$10,N$2:N$10,"",0)/(COUNTIFS($E:$E,$E187,$D:$D,RegularFormula!$D$2)+COUNTIFS($E:$E,$E187,$D:$D,IF($D187=RegularFormula!$D$2,$K$15,$D187))),IFERROR(IF(percentage,percentage,""),""))
</f>
        <v/>
      </c>
      <c r="I187" s="72" t="str">
        <f t="shared" si="1"/>
        <v/>
      </c>
      <c r="J187" s="73">
        <v>0.0</v>
      </c>
      <c r="K187" s="194"/>
      <c r="L187" s="55"/>
      <c r="M187" s="55"/>
      <c r="N187" s="55"/>
      <c r="O187" s="197"/>
      <c r="P187" s="103"/>
      <c r="Q187" s="103"/>
      <c r="R187" s="103"/>
      <c r="S187" s="79" t="str">
        <f t="shared" si="2"/>
        <v/>
      </c>
      <c r="T187" s="80" t="str">
        <f>IFERROR(__xludf.DUMMYFUNCTION("IF(
  Q187="""",
  """",
  IF(
   REGEXMATCH(SUBSTITUTE(Q187, "" ex"", """"), TEXTJOIN(""|"", TRUE, INDEX('language&amp;DataTest'!$A$33:$AB$182, , MATCH(HOME!$A$25, 'language&amp;DataTest'!$A$1:$G$1, 0)))),
   IF($M$26,
     IF(COUNTIFS(ARRAYFORMULA(SUBSTITUTE($C"&amp;"$2:$C287, "" ex"", """")), SUBSTITUTE(Q187, "" ex"", """"), $J$2:$J287, ""&gt;0"")=0, ""Yes"", ""No""),
     IF(COUNTIFS(ARRAYFORMULA(SUBSTITUTE($C$2:$C287, "" ex"", """")), SUBSTITUTE(Q187, "" ex"", """"), $A$2:$A287, TRUE)=0, ""Yes"", ""No"")
   ),
   ""No"&amp;"""
 )
)"),"")</f>
        <v/>
      </c>
    </row>
    <row r="188">
      <c r="A188" s="68" t="b">
        <v>1</v>
      </c>
      <c r="B188" s="69" t="s">
        <v>305</v>
      </c>
      <c r="C188" s="69" t="str">
        <f t="array" ref="C188">TEXTJOIN("", TRUE, IFERROR(INDEX('language&amp;DataTest'!A:J, MATCH(INDEX( PointerTest!C:C, MATCH(B188, PointerTest!A:A, 0), 0), 'language&amp;DataTest'!A:A, 0), MATCH(HOME!$A$25, 'language&amp;DataTest'!$A$1:$H$1, 0))),                      IFERROR(INDEX('language&amp;DataTest'!A:J, MATCH(INDEX( PointerTest!D:D, MATCH(B188, PointerTest!A:A, 0), 0), 'language&amp;DataTest'!A:A, 0), MATCH(HOME!$A$25, 'language&amp;DataTest'!$A$1:$H$1, 0))),                                          
IFERROR(INDEX('language&amp;DataTest'!A:J, MATCH(INDEX( PointerTest!E:E, MATCH(B188, PointerTest!A:A, 0), 0), 'language&amp;DataTest'!A:A, 0), MATCH(HOME!$A$25, 'language&amp;DataTest'!$A$1:$H$1, 0))))</f>
        <v>Pidgeotto</v>
      </c>
      <c r="D188" s="69" t="str">
        <f t="array" ref="D188">INDEX('language&amp;DataTest'!A:J, MATCH(INDEX( PointerTest!D:D, MATCH(INDEX(PointerTest!B:B, MATCH(B188, PointerTest!A:A, 0)), PointerTest!A:A, 0), 0), 'language&amp;DataTest'!A:A, 0), MATCH(HOME!$A$25, 'language&amp;DataTest'!$A$1:$H$1, 0))</f>
        <v>Mewtwo</v>
      </c>
      <c r="E188" s="69" t="str">
        <f t="array" ref="E188">INDEX( PointerTest!F:F, MATCH(B188, PointerTest!A:A, 0), 0)</f>
        <v>♢</v>
      </c>
      <c r="F188" s="70">
        <f t="array" ref="F188">LET(percentage,XLOOKUP($E188,$K$2:$K$10,L$2:L$10,"",0)/(COUNTIFS($E:$E,$E188,$D:$D,RegularFormula!$D$2)+COUNTIFS($E:$E,$E188,$D:$D,IF($D188=RegularFormula!$D$2,$K$15,$D188))),IFERROR(IF(percentage,percentage,""),""))
</f>
        <v>0.02</v>
      </c>
      <c r="G188" s="71" t="str">
        <f t="array" ref="G188">LET(percentage,XLOOKUP($E188,$K$2:$K$10,M$2:M$10,"",0)/(COUNTIFS($E:$E,$E188,$D:$D,RegularFormula!$D$2)+COUNTIFS($E:$E,$E188,$D:$D,IF($D188=RegularFormula!$D$2,$K$15,$D188))),IFERROR(IF(percentage,percentage,""),""))
</f>
        <v/>
      </c>
      <c r="H188" s="71" t="str">
        <f t="array" ref="H188">LET(percentage,XLOOKUP($E188,$K$2:$K$10,N$2:N$10,"",0)/(COUNTIFS($E:$E,$E188,$D:$D,RegularFormula!$D$2)+COUNTIFS($E:$E,$E188,$D:$D,IF($D188=RegularFormula!$D$2,$K$15,$D188))),IFERROR(IF(percentage,percentage,""),""))
</f>
        <v/>
      </c>
      <c r="I188" s="72" t="str">
        <f t="shared" si="1"/>
        <v/>
      </c>
      <c r="J188" s="73">
        <v>0.0</v>
      </c>
      <c r="K188" s="194"/>
      <c r="L188" s="55"/>
      <c r="M188" s="55"/>
      <c r="N188" s="55"/>
      <c r="O188" s="197"/>
      <c r="P188" s="103"/>
      <c r="Q188" s="103"/>
      <c r="R188" s="103"/>
      <c r="S188" s="79" t="str">
        <f t="shared" si="2"/>
        <v/>
      </c>
      <c r="T188" s="80" t="str">
        <f>IFERROR(__xludf.DUMMYFUNCTION("IF(
  Q188="""",
  """",
  IF(
   REGEXMATCH(SUBSTITUTE(Q188, "" ex"", """"), TEXTJOIN(""|"", TRUE, INDEX('language&amp;DataTest'!$A$33:$AB$182, , MATCH(HOME!$A$25, 'language&amp;DataTest'!$A$1:$G$1, 0)))),
   IF($M$26,
     IF(COUNTIFS(ARRAYFORMULA(SUBSTITUTE($C"&amp;"$2:$C287, "" ex"", """")), SUBSTITUTE(Q188, "" ex"", """"), $J$2:$J287, ""&gt;0"")=0, ""Yes"", ""No""),
     IF(COUNTIFS(ARRAYFORMULA(SUBSTITUTE($C$2:$C287, "" ex"", """")), SUBSTITUTE(Q188, "" ex"", """"), $A$2:$A287, TRUE)=0, ""Yes"", ""No"")
   ),
   ""No"&amp;"""
 )
)"),"")</f>
        <v/>
      </c>
    </row>
    <row r="189">
      <c r="A189" s="68" t="b">
        <v>1</v>
      </c>
      <c r="B189" s="69" t="s">
        <v>306</v>
      </c>
      <c r="C189" s="69" t="str">
        <f t="array" ref="C189">TEXTJOIN("", TRUE, IFERROR(INDEX('language&amp;DataTest'!A:J, MATCH(INDEX( PointerTest!C:C, MATCH(B189, PointerTest!A:A, 0), 0), 'language&amp;DataTest'!A:A, 0), MATCH(HOME!$A$25, 'language&amp;DataTest'!$A$1:$H$1, 0))),                      IFERROR(INDEX('language&amp;DataTest'!A:J, MATCH(INDEX( PointerTest!D:D, MATCH(B189, PointerTest!A:A, 0), 0), 'language&amp;DataTest'!A:A, 0), MATCH(HOME!$A$25, 'language&amp;DataTest'!$A$1:$H$1, 0))),                                          
IFERROR(INDEX('language&amp;DataTest'!A:J, MATCH(INDEX( PointerTest!E:E, MATCH(B189, PointerTest!A:A, 0), 0), 'language&amp;DataTest'!A:A, 0), MATCH(HOME!$A$25, 'language&amp;DataTest'!$A$1:$H$1, 0))))</f>
        <v>Pidgeot</v>
      </c>
      <c r="D189" s="69" t="str">
        <f t="array" ref="D189">INDEX('language&amp;DataTest'!A:J, MATCH(INDEX( PointerTest!D:D, MATCH(INDEX(PointerTest!B:B, MATCH(B189, PointerTest!A:A, 0)), PointerTest!A:A, 0), 0), 'language&amp;DataTest'!A:A, 0), MATCH(HOME!$A$25, 'language&amp;DataTest'!$A$1:$H$1, 0))</f>
        <v>Mewtwo</v>
      </c>
      <c r="E189" s="69" t="str">
        <f t="array" ref="E189">INDEX( PointerTest!F:F, MATCH(B189, PointerTest!A:A, 0), 0)</f>
        <v>♢♢♢</v>
      </c>
      <c r="F189" s="70" t="str">
        <f t="array" ref="F189">LET(percentage,XLOOKUP($E189,$K$2:$K$10,L$2:L$10,"",0)/(COUNTIFS($E:$E,$E189,$D:$D,RegularFormula!$D$2)+COUNTIFS($E:$E,$E189,$D:$D,IF($D189=RegularFormula!$D$2,$K$15,$D189))),IFERROR(IF(percentage,percentage,""),""))
</f>
        <v/>
      </c>
      <c r="G189" s="71">
        <f t="array" ref="G189">LET(percentage,XLOOKUP($E189,$K$2:$K$10,M$2:M$10,"",0)/(COUNTIFS($E:$E,$E189,$D:$D,RegularFormula!$D$2)+COUNTIFS($E:$E,$E189,$D:$D,IF($D189=RegularFormula!$D$2,$K$15,$D189))),IFERROR(IF(percentage,percentage,""),""))
</f>
        <v>0.003571428571</v>
      </c>
      <c r="H189" s="71">
        <f t="array" ref="H189">LET(percentage,XLOOKUP($E189,$K$2:$K$10,N$2:N$10,"",0)/(COUNTIFS($E:$E,$E189,$D:$D,RegularFormula!$D$2)+COUNTIFS($E:$E,$E189,$D:$D,IF($D189=RegularFormula!$D$2,$K$15,$D189))),IFERROR(IF(percentage,percentage,""),""))
</f>
        <v>0.01428571429</v>
      </c>
      <c r="I189" s="72" t="str">
        <f t="shared" si="1"/>
        <v/>
      </c>
      <c r="J189" s="73">
        <v>0.0</v>
      </c>
      <c r="K189" s="194"/>
      <c r="L189" s="55"/>
      <c r="M189" s="55"/>
      <c r="N189" s="55"/>
      <c r="O189" s="197"/>
      <c r="P189" s="103"/>
      <c r="Q189" s="103"/>
      <c r="R189" s="103"/>
      <c r="S189" s="79" t="str">
        <f t="shared" si="2"/>
        <v/>
      </c>
      <c r="T189" s="80" t="str">
        <f>IFERROR(__xludf.DUMMYFUNCTION("IF(
  Q189="""",
  """",
  IF(
   REGEXMATCH(SUBSTITUTE(Q189, "" ex"", """"), TEXTJOIN(""|"", TRUE, INDEX('language&amp;DataTest'!$A$33:$AB$182, , MATCH(HOME!$A$25, 'language&amp;DataTest'!$A$1:$G$1, 0)))),
   IF($M$26,
     IF(COUNTIFS(ARRAYFORMULA(SUBSTITUTE($C"&amp;"$2:$C287, "" ex"", """")), SUBSTITUTE(Q189, "" ex"", """"), $J$2:$J287, ""&gt;0"")=0, ""Yes"", ""No""),
     IF(COUNTIFS(ARRAYFORMULA(SUBSTITUTE($C$2:$C287, "" ex"", """")), SUBSTITUTE(Q189, "" ex"", """"), $A$2:$A287, TRUE)=0, ""Yes"", ""No"")
   ),
   ""No"&amp;"""
 )
)"),"")</f>
        <v/>
      </c>
    </row>
    <row r="190">
      <c r="A190" s="68" t="b">
        <v>1</v>
      </c>
      <c r="B190" s="69" t="s">
        <v>307</v>
      </c>
      <c r="C190" s="69" t="str">
        <f t="array" ref="C190">TEXTJOIN("", TRUE, IFERROR(INDEX('language&amp;DataTest'!A:J, MATCH(INDEX( PointerTest!C:C, MATCH(B190, PointerTest!A:A, 0), 0), 'language&amp;DataTest'!A:A, 0), MATCH(HOME!$A$25, 'language&amp;DataTest'!$A$1:$H$1, 0))),                      IFERROR(INDEX('language&amp;DataTest'!A:J, MATCH(INDEX( PointerTest!D:D, MATCH(B190, PointerTest!A:A, 0), 0), 'language&amp;DataTest'!A:A, 0), MATCH(HOME!$A$25, 'language&amp;DataTest'!$A$1:$H$1, 0))),                                          
IFERROR(INDEX('language&amp;DataTest'!A:J, MATCH(INDEX( PointerTest!E:E, MATCH(B190, PointerTest!A:A, 0), 0), 'language&amp;DataTest'!A:A, 0), MATCH(HOME!$A$25, 'language&amp;DataTest'!$A$1:$H$1, 0))))</f>
        <v>Rattata</v>
      </c>
      <c r="D190" s="69" t="str">
        <f t="array" ref="D190">INDEX('language&amp;DataTest'!A:J, MATCH(INDEX( PointerTest!D:D, MATCH(INDEX(PointerTest!B:B, MATCH(B190, PointerTest!A:A, 0)), PointerTest!A:A, 0), 0), 'language&amp;DataTest'!A:A, 0), MATCH(HOME!$A$25, 'language&amp;DataTest'!$A$1:$H$1, 0))</f>
        <v>All</v>
      </c>
      <c r="E190" s="69" t="str">
        <f t="array" ref="E190">INDEX( PointerTest!F:F, MATCH(B190, PointerTest!A:A, 0), 0)</f>
        <v>♢</v>
      </c>
      <c r="F190" s="70">
        <f t="array" ref="F190">LET(percentage,XLOOKUP($E190,$K$2:$K$10,L$2:L$10,"",0)/(COUNTIFS($E:$E,$E190,$D:$D,RegularFormula!$D$2)+COUNTIFS($E:$E,$E190,$D:$D,IF($D190=RegularFormula!$D$2,$K$15,$D190))),IFERROR(IF(percentage,percentage,""),""))
</f>
        <v>0.02</v>
      </c>
      <c r="G190" s="71" t="str">
        <f t="array" ref="G190">LET(percentage,XLOOKUP($E190,$K$2:$K$10,M$2:M$10,"",0)/(COUNTIFS($E:$E,$E190,$D:$D,RegularFormula!$D$2)+COUNTIFS($E:$E,$E190,$D:$D,IF($D190=RegularFormula!$D$2,$K$15,$D190))),IFERROR(IF(percentage,percentage,""),""))
</f>
        <v/>
      </c>
      <c r="H190" s="71" t="str">
        <f t="array" ref="H190">LET(percentage,XLOOKUP($E190,$K$2:$K$10,N$2:N$10,"",0)/(COUNTIFS($E:$E,$E190,$D:$D,RegularFormula!$D$2)+COUNTIFS($E:$E,$E190,$D:$D,IF($D190=RegularFormula!$D$2,$K$15,$D190))),IFERROR(IF(percentage,percentage,""),""))
</f>
        <v/>
      </c>
      <c r="I190" s="72" t="str">
        <f t="shared" si="1"/>
        <v>*Based on Mewtwo pack</v>
      </c>
      <c r="J190" s="73">
        <v>0.0</v>
      </c>
      <c r="K190" s="194"/>
      <c r="L190" s="55"/>
      <c r="M190" s="55"/>
      <c r="N190" s="55"/>
      <c r="O190" s="197"/>
      <c r="P190" s="103"/>
      <c r="Q190" s="103"/>
      <c r="R190" s="103"/>
      <c r="S190" s="79" t="str">
        <f t="shared" si="2"/>
        <v/>
      </c>
      <c r="T190" s="80" t="str">
        <f>IFERROR(__xludf.DUMMYFUNCTION("IF(
  Q190="""",
  """",
  IF(
   REGEXMATCH(SUBSTITUTE(Q190, "" ex"", """"), TEXTJOIN(""|"", TRUE, INDEX('language&amp;DataTest'!$A$33:$AB$182, , MATCH(HOME!$A$25, 'language&amp;DataTest'!$A$1:$G$1, 0)))),
   IF($M$26,
     IF(COUNTIFS(ARRAYFORMULA(SUBSTITUTE($C"&amp;"$2:$C287, "" ex"", """")), SUBSTITUTE(Q190, "" ex"", """"), $J$2:$J287, ""&gt;0"")=0, ""Yes"", ""No""),
     IF(COUNTIFS(ARRAYFORMULA(SUBSTITUTE($C$2:$C287, "" ex"", """")), SUBSTITUTE(Q190, "" ex"", """"), $A$2:$A287, TRUE)=0, ""Yes"", ""No"")
   ),
   ""No"&amp;"""
 )
)"),"")</f>
        <v/>
      </c>
    </row>
    <row r="191">
      <c r="A191" s="68" t="b">
        <v>1</v>
      </c>
      <c r="B191" s="69" t="s">
        <v>308</v>
      </c>
      <c r="C191" s="69" t="str">
        <f t="array" ref="C191">TEXTJOIN("", TRUE, IFERROR(INDEX('language&amp;DataTest'!A:J, MATCH(INDEX( PointerTest!C:C, MATCH(B191, PointerTest!A:A, 0), 0), 'language&amp;DataTest'!A:A, 0), MATCH(HOME!$A$25, 'language&amp;DataTest'!$A$1:$H$1, 0))),                      IFERROR(INDEX('language&amp;DataTest'!A:J, MATCH(INDEX( PointerTest!D:D, MATCH(B191, PointerTest!A:A, 0), 0), 'language&amp;DataTest'!A:A, 0), MATCH(HOME!$A$25, 'language&amp;DataTest'!$A$1:$H$1, 0))),                                          
IFERROR(INDEX('language&amp;DataTest'!A:J, MATCH(INDEX( PointerTest!E:E, MATCH(B191, PointerTest!A:A, 0), 0), 'language&amp;DataTest'!A:A, 0), MATCH(HOME!$A$25, 'language&amp;DataTest'!$A$1:$H$1, 0))))</f>
        <v>Raticate</v>
      </c>
      <c r="D191" s="69" t="str">
        <f t="array" ref="D191">INDEX('language&amp;DataTest'!A:J, MATCH(INDEX( PointerTest!D:D, MATCH(INDEX(PointerTest!B:B, MATCH(B191, PointerTest!A:A, 0)), PointerTest!A:A, 0), 0), 'language&amp;DataTest'!A:A, 0), MATCH(HOME!$A$25, 'language&amp;DataTest'!$A$1:$H$1, 0))</f>
        <v>All</v>
      </c>
      <c r="E191" s="69" t="str">
        <f t="array" ref="E191">INDEX( PointerTest!F:F, MATCH(B191, PointerTest!A:A, 0), 0)</f>
        <v>♢</v>
      </c>
      <c r="F191" s="70">
        <f t="array" ref="F191">LET(percentage,XLOOKUP($E191,$K$2:$K$10,L$2:L$10,"",0)/(COUNTIFS($E:$E,$E191,$D:$D,RegularFormula!$D$2)+COUNTIFS($E:$E,$E191,$D:$D,IF($D191=RegularFormula!$D$2,$K$15,$D191))),IFERROR(IF(percentage,percentage,""),""))
</f>
        <v>0.02</v>
      </c>
      <c r="G191" s="71" t="str">
        <f t="array" ref="G191">LET(percentage,XLOOKUP($E191,$K$2:$K$10,M$2:M$10,"",0)/(COUNTIFS($E:$E,$E191,$D:$D,RegularFormula!$D$2)+COUNTIFS($E:$E,$E191,$D:$D,IF($D191=RegularFormula!$D$2,$K$15,$D191))),IFERROR(IF(percentage,percentage,""),""))
</f>
        <v/>
      </c>
      <c r="H191" s="71" t="str">
        <f t="array" ref="H191">LET(percentage,XLOOKUP($E191,$K$2:$K$10,N$2:N$10,"",0)/(COUNTIFS($E:$E,$E191,$D:$D,RegularFormula!$D$2)+COUNTIFS($E:$E,$E191,$D:$D,IF($D191=RegularFormula!$D$2,$K$15,$D191))),IFERROR(IF(percentage,percentage,""),""))
</f>
        <v/>
      </c>
      <c r="I191" s="72" t="str">
        <f t="shared" si="1"/>
        <v>*Based on Mewtwo pack</v>
      </c>
      <c r="J191" s="73">
        <v>0.0</v>
      </c>
      <c r="K191" s="194"/>
      <c r="L191" s="55"/>
      <c r="M191" s="55"/>
      <c r="N191" s="55"/>
      <c r="O191" s="197"/>
      <c r="P191" s="103"/>
      <c r="Q191" s="103"/>
      <c r="R191" s="103"/>
      <c r="S191" s="79" t="str">
        <f t="shared" si="2"/>
        <v/>
      </c>
      <c r="T191" s="80" t="str">
        <f>IFERROR(__xludf.DUMMYFUNCTION("IF(
  Q191="""",
  """",
  IF(
   REGEXMATCH(SUBSTITUTE(Q191, "" ex"", """"), TEXTJOIN(""|"", TRUE, INDEX('language&amp;DataTest'!$A$33:$AB$182, , MATCH(HOME!$A$25, 'language&amp;DataTest'!$A$1:$G$1, 0)))),
   IF($M$26,
     IF(COUNTIFS(ARRAYFORMULA(SUBSTITUTE($C"&amp;"$2:$C287, "" ex"", """")), SUBSTITUTE(Q191, "" ex"", """"), $J$2:$J287, ""&gt;0"")=0, ""Yes"", ""No""),
     IF(COUNTIFS(ARRAYFORMULA(SUBSTITUTE($C$2:$C287, "" ex"", """")), SUBSTITUTE(Q191, "" ex"", """"), $A$2:$A287, TRUE)=0, ""Yes"", ""No"")
   ),
   ""No"&amp;"""
 )
)"),"")</f>
        <v/>
      </c>
    </row>
    <row r="192">
      <c r="A192" s="68" t="b">
        <v>1</v>
      </c>
      <c r="B192" s="69" t="s">
        <v>309</v>
      </c>
      <c r="C192" s="69" t="str">
        <f t="array" ref="C192">TEXTJOIN("", TRUE, IFERROR(INDEX('language&amp;DataTest'!A:J, MATCH(INDEX( PointerTest!C:C, MATCH(B192, PointerTest!A:A, 0), 0), 'language&amp;DataTest'!A:A, 0), MATCH(HOME!$A$25, 'language&amp;DataTest'!$A$1:$H$1, 0))),                      IFERROR(INDEX('language&amp;DataTest'!A:J, MATCH(INDEX( PointerTest!D:D, MATCH(B192, PointerTest!A:A, 0), 0), 'language&amp;DataTest'!A:A, 0), MATCH(HOME!$A$25, 'language&amp;DataTest'!$A$1:$H$1, 0))),                                          
IFERROR(INDEX('language&amp;DataTest'!A:J, MATCH(INDEX( PointerTest!E:E, MATCH(B192, PointerTest!A:A, 0), 0), 'language&amp;DataTest'!A:A, 0), MATCH(HOME!$A$25, 'language&amp;DataTest'!$A$1:$H$1, 0))))</f>
        <v>Spearow</v>
      </c>
      <c r="D192" s="69" t="str">
        <f t="array" ref="D192">INDEX('language&amp;DataTest'!A:J, MATCH(INDEX( PointerTest!D:D, MATCH(INDEX(PointerTest!B:B, MATCH(B192, PointerTest!A:A, 0)), PointerTest!A:A, 0), 0), 'language&amp;DataTest'!A:A, 0), MATCH(HOME!$A$25, 'language&amp;DataTest'!$A$1:$H$1, 0))</f>
        <v>Charizard</v>
      </c>
      <c r="E192" s="69" t="str">
        <f t="array" ref="E192">INDEX( PointerTest!F:F, MATCH(B192, PointerTest!A:A, 0), 0)</f>
        <v>♢</v>
      </c>
      <c r="F192" s="70">
        <f t="array" ref="F192">LET(percentage,XLOOKUP($E192,$K$2:$K$10,L$2:L$10,"",0)/(COUNTIFS($E:$E,$E192,$D:$D,RegularFormula!$D$2)+COUNTIFS($E:$E,$E192,$D:$D,IF($D192=RegularFormula!$D$2,$K$15,$D192))),IFERROR(IF(percentage,percentage,""),""))
</f>
        <v>0.02</v>
      </c>
      <c r="G192" s="71" t="str">
        <f t="array" ref="G192">LET(percentage,XLOOKUP($E192,$K$2:$K$10,M$2:M$10,"",0)/(COUNTIFS($E:$E,$E192,$D:$D,RegularFormula!$D$2)+COUNTIFS($E:$E,$E192,$D:$D,IF($D192=RegularFormula!$D$2,$K$15,$D192))),IFERROR(IF(percentage,percentage,""),""))
</f>
        <v/>
      </c>
      <c r="H192" s="71" t="str">
        <f t="array" ref="H192">LET(percentage,XLOOKUP($E192,$K$2:$K$10,N$2:N$10,"",0)/(COUNTIFS($E:$E,$E192,$D:$D,RegularFormula!$D$2)+COUNTIFS($E:$E,$E192,$D:$D,IF($D192=RegularFormula!$D$2,$K$15,$D192))),IFERROR(IF(percentage,percentage,""),""))
</f>
        <v/>
      </c>
      <c r="I192" s="72" t="str">
        <f t="shared" si="1"/>
        <v/>
      </c>
      <c r="J192" s="73">
        <v>0.0</v>
      </c>
      <c r="K192" s="194"/>
      <c r="L192" s="55"/>
      <c r="M192" s="55"/>
      <c r="N192" s="55"/>
      <c r="O192" s="197"/>
      <c r="P192" s="103"/>
      <c r="Q192" s="103"/>
      <c r="R192" s="103"/>
      <c r="S192" s="79" t="str">
        <f t="shared" si="2"/>
        <v/>
      </c>
      <c r="T192" s="80" t="str">
        <f>IFERROR(__xludf.DUMMYFUNCTION("IF(
  Q192="""",
  """",
  IF(
   REGEXMATCH(SUBSTITUTE(Q192, "" ex"", """"), TEXTJOIN(""|"", TRUE, INDEX('language&amp;DataTest'!$A$33:$AB$182, , MATCH(HOME!$A$25, 'language&amp;DataTest'!$A$1:$G$1, 0)))),
   IF($M$26,
     IF(COUNTIFS(ARRAYFORMULA(SUBSTITUTE($C"&amp;"$2:$C287, "" ex"", """")), SUBSTITUTE(Q192, "" ex"", """"), $J$2:$J287, ""&gt;0"")=0, ""Yes"", ""No""),
     IF(COUNTIFS(ARRAYFORMULA(SUBSTITUTE($C$2:$C287, "" ex"", """")), SUBSTITUTE(Q192, "" ex"", """"), $A$2:$A287, TRUE)=0, ""Yes"", ""No"")
   ),
   ""No"&amp;"""
 )
)"),"")</f>
        <v/>
      </c>
    </row>
    <row r="193">
      <c r="A193" s="68" t="b">
        <v>1</v>
      </c>
      <c r="B193" s="69" t="s">
        <v>310</v>
      </c>
      <c r="C193" s="69" t="str">
        <f t="array" ref="C193">TEXTJOIN("", TRUE, IFERROR(INDEX('language&amp;DataTest'!A:J, MATCH(INDEX( PointerTest!C:C, MATCH(B193, PointerTest!A:A, 0), 0), 'language&amp;DataTest'!A:A, 0), MATCH(HOME!$A$25, 'language&amp;DataTest'!$A$1:$H$1, 0))),                      IFERROR(INDEX('language&amp;DataTest'!A:J, MATCH(INDEX( PointerTest!D:D, MATCH(B193, PointerTest!A:A, 0), 0), 'language&amp;DataTest'!A:A, 0), MATCH(HOME!$A$25, 'language&amp;DataTest'!$A$1:$H$1, 0))),                                          
IFERROR(INDEX('language&amp;DataTest'!A:J, MATCH(INDEX( PointerTest!E:E, MATCH(B193, PointerTest!A:A, 0), 0), 'language&amp;DataTest'!A:A, 0), MATCH(HOME!$A$25, 'language&amp;DataTest'!$A$1:$H$1, 0))))</f>
        <v>Fearow</v>
      </c>
      <c r="D193" s="69" t="str">
        <f t="array" ref="D193">INDEX('language&amp;DataTest'!A:J, MATCH(INDEX( PointerTest!D:D, MATCH(INDEX(PointerTest!B:B, MATCH(B193, PointerTest!A:A, 0)), PointerTest!A:A, 0), 0), 'language&amp;DataTest'!A:A, 0), MATCH(HOME!$A$25, 'language&amp;DataTest'!$A$1:$H$1, 0))</f>
        <v>Charizard</v>
      </c>
      <c r="E193" s="69" t="str">
        <f t="array" ref="E193">INDEX( PointerTest!F:F, MATCH(B193, PointerTest!A:A, 0), 0)</f>
        <v>♢</v>
      </c>
      <c r="F193" s="70">
        <f t="array" ref="F193">LET(percentage,XLOOKUP($E193,$K$2:$K$10,L$2:L$10,"",0)/(COUNTIFS($E:$E,$E193,$D:$D,RegularFormula!$D$2)+COUNTIFS($E:$E,$E193,$D:$D,IF($D193=RegularFormula!$D$2,$K$15,$D193))),IFERROR(IF(percentage,percentage,""),""))
</f>
        <v>0.02</v>
      </c>
      <c r="G193" s="71" t="str">
        <f t="array" ref="G193">LET(percentage,XLOOKUP($E193,$K$2:$K$10,M$2:M$10,"",0)/(COUNTIFS($E:$E,$E193,$D:$D,RegularFormula!$D$2)+COUNTIFS($E:$E,$E193,$D:$D,IF($D193=RegularFormula!$D$2,$K$15,$D193))),IFERROR(IF(percentage,percentage,""),""))
</f>
        <v/>
      </c>
      <c r="H193" s="71" t="str">
        <f t="array" ref="H193">LET(percentage,XLOOKUP($E193,$K$2:$K$10,N$2:N$10,"",0)/(COUNTIFS($E:$E,$E193,$D:$D,RegularFormula!$D$2)+COUNTIFS($E:$E,$E193,$D:$D,IF($D193=RegularFormula!$D$2,$K$15,$D193))),IFERROR(IF(percentage,percentage,""),""))
</f>
        <v/>
      </c>
      <c r="I193" s="72" t="str">
        <f t="shared" si="1"/>
        <v/>
      </c>
      <c r="J193" s="73">
        <v>0.0</v>
      </c>
      <c r="K193" s="194"/>
      <c r="L193" s="55"/>
      <c r="M193" s="55"/>
      <c r="N193" s="55"/>
      <c r="O193" s="197"/>
      <c r="P193" s="103"/>
      <c r="Q193" s="103"/>
      <c r="R193" s="103"/>
      <c r="S193" s="79" t="str">
        <f t="shared" si="2"/>
        <v/>
      </c>
      <c r="T193" s="80" t="str">
        <f>IFERROR(__xludf.DUMMYFUNCTION("IF(
  Q193="""",
  """",
  IF(
   REGEXMATCH(SUBSTITUTE(Q193, "" ex"", """"), TEXTJOIN(""|"", TRUE, INDEX('language&amp;DataTest'!$A$33:$AB$182, , MATCH(HOME!$A$25, 'language&amp;DataTest'!$A$1:$G$1, 0)))),
   IF($M$26,
     IF(COUNTIFS(ARRAYFORMULA(SUBSTITUTE($C"&amp;"$2:$C287, "" ex"", """")), SUBSTITUTE(Q193, "" ex"", """"), $J$2:$J287, ""&gt;0"")=0, ""Yes"", ""No""),
     IF(COUNTIFS(ARRAYFORMULA(SUBSTITUTE($C$2:$C287, "" ex"", """")), SUBSTITUTE(Q193, "" ex"", """"), $A$2:$A287, TRUE)=0, ""Yes"", ""No"")
   ),
   ""No"&amp;"""
 )
)"),"")</f>
        <v/>
      </c>
    </row>
    <row r="194">
      <c r="A194" s="68" t="b">
        <v>1</v>
      </c>
      <c r="B194" s="69" t="s">
        <v>311</v>
      </c>
      <c r="C194" s="69" t="str">
        <f t="array" ref="C194">TEXTJOIN("", TRUE, IFERROR(INDEX('language&amp;DataTest'!A:J, MATCH(INDEX( PointerTest!C:C, MATCH(B194, PointerTest!A:A, 0), 0), 'language&amp;DataTest'!A:A, 0), MATCH(HOME!$A$25, 'language&amp;DataTest'!$A$1:$H$1, 0))),                      IFERROR(INDEX('language&amp;DataTest'!A:J, MATCH(INDEX( PointerTest!D:D, MATCH(B194, PointerTest!A:A, 0), 0), 'language&amp;DataTest'!A:A, 0), MATCH(HOME!$A$25, 'language&amp;DataTest'!$A$1:$H$1, 0))),                                          
IFERROR(INDEX('language&amp;DataTest'!A:J, MATCH(INDEX( PointerTest!E:E, MATCH(B194, PointerTest!A:A, 0), 0), 'language&amp;DataTest'!A:A, 0), MATCH(HOME!$A$25, 'language&amp;DataTest'!$A$1:$H$1, 0))))</f>
        <v>Jigglypuff</v>
      </c>
      <c r="D194" s="69" t="str">
        <f t="array" ref="D194">INDEX('language&amp;DataTest'!A:J, MATCH(INDEX( PointerTest!D:D, MATCH(INDEX(PointerTest!B:B, MATCH(B194, PointerTest!A:A, 0)), PointerTest!A:A, 0), 0), 'language&amp;DataTest'!A:A, 0), MATCH(HOME!$A$25, 'language&amp;DataTest'!$A$1:$H$1, 0))</f>
        <v>Pikachu</v>
      </c>
      <c r="E194" s="69" t="str">
        <f t="array" ref="E194">INDEX( PointerTest!F:F, MATCH(B194, PointerTest!A:A, 0), 0)</f>
        <v>♢</v>
      </c>
      <c r="F194" s="70">
        <f t="array" ref="F194">LET(percentage,XLOOKUP($E194,$K$2:$K$10,L$2:L$10,"",0)/(COUNTIFS($E:$E,$E194,$D:$D,RegularFormula!$D$2)+COUNTIFS($E:$E,$E194,$D:$D,IF($D194=RegularFormula!$D$2,$K$15,$D194))),IFERROR(IF(percentage,percentage,""),""))
</f>
        <v>0.02</v>
      </c>
      <c r="G194" s="71" t="str">
        <f t="array" ref="G194">LET(percentage,XLOOKUP($E194,$K$2:$K$10,M$2:M$10,"",0)/(COUNTIFS($E:$E,$E194,$D:$D,RegularFormula!$D$2)+COUNTIFS($E:$E,$E194,$D:$D,IF($D194=RegularFormula!$D$2,$K$15,$D194))),IFERROR(IF(percentage,percentage,""),""))
</f>
        <v/>
      </c>
      <c r="H194" s="71" t="str">
        <f t="array" ref="H194">LET(percentage,XLOOKUP($E194,$K$2:$K$10,N$2:N$10,"",0)/(COUNTIFS($E:$E,$E194,$D:$D,RegularFormula!$D$2)+COUNTIFS($E:$E,$E194,$D:$D,IF($D194=RegularFormula!$D$2,$K$15,$D194))),IFERROR(IF(percentage,percentage,""),""))
</f>
        <v/>
      </c>
      <c r="I194" s="72" t="str">
        <f t="shared" si="1"/>
        <v/>
      </c>
      <c r="J194" s="73">
        <v>0.0</v>
      </c>
      <c r="K194" s="194"/>
      <c r="L194" s="55"/>
      <c r="M194" s="55"/>
      <c r="N194" s="55"/>
      <c r="O194" s="197"/>
      <c r="P194" s="103"/>
      <c r="Q194" s="103"/>
      <c r="R194" s="103"/>
      <c r="S194" s="79" t="str">
        <f t="shared" si="2"/>
        <v/>
      </c>
      <c r="T194" s="80" t="str">
        <f>IFERROR(__xludf.DUMMYFUNCTION("IF(
  Q194="""",
  """",
  IF(
   REGEXMATCH(SUBSTITUTE(Q194, "" ex"", """"), TEXTJOIN(""|"", TRUE, INDEX('language&amp;DataTest'!$A$33:$AB$182, , MATCH(HOME!$A$25, 'language&amp;DataTest'!$A$1:$G$1, 0)))),
   IF($M$26,
     IF(COUNTIFS(ARRAYFORMULA(SUBSTITUTE($C"&amp;"$2:$C287, "" ex"", """")), SUBSTITUTE(Q194, "" ex"", """"), $J$2:$J287, ""&gt;0"")=0, ""Yes"", ""No""),
     IF(COUNTIFS(ARRAYFORMULA(SUBSTITUTE($C$2:$C287, "" ex"", """")), SUBSTITUTE(Q194, "" ex"", """"), $A$2:$A287, TRUE)=0, ""Yes"", ""No"")
   ),
   ""No"&amp;"""
 )
)"),"")</f>
        <v/>
      </c>
    </row>
    <row r="195">
      <c r="A195" s="68" t="b">
        <v>1</v>
      </c>
      <c r="B195" s="69" t="s">
        <v>312</v>
      </c>
      <c r="C195" s="69" t="str">
        <f t="array" ref="C195">TEXTJOIN("", TRUE, IFERROR(INDEX('language&amp;DataTest'!A:J, MATCH(INDEX( PointerTest!C:C, MATCH(B195, PointerTest!A:A, 0), 0), 'language&amp;DataTest'!A:A, 0), MATCH(HOME!$A$25, 'language&amp;DataTest'!$A$1:$H$1, 0))),                      IFERROR(INDEX('language&amp;DataTest'!A:J, MATCH(INDEX( PointerTest!D:D, MATCH(B195, PointerTest!A:A, 0), 0), 'language&amp;DataTest'!A:A, 0), MATCH(HOME!$A$25, 'language&amp;DataTest'!$A$1:$H$1, 0))),                                          
IFERROR(INDEX('language&amp;DataTest'!A:J, MATCH(INDEX( PointerTest!E:E, MATCH(B195, PointerTest!A:A, 0), 0), 'language&amp;DataTest'!A:A, 0), MATCH(HOME!$A$25, 'language&amp;DataTest'!$A$1:$H$1, 0))))</f>
        <v>Wigglytuff</v>
      </c>
      <c r="D195" s="69" t="str">
        <f t="array" ref="D195">INDEX('language&amp;DataTest'!A:J, MATCH(INDEX( PointerTest!D:D, MATCH(INDEX(PointerTest!B:B, MATCH(B195, PointerTest!A:A, 0)), PointerTest!A:A, 0), 0), 'language&amp;DataTest'!A:A, 0), MATCH(HOME!$A$25, 'language&amp;DataTest'!$A$1:$H$1, 0))</f>
        <v>Pikachu</v>
      </c>
      <c r="E195" s="69" t="str">
        <f t="array" ref="E195">INDEX( PointerTest!F:F, MATCH(B195, PointerTest!A:A, 0), 0)</f>
        <v>♢</v>
      </c>
      <c r="F195" s="70">
        <f t="array" ref="F195">LET(percentage,XLOOKUP($E195,$K$2:$K$10,L$2:L$10,"",0)/(COUNTIFS($E:$E,$E195,$D:$D,RegularFormula!$D$2)+COUNTIFS($E:$E,$E195,$D:$D,IF($D195=RegularFormula!$D$2,$K$15,$D195))),IFERROR(IF(percentage,percentage,""),""))
</f>
        <v>0.02</v>
      </c>
      <c r="G195" s="71" t="str">
        <f t="array" ref="G195">LET(percentage,XLOOKUP($E195,$K$2:$K$10,M$2:M$10,"",0)/(COUNTIFS($E:$E,$E195,$D:$D,RegularFormula!$D$2)+COUNTIFS($E:$E,$E195,$D:$D,IF($D195=RegularFormula!$D$2,$K$15,$D195))),IFERROR(IF(percentage,percentage,""),""))
</f>
        <v/>
      </c>
      <c r="H195" s="71" t="str">
        <f t="array" ref="H195">LET(percentage,XLOOKUP($E195,$K$2:$K$10,N$2:N$10,"",0)/(COUNTIFS($E:$E,$E195,$D:$D,RegularFormula!$D$2)+COUNTIFS($E:$E,$E195,$D:$D,IF($D195=RegularFormula!$D$2,$K$15,$D195))),IFERROR(IF(percentage,percentage,""),""))
</f>
        <v/>
      </c>
      <c r="I195" s="72" t="str">
        <f t="shared" si="1"/>
        <v/>
      </c>
      <c r="J195" s="73">
        <v>0.0</v>
      </c>
      <c r="K195" s="194"/>
      <c r="L195" s="55"/>
      <c r="M195" s="55"/>
      <c r="N195" s="55"/>
      <c r="O195" s="197"/>
      <c r="P195" s="103"/>
      <c r="Q195" s="103"/>
      <c r="R195" s="103"/>
      <c r="S195" s="79" t="str">
        <f t="shared" si="2"/>
        <v/>
      </c>
      <c r="T195" s="80" t="str">
        <f>IFERROR(__xludf.DUMMYFUNCTION("IF(
  Q195="""",
  """",
  IF(
   REGEXMATCH(SUBSTITUTE(Q195, "" ex"", """"), TEXTJOIN(""|"", TRUE, INDEX('language&amp;DataTest'!$A$33:$AB$182, , MATCH(HOME!$A$25, 'language&amp;DataTest'!$A$1:$G$1, 0)))),
   IF($M$26,
     IF(COUNTIFS(ARRAYFORMULA(SUBSTITUTE($C"&amp;"$2:$C287, "" ex"", """")), SUBSTITUTE(Q195, "" ex"", """"), $J$2:$J287, ""&gt;0"")=0, ""Yes"", ""No""),
     IF(COUNTIFS(ARRAYFORMULA(SUBSTITUTE($C$2:$C287, "" ex"", """")), SUBSTITUTE(Q195, "" ex"", """"), $A$2:$A287, TRUE)=0, ""Yes"", ""No"")
   ),
   ""No"&amp;"""
 )
)"),"")</f>
        <v/>
      </c>
    </row>
    <row r="196">
      <c r="A196" s="68" t="b">
        <v>1</v>
      </c>
      <c r="B196" s="69" t="s">
        <v>313</v>
      </c>
      <c r="C196" s="69" t="str">
        <f t="array" ref="C196">TEXTJOIN("", TRUE, IFERROR(INDEX('language&amp;DataTest'!A:J, MATCH(INDEX( PointerTest!C:C, MATCH(B196, PointerTest!A:A, 0), 0), 'language&amp;DataTest'!A:A, 0), MATCH(HOME!$A$25, 'language&amp;DataTest'!$A$1:$H$1, 0))),                      IFERROR(INDEX('language&amp;DataTest'!A:J, MATCH(INDEX( PointerTest!D:D, MATCH(B196, PointerTest!A:A, 0), 0), 'language&amp;DataTest'!A:A, 0), MATCH(HOME!$A$25, 'language&amp;DataTest'!$A$1:$H$1, 0))),                                          
IFERROR(INDEX('language&amp;DataTest'!A:J, MATCH(INDEX( PointerTest!E:E, MATCH(B196, PointerTest!A:A, 0), 0), 'language&amp;DataTest'!A:A, 0), MATCH(HOME!$A$25, 'language&amp;DataTest'!$A$1:$H$1, 0))))</f>
        <v>Wigglytuff ex</v>
      </c>
      <c r="D196" s="69" t="str">
        <f t="array" ref="D196">INDEX('language&amp;DataTest'!A:J, MATCH(INDEX( PointerTest!D:D, MATCH(INDEX(PointerTest!B:B, MATCH(B196, PointerTest!A:A, 0)), PointerTest!A:A, 0), 0), 'language&amp;DataTest'!A:A, 0), MATCH(HOME!$A$25, 'language&amp;DataTest'!$A$1:$H$1, 0))</f>
        <v>Pikachu</v>
      </c>
      <c r="E196" s="69" t="str">
        <f t="array" ref="E196">INDEX( PointerTest!F:F, MATCH(B196, PointerTest!A:A, 0), 0)</f>
        <v>♢♢♢♢</v>
      </c>
      <c r="F196" s="70" t="str">
        <f t="array" ref="F196">LET(percentage,XLOOKUP($E196,$K$2:$K$10,L$2:L$10,"",0)/(COUNTIFS($E:$E,$E196,$D:$D,RegularFormula!$D$2)+COUNTIFS($E:$E,$E196,$D:$D,IF($D196=RegularFormula!$D$2,$K$15,$D196))),IFERROR(IF(percentage,percentage,""),""))
</f>
        <v/>
      </c>
      <c r="G196" s="71">
        <f t="array" ref="G196">LET(percentage,XLOOKUP($E196,$K$2:$K$10,M$2:M$10,"",0)/(COUNTIFS($E:$E,$E196,$D:$D,RegularFormula!$D$2)+COUNTIFS($E:$E,$E196,$D:$D,IF($D196=RegularFormula!$D$2,$K$15,$D196))),IFERROR(IF(percentage,percentage,""),""))
</f>
        <v>0.003332</v>
      </c>
      <c r="H196" s="71">
        <f t="array" ref="H196">LET(percentage,XLOOKUP($E196,$K$2:$K$10,N$2:N$10,"",0)/(COUNTIFS($E:$E,$E196,$D:$D,RegularFormula!$D$2)+COUNTIFS($E:$E,$E196,$D:$D,IF($D196=RegularFormula!$D$2,$K$15,$D196))),IFERROR(IF(percentage,percentage,""),""))
</f>
        <v>0.013328</v>
      </c>
      <c r="I196" s="72" t="str">
        <f t="shared" si="1"/>
        <v/>
      </c>
      <c r="J196" s="73">
        <v>0.0</v>
      </c>
      <c r="K196" s="194"/>
      <c r="L196" s="55"/>
      <c r="M196" s="55"/>
      <c r="N196" s="55"/>
      <c r="O196" s="197"/>
      <c r="P196" s="103"/>
      <c r="Q196" s="103"/>
      <c r="R196" s="103"/>
      <c r="S196" s="79" t="str">
        <f t="shared" si="2"/>
        <v/>
      </c>
      <c r="T196" s="80" t="str">
        <f>IFERROR(__xludf.DUMMYFUNCTION("IF(
  Q196="""",
  """",
  IF(
   REGEXMATCH(SUBSTITUTE(Q196, "" ex"", """"), TEXTJOIN(""|"", TRUE, INDEX('language&amp;DataTest'!$A$33:$AB$182, , MATCH(HOME!$A$25, 'language&amp;DataTest'!$A$1:$G$1, 0)))),
   IF($M$26,
     IF(COUNTIFS(ARRAYFORMULA(SUBSTITUTE($C"&amp;"$2:$C287, "" ex"", """")), SUBSTITUTE(Q196, "" ex"", """"), $J$2:$J287, ""&gt;0"")=0, ""Yes"", ""No""),
     IF(COUNTIFS(ARRAYFORMULA(SUBSTITUTE($C$2:$C287, "" ex"", """")), SUBSTITUTE(Q196, "" ex"", """"), $A$2:$A287, TRUE)=0, ""Yes"", ""No"")
   ),
   ""No"&amp;"""
 )
)"),"")</f>
        <v/>
      </c>
    </row>
    <row r="197">
      <c r="A197" s="68" t="b">
        <v>1</v>
      </c>
      <c r="B197" s="69" t="s">
        <v>314</v>
      </c>
      <c r="C197" s="69" t="str">
        <f t="array" ref="C197">TEXTJOIN("", TRUE, IFERROR(INDEX('language&amp;DataTest'!A:J, MATCH(INDEX( PointerTest!C:C, MATCH(B197, PointerTest!A:A, 0), 0), 'language&amp;DataTest'!A:A, 0), MATCH(HOME!$A$25, 'language&amp;DataTest'!$A$1:$H$1, 0))),                      IFERROR(INDEX('language&amp;DataTest'!A:J, MATCH(INDEX( PointerTest!D:D, MATCH(B197, PointerTest!A:A, 0), 0), 'language&amp;DataTest'!A:A, 0), MATCH(HOME!$A$25, 'language&amp;DataTest'!$A$1:$H$1, 0))),                                          
IFERROR(INDEX('language&amp;DataTest'!A:J, MATCH(INDEX( PointerTest!E:E, MATCH(B197, PointerTest!A:A, 0), 0), 'language&amp;DataTest'!A:A, 0), MATCH(HOME!$A$25, 'language&amp;DataTest'!$A$1:$H$1, 0))))</f>
        <v>Meowth</v>
      </c>
      <c r="D197" s="69" t="str">
        <f t="array" ref="D197">INDEX('language&amp;DataTest'!A:J, MATCH(INDEX( PointerTest!D:D, MATCH(INDEX(PointerTest!B:B, MATCH(B197, PointerTest!A:A, 0)), PointerTest!A:A, 0), 0), 'language&amp;DataTest'!A:A, 0), MATCH(HOME!$A$25, 'language&amp;DataTest'!$A$1:$H$1, 0))</f>
        <v>Charizard</v>
      </c>
      <c r="E197" s="69" t="str">
        <f t="array" ref="E197">INDEX( PointerTest!F:F, MATCH(B197, PointerTest!A:A, 0), 0)</f>
        <v>♢</v>
      </c>
      <c r="F197" s="70">
        <f t="array" ref="F197">LET(percentage,XLOOKUP($E197,$K$2:$K$10,L$2:L$10,"",0)/(COUNTIFS($E:$E,$E197,$D:$D,RegularFormula!$D$2)+COUNTIFS($E:$E,$E197,$D:$D,IF($D197=RegularFormula!$D$2,$K$15,$D197))),IFERROR(IF(percentage,percentage,""),""))
</f>
        <v>0.02</v>
      </c>
      <c r="G197" s="71" t="str">
        <f t="array" ref="G197">LET(percentage,XLOOKUP($E197,$K$2:$K$10,M$2:M$10,"",0)/(COUNTIFS($E:$E,$E197,$D:$D,RegularFormula!$D$2)+COUNTIFS($E:$E,$E197,$D:$D,IF($D197=RegularFormula!$D$2,$K$15,$D197))),IFERROR(IF(percentage,percentage,""),""))
</f>
        <v/>
      </c>
      <c r="H197" s="71" t="str">
        <f t="array" ref="H197">LET(percentage,XLOOKUP($E197,$K$2:$K$10,N$2:N$10,"",0)/(COUNTIFS($E:$E,$E197,$D:$D,RegularFormula!$D$2)+COUNTIFS($E:$E,$E197,$D:$D,IF($D197=RegularFormula!$D$2,$K$15,$D197))),IFERROR(IF(percentage,percentage,""),""))
</f>
        <v/>
      </c>
      <c r="I197" s="72" t="str">
        <f t="shared" si="1"/>
        <v/>
      </c>
      <c r="J197" s="73">
        <v>0.0</v>
      </c>
      <c r="K197" s="194"/>
      <c r="L197" s="55"/>
      <c r="M197" s="55"/>
      <c r="N197" s="55"/>
      <c r="O197" s="197"/>
      <c r="P197" s="103"/>
      <c r="Q197" s="103"/>
      <c r="R197" s="103"/>
      <c r="S197" s="79" t="str">
        <f t="shared" si="2"/>
        <v/>
      </c>
      <c r="T197" s="80" t="str">
        <f>IFERROR(__xludf.DUMMYFUNCTION("IF(
  Q197="""",
  """",
  IF(
   REGEXMATCH(SUBSTITUTE(Q197, "" ex"", """"), TEXTJOIN(""|"", TRUE, INDEX('language&amp;DataTest'!$A$33:$AB$182, , MATCH(HOME!$A$25, 'language&amp;DataTest'!$A$1:$G$1, 0)))),
   IF($M$26,
     IF(COUNTIFS(ARRAYFORMULA(SUBSTITUTE($C"&amp;"$2:$C287, "" ex"", """")), SUBSTITUTE(Q197, "" ex"", """"), $J$2:$J287, ""&gt;0"")=0, ""Yes"", ""No""),
     IF(COUNTIFS(ARRAYFORMULA(SUBSTITUTE($C$2:$C287, "" ex"", """")), SUBSTITUTE(Q197, "" ex"", """"), $A$2:$A287, TRUE)=0, ""Yes"", ""No"")
   ),
   ""No"&amp;"""
 )
)"),"")</f>
        <v/>
      </c>
    </row>
    <row r="198">
      <c r="A198" s="68" t="b">
        <v>1</v>
      </c>
      <c r="B198" s="69" t="s">
        <v>315</v>
      </c>
      <c r="C198" s="69" t="str">
        <f t="array" ref="C198">TEXTJOIN("", TRUE, IFERROR(INDEX('language&amp;DataTest'!A:J, MATCH(INDEX( PointerTest!C:C, MATCH(B198, PointerTest!A:A, 0), 0), 'language&amp;DataTest'!A:A, 0), MATCH(HOME!$A$25, 'language&amp;DataTest'!$A$1:$H$1, 0))),                      IFERROR(INDEX('language&amp;DataTest'!A:J, MATCH(INDEX( PointerTest!D:D, MATCH(B198, PointerTest!A:A, 0), 0), 'language&amp;DataTest'!A:A, 0), MATCH(HOME!$A$25, 'language&amp;DataTest'!$A$1:$H$1, 0))),                                          
IFERROR(INDEX('language&amp;DataTest'!A:J, MATCH(INDEX( PointerTest!E:E, MATCH(B198, PointerTest!A:A, 0), 0), 'language&amp;DataTest'!A:A, 0), MATCH(HOME!$A$25, 'language&amp;DataTest'!$A$1:$H$1, 0))))</f>
        <v>Persian</v>
      </c>
      <c r="D198" s="69" t="str">
        <f t="array" ref="D198">INDEX('language&amp;DataTest'!A:J, MATCH(INDEX( PointerTest!D:D, MATCH(INDEX(PointerTest!B:B, MATCH(B198, PointerTest!A:A, 0)), PointerTest!A:A, 0), 0), 'language&amp;DataTest'!A:A, 0), MATCH(HOME!$A$25, 'language&amp;DataTest'!$A$1:$H$1, 0))</f>
        <v>Charizard</v>
      </c>
      <c r="E198" s="69" t="str">
        <f t="array" ref="E198">INDEX( PointerTest!F:F, MATCH(B198, PointerTest!A:A, 0), 0)</f>
        <v>♢♢</v>
      </c>
      <c r="F198" s="70" t="str">
        <f t="array" ref="F198">LET(percentage,XLOOKUP($E198,$K$2:$K$10,L$2:L$10,"",0)/(COUNTIFS($E:$E,$E198,$D:$D,RegularFormula!$D$2)+COUNTIFS($E:$E,$E198,$D:$D,IF($D198=RegularFormula!$D$2,$K$15,$D198))),IFERROR(IF(percentage,percentage,""),""))
</f>
        <v/>
      </c>
      <c r="G198" s="71">
        <f t="array" ref="G198">LET(percentage,XLOOKUP($E198,$K$2:$K$10,M$2:M$10,"",0)/(COUNTIFS($E:$E,$E198,$D:$D,RegularFormula!$D$2)+COUNTIFS($E:$E,$E198,$D:$D,IF($D198=RegularFormula!$D$2,$K$15,$D198))),IFERROR(IF(percentage,percentage,""),""))
</f>
        <v>0.02571428571</v>
      </c>
      <c r="H198" s="71">
        <f t="array" ref="H198">LET(percentage,XLOOKUP($E198,$K$2:$K$10,N$2:N$10,"",0)/(COUNTIFS($E:$E,$E198,$D:$D,RegularFormula!$D$2)+COUNTIFS($E:$E,$E198,$D:$D,IF($D198=RegularFormula!$D$2,$K$15,$D198))),IFERROR(IF(percentage,percentage,""),""))
</f>
        <v>0.01714285714</v>
      </c>
      <c r="I198" s="72" t="str">
        <f t="shared" si="1"/>
        <v/>
      </c>
      <c r="J198" s="73">
        <v>0.0</v>
      </c>
      <c r="K198" s="194"/>
      <c r="L198" s="55"/>
      <c r="M198" s="55"/>
      <c r="N198" s="55"/>
      <c r="O198" s="197"/>
      <c r="P198" s="103"/>
      <c r="Q198" s="103"/>
      <c r="R198" s="103"/>
      <c r="S198" s="79" t="str">
        <f t="shared" si="2"/>
        <v/>
      </c>
      <c r="T198" s="80" t="str">
        <f>IFERROR(__xludf.DUMMYFUNCTION("IF(
  Q198="""",
  """",
  IF(
   REGEXMATCH(SUBSTITUTE(Q198, "" ex"", """"), TEXTJOIN(""|"", TRUE, INDEX('language&amp;DataTest'!$A$33:$AB$182, , MATCH(HOME!$A$25, 'language&amp;DataTest'!$A$1:$G$1, 0)))),
   IF($M$26,
     IF(COUNTIFS(ARRAYFORMULA(SUBSTITUTE($C"&amp;"$2:$C287, "" ex"", """")), SUBSTITUTE(Q198, "" ex"", """"), $J$2:$J287, ""&gt;0"")=0, ""Yes"", ""No""),
     IF(COUNTIFS(ARRAYFORMULA(SUBSTITUTE($C$2:$C287, "" ex"", """")), SUBSTITUTE(Q198, "" ex"", """"), $A$2:$A287, TRUE)=0, ""Yes"", ""No"")
   ),
   ""No"&amp;"""
 )
)"),"")</f>
        <v/>
      </c>
    </row>
    <row r="199">
      <c r="A199" s="68" t="b">
        <v>1</v>
      </c>
      <c r="B199" s="69" t="s">
        <v>316</v>
      </c>
      <c r="C199" s="69" t="str">
        <f t="array" ref="C199">TEXTJOIN("", TRUE, IFERROR(INDEX('language&amp;DataTest'!A:J, MATCH(INDEX( PointerTest!C:C, MATCH(B199, PointerTest!A:A, 0), 0), 'language&amp;DataTest'!A:A, 0), MATCH(HOME!$A$25, 'language&amp;DataTest'!$A$1:$H$1, 0))),                      IFERROR(INDEX('language&amp;DataTest'!A:J, MATCH(INDEX( PointerTest!D:D, MATCH(B199, PointerTest!A:A, 0), 0), 'language&amp;DataTest'!A:A, 0), MATCH(HOME!$A$25, 'language&amp;DataTest'!$A$1:$H$1, 0))),                                          
IFERROR(INDEX('language&amp;DataTest'!A:J, MATCH(INDEX( PointerTest!E:E, MATCH(B199, PointerTest!A:A, 0), 0), 'language&amp;DataTest'!A:A, 0), MATCH(HOME!$A$25, 'language&amp;DataTest'!$A$1:$H$1, 0))))</f>
        <v>Farfetch'd</v>
      </c>
      <c r="D199" s="69" t="str">
        <f t="array" ref="D199">INDEX('language&amp;DataTest'!A:J, MATCH(INDEX( PointerTest!D:D, MATCH(INDEX(PointerTest!B:B, MATCH(B199, PointerTest!A:A, 0)), PointerTest!A:A, 0), 0), 'language&amp;DataTest'!A:A, 0), MATCH(HOME!$A$25, 'language&amp;DataTest'!$A$1:$H$1, 0))</f>
        <v>All</v>
      </c>
      <c r="E199" s="69" t="str">
        <f t="array" ref="E199">INDEX( PointerTest!F:F, MATCH(B199, PointerTest!A:A, 0), 0)</f>
        <v>♢</v>
      </c>
      <c r="F199" s="70">
        <f t="array" ref="F199">LET(percentage,XLOOKUP($E199,$K$2:$K$10,L$2:L$10,"",0)/(COUNTIFS($E:$E,$E199,$D:$D,RegularFormula!$D$2)+COUNTIFS($E:$E,$E199,$D:$D,IF($D199=RegularFormula!$D$2,$K$15,$D199))),IFERROR(IF(percentage,percentage,""),""))
</f>
        <v>0.02</v>
      </c>
      <c r="G199" s="71" t="str">
        <f t="array" ref="G199">LET(percentage,XLOOKUP($E199,$K$2:$K$10,M$2:M$10,"",0)/(COUNTIFS($E:$E,$E199,$D:$D,RegularFormula!$D$2)+COUNTIFS($E:$E,$E199,$D:$D,IF($D199=RegularFormula!$D$2,$K$15,$D199))),IFERROR(IF(percentage,percentage,""),""))
</f>
        <v/>
      </c>
      <c r="H199" s="71" t="str">
        <f t="array" ref="H199">LET(percentage,XLOOKUP($E199,$K$2:$K$10,N$2:N$10,"",0)/(COUNTIFS($E:$E,$E199,$D:$D,RegularFormula!$D$2)+COUNTIFS($E:$E,$E199,$D:$D,IF($D199=RegularFormula!$D$2,$K$15,$D199))),IFERROR(IF(percentage,percentage,""),""))
</f>
        <v/>
      </c>
      <c r="I199" s="72" t="str">
        <f t="shared" si="1"/>
        <v>*Based on Mewtwo pack</v>
      </c>
      <c r="J199" s="73">
        <v>0.0</v>
      </c>
      <c r="K199" s="194"/>
      <c r="L199" s="55"/>
      <c r="M199" s="55"/>
      <c r="N199" s="55"/>
      <c r="O199" s="197"/>
      <c r="P199" s="103"/>
      <c r="Q199" s="103"/>
      <c r="R199" s="103"/>
      <c r="S199" s="79" t="str">
        <f t="shared" si="2"/>
        <v/>
      </c>
      <c r="T199" s="80" t="str">
        <f>IFERROR(__xludf.DUMMYFUNCTION("IF(
  Q199="""",
  """",
  IF(
   REGEXMATCH(SUBSTITUTE(Q199, "" ex"", """"), TEXTJOIN(""|"", TRUE, INDEX('language&amp;DataTest'!$A$33:$AB$182, , MATCH(HOME!$A$25, 'language&amp;DataTest'!$A$1:$G$1, 0)))),
   IF($M$26,
     IF(COUNTIFS(ARRAYFORMULA(SUBSTITUTE($C"&amp;"$2:$C287, "" ex"", """")), SUBSTITUTE(Q199, "" ex"", """"), $J$2:$J287, ""&gt;0"")=0, ""Yes"", ""No""),
     IF(COUNTIFS(ARRAYFORMULA(SUBSTITUTE($C$2:$C287, "" ex"", """")), SUBSTITUTE(Q199, "" ex"", """"), $A$2:$A287, TRUE)=0, ""Yes"", ""No"")
   ),
   ""No"&amp;"""
 )
)"),"")</f>
        <v/>
      </c>
    </row>
    <row r="200">
      <c r="A200" s="68" t="b">
        <v>1</v>
      </c>
      <c r="B200" s="69" t="s">
        <v>317</v>
      </c>
      <c r="C200" s="69" t="str">
        <f t="array" ref="C200">TEXTJOIN("", TRUE, IFERROR(INDEX('language&amp;DataTest'!A:J, MATCH(INDEX( PointerTest!C:C, MATCH(B200, PointerTest!A:A, 0), 0), 'language&amp;DataTest'!A:A, 0), MATCH(HOME!$A$25, 'language&amp;DataTest'!$A$1:$H$1, 0))),                      IFERROR(INDEX('language&amp;DataTest'!A:J, MATCH(INDEX( PointerTest!D:D, MATCH(B200, PointerTest!A:A, 0), 0), 'language&amp;DataTest'!A:A, 0), MATCH(HOME!$A$25, 'language&amp;DataTest'!$A$1:$H$1, 0))),                                          
IFERROR(INDEX('language&amp;DataTest'!A:J, MATCH(INDEX( PointerTest!E:E, MATCH(B200, PointerTest!A:A, 0), 0), 'language&amp;DataTest'!A:A, 0), MATCH(HOME!$A$25, 'language&amp;DataTest'!$A$1:$H$1, 0))))</f>
        <v>Doduo</v>
      </c>
      <c r="D200" s="69" t="str">
        <f t="array" ref="D200">INDEX('language&amp;DataTest'!A:J, MATCH(INDEX( PointerTest!D:D, MATCH(INDEX(PointerTest!B:B, MATCH(B200, PointerTest!A:A, 0)), PointerTest!A:A, 0), 0), 'language&amp;DataTest'!A:A, 0), MATCH(HOME!$A$25, 'language&amp;DataTest'!$A$1:$H$1, 0))</f>
        <v>All</v>
      </c>
      <c r="E200" s="69" t="str">
        <f t="array" ref="E200">INDEX( PointerTest!F:F, MATCH(B200, PointerTest!A:A, 0), 0)</f>
        <v>♢</v>
      </c>
      <c r="F200" s="70">
        <f t="array" ref="F200">LET(percentage,XLOOKUP($E200,$K$2:$K$10,L$2:L$10,"",0)/(COUNTIFS($E:$E,$E200,$D:$D,RegularFormula!$D$2)+COUNTIFS($E:$E,$E200,$D:$D,IF($D200=RegularFormula!$D$2,$K$15,$D200))),IFERROR(IF(percentage,percentage,""),""))
</f>
        <v>0.02</v>
      </c>
      <c r="G200" s="71" t="str">
        <f t="array" ref="G200">LET(percentage,XLOOKUP($E200,$K$2:$K$10,M$2:M$10,"",0)/(COUNTIFS($E:$E,$E200,$D:$D,RegularFormula!$D$2)+COUNTIFS($E:$E,$E200,$D:$D,IF($D200=RegularFormula!$D$2,$K$15,$D200))),IFERROR(IF(percentage,percentage,""),""))
</f>
        <v/>
      </c>
      <c r="H200" s="71" t="str">
        <f t="array" ref="H200">LET(percentage,XLOOKUP($E200,$K$2:$K$10,N$2:N$10,"",0)/(COUNTIFS($E:$E,$E200,$D:$D,RegularFormula!$D$2)+COUNTIFS($E:$E,$E200,$D:$D,IF($D200=RegularFormula!$D$2,$K$15,$D200))),IFERROR(IF(percentage,percentage,""),""))
</f>
        <v/>
      </c>
      <c r="I200" s="72" t="str">
        <f t="shared" si="1"/>
        <v>*Based on Mewtwo pack</v>
      </c>
      <c r="J200" s="73">
        <v>0.0</v>
      </c>
      <c r="K200" s="194"/>
      <c r="L200" s="55"/>
      <c r="M200" s="55"/>
      <c r="N200" s="55"/>
      <c r="O200" s="197"/>
      <c r="P200" s="103"/>
      <c r="Q200" s="103"/>
      <c r="R200" s="103"/>
      <c r="S200" s="79" t="str">
        <f t="shared" si="2"/>
        <v/>
      </c>
      <c r="T200" s="80" t="str">
        <f>IFERROR(__xludf.DUMMYFUNCTION("IF(
  Q200="""",
  """",
  IF(
   REGEXMATCH(SUBSTITUTE(Q200, "" ex"", """"), TEXTJOIN(""|"", TRUE, INDEX('language&amp;DataTest'!$A$33:$AB$182, , MATCH(HOME!$A$25, 'language&amp;DataTest'!$A$1:$G$1, 0)))),
   IF($M$26,
     IF(COUNTIFS(ARRAYFORMULA(SUBSTITUTE($C"&amp;"$2:$C287, "" ex"", """")), SUBSTITUTE(Q200, "" ex"", """"), $J$2:$J287, ""&gt;0"")=0, ""Yes"", ""No""),
     IF(COUNTIFS(ARRAYFORMULA(SUBSTITUTE($C$2:$C287, "" ex"", """")), SUBSTITUTE(Q200, "" ex"", """"), $A$2:$A287, TRUE)=0, ""Yes"", ""No"")
   ),
   ""No"&amp;"""
 )
)"),"")</f>
        <v/>
      </c>
    </row>
    <row r="201">
      <c r="A201" s="68" t="b">
        <v>1</v>
      </c>
      <c r="B201" s="69" t="s">
        <v>318</v>
      </c>
      <c r="C201" s="69" t="str">
        <f t="array" ref="C201">TEXTJOIN("", TRUE, IFERROR(INDEX('language&amp;DataTest'!A:J, MATCH(INDEX( PointerTest!C:C, MATCH(B201, PointerTest!A:A, 0), 0), 'language&amp;DataTest'!A:A, 0), MATCH(HOME!$A$25, 'language&amp;DataTest'!$A$1:$H$1, 0))),                      IFERROR(INDEX('language&amp;DataTest'!A:J, MATCH(INDEX( PointerTest!D:D, MATCH(B201, PointerTest!A:A, 0), 0), 'language&amp;DataTest'!A:A, 0), MATCH(HOME!$A$25, 'language&amp;DataTest'!$A$1:$H$1, 0))),                                          
IFERROR(INDEX('language&amp;DataTest'!A:J, MATCH(INDEX( PointerTest!E:E, MATCH(B201, PointerTest!A:A, 0), 0), 'language&amp;DataTest'!A:A, 0), MATCH(HOME!$A$25, 'language&amp;DataTest'!$A$1:$H$1, 0))))</f>
        <v>Dodrio</v>
      </c>
      <c r="D201" s="69" t="str">
        <f t="array" ref="D201">INDEX('language&amp;DataTest'!A:J, MATCH(INDEX( PointerTest!D:D, MATCH(INDEX(PointerTest!B:B, MATCH(B201, PointerTest!A:A, 0)), PointerTest!A:A, 0), 0), 'language&amp;DataTest'!A:A, 0), MATCH(HOME!$A$25, 'language&amp;DataTest'!$A$1:$H$1, 0))</f>
        <v>All</v>
      </c>
      <c r="E201" s="69" t="str">
        <f t="array" ref="E201">INDEX( PointerTest!F:F, MATCH(B201, PointerTest!A:A, 0), 0)</f>
        <v>♢♢</v>
      </c>
      <c r="F201" s="70" t="str">
        <f t="array" ref="F201">LET(percentage,XLOOKUP($E201,$K$2:$K$10,L$2:L$10,"",0)/(COUNTIFS($E:$E,$E201,$D:$D,RegularFormula!$D$2)+COUNTIFS($E:$E,$E201,$D:$D,IF($D201=RegularFormula!$D$2,$K$15,$D201))),IFERROR(IF(percentage,percentage,""),""))
</f>
        <v/>
      </c>
      <c r="G201" s="71">
        <f t="array" ref="G201">LET(percentage,XLOOKUP($E201,$K$2:$K$10,M$2:M$10,"",0)/(COUNTIFS($E:$E,$E201,$D:$D,RegularFormula!$D$2)+COUNTIFS($E:$E,$E201,$D:$D,IF($D201=RegularFormula!$D$2,$K$15,$D201))),IFERROR(IF(percentage,percentage,""),""))
</f>
        <v>0.02571428571</v>
      </c>
      <c r="H201" s="71">
        <f t="array" ref="H201">LET(percentage,XLOOKUP($E201,$K$2:$K$10,N$2:N$10,"",0)/(COUNTIFS($E:$E,$E201,$D:$D,RegularFormula!$D$2)+COUNTIFS($E:$E,$E201,$D:$D,IF($D201=RegularFormula!$D$2,$K$15,$D201))),IFERROR(IF(percentage,percentage,""),""))
</f>
        <v>0.01714285714</v>
      </c>
      <c r="I201" s="72" t="str">
        <f t="shared" si="1"/>
        <v>*Based on Mewtwo pack</v>
      </c>
      <c r="J201" s="73">
        <v>0.0</v>
      </c>
      <c r="K201" s="194"/>
      <c r="L201" s="55"/>
      <c r="M201" s="55"/>
      <c r="N201" s="55"/>
      <c r="O201" s="197"/>
      <c r="P201" s="103"/>
      <c r="Q201" s="103"/>
      <c r="R201" s="103"/>
      <c r="S201" s="79" t="str">
        <f t="shared" si="2"/>
        <v/>
      </c>
      <c r="T201" s="80" t="str">
        <f>IFERROR(__xludf.DUMMYFUNCTION("IF(
  Q201="""",
  """",
  IF(
   REGEXMATCH(SUBSTITUTE(Q201, "" ex"", """"), TEXTJOIN(""|"", TRUE, INDEX('language&amp;DataTest'!$A$33:$AB$182, , MATCH(HOME!$A$25, 'language&amp;DataTest'!$A$1:$G$1, 0)))),
   IF($M$26,
     IF(COUNTIFS(ARRAYFORMULA(SUBSTITUTE($C"&amp;"$2:$C287, "" ex"", """")), SUBSTITUTE(Q201, "" ex"", """"), $J$2:$J287, ""&gt;0"")=0, ""Yes"", ""No""),
     IF(COUNTIFS(ARRAYFORMULA(SUBSTITUTE($C$2:$C287, "" ex"", """")), SUBSTITUTE(Q201, "" ex"", """"), $A$2:$A287, TRUE)=0, ""Yes"", ""No"")
   ),
   ""No"&amp;"""
 )
)"),"")</f>
        <v/>
      </c>
    </row>
    <row r="202">
      <c r="A202" s="68" t="b">
        <v>1</v>
      </c>
      <c r="B202" s="69" t="s">
        <v>319</v>
      </c>
      <c r="C202" s="69" t="str">
        <f t="array" ref="C202">TEXTJOIN("", TRUE, IFERROR(INDEX('language&amp;DataTest'!A:J, MATCH(INDEX( PointerTest!C:C, MATCH(B202, PointerTest!A:A, 0), 0), 'language&amp;DataTest'!A:A, 0), MATCH(HOME!$A$25, 'language&amp;DataTest'!$A$1:$H$1, 0))),                      IFERROR(INDEX('language&amp;DataTest'!A:J, MATCH(INDEX( PointerTest!D:D, MATCH(B202, PointerTest!A:A, 0), 0), 'language&amp;DataTest'!A:A, 0), MATCH(HOME!$A$25, 'language&amp;DataTest'!$A$1:$H$1, 0))),                                          
IFERROR(INDEX('language&amp;DataTest'!A:J, MATCH(INDEX( PointerTest!E:E, MATCH(B202, PointerTest!A:A, 0), 0), 'language&amp;DataTest'!A:A, 0), MATCH(HOME!$A$25, 'language&amp;DataTest'!$A$1:$H$1, 0))))</f>
        <v>Lickitung</v>
      </c>
      <c r="D202" s="69" t="str">
        <f t="array" ref="D202">INDEX('language&amp;DataTest'!A:J, MATCH(INDEX( PointerTest!D:D, MATCH(INDEX(PointerTest!B:B, MATCH(B202, PointerTest!A:A, 0)), PointerTest!A:A, 0), 0), 'language&amp;DataTest'!A:A, 0), MATCH(HOME!$A$25, 'language&amp;DataTest'!$A$1:$H$1, 0))</f>
        <v>Mewtwo</v>
      </c>
      <c r="E202" s="69" t="str">
        <f t="array" ref="E202">INDEX( PointerTest!F:F, MATCH(B202, PointerTest!A:A, 0), 0)</f>
        <v>♢♢</v>
      </c>
      <c r="F202" s="70" t="str">
        <f t="array" ref="F202">LET(percentage,XLOOKUP($E202,$K$2:$K$10,L$2:L$10,"",0)/(COUNTIFS($E:$E,$E202,$D:$D,RegularFormula!$D$2)+COUNTIFS($E:$E,$E202,$D:$D,IF($D202=RegularFormula!$D$2,$K$15,$D202))),IFERROR(IF(percentage,percentage,""),""))
</f>
        <v/>
      </c>
      <c r="G202" s="71">
        <f t="array" ref="G202">LET(percentage,XLOOKUP($E202,$K$2:$K$10,M$2:M$10,"",0)/(COUNTIFS($E:$E,$E202,$D:$D,RegularFormula!$D$2)+COUNTIFS($E:$E,$E202,$D:$D,IF($D202=RegularFormula!$D$2,$K$15,$D202))),IFERROR(IF(percentage,percentage,""),""))
</f>
        <v>0.02571428571</v>
      </c>
      <c r="H202" s="71">
        <f t="array" ref="H202">LET(percentage,XLOOKUP($E202,$K$2:$K$10,N$2:N$10,"",0)/(COUNTIFS($E:$E,$E202,$D:$D,RegularFormula!$D$2)+COUNTIFS($E:$E,$E202,$D:$D,IF($D202=RegularFormula!$D$2,$K$15,$D202))),IFERROR(IF(percentage,percentage,""),""))
</f>
        <v>0.01714285714</v>
      </c>
      <c r="I202" s="72" t="str">
        <f t="shared" si="1"/>
        <v/>
      </c>
      <c r="J202" s="73">
        <v>0.0</v>
      </c>
      <c r="K202" s="194"/>
      <c r="L202" s="55"/>
      <c r="M202" s="55"/>
      <c r="N202" s="55"/>
      <c r="O202" s="197"/>
      <c r="P202" s="103"/>
      <c r="Q202" s="103"/>
      <c r="R202" s="103"/>
      <c r="S202" s="79" t="str">
        <f t="shared" si="2"/>
        <v/>
      </c>
      <c r="T202" s="80" t="str">
        <f>IFERROR(__xludf.DUMMYFUNCTION("IF(
  Q202="""",
  """",
  IF(
   REGEXMATCH(SUBSTITUTE(Q202, "" ex"", """"), TEXTJOIN(""|"", TRUE, INDEX('language&amp;DataTest'!$A$33:$AB$182, , MATCH(HOME!$A$25, 'language&amp;DataTest'!$A$1:$G$1, 0)))),
   IF($M$26,
     IF(COUNTIFS(ARRAYFORMULA(SUBSTITUTE($C"&amp;"$2:$C287, "" ex"", """")), SUBSTITUTE(Q202, "" ex"", """"), $J$2:$J287, ""&gt;0"")=0, ""Yes"", ""No""),
     IF(COUNTIFS(ARRAYFORMULA(SUBSTITUTE($C$2:$C287, "" ex"", """")), SUBSTITUTE(Q202, "" ex"", """"), $A$2:$A287, TRUE)=0, ""Yes"", ""No"")
   ),
   ""No"&amp;"""
 )
)"),"")</f>
        <v/>
      </c>
    </row>
    <row r="203">
      <c r="A203" s="68" t="b">
        <v>1</v>
      </c>
      <c r="B203" s="69" t="s">
        <v>320</v>
      </c>
      <c r="C203" s="69" t="str">
        <f t="array" ref="C203">TEXTJOIN("", TRUE, IFERROR(INDEX('language&amp;DataTest'!A:J, MATCH(INDEX( PointerTest!C:C, MATCH(B203, PointerTest!A:A, 0), 0), 'language&amp;DataTest'!A:A, 0), MATCH(HOME!$A$25, 'language&amp;DataTest'!$A$1:$H$1, 0))),                      IFERROR(INDEX('language&amp;DataTest'!A:J, MATCH(INDEX( PointerTest!D:D, MATCH(B203, PointerTest!A:A, 0), 0), 'language&amp;DataTest'!A:A, 0), MATCH(HOME!$A$25, 'language&amp;DataTest'!$A$1:$H$1, 0))),                                          
IFERROR(INDEX('language&amp;DataTest'!A:J, MATCH(INDEX( PointerTest!E:E, MATCH(B203, PointerTest!A:A, 0), 0), 'language&amp;DataTest'!A:A, 0), MATCH(HOME!$A$25, 'language&amp;DataTest'!$A$1:$H$1, 0))))</f>
        <v>Chansey</v>
      </c>
      <c r="D203" s="69" t="str">
        <f t="array" ref="D203">INDEX('language&amp;DataTest'!A:J, MATCH(INDEX( PointerTest!D:D, MATCH(INDEX(PointerTest!B:B, MATCH(B203, PointerTest!A:A, 0)), PointerTest!A:A, 0), 0), 'language&amp;DataTest'!A:A, 0), MATCH(HOME!$A$25, 'language&amp;DataTest'!$A$1:$H$1, 0))</f>
        <v>Pikachu</v>
      </c>
      <c r="E203" s="69" t="str">
        <f t="array" ref="E203">INDEX( PointerTest!F:F, MATCH(B203, PointerTest!A:A, 0), 0)</f>
        <v>♢♢</v>
      </c>
      <c r="F203" s="70" t="str">
        <f t="array" ref="F203">LET(percentage,XLOOKUP($E203,$K$2:$K$10,L$2:L$10,"",0)/(COUNTIFS($E:$E,$E203,$D:$D,RegularFormula!$D$2)+COUNTIFS($E:$E,$E203,$D:$D,IF($D203=RegularFormula!$D$2,$K$15,$D203))),IFERROR(IF(percentage,percentage,""),""))
</f>
        <v/>
      </c>
      <c r="G203" s="71">
        <f t="array" ref="G203">LET(percentage,XLOOKUP($E203,$K$2:$K$10,M$2:M$10,"",0)/(COUNTIFS($E:$E,$E203,$D:$D,RegularFormula!$D$2)+COUNTIFS($E:$E,$E203,$D:$D,IF($D203=RegularFormula!$D$2,$K$15,$D203))),IFERROR(IF(percentage,percentage,""),""))
</f>
        <v>0.02571428571</v>
      </c>
      <c r="H203" s="71">
        <f t="array" ref="H203">LET(percentage,XLOOKUP($E203,$K$2:$K$10,N$2:N$10,"",0)/(COUNTIFS($E:$E,$E203,$D:$D,RegularFormula!$D$2)+COUNTIFS($E:$E,$E203,$D:$D,IF($D203=RegularFormula!$D$2,$K$15,$D203))),IFERROR(IF(percentage,percentage,""),""))
</f>
        <v>0.01714285714</v>
      </c>
      <c r="I203" s="72" t="str">
        <f t="shared" si="1"/>
        <v/>
      </c>
      <c r="J203" s="73">
        <v>0.0</v>
      </c>
      <c r="K203" s="194"/>
      <c r="L203" s="55"/>
      <c r="M203" s="55"/>
      <c r="N203" s="55"/>
      <c r="O203" s="197"/>
      <c r="P203" s="103"/>
      <c r="Q203" s="103"/>
      <c r="R203" s="103"/>
      <c r="S203" s="79" t="str">
        <f t="shared" si="2"/>
        <v/>
      </c>
      <c r="T203" s="80" t="str">
        <f>IFERROR(__xludf.DUMMYFUNCTION("IF(
  Q203="""",
  """",
  IF(
   REGEXMATCH(SUBSTITUTE(Q203, "" ex"", """"), TEXTJOIN(""|"", TRUE, INDEX('language&amp;DataTest'!$A$33:$AB$182, , MATCH(HOME!$A$25, 'language&amp;DataTest'!$A$1:$G$1, 0)))),
   IF($M$26,
     IF(COUNTIFS(ARRAYFORMULA(SUBSTITUTE($C"&amp;"$2:$C287, "" ex"", """")), SUBSTITUTE(Q203, "" ex"", """"), $J$2:$J287, ""&gt;0"")=0, ""Yes"", ""No""),
     IF(COUNTIFS(ARRAYFORMULA(SUBSTITUTE($C$2:$C287, "" ex"", """")), SUBSTITUTE(Q203, "" ex"", """"), $A$2:$A287, TRUE)=0, ""Yes"", ""No"")
   ),
   ""No"&amp;"""
 )
)"),"")</f>
        <v/>
      </c>
    </row>
    <row r="204">
      <c r="A204" s="68" t="b">
        <v>1</v>
      </c>
      <c r="B204" s="69" t="s">
        <v>321</v>
      </c>
      <c r="C204" s="69" t="str">
        <f t="array" ref="C204">TEXTJOIN("", TRUE, IFERROR(INDEX('language&amp;DataTest'!A:J, MATCH(INDEX( PointerTest!C:C, MATCH(B204, PointerTest!A:A, 0), 0), 'language&amp;DataTest'!A:A, 0), MATCH(HOME!$A$25, 'language&amp;DataTest'!$A$1:$H$1, 0))),                      IFERROR(INDEX('language&amp;DataTest'!A:J, MATCH(INDEX( PointerTest!D:D, MATCH(B204, PointerTest!A:A, 0), 0), 'language&amp;DataTest'!A:A, 0), MATCH(HOME!$A$25, 'language&amp;DataTest'!$A$1:$H$1, 0))),                                          
IFERROR(INDEX('language&amp;DataTest'!A:J, MATCH(INDEX( PointerTest!E:E, MATCH(B204, PointerTest!A:A, 0), 0), 'language&amp;DataTest'!A:A, 0), MATCH(HOME!$A$25, 'language&amp;DataTest'!$A$1:$H$1, 0))))</f>
        <v>Kangaskhan</v>
      </c>
      <c r="D204" s="69" t="str">
        <f t="array" ref="D204">INDEX('language&amp;DataTest'!A:J, MATCH(INDEX( PointerTest!D:D, MATCH(INDEX(PointerTest!B:B, MATCH(B204, PointerTest!A:A, 0)), PointerTest!A:A, 0), 0), 'language&amp;DataTest'!A:A, 0), MATCH(HOME!$A$25, 'language&amp;DataTest'!$A$1:$H$1, 0))</f>
        <v>Charizard</v>
      </c>
      <c r="E204" s="69" t="str">
        <f t="array" ref="E204">INDEX( PointerTest!F:F, MATCH(B204, PointerTest!A:A, 0), 0)</f>
        <v>♢♢♢</v>
      </c>
      <c r="F204" s="70" t="str">
        <f t="array" ref="F204">LET(percentage,XLOOKUP($E204,$K$2:$K$10,L$2:L$10,"",0)/(COUNTIFS($E:$E,$E204,$D:$D,RegularFormula!$D$2)+COUNTIFS($E:$E,$E204,$D:$D,IF($D204=RegularFormula!$D$2,$K$15,$D204))),IFERROR(IF(percentage,percentage,""),""))
</f>
        <v/>
      </c>
      <c r="G204" s="71">
        <f t="array" ref="G204">LET(percentage,XLOOKUP($E204,$K$2:$K$10,M$2:M$10,"",0)/(COUNTIFS($E:$E,$E204,$D:$D,RegularFormula!$D$2)+COUNTIFS($E:$E,$E204,$D:$D,IF($D204=RegularFormula!$D$2,$K$15,$D204))),IFERROR(IF(percentage,percentage,""),""))
</f>
        <v>0.003571428571</v>
      </c>
      <c r="H204" s="71">
        <f t="array" ref="H204">LET(percentage,XLOOKUP($E204,$K$2:$K$10,N$2:N$10,"",0)/(COUNTIFS($E:$E,$E204,$D:$D,RegularFormula!$D$2)+COUNTIFS($E:$E,$E204,$D:$D,IF($D204=RegularFormula!$D$2,$K$15,$D204))),IFERROR(IF(percentage,percentage,""),""))
</f>
        <v>0.01428571429</v>
      </c>
      <c r="I204" s="72" t="str">
        <f t="shared" si="1"/>
        <v/>
      </c>
      <c r="J204" s="73">
        <v>0.0</v>
      </c>
      <c r="K204" s="194"/>
      <c r="L204" s="55"/>
      <c r="M204" s="55"/>
      <c r="N204" s="55"/>
      <c r="O204" s="197"/>
      <c r="P204" s="103"/>
      <c r="Q204" s="103"/>
      <c r="R204" s="103"/>
      <c r="S204" s="79" t="str">
        <f t="shared" si="2"/>
        <v/>
      </c>
      <c r="T204" s="80" t="str">
        <f>IFERROR(__xludf.DUMMYFUNCTION("IF(
  Q204="""",
  """",
  IF(
   REGEXMATCH(SUBSTITUTE(Q204, "" ex"", """"), TEXTJOIN(""|"", TRUE, INDEX('language&amp;DataTest'!$A$33:$AB$182, , MATCH(HOME!$A$25, 'language&amp;DataTest'!$A$1:$G$1, 0)))),
   IF($M$26,
     IF(COUNTIFS(ARRAYFORMULA(SUBSTITUTE($C"&amp;"$2:$C287, "" ex"", """")), SUBSTITUTE(Q204, "" ex"", """"), $J$2:$J287, ""&gt;0"")=0, ""Yes"", ""No""),
     IF(COUNTIFS(ARRAYFORMULA(SUBSTITUTE($C$2:$C287, "" ex"", """")), SUBSTITUTE(Q204, "" ex"", """"), $A$2:$A287, TRUE)=0, ""Yes"", ""No"")
   ),
   ""No"&amp;"""
 )
)"),"")</f>
        <v/>
      </c>
    </row>
    <row r="205">
      <c r="A205" s="68" t="b">
        <v>1</v>
      </c>
      <c r="B205" s="69" t="s">
        <v>322</v>
      </c>
      <c r="C205" s="69" t="str">
        <f t="array" ref="C205">TEXTJOIN("", TRUE, IFERROR(INDEX('language&amp;DataTest'!A:J, MATCH(INDEX( PointerTest!C:C, MATCH(B205, PointerTest!A:A, 0), 0), 'language&amp;DataTest'!A:A, 0), MATCH(HOME!$A$25, 'language&amp;DataTest'!$A$1:$H$1, 0))),                      IFERROR(INDEX('language&amp;DataTest'!A:J, MATCH(INDEX( PointerTest!D:D, MATCH(B205, PointerTest!A:A, 0), 0), 'language&amp;DataTest'!A:A, 0), MATCH(HOME!$A$25, 'language&amp;DataTest'!$A$1:$H$1, 0))),                                          
IFERROR(INDEX('language&amp;DataTest'!A:J, MATCH(INDEX( PointerTest!E:E, MATCH(B205, PointerTest!A:A, 0), 0), 'language&amp;DataTest'!A:A, 0), MATCH(HOME!$A$25, 'language&amp;DataTest'!$A$1:$H$1, 0))))</f>
        <v>Tauros</v>
      </c>
      <c r="D205" s="69" t="str">
        <f t="array" ref="D205">INDEX('language&amp;DataTest'!A:J, MATCH(INDEX( PointerTest!D:D, MATCH(INDEX(PointerTest!B:B, MATCH(B205, PointerTest!A:A, 0)), PointerTest!A:A, 0), 0), 'language&amp;DataTest'!A:A, 0), MATCH(HOME!$A$25, 'language&amp;DataTest'!$A$1:$H$1, 0))</f>
        <v>Charizard</v>
      </c>
      <c r="E205" s="69" t="str">
        <f t="array" ref="E205">INDEX( PointerTest!F:F, MATCH(B205, PointerTest!A:A, 0), 0)</f>
        <v>♢♢</v>
      </c>
      <c r="F205" s="70" t="str">
        <f t="array" ref="F205">LET(percentage,XLOOKUP($E205,$K$2:$K$10,L$2:L$10,"",0)/(COUNTIFS($E:$E,$E205,$D:$D,RegularFormula!$D$2)+COUNTIFS($E:$E,$E205,$D:$D,IF($D205=RegularFormula!$D$2,$K$15,$D205))),IFERROR(IF(percentage,percentage,""),""))
</f>
        <v/>
      </c>
      <c r="G205" s="71">
        <f t="array" ref="G205">LET(percentage,XLOOKUP($E205,$K$2:$K$10,M$2:M$10,"",0)/(COUNTIFS($E:$E,$E205,$D:$D,RegularFormula!$D$2)+COUNTIFS($E:$E,$E205,$D:$D,IF($D205=RegularFormula!$D$2,$K$15,$D205))),IFERROR(IF(percentage,percentage,""),""))
</f>
        <v>0.02571428571</v>
      </c>
      <c r="H205" s="71">
        <f t="array" ref="H205">LET(percentage,XLOOKUP($E205,$K$2:$K$10,N$2:N$10,"",0)/(COUNTIFS($E:$E,$E205,$D:$D,RegularFormula!$D$2)+COUNTIFS($E:$E,$E205,$D:$D,IF($D205=RegularFormula!$D$2,$K$15,$D205))),IFERROR(IF(percentage,percentage,""),""))
</f>
        <v>0.01714285714</v>
      </c>
      <c r="I205" s="72" t="str">
        <f t="shared" si="1"/>
        <v/>
      </c>
      <c r="J205" s="73">
        <v>0.0</v>
      </c>
      <c r="K205" s="194"/>
      <c r="L205" s="55"/>
      <c r="M205" s="55"/>
      <c r="N205" s="55"/>
      <c r="O205" s="197"/>
      <c r="P205" s="103"/>
      <c r="Q205" s="103"/>
      <c r="R205" s="103"/>
      <c r="S205" s="79" t="str">
        <f t="shared" si="2"/>
        <v/>
      </c>
      <c r="T205" s="80" t="str">
        <f>IFERROR(__xludf.DUMMYFUNCTION("IF(
  Q205="""",
  """",
  IF(
   REGEXMATCH(SUBSTITUTE(Q205, "" ex"", """"), TEXTJOIN(""|"", TRUE, INDEX('language&amp;DataTest'!$A$33:$AB$182, , MATCH(HOME!$A$25, 'language&amp;DataTest'!$A$1:$G$1, 0)))),
   IF($M$26,
     IF(COUNTIFS(ARRAYFORMULA(SUBSTITUTE($C"&amp;"$2:$C287, "" ex"", """")), SUBSTITUTE(Q205, "" ex"", """"), $J$2:$J287, ""&gt;0"")=0, ""Yes"", ""No""),
     IF(COUNTIFS(ARRAYFORMULA(SUBSTITUTE($C$2:$C287, "" ex"", """")), SUBSTITUTE(Q205, "" ex"", """"), $A$2:$A287, TRUE)=0, ""Yes"", ""No"")
   ),
   ""No"&amp;"""
 )
)"),"")</f>
        <v/>
      </c>
    </row>
    <row r="206">
      <c r="A206" s="68" t="b">
        <v>1</v>
      </c>
      <c r="B206" s="69" t="s">
        <v>323</v>
      </c>
      <c r="C206" s="69" t="str">
        <f t="array" ref="C206">TEXTJOIN("", TRUE, IFERROR(INDEX('language&amp;DataTest'!A:J, MATCH(INDEX( PointerTest!C:C, MATCH(B206, PointerTest!A:A, 0), 0), 'language&amp;DataTest'!A:A, 0), MATCH(HOME!$A$25, 'language&amp;DataTest'!$A$1:$H$1, 0))),                      IFERROR(INDEX('language&amp;DataTest'!A:J, MATCH(INDEX( PointerTest!D:D, MATCH(B206, PointerTest!A:A, 0), 0), 'language&amp;DataTest'!A:A, 0), MATCH(HOME!$A$25, 'language&amp;DataTest'!$A$1:$H$1, 0))),                                          
IFERROR(INDEX('language&amp;DataTest'!A:J, MATCH(INDEX( PointerTest!E:E, MATCH(B206, PointerTest!A:A, 0), 0), 'language&amp;DataTest'!A:A, 0), MATCH(HOME!$A$25, 'language&amp;DataTest'!$A$1:$H$1, 0))))</f>
        <v>Ditto</v>
      </c>
      <c r="D206" s="69" t="str">
        <f t="array" ref="D206">INDEX('language&amp;DataTest'!A:J, MATCH(INDEX( PointerTest!D:D, MATCH(INDEX(PointerTest!B:B, MATCH(B206, PointerTest!A:A, 0)), PointerTest!A:A, 0), 0), 'language&amp;DataTest'!A:A, 0), MATCH(HOME!$A$25, 'language&amp;DataTest'!$A$1:$H$1, 0))</f>
        <v>Mewtwo</v>
      </c>
      <c r="E206" s="69" t="str">
        <f t="array" ref="E206">INDEX( PointerTest!F:F, MATCH(B206, PointerTest!A:A, 0), 0)</f>
        <v>♢♢♢</v>
      </c>
      <c r="F206" s="70" t="str">
        <f t="array" ref="F206">LET(percentage,XLOOKUP($E206,$K$2:$K$10,L$2:L$10,"",0)/(COUNTIFS($E:$E,$E206,$D:$D,RegularFormula!$D$2)+COUNTIFS($E:$E,$E206,$D:$D,IF($D206=RegularFormula!$D$2,$K$15,$D206))),IFERROR(IF(percentage,percentage,""),""))
</f>
        <v/>
      </c>
      <c r="G206" s="71">
        <f t="array" ref="G206">LET(percentage,XLOOKUP($E206,$K$2:$K$10,M$2:M$10,"",0)/(COUNTIFS($E:$E,$E206,$D:$D,RegularFormula!$D$2)+COUNTIFS($E:$E,$E206,$D:$D,IF($D206=RegularFormula!$D$2,$K$15,$D206))),IFERROR(IF(percentage,percentage,""),""))
</f>
        <v>0.003571428571</v>
      </c>
      <c r="H206" s="71">
        <f t="array" ref="H206">LET(percentage,XLOOKUP($E206,$K$2:$K$10,N$2:N$10,"",0)/(COUNTIFS($E:$E,$E206,$D:$D,RegularFormula!$D$2)+COUNTIFS($E:$E,$E206,$D:$D,IF($D206=RegularFormula!$D$2,$K$15,$D206))),IFERROR(IF(percentage,percentage,""),""))
</f>
        <v>0.01428571429</v>
      </c>
      <c r="I206" s="72" t="str">
        <f t="shared" si="1"/>
        <v/>
      </c>
      <c r="J206" s="73">
        <v>0.0</v>
      </c>
      <c r="K206" s="194"/>
      <c r="L206" s="55"/>
      <c r="M206" s="55"/>
      <c r="N206" s="55"/>
      <c r="O206" s="197"/>
      <c r="P206" s="103"/>
      <c r="Q206" s="103"/>
      <c r="R206" s="103"/>
      <c r="S206" s="79" t="str">
        <f t="shared" si="2"/>
        <v/>
      </c>
      <c r="T206" s="80" t="str">
        <f>IFERROR(__xludf.DUMMYFUNCTION("IF(
  Q206="""",
  """",
  IF(
   REGEXMATCH(SUBSTITUTE(Q206, "" ex"", """"), TEXTJOIN(""|"", TRUE, INDEX('language&amp;DataTest'!$A$33:$AB$182, , MATCH(HOME!$A$25, 'language&amp;DataTest'!$A$1:$G$1, 0)))),
   IF($M$26,
     IF(COUNTIFS(ARRAYFORMULA(SUBSTITUTE($C"&amp;"$2:$C287, "" ex"", """")), SUBSTITUTE(Q206, "" ex"", """"), $J$2:$J287, ""&gt;0"")=0, ""Yes"", ""No""),
     IF(COUNTIFS(ARRAYFORMULA(SUBSTITUTE($C$2:$C287, "" ex"", """")), SUBSTITUTE(Q206, "" ex"", """"), $A$2:$A287, TRUE)=0, ""Yes"", ""No"")
   ),
   ""No"&amp;"""
 )
)"),"")</f>
        <v/>
      </c>
    </row>
    <row r="207">
      <c r="A207" s="68" t="b">
        <v>1</v>
      </c>
      <c r="B207" s="69" t="s">
        <v>324</v>
      </c>
      <c r="C207" s="69" t="str">
        <f t="array" ref="C207">TEXTJOIN("", TRUE, IFERROR(INDEX('language&amp;DataTest'!A:J, MATCH(INDEX( PointerTest!C:C, MATCH(B207, PointerTest!A:A, 0), 0), 'language&amp;DataTest'!A:A, 0), MATCH(HOME!$A$25, 'language&amp;DataTest'!$A$1:$H$1, 0))),                      IFERROR(INDEX('language&amp;DataTest'!A:J, MATCH(INDEX( PointerTest!D:D, MATCH(B207, PointerTest!A:A, 0), 0), 'language&amp;DataTest'!A:A, 0), MATCH(HOME!$A$25, 'language&amp;DataTest'!$A$1:$H$1, 0))),                                          
IFERROR(INDEX('language&amp;DataTest'!A:J, MATCH(INDEX( PointerTest!E:E, MATCH(B207, PointerTest!A:A, 0), 0), 'language&amp;DataTest'!A:A, 0), MATCH(HOME!$A$25, 'language&amp;DataTest'!$A$1:$H$1, 0))))</f>
        <v>Eevee</v>
      </c>
      <c r="D207" s="69" t="str">
        <f t="array" ref="D207">INDEX('language&amp;DataTest'!A:J, MATCH(INDEX( PointerTest!D:D, MATCH(INDEX(PointerTest!B:B, MATCH(B207, PointerTest!A:A, 0)), PointerTest!A:A, 0), 0), 'language&amp;DataTest'!A:A, 0), MATCH(HOME!$A$25, 'language&amp;DataTest'!$A$1:$H$1, 0))</f>
        <v>Charizard</v>
      </c>
      <c r="E207" s="69" t="str">
        <f t="array" ref="E207">INDEX( PointerTest!F:F, MATCH(B207, PointerTest!A:A, 0), 0)</f>
        <v>♢</v>
      </c>
      <c r="F207" s="70">
        <f t="array" ref="F207">LET(percentage,XLOOKUP($E207,$K$2:$K$10,L$2:L$10,"",0)/(COUNTIFS($E:$E,$E207,$D:$D,RegularFormula!$D$2)+COUNTIFS($E:$E,$E207,$D:$D,IF($D207=RegularFormula!$D$2,$K$15,$D207))),IFERROR(IF(percentage,percentage,""),""))
</f>
        <v>0.02</v>
      </c>
      <c r="G207" s="71" t="str">
        <f t="array" ref="G207">LET(percentage,XLOOKUP($E207,$K$2:$K$10,M$2:M$10,"",0)/(COUNTIFS($E:$E,$E207,$D:$D,RegularFormula!$D$2)+COUNTIFS($E:$E,$E207,$D:$D,IF($D207=RegularFormula!$D$2,$K$15,$D207))),IFERROR(IF(percentage,percentage,""),""))
</f>
        <v/>
      </c>
      <c r="H207" s="71" t="str">
        <f t="array" ref="H207">LET(percentage,XLOOKUP($E207,$K$2:$K$10,N$2:N$10,"",0)/(COUNTIFS($E:$E,$E207,$D:$D,RegularFormula!$D$2)+COUNTIFS($E:$E,$E207,$D:$D,IF($D207=RegularFormula!$D$2,$K$15,$D207))),IFERROR(IF(percentage,percentage,""),""))
</f>
        <v/>
      </c>
      <c r="I207" s="72" t="str">
        <f t="shared" si="1"/>
        <v/>
      </c>
      <c r="J207" s="73">
        <v>0.0</v>
      </c>
      <c r="K207" s="194"/>
      <c r="L207" s="55"/>
      <c r="M207" s="55"/>
      <c r="N207" s="55"/>
      <c r="O207" s="197"/>
      <c r="P207" s="103"/>
      <c r="Q207" s="103"/>
      <c r="R207" s="103"/>
      <c r="S207" s="79" t="str">
        <f t="shared" si="2"/>
        <v/>
      </c>
      <c r="T207" s="80" t="str">
        <f>IFERROR(__xludf.DUMMYFUNCTION("IF(
  Q207="""",
  """",
  IF(
   REGEXMATCH(SUBSTITUTE(Q207, "" ex"", """"), TEXTJOIN(""|"", TRUE, INDEX('language&amp;DataTest'!$A$33:$AB$182, , MATCH(HOME!$A$25, 'language&amp;DataTest'!$A$1:$G$1, 0)))),
   IF($M$26,
     IF(COUNTIFS(ARRAYFORMULA(SUBSTITUTE($C"&amp;"$2:$C287, "" ex"", """")), SUBSTITUTE(Q207, "" ex"", """"), $J$2:$J287, ""&gt;0"")=0, ""Yes"", ""No""),
     IF(COUNTIFS(ARRAYFORMULA(SUBSTITUTE($C$2:$C287, "" ex"", """")), SUBSTITUTE(Q207, "" ex"", """"), $A$2:$A287, TRUE)=0, ""Yes"", ""No"")
   ),
   ""No"&amp;"""
 )
)"),"")</f>
        <v/>
      </c>
    </row>
    <row r="208">
      <c r="A208" s="68" t="b">
        <v>1</v>
      </c>
      <c r="B208" s="69" t="s">
        <v>325</v>
      </c>
      <c r="C208" s="69" t="str">
        <f t="array" ref="C208">TEXTJOIN("", TRUE, IFERROR(INDEX('language&amp;DataTest'!A:J, MATCH(INDEX( PointerTest!C:C, MATCH(B208, PointerTest!A:A, 0), 0), 'language&amp;DataTest'!A:A, 0), MATCH(HOME!$A$25, 'language&amp;DataTest'!$A$1:$H$1, 0))),                      IFERROR(INDEX('language&amp;DataTest'!A:J, MATCH(INDEX( PointerTest!D:D, MATCH(B208, PointerTest!A:A, 0), 0), 'language&amp;DataTest'!A:A, 0), MATCH(HOME!$A$25, 'language&amp;DataTest'!$A$1:$H$1, 0))),                                          
IFERROR(INDEX('language&amp;DataTest'!A:J, MATCH(INDEX( PointerTest!E:E, MATCH(B208, PointerTest!A:A, 0), 0), 'language&amp;DataTest'!A:A, 0), MATCH(HOME!$A$25, 'language&amp;DataTest'!$A$1:$H$1, 0))))</f>
        <v>Eevee</v>
      </c>
      <c r="D208" s="69" t="str">
        <f t="array" ref="D208">INDEX('language&amp;DataTest'!A:J, MATCH(INDEX( PointerTest!D:D, MATCH(INDEX(PointerTest!B:B, MATCH(B208, PointerTest!A:A, 0)), PointerTest!A:A, 0), 0), 'language&amp;DataTest'!A:A, 0), MATCH(HOME!$A$25, 'language&amp;DataTest'!$A$1:$H$1, 0))</f>
        <v>Mewtwo</v>
      </c>
      <c r="E208" s="69" t="str">
        <f t="array" ref="E208">INDEX( PointerTest!F:F, MATCH(B208, PointerTest!A:A, 0), 0)</f>
        <v>♢</v>
      </c>
      <c r="F208" s="70">
        <f t="array" ref="F208">LET(percentage,XLOOKUP($E208,$K$2:$K$10,L$2:L$10,"",0)/(COUNTIFS($E:$E,$E208,$D:$D,RegularFormula!$D$2)+COUNTIFS($E:$E,$E208,$D:$D,IF($D208=RegularFormula!$D$2,$K$15,$D208))),IFERROR(IF(percentage,percentage,""),""))
</f>
        <v>0.02</v>
      </c>
      <c r="G208" s="71" t="str">
        <f t="array" ref="G208">LET(percentage,XLOOKUP($E208,$K$2:$K$10,M$2:M$10,"",0)/(COUNTIFS($E:$E,$E208,$D:$D,RegularFormula!$D$2)+COUNTIFS($E:$E,$E208,$D:$D,IF($D208=RegularFormula!$D$2,$K$15,$D208))),IFERROR(IF(percentage,percentage,""),""))
</f>
        <v/>
      </c>
      <c r="H208" s="71" t="str">
        <f t="array" ref="H208">LET(percentage,XLOOKUP($E208,$K$2:$K$10,N$2:N$10,"",0)/(COUNTIFS($E:$E,$E208,$D:$D,RegularFormula!$D$2)+COUNTIFS($E:$E,$E208,$D:$D,IF($D208=RegularFormula!$D$2,$K$15,$D208))),IFERROR(IF(percentage,percentage,""),""))
</f>
        <v/>
      </c>
      <c r="I208" s="72" t="str">
        <f t="shared" si="1"/>
        <v/>
      </c>
      <c r="J208" s="73">
        <v>0.0</v>
      </c>
      <c r="K208" s="194"/>
      <c r="L208" s="55"/>
      <c r="M208" s="55"/>
      <c r="N208" s="55"/>
      <c r="O208" s="197"/>
      <c r="P208" s="103"/>
      <c r="Q208" s="103"/>
      <c r="R208" s="103"/>
      <c r="S208" s="79" t="str">
        <f t="shared" si="2"/>
        <v/>
      </c>
      <c r="T208" s="80" t="str">
        <f>IFERROR(__xludf.DUMMYFUNCTION("IF(
  Q208="""",
  """",
  IF(
   REGEXMATCH(SUBSTITUTE(Q208, "" ex"", """"), TEXTJOIN(""|"", TRUE, INDEX('language&amp;DataTest'!$A$33:$AB$182, , MATCH(HOME!$A$25, 'language&amp;DataTest'!$A$1:$G$1, 0)))),
   IF($M$26,
     IF(COUNTIFS(ARRAYFORMULA(SUBSTITUTE($C"&amp;"$2:$C287, "" ex"", """")), SUBSTITUTE(Q208, "" ex"", """"), $J$2:$J287, ""&gt;0"")=0, ""Yes"", ""No""),
     IF(COUNTIFS(ARRAYFORMULA(SUBSTITUTE($C$2:$C287, "" ex"", """")), SUBSTITUTE(Q208, "" ex"", """"), $A$2:$A287, TRUE)=0, ""Yes"", ""No"")
   ),
   ""No"&amp;"""
 )
)"),"")</f>
        <v/>
      </c>
    </row>
    <row r="209">
      <c r="A209" s="68" t="b">
        <v>1</v>
      </c>
      <c r="B209" s="69" t="s">
        <v>326</v>
      </c>
      <c r="C209" s="69" t="str">
        <f t="array" ref="C209">TEXTJOIN("", TRUE, IFERROR(INDEX('language&amp;DataTest'!A:J, MATCH(INDEX( PointerTest!C:C, MATCH(B209, PointerTest!A:A, 0), 0), 'language&amp;DataTest'!A:A, 0), MATCH(HOME!$A$25, 'language&amp;DataTest'!$A$1:$H$1, 0))),                      IFERROR(INDEX('language&amp;DataTest'!A:J, MATCH(INDEX( PointerTest!D:D, MATCH(B209, PointerTest!A:A, 0), 0), 'language&amp;DataTest'!A:A, 0), MATCH(HOME!$A$25, 'language&amp;DataTest'!$A$1:$H$1, 0))),                                          
IFERROR(INDEX('language&amp;DataTest'!A:J, MATCH(INDEX( PointerTest!E:E, MATCH(B209, PointerTest!A:A, 0), 0), 'language&amp;DataTest'!A:A, 0), MATCH(HOME!$A$25, 'language&amp;DataTest'!$A$1:$H$1, 0))))</f>
        <v>Eevee</v>
      </c>
      <c r="D209" s="69" t="str">
        <f t="array" ref="D209">INDEX('language&amp;DataTest'!A:J, MATCH(INDEX( PointerTest!D:D, MATCH(INDEX(PointerTest!B:B, MATCH(B209, PointerTest!A:A, 0)), PointerTest!A:A, 0), 0), 'language&amp;DataTest'!A:A, 0), MATCH(HOME!$A$25, 'language&amp;DataTest'!$A$1:$H$1, 0))</f>
        <v>Pikachu</v>
      </c>
      <c r="E209" s="69" t="str">
        <f t="array" ref="E209">INDEX( PointerTest!F:F, MATCH(B209, PointerTest!A:A, 0), 0)</f>
        <v>♢</v>
      </c>
      <c r="F209" s="70">
        <f t="array" ref="F209">LET(percentage,XLOOKUP($E209,$K$2:$K$10,L$2:L$10,"",0)/(COUNTIFS($E:$E,$E209,$D:$D,RegularFormula!$D$2)+COUNTIFS($E:$E,$E209,$D:$D,IF($D209=RegularFormula!$D$2,$K$15,$D209))),IFERROR(IF(percentage,percentage,""),""))
</f>
        <v>0.02</v>
      </c>
      <c r="G209" s="71" t="str">
        <f t="array" ref="G209">LET(percentage,XLOOKUP($E209,$K$2:$K$10,M$2:M$10,"",0)/(COUNTIFS($E:$E,$E209,$D:$D,RegularFormula!$D$2)+COUNTIFS($E:$E,$E209,$D:$D,IF($D209=RegularFormula!$D$2,$K$15,$D209))),IFERROR(IF(percentage,percentage,""),""))
</f>
        <v/>
      </c>
      <c r="H209" s="71" t="str">
        <f t="array" ref="H209">LET(percentage,XLOOKUP($E209,$K$2:$K$10,N$2:N$10,"",0)/(COUNTIFS($E:$E,$E209,$D:$D,RegularFormula!$D$2)+COUNTIFS($E:$E,$E209,$D:$D,IF($D209=RegularFormula!$D$2,$K$15,$D209))),IFERROR(IF(percentage,percentage,""),""))
</f>
        <v/>
      </c>
      <c r="I209" s="72" t="str">
        <f t="shared" si="1"/>
        <v/>
      </c>
      <c r="J209" s="73">
        <v>0.0</v>
      </c>
      <c r="K209" s="194"/>
      <c r="L209" s="55"/>
      <c r="M209" s="55"/>
      <c r="N209" s="55"/>
      <c r="O209" s="197"/>
      <c r="P209" s="103"/>
      <c r="Q209" s="103"/>
      <c r="R209" s="103"/>
      <c r="S209" s="79" t="str">
        <f t="shared" si="2"/>
        <v/>
      </c>
      <c r="T209" s="80" t="str">
        <f>IFERROR(__xludf.DUMMYFUNCTION("IF(
  Q209="""",
  """",
  IF(
   REGEXMATCH(SUBSTITUTE(Q209, "" ex"", """"), TEXTJOIN(""|"", TRUE, INDEX('language&amp;DataTest'!$A$33:$AB$182, , MATCH(HOME!$A$25, 'language&amp;DataTest'!$A$1:$G$1, 0)))),
   IF($M$26,
     IF(COUNTIFS(ARRAYFORMULA(SUBSTITUTE($C"&amp;"$2:$C287, "" ex"", """")), SUBSTITUTE(Q209, "" ex"", """"), $J$2:$J287, ""&gt;0"")=0, ""Yes"", ""No""),
     IF(COUNTIFS(ARRAYFORMULA(SUBSTITUTE($C$2:$C287, "" ex"", """")), SUBSTITUTE(Q209, "" ex"", """"), $A$2:$A287, TRUE)=0, ""Yes"", ""No"")
   ),
   ""No"&amp;"""
 )
)"),"")</f>
        <v/>
      </c>
    </row>
    <row r="210">
      <c r="A210" s="68" t="b">
        <v>1</v>
      </c>
      <c r="B210" s="69" t="s">
        <v>327</v>
      </c>
      <c r="C210" s="69" t="str">
        <f t="array" ref="C210">TEXTJOIN("", TRUE, IFERROR(INDEX('language&amp;DataTest'!A:J, MATCH(INDEX( PointerTest!C:C, MATCH(B210, PointerTest!A:A, 0), 0), 'language&amp;DataTest'!A:A, 0), MATCH(HOME!$A$25, 'language&amp;DataTest'!$A$1:$H$1, 0))),                      IFERROR(INDEX('language&amp;DataTest'!A:J, MATCH(INDEX( PointerTest!D:D, MATCH(B210, PointerTest!A:A, 0), 0), 'language&amp;DataTest'!A:A, 0), MATCH(HOME!$A$25, 'language&amp;DataTest'!$A$1:$H$1, 0))),                                          
IFERROR(INDEX('language&amp;DataTest'!A:J, MATCH(INDEX( PointerTest!E:E, MATCH(B210, PointerTest!A:A, 0), 0), 'language&amp;DataTest'!A:A, 0), MATCH(HOME!$A$25, 'language&amp;DataTest'!$A$1:$H$1, 0))))</f>
        <v>Porygon</v>
      </c>
      <c r="D210" s="69" t="str">
        <f t="array" ref="D210">INDEX('language&amp;DataTest'!A:J, MATCH(INDEX( PointerTest!D:D, MATCH(INDEX(PointerTest!B:B, MATCH(B210, PointerTest!A:A, 0)), PointerTest!A:A, 0), 0), 'language&amp;DataTest'!A:A, 0), MATCH(HOME!$A$25, 'language&amp;DataTest'!$A$1:$H$1, 0))</f>
        <v>Mewtwo</v>
      </c>
      <c r="E210" s="69" t="str">
        <f t="array" ref="E210">INDEX( PointerTest!F:F, MATCH(B210, PointerTest!A:A, 0), 0)</f>
        <v>♢♢</v>
      </c>
      <c r="F210" s="70" t="str">
        <f t="array" ref="F210">LET(percentage,XLOOKUP($E210,$K$2:$K$10,L$2:L$10,"",0)/(COUNTIFS($E:$E,$E210,$D:$D,RegularFormula!$D$2)+COUNTIFS($E:$E,$E210,$D:$D,IF($D210=RegularFormula!$D$2,$K$15,$D210))),IFERROR(IF(percentage,percentage,""),""))
</f>
        <v/>
      </c>
      <c r="G210" s="71">
        <f t="array" ref="G210">LET(percentage,XLOOKUP($E210,$K$2:$K$10,M$2:M$10,"",0)/(COUNTIFS($E:$E,$E210,$D:$D,RegularFormula!$D$2)+COUNTIFS($E:$E,$E210,$D:$D,IF($D210=RegularFormula!$D$2,$K$15,$D210))),IFERROR(IF(percentage,percentage,""),""))
</f>
        <v>0.02571428571</v>
      </c>
      <c r="H210" s="71">
        <f t="array" ref="H210">LET(percentage,XLOOKUP($E210,$K$2:$K$10,N$2:N$10,"",0)/(COUNTIFS($E:$E,$E210,$D:$D,RegularFormula!$D$2)+COUNTIFS($E:$E,$E210,$D:$D,IF($D210=RegularFormula!$D$2,$K$15,$D210))),IFERROR(IF(percentage,percentage,""),""))
</f>
        <v>0.01714285714</v>
      </c>
      <c r="I210" s="72" t="str">
        <f t="shared" si="1"/>
        <v/>
      </c>
      <c r="J210" s="73">
        <v>0.0</v>
      </c>
      <c r="K210" s="194"/>
      <c r="L210" s="55"/>
      <c r="M210" s="55"/>
      <c r="N210" s="55"/>
      <c r="O210" s="197"/>
      <c r="P210" s="103"/>
      <c r="Q210" s="103"/>
      <c r="R210" s="103"/>
      <c r="S210" s="79" t="str">
        <f t="shared" si="2"/>
        <v/>
      </c>
      <c r="T210" s="80" t="str">
        <f>IFERROR(__xludf.DUMMYFUNCTION("IF(
  Q210="""",
  """",
  IF(
   REGEXMATCH(SUBSTITUTE(Q210, "" ex"", """"), TEXTJOIN(""|"", TRUE, INDEX('language&amp;DataTest'!$A$33:$AB$182, , MATCH(HOME!$A$25, 'language&amp;DataTest'!$A$1:$G$1, 0)))),
   IF($M$26,
     IF(COUNTIFS(ARRAYFORMULA(SUBSTITUTE($C"&amp;"$2:$C287, "" ex"", """")), SUBSTITUTE(Q210, "" ex"", """"), $J$2:$J287, ""&gt;0"")=0, ""Yes"", ""No""),
     IF(COUNTIFS(ARRAYFORMULA(SUBSTITUTE($C$2:$C287, "" ex"", """")), SUBSTITUTE(Q210, "" ex"", """"), $A$2:$A287, TRUE)=0, ""Yes"", ""No"")
   ),
   ""No"&amp;"""
 )
)"),"")</f>
        <v/>
      </c>
    </row>
    <row r="211">
      <c r="A211" s="68" t="b">
        <v>1</v>
      </c>
      <c r="B211" s="69" t="s">
        <v>328</v>
      </c>
      <c r="C211" s="69" t="str">
        <f t="array" ref="C211">TEXTJOIN("", TRUE, IFERROR(INDEX('language&amp;DataTest'!A:J, MATCH(INDEX( PointerTest!C:C, MATCH(B211, PointerTest!A:A, 0), 0), 'language&amp;DataTest'!A:A, 0), MATCH(HOME!$A$25, 'language&amp;DataTest'!$A$1:$H$1, 0))),                      IFERROR(INDEX('language&amp;DataTest'!A:J, MATCH(INDEX( PointerTest!D:D, MATCH(B211, PointerTest!A:A, 0), 0), 'language&amp;DataTest'!A:A, 0), MATCH(HOME!$A$25, 'language&amp;DataTest'!$A$1:$H$1, 0))),                                          
IFERROR(INDEX('language&amp;DataTest'!A:J, MATCH(INDEX( PointerTest!E:E, MATCH(B211, PointerTest!A:A, 0), 0), 'language&amp;DataTest'!A:A, 0), MATCH(HOME!$A$25, 'language&amp;DataTest'!$A$1:$H$1, 0))))</f>
        <v>Aerodactyl</v>
      </c>
      <c r="D211" s="69" t="str">
        <f t="array" ref="D211">INDEX('language&amp;DataTest'!A:J, MATCH(INDEX( PointerTest!D:D, MATCH(INDEX(PointerTest!B:B, MATCH(B211, PointerTest!A:A, 0)), PointerTest!A:A, 0), 0), 'language&amp;DataTest'!A:A, 0), MATCH(HOME!$A$25, 'language&amp;DataTest'!$A$1:$H$1, 0))</f>
        <v>Mewtwo</v>
      </c>
      <c r="E211" s="69" t="str">
        <f t="array" ref="E211">INDEX( PointerTest!F:F, MATCH(B211, PointerTest!A:A, 0), 0)</f>
        <v>♢♢♢</v>
      </c>
      <c r="F211" s="70" t="str">
        <f t="array" ref="F211">LET(percentage,XLOOKUP($E211,$K$2:$K$10,L$2:L$10,"",0)/(COUNTIFS($E:$E,$E211,$D:$D,RegularFormula!$D$2)+COUNTIFS($E:$E,$E211,$D:$D,IF($D211=RegularFormula!$D$2,$K$15,$D211))),IFERROR(IF(percentage,percentage,""),""))
</f>
        <v/>
      </c>
      <c r="G211" s="71">
        <f t="array" ref="G211">LET(percentage,XLOOKUP($E211,$K$2:$K$10,M$2:M$10,"",0)/(COUNTIFS($E:$E,$E211,$D:$D,RegularFormula!$D$2)+COUNTIFS($E:$E,$E211,$D:$D,IF($D211=RegularFormula!$D$2,$K$15,$D211))),IFERROR(IF(percentage,percentage,""),""))
</f>
        <v>0.003571428571</v>
      </c>
      <c r="H211" s="71">
        <f t="array" ref="H211">LET(percentage,XLOOKUP($E211,$K$2:$K$10,N$2:N$10,"",0)/(COUNTIFS($E:$E,$E211,$D:$D,RegularFormula!$D$2)+COUNTIFS($E:$E,$E211,$D:$D,IF($D211=RegularFormula!$D$2,$K$15,$D211))),IFERROR(IF(percentage,percentage,""),""))
</f>
        <v>0.01428571429</v>
      </c>
      <c r="I211" s="72" t="str">
        <f t="shared" si="1"/>
        <v/>
      </c>
      <c r="J211" s="73">
        <v>0.0</v>
      </c>
      <c r="K211" s="194"/>
      <c r="L211" s="55"/>
      <c r="M211" s="55"/>
      <c r="N211" s="55"/>
      <c r="O211" s="197"/>
      <c r="P211" s="103"/>
      <c r="Q211" s="103"/>
      <c r="R211" s="103"/>
      <c r="S211" s="79" t="str">
        <f t="shared" si="2"/>
        <v/>
      </c>
      <c r="T211" s="80" t="str">
        <f>IFERROR(__xludf.DUMMYFUNCTION("IF(
  Q211="""",
  """",
  IF(
   REGEXMATCH(SUBSTITUTE(Q211, "" ex"", """"), TEXTJOIN(""|"", TRUE, INDEX('language&amp;DataTest'!$A$33:$AB$182, , MATCH(HOME!$A$25, 'language&amp;DataTest'!$A$1:$G$1, 0)))),
   IF($M$26,
     IF(COUNTIFS(ARRAYFORMULA(SUBSTITUTE($C"&amp;"$2:$C287, "" ex"", """")), SUBSTITUTE(Q211, "" ex"", """"), $J$2:$J287, ""&gt;0"")=0, ""Yes"", ""No""),
     IF(COUNTIFS(ARRAYFORMULA(SUBSTITUTE($C$2:$C287, "" ex"", """")), SUBSTITUTE(Q211, "" ex"", """"), $A$2:$A287, TRUE)=0, ""Yes"", ""No"")
   ),
   ""No"&amp;"""
 )
)"),"")</f>
        <v/>
      </c>
    </row>
    <row r="212">
      <c r="A212" s="68" t="b">
        <v>1</v>
      </c>
      <c r="B212" s="69" t="s">
        <v>329</v>
      </c>
      <c r="C212" s="69" t="str">
        <f t="array" ref="C212">TEXTJOIN("", TRUE, IFERROR(INDEX('language&amp;DataTest'!A:J, MATCH(INDEX( PointerTest!C:C, MATCH(B212, PointerTest!A:A, 0), 0), 'language&amp;DataTest'!A:A, 0), MATCH(HOME!$A$25, 'language&amp;DataTest'!$A$1:$H$1, 0))),                      IFERROR(INDEX('language&amp;DataTest'!A:J, MATCH(INDEX( PointerTest!D:D, MATCH(B212, PointerTest!A:A, 0), 0), 'language&amp;DataTest'!A:A, 0), MATCH(HOME!$A$25, 'language&amp;DataTest'!$A$1:$H$1, 0))),                                          
IFERROR(INDEX('language&amp;DataTest'!A:J, MATCH(INDEX( PointerTest!E:E, MATCH(B212, PointerTest!A:A, 0), 0), 'language&amp;DataTest'!A:A, 0), MATCH(HOME!$A$25, 'language&amp;DataTest'!$A$1:$H$1, 0))))</f>
        <v>Snorlax</v>
      </c>
      <c r="D212" s="69" t="str">
        <f t="array" ref="D212">INDEX('language&amp;DataTest'!A:J, MATCH(INDEX( PointerTest!D:D, MATCH(INDEX(PointerTest!B:B, MATCH(B212, PointerTest!A:A, 0)), PointerTest!A:A, 0), 0), 'language&amp;DataTest'!A:A, 0), MATCH(HOME!$A$25, 'language&amp;DataTest'!$A$1:$H$1, 0))</f>
        <v>Pikachu</v>
      </c>
      <c r="E212" s="69" t="str">
        <f t="array" ref="E212">INDEX( PointerTest!F:F, MATCH(B212, PointerTest!A:A, 0), 0)</f>
        <v>♢♢♢</v>
      </c>
      <c r="F212" s="70" t="str">
        <f t="array" ref="F212">LET(percentage,XLOOKUP($E212,$K$2:$K$10,L$2:L$10,"",0)/(COUNTIFS($E:$E,$E212,$D:$D,RegularFormula!$D$2)+COUNTIFS($E:$E,$E212,$D:$D,IF($D212=RegularFormula!$D$2,$K$15,$D212))),IFERROR(IF(percentage,percentage,""),""))
</f>
        <v/>
      </c>
      <c r="G212" s="71">
        <f t="array" ref="G212">LET(percentage,XLOOKUP($E212,$K$2:$K$10,M$2:M$10,"",0)/(COUNTIFS($E:$E,$E212,$D:$D,RegularFormula!$D$2)+COUNTIFS($E:$E,$E212,$D:$D,IF($D212=RegularFormula!$D$2,$K$15,$D212))),IFERROR(IF(percentage,percentage,""),""))
</f>
        <v>0.003571428571</v>
      </c>
      <c r="H212" s="71">
        <f t="array" ref="H212">LET(percentage,XLOOKUP($E212,$K$2:$K$10,N$2:N$10,"",0)/(COUNTIFS($E:$E,$E212,$D:$D,RegularFormula!$D$2)+COUNTIFS($E:$E,$E212,$D:$D,IF($D212=RegularFormula!$D$2,$K$15,$D212))),IFERROR(IF(percentage,percentage,""),""))
</f>
        <v>0.01428571429</v>
      </c>
      <c r="I212" s="72" t="str">
        <f t="shared" si="1"/>
        <v/>
      </c>
      <c r="J212" s="73">
        <v>0.0</v>
      </c>
      <c r="K212" s="194"/>
      <c r="L212" s="55"/>
      <c r="M212" s="55"/>
      <c r="N212" s="55"/>
      <c r="O212" s="197"/>
      <c r="P212" s="103"/>
      <c r="Q212" s="103"/>
      <c r="R212" s="103"/>
      <c r="S212" s="79" t="str">
        <f t="shared" si="2"/>
        <v/>
      </c>
      <c r="T212" s="80" t="str">
        <f>IFERROR(__xludf.DUMMYFUNCTION("IF(
  Q212="""",
  """",
  IF(
   REGEXMATCH(SUBSTITUTE(Q212, "" ex"", """"), TEXTJOIN(""|"", TRUE, INDEX('language&amp;DataTest'!$A$33:$AB$182, , MATCH(HOME!$A$25, 'language&amp;DataTest'!$A$1:$G$1, 0)))),
   IF($M$26,
     IF(COUNTIFS(ARRAYFORMULA(SUBSTITUTE($C"&amp;"$2:$C287, "" ex"", """")), SUBSTITUTE(Q212, "" ex"", """"), $J$2:$J287, ""&gt;0"")=0, ""Yes"", ""No""),
     IF(COUNTIFS(ARRAYFORMULA(SUBSTITUTE($C$2:$C287, "" ex"", """")), SUBSTITUTE(Q212, "" ex"", """"), $A$2:$A287, TRUE)=0, ""Yes"", ""No"")
   ),
   ""No"&amp;"""
 )
)"),"")</f>
        <v/>
      </c>
    </row>
    <row r="213">
      <c r="A213" s="68" t="b">
        <v>1</v>
      </c>
      <c r="B213" s="69" t="s">
        <v>330</v>
      </c>
      <c r="C213" s="69" t="str">
        <f t="array" ref="C213">TEXTJOIN("", TRUE, IFERROR(INDEX('language&amp;DataTest'!A:J, MATCH(INDEX( PointerTest!C:C, MATCH(B213, PointerTest!A:A, 0), 0), 'language&amp;DataTest'!A:A, 0), MATCH(HOME!$A$25, 'language&amp;DataTest'!$A$1:$H$1, 0))),                      IFERROR(INDEX('language&amp;DataTest'!A:J, MATCH(INDEX( PointerTest!D:D, MATCH(B213, PointerTest!A:A, 0), 0), 'language&amp;DataTest'!A:A, 0), MATCH(HOME!$A$25, 'language&amp;DataTest'!$A$1:$H$1, 0))),                                          
IFERROR(INDEX('language&amp;DataTest'!A:J, MATCH(INDEX( PointerTest!E:E, MATCH(B213, PointerTest!A:A, 0), 0), 'language&amp;DataTest'!A:A, 0), MATCH(HOME!$A$25, 'language&amp;DataTest'!$A$1:$H$1, 0))))</f>
        <v>Minccino</v>
      </c>
      <c r="D213" s="69" t="str">
        <f t="array" ref="D213">INDEX('language&amp;DataTest'!A:J, MATCH(INDEX( PointerTest!D:D, MATCH(INDEX(PointerTest!B:B, MATCH(B213, PointerTest!A:A, 0)), PointerTest!A:A, 0), 0), 'language&amp;DataTest'!A:A, 0), MATCH(HOME!$A$25, 'language&amp;DataTest'!$A$1:$H$1, 0))</f>
        <v>All</v>
      </c>
      <c r="E213" s="69" t="str">
        <f t="array" ref="E213">INDEX( PointerTest!F:F, MATCH(B213, PointerTest!A:A, 0), 0)</f>
        <v>♢</v>
      </c>
      <c r="F213" s="70">
        <f t="array" ref="F213">LET(percentage,XLOOKUP($E213,$K$2:$K$10,L$2:L$10,"",0)/(COUNTIFS($E:$E,$E213,$D:$D,RegularFormula!$D$2)+COUNTIFS($E:$E,$E213,$D:$D,IF($D213=RegularFormula!$D$2,$K$15,$D213))),IFERROR(IF(percentage,percentage,""),""))
</f>
        <v>0.02</v>
      </c>
      <c r="G213" s="71" t="str">
        <f t="array" ref="G213">LET(percentage,XLOOKUP($E213,$K$2:$K$10,M$2:M$10,"",0)/(COUNTIFS($E:$E,$E213,$D:$D,RegularFormula!$D$2)+COUNTIFS($E:$E,$E213,$D:$D,IF($D213=RegularFormula!$D$2,$K$15,$D213))),IFERROR(IF(percentage,percentage,""),""))
</f>
        <v/>
      </c>
      <c r="H213" s="71" t="str">
        <f t="array" ref="H213">LET(percentage,XLOOKUP($E213,$K$2:$K$10,N$2:N$10,"",0)/(COUNTIFS($E:$E,$E213,$D:$D,RegularFormula!$D$2)+COUNTIFS($E:$E,$E213,$D:$D,IF($D213=RegularFormula!$D$2,$K$15,$D213))),IFERROR(IF(percentage,percentage,""),""))
</f>
        <v/>
      </c>
      <c r="I213" s="72" t="str">
        <f t="shared" si="1"/>
        <v>*Based on Mewtwo pack</v>
      </c>
      <c r="J213" s="73">
        <v>0.0</v>
      </c>
      <c r="K213" s="194"/>
      <c r="L213" s="55"/>
      <c r="M213" s="55"/>
      <c r="N213" s="55"/>
      <c r="O213" s="197"/>
      <c r="P213" s="103"/>
      <c r="Q213" s="103"/>
      <c r="R213" s="103"/>
      <c r="S213" s="79" t="str">
        <f t="shared" si="2"/>
        <v/>
      </c>
      <c r="T213" s="80" t="str">
        <f>IFERROR(__xludf.DUMMYFUNCTION("IF(
  Q213="""",
  """",
  IF(
   REGEXMATCH(SUBSTITUTE(Q213, "" ex"", """"), TEXTJOIN(""|"", TRUE, INDEX('language&amp;DataTest'!$A$33:$AB$182, , MATCH(HOME!$A$25, 'language&amp;DataTest'!$A$1:$G$1, 0)))),
   IF($M$26,
     IF(COUNTIFS(ARRAYFORMULA(SUBSTITUTE($C"&amp;"$2:$C287, "" ex"", """")), SUBSTITUTE(Q213, "" ex"", """"), $J$2:$J287, ""&gt;0"")=0, ""Yes"", ""No""),
     IF(COUNTIFS(ARRAYFORMULA(SUBSTITUTE($C$2:$C287, "" ex"", """")), SUBSTITUTE(Q213, "" ex"", """"), $A$2:$A287, TRUE)=0, ""Yes"", ""No"")
   ),
   ""No"&amp;"""
 )
)"),"")</f>
        <v/>
      </c>
    </row>
    <row r="214">
      <c r="A214" s="68" t="b">
        <v>1</v>
      </c>
      <c r="B214" s="69" t="s">
        <v>331</v>
      </c>
      <c r="C214" s="69" t="str">
        <f t="array" ref="C214">TEXTJOIN("", TRUE, IFERROR(INDEX('language&amp;DataTest'!A:J, MATCH(INDEX( PointerTest!C:C, MATCH(B214, PointerTest!A:A, 0), 0), 'language&amp;DataTest'!A:A, 0), MATCH(HOME!$A$25, 'language&amp;DataTest'!$A$1:$H$1, 0))),                      IFERROR(INDEX('language&amp;DataTest'!A:J, MATCH(INDEX( PointerTest!D:D, MATCH(B214, PointerTest!A:A, 0), 0), 'language&amp;DataTest'!A:A, 0), MATCH(HOME!$A$25, 'language&amp;DataTest'!$A$1:$H$1, 0))),                                          
IFERROR(INDEX('language&amp;DataTest'!A:J, MATCH(INDEX( PointerTest!E:E, MATCH(B214, PointerTest!A:A, 0), 0), 'language&amp;DataTest'!A:A, 0), MATCH(HOME!$A$25, 'language&amp;DataTest'!$A$1:$H$1, 0))))</f>
        <v>Cinccino</v>
      </c>
      <c r="D214" s="69" t="str">
        <f t="array" ref="D214">INDEX('language&amp;DataTest'!A:J, MATCH(INDEX( PointerTest!D:D, MATCH(INDEX(PointerTest!B:B, MATCH(B214, PointerTest!A:A, 0)), PointerTest!A:A, 0), 0), 'language&amp;DataTest'!A:A, 0), MATCH(HOME!$A$25, 'language&amp;DataTest'!$A$1:$H$1, 0))</f>
        <v>All</v>
      </c>
      <c r="E214" s="69" t="str">
        <f t="array" ref="E214">INDEX( PointerTest!F:F, MATCH(B214, PointerTest!A:A, 0), 0)</f>
        <v>♢♢</v>
      </c>
      <c r="F214" s="70" t="str">
        <f t="array" ref="F214">LET(percentage,XLOOKUP($E214,$K$2:$K$10,L$2:L$10,"",0)/(COUNTIFS($E:$E,$E214,$D:$D,RegularFormula!$D$2)+COUNTIFS($E:$E,$E214,$D:$D,IF($D214=RegularFormula!$D$2,$K$15,$D214))),IFERROR(IF(percentage,percentage,""),""))
</f>
        <v/>
      </c>
      <c r="G214" s="71">
        <f t="array" ref="G214">LET(percentage,XLOOKUP($E214,$K$2:$K$10,M$2:M$10,"",0)/(COUNTIFS($E:$E,$E214,$D:$D,RegularFormula!$D$2)+COUNTIFS($E:$E,$E214,$D:$D,IF($D214=RegularFormula!$D$2,$K$15,$D214))),IFERROR(IF(percentage,percentage,""),""))
</f>
        <v>0.02571428571</v>
      </c>
      <c r="H214" s="71">
        <f t="array" ref="H214">LET(percentage,XLOOKUP($E214,$K$2:$K$10,N$2:N$10,"",0)/(COUNTIFS($E:$E,$E214,$D:$D,RegularFormula!$D$2)+COUNTIFS($E:$E,$E214,$D:$D,IF($D214=RegularFormula!$D$2,$K$15,$D214))),IFERROR(IF(percentage,percentage,""),""))
</f>
        <v>0.01714285714</v>
      </c>
      <c r="I214" s="72" t="str">
        <f t="shared" si="1"/>
        <v>*Based on Mewtwo pack</v>
      </c>
      <c r="J214" s="73">
        <v>0.0</v>
      </c>
      <c r="K214" s="194"/>
      <c r="L214" s="55"/>
      <c r="M214" s="55"/>
      <c r="N214" s="55"/>
      <c r="O214" s="197"/>
      <c r="P214" s="103"/>
      <c r="Q214" s="103"/>
      <c r="R214" s="103"/>
      <c r="S214" s="79" t="str">
        <f t="shared" si="2"/>
        <v/>
      </c>
      <c r="T214" s="80" t="str">
        <f>IFERROR(__xludf.DUMMYFUNCTION("IF(
  Q214="""",
  """",
  IF(
   REGEXMATCH(SUBSTITUTE(Q214, "" ex"", """"), TEXTJOIN(""|"", TRUE, INDEX('language&amp;DataTest'!$A$33:$AB$182, , MATCH(HOME!$A$25, 'language&amp;DataTest'!$A$1:$G$1, 0)))),
   IF($M$26,
     IF(COUNTIFS(ARRAYFORMULA(SUBSTITUTE($C"&amp;"$2:$C287, "" ex"", """")), SUBSTITUTE(Q214, "" ex"", """"), $J$2:$J287, ""&gt;0"")=0, ""Yes"", ""No""),
     IF(COUNTIFS(ARRAYFORMULA(SUBSTITUTE($C$2:$C287, "" ex"", """")), SUBSTITUTE(Q214, "" ex"", """"), $A$2:$A287, TRUE)=0, ""Yes"", ""No"")
   ),
   ""No"&amp;"""
 )
)"),"")</f>
        <v/>
      </c>
    </row>
    <row r="215">
      <c r="A215" s="68" t="b">
        <v>1</v>
      </c>
      <c r="B215" s="69" t="s">
        <v>332</v>
      </c>
      <c r="C215" s="69" t="str">
        <f t="array" ref="C215">TEXTJOIN("", TRUE, IFERROR(INDEX('language&amp;DataTest'!A:J, MATCH(INDEX( PointerTest!C:C, MATCH(B215, PointerTest!A:A, 0), 0), 'language&amp;DataTest'!A:A, 0), MATCH(HOME!$A$25, 'language&amp;DataTest'!$A$1:$H$1, 0))),                      IFERROR(INDEX('language&amp;DataTest'!A:J, MATCH(INDEX( PointerTest!D:D, MATCH(B215, PointerTest!A:A, 0), 0), 'language&amp;DataTest'!A:A, 0), MATCH(HOME!$A$25, 'language&amp;DataTest'!$A$1:$H$1, 0))),                                          
IFERROR(INDEX('language&amp;DataTest'!A:J, MATCH(INDEX( PointerTest!E:E, MATCH(B215, PointerTest!A:A, 0), 0), 'language&amp;DataTest'!A:A, 0), MATCH(HOME!$A$25, 'language&amp;DataTest'!$A$1:$H$1, 0))))</f>
        <v>Wooloo</v>
      </c>
      <c r="D215" s="69" t="str">
        <f t="array" ref="D215">INDEX('language&amp;DataTest'!A:J, MATCH(INDEX( PointerTest!D:D, MATCH(INDEX(PointerTest!B:B, MATCH(B215, PointerTest!A:A, 0)), PointerTest!A:A, 0), 0), 'language&amp;DataTest'!A:A, 0), MATCH(HOME!$A$25, 'language&amp;DataTest'!$A$1:$H$1, 0))</f>
        <v>All</v>
      </c>
      <c r="E215" s="69" t="str">
        <f t="array" ref="E215">INDEX( PointerTest!F:F, MATCH(B215, PointerTest!A:A, 0), 0)</f>
        <v>♢</v>
      </c>
      <c r="F215" s="70">
        <f t="array" ref="F215">LET(percentage,XLOOKUP($E215,$K$2:$K$10,L$2:L$10,"",0)/(COUNTIFS($E:$E,$E215,$D:$D,RegularFormula!$D$2)+COUNTIFS($E:$E,$E215,$D:$D,IF($D215=RegularFormula!$D$2,$K$15,$D215))),IFERROR(IF(percentage,percentage,""),""))
</f>
        <v>0.02</v>
      </c>
      <c r="G215" s="71" t="str">
        <f t="array" ref="G215">LET(percentage,XLOOKUP($E215,$K$2:$K$10,M$2:M$10,"",0)/(COUNTIFS($E:$E,$E215,$D:$D,RegularFormula!$D$2)+COUNTIFS($E:$E,$E215,$D:$D,IF($D215=RegularFormula!$D$2,$K$15,$D215))),IFERROR(IF(percentage,percentage,""),""))
</f>
        <v/>
      </c>
      <c r="H215" s="71" t="str">
        <f t="array" ref="H215">LET(percentage,XLOOKUP($E215,$K$2:$K$10,N$2:N$10,"",0)/(COUNTIFS($E:$E,$E215,$D:$D,RegularFormula!$D$2)+COUNTIFS($E:$E,$E215,$D:$D,IF($D215=RegularFormula!$D$2,$K$15,$D215))),IFERROR(IF(percentage,percentage,""),""))
</f>
        <v/>
      </c>
      <c r="I215" s="72" t="str">
        <f t="shared" si="1"/>
        <v>*Based on Mewtwo pack</v>
      </c>
      <c r="J215" s="73">
        <v>0.0</v>
      </c>
      <c r="K215" s="194"/>
      <c r="L215" s="55"/>
      <c r="M215" s="55"/>
      <c r="N215" s="55"/>
      <c r="O215" s="197"/>
      <c r="P215" s="103"/>
      <c r="Q215" s="103"/>
      <c r="R215" s="103"/>
      <c r="S215" s="79" t="str">
        <f t="shared" si="2"/>
        <v/>
      </c>
      <c r="T215" s="80" t="str">
        <f>IFERROR(__xludf.DUMMYFUNCTION("IF(
  Q215="""",
  """",
  IF(
   REGEXMATCH(SUBSTITUTE(Q215, "" ex"", """"), TEXTJOIN(""|"", TRUE, INDEX('language&amp;DataTest'!$A$33:$AB$182, , MATCH(HOME!$A$25, 'language&amp;DataTest'!$A$1:$G$1, 0)))),
   IF($M$26,
     IF(COUNTIFS(ARRAYFORMULA(SUBSTITUTE($C"&amp;"$2:$C287, "" ex"", """")), SUBSTITUTE(Q215, "" ex"", """"), $J$2:$J287, ""&gt;0"")=0, ""Yes"", ""No""),
     IF(COUNTIFS(ARRAYFORMULA(SUBSTITUTE($C$2:$C287, "" ex"", """")), SUBSTITUTE(Q215, "" ex"", """"), $A$2:$A287, TRUE)=0, ""Yes"", ""No"")
   ),
   ""No"&amp;"""
 )
)"),"")</f>
        <v/>
      </c>
    </row>
    <row r="216">
      <c r="A216" s="68" t="b">
        <v>1</v>
      </c>
      <c r="B216" s="69" t="s">
        <v>333</v>
      </c>
      <c r="C216" s="69" t="str">
        <f t="array" ref="C216">TEXTJOIN("", TRUE, IFERROR(INDEX('language&amp;DataTest'!A:J, MATCH(INDEX( PointerTest!C:C, MATCH(B216, PointerTest!A:A, 0), 0), 'language&amp;DataTest'!A:A, 0), MATCH(HOME!$A$25, 'language&amp;DataTest'!$A$1:$H$1, 0))),                      IFERROR(INDEX('language&amp;DataTest'!A:J, MATCH(INDEX( PointerTest!D:D, MATCH(B216, PointerTest!A:A, 0), 0), 'language&amp;DataTest'!A:A, 0), MATCH(HOME!$A$25, 'language&amp;DataTest'!$A$1:$H$1, 0))),                                          
IFERROR(INDEX('language&amp;DataTest'!A:J, MATCH(INDEX( PointerTest!E:E, MATCH(B216, PointerTest!A:A, 0), 0), 'language&amp;DataTest'!A:A, 0), MATCH(HOME!$A$25, 'language&amp;DataTest'!$A$1:$H$1, 0))))</f>
        <v>Dubwool</v>
      </c>
      <c r="D216" s="69" t="str">
        <f t="array" ref="D216">INDEX('language&amp;DataTest'!A:J, MATCH(INDEX( PointerTest!D:D, MATCH(INDEX(PointerTest!B:B, MATCH(B216, PointerTest!A:A, 0)), PointerTest!A:A, 0), 0), 'language&amp;DataTest'!A:A, 0), MATCH(HOME!$A$25, 'language&amp;DataTest'!$A$1:$H$1, 0))</f>
        <v>All</v>
      </c>
      <c r="E216" s="69" t="str">
        <f t="array" ref="E216">INDEX( PointerTest!F:F, MATCH(B216, PointerTest!A:A, 0), 0)</f>
        <v>♢</v>
      </c>
      <c r="F216" s="70">
        <f t="array" ref="F216">LET(percentage,XLOOKUP($E216,$K$2:$K$10,L$2:L$10,"",0)/(COUNTIFS($E:$E,$E216,$D:$D,RegularFormula!$D$2)+COUNTIFS($E:$E,$E216,$D:$D,IF($D216=RegularFormula!$D$2,$K$15,$D216))),IFERROR(IF(percentage,percentage,""),""))
</f>
        <v>0.02</v>
      </c>
      <c r="G216" s="71" t="str">
        <f t="array" ref="G216">LET(percentage,XLOOKUP($E216,$K$2:$K$10,M$2:M$10,"",0)/(COUNTIFS($E:$E,$E216,$D:$D,RegularFormula!$D$2)+COUNTIFS($E:$E,$E216,$D:$D,IF($D216=RegularFormula!$D$2,$K$15,$D216))),IFERROR(IF(percentage,percentage,""),""))
</f>
        <v/>
      </c>
      <c r="H216" s="71" t="str">
        <f t="array" ref="H216">LET(percentage,XLOOKUP($E216,$K$2:$K$10,N$2:N$10,"",0)/(COUNTIFS($E:$E,$E216,$D:$D,RegularFormula!$D$2)+COUNTIFS($E:$E,$E216,$D:$D,IF($D216=RegularFormula!$D$2,$K$15,$D216))),IFERROR(IF(percentage,percentage,""),""))
</f>
        <v/>
      </c>
      <c r="I216" s="72" t="str">
        <f t="shared" si="1"/>
        <v>*Based on Mewtwo pack</v>
      </c>
      <c r="J216" s="73">
        <v>0.0</v>
      </c>
      <c r="K216" s="194"/>
      <c r="L216" s="55"/>
      <c r="M216" s="55"/>
      <c r="N216" s="55"/>
      <c r="O216" s="197"/>
      <c r="P216" s="103"/>
      <c r="Q216" s="103"/>
      <c r="R216" s="103"/>
      <c r="S216" s="79" t="str">
        <f t="shared" si="2"/>
        <v/>
      </c>
      <c r="T216" s="80" t="str">
        <f>IFERROR(__xludf.DUMMYFUNCTION("IF(
  Q216="""",
  """",
  IF(
   REGEXMATCH(SUBSTITUTE(Q216, "" ex"", """"), TEXTJOIN(""|"", TRUE, INDEX('language&amp;DataTest'!$A$33:$AB$182, , MATCH(HOME!$A$25, 'language&amp;DataTest'!$A$1:$G$1, 0)))),
   IF($M$26,
     IF(COUNTIFS(ARRAYFORMULA(SUBSTITUTE($C"&amp;"$2:$C287, "" ex"", """")), SUBSTITUTE(Q216, "" ex"", """"), $J$2:$J287, ""&gt;0"")=0, ""Yes"", ""No""),
     IF(COUNTIFS(ARRAYFORMULA(SUBSTITUTE($C$2:$C287, "" ex"", """")), SUBSTITUTE(Q216, "" ex"", """"), $A$2:$A287, TRUE)=0, ""Yes"", ""No"")
   ),
   ""No"&amp;"""
 )
)"),"")</f>
        <v/>
      </c>
    </row>
    <row r="217">
      <c r="A217" s="68" t="b">
        <v>1</v>
      </c>
      <c r="B217" s="69" t="s">
        <v>334</v>
      </c>
      <c r="C217" s="69" t="str">
        <f t="array" ref="C217">TEXTJOIN("", TRUE, IFERROR(INDEX('language&amp;DataTest'!A:J, MATCH(INDEX( PointerTest!C:C, MATCH(B217, PointerTest!A:A, 0), 0), 'language&amp;DataTest'!A:A, 0), MATCH(HOME!$A$25, 'language&amp;DataTest'!$A$1:$H$1, 0))),                      IFERROR(INDEX('language&amp;DataTest'!A:J, MATCH(INDEX( PointerTest!D:D, MATCH(B217, PointerTest!A:A, 0), 0), 'language&amp;DataTest'!A:A, 0), MATCH(HOME!$A$25, 'language&amp;DataTest'!$A$1:$H$1, 0))),                                          
IFERROR(INDEX('language&amp;DataTest'!A:J, MATCH(INDEX( PointerTest!E:E, MATCH(B217, PointerTest!A:A, 0), 0), 'language&amp;DataTest'!A:A, 0), MATCH(HOME!$A$25, 'language&amp;DataTest'!$A$1:$H$1, 0))))</f>
        <v>Helix Fossil</v>
      </c>
      <c r="D217" s="69" t="str">
        <f t="array" ref="D217">INDEX('language&amp;DataTest'!A:J, MATCH(INDEX( PointerTest!D:D, MATCH(INDEX(PointerTest!B:B, MATCH(B217, PointerTest!A:A, 0)), PointerTest!A:A, 0), 0), 'language&amp;DataTest'!A:A, 0), MATCH(HOME!$A$25, 'language&amp;DataTest'!$A$1:$H$1, 0))</f>
        <v>Pikachu</v>
      </c>
      <c r="E217" s="69" t="str">
        <f t="array" ref="E217">INDEX( PointerTest!F:F, MATCH(B217, PointerTest!A:A, 0), 0)</f>
        <v>♢</v>
      </c>
      <c r="F217" s="70">
        <f t="array" ref="F217">LET(percentage,XLOOKUP($E217,$K$2:$K$10,L$2:L$10,"",0)/(COUNTIFS($E:$E,$E217,$D:$D,RegularFormula!$D$2)+COUNTIFS($E:$E,$E217,$D:$D,IF($D217=RegularFormula!$D$2,$K$15,$D217))),IFERROR(IF(percentage,percentage,""),""))
</f>
        <v>0.02</v>
      </c>
      <c r="G217" s="71" t="str">
        <f t="array" ref="G217">LET(percentage,XLOOKUP($E217,$K$2:$K$10,M$2:M$10,"",0)/(COUNTIFS($E:$E,$E217,$D:$D,RegularFormula!$D$2)+COUNTIFS($E:$E,$E217,$D:$D,IF($D217=RegularFormula!$D$2,$K$15,$D217))),IFERROR(IF(percentage,percentage,""),""))
</f>
        <v/>
      </c>
      <c r="H217" s="71" t="str">
        <f t="array" ref="H217">LET(percentage,XLOOKUP($E217,$K$2:$K$10,N$2:N$10,"",0)/(COUNTIFS($E:$E,$E217,$D:$D,RegularFormula!$D$2)+COUNTIFS($E:$E,$E217,$D:$D,IF($D217=RegularFormula!$D$2,$K$15,$D217))),IFERROR(IF(percentage,percentage,""),""))
</f>
        <v/>
      </c>
      <c r="I217" s="72" t="str">
        <f t="shared" si="1"/>
        <v/>
      </c>
      <c r="J217" s="73">
        <v>0.0</v>
      </c>
      <c r="K217" s="194"/>
      <c r="L217" s="55"/>
      <c r="M217" s="55"/>
      <c r="N217" s="55"/>
      <c r="O217" s="197"/>
      <c r="P217" s="103"/>
      <c r="Q217" s="103"/>
      <c r="R217" s="103"/>
      <c r="S217" s="79" t="str">
        <f t="shared" si="2"/>
        <v/>
      </c>
      <c r="T217" s="80" t="str">
        <f>IFERROR(__xludf.DUMMYFUNCTION("IF(
  Q217="""",
  """",
  IF(
   REGEXMATCH(SUBSTITUTE(Q217, "" ex"", """"), TEXTJOIN(""|"", TRUE, INDEX('language&amp;DataTest'!$A$33:$AB$182, , MATCH(HOME!$A$25, 'language&amp;DataTest'!$A$1:$G$1, 0)))),
   IF($M$26,
     IF(COUNTIFS(ARRAYFORMULA(SUBSTITUTE($C"&amp;"$2:$C287, "" ex"", """")), SUBSTITUTE(Q217, "" ex"", """"), $J$2:$J287, ""&gt;0"")=0, ""Yes"", ""No""),
     IF(COUNTIFS(ARRAYFORMULA(SUBSTITUTE($C$2:$C287, "" ex"", """")), SUBSTITUTE(Q217, "" ex"", """"), $A$2:$A287, TRUE)=0, ""Yes"", ""No"")
   ),
   ""No"&amp;"""
 )
)"),"")</f>
        <v/>
      </c>
    </row>
    <row r="218">
      <c r="A218" s="68" t="b">
        <v>1</v>
      </c>
      <c r="B218" s="69" t="s">
        <v>335</v>
      </c>
      <c r="C218" s="69" t="str">
        <f t="array" ref="C218">TEXTJOIN("", TRUE, IFERROR(INDEX('language&amp;DataTest'!A:J, MATCH(INDEX( PointerTest!C:C, MATCH(B218, PointerTest!A:A, 0), 0), 'language&amp;DataTest'!A:A, 0), MATCH(HOME!$A$25, 'language&amp;DataTest'!$A$1:$H$1, 0))),                      IFERROR(INDEX('language&amp;DataTest'!A:J, MATCH(INDEX( PointerTest!D:D, MATCH(B218, PointerTest!A:A, 0), 0), 'language&amp;DataTest'!A:A, 0), MATCH(HOME!$A$25, 'language&amp;DataTest'!$A$1:$H$1, 0))),                                          
IFERROR(INDEX('language&amp;DataTest'!A:J, MATCH(INDEX( PointerTest!E:E, MATCH(B218, PointerTest!A:A, 0), 0), 'language&amp;DataTest'!A:A, 0), MATCH(HOME!$A$25, 'language&amp;DataTest'!$A$1:$H$1, 0))))</f>
        <v>Dome Fossil</v>
      </c>
      <c r="D218" s="69" t="str">
        <f t="array" ref="D218">INDEX('language&amp;DataTest'!A:J, MATCH(INDEX( PointerTest!D:D, MATCH(INDEX(PointerTest!B:B, MATCH(B218, PointerTest!A:A, 0)), PointerTest!A:A, 0), 0), 'language&amp;DataTest'!A:A, 0), MATCH(HOME!$A$25, 'language&amp;DataTest'!$A$1:$H$1, 0))</f>
        <v>Charizard</v>
      </c>
      <c r="E218" s="69" t="str">
        <f t="array" ref="E218">INDEX( PointerTest!F:F, MATCH(B218, PointerTest!A:A, 0), 0)</f>
        <v>♢</v>
      </c>
      <c r="F218" s="70">
        <f t="array" ref="F218">LET(percentage,XLOOKUP($E218,$K$2:$K$10,L$2:L$10,"",0)/(COUNTIFS($E:$E,$E218,$D:$D,RegularFormula!$D$2)+COUNTIFS($E:$E,$E218,$D:$D,IF($D218=RegularFormula!$D$2,$K$15,$D218))),IFERROR(IF(percentage,percentage,""),""))
</f>
        <v>0.02</v>
      </c>
      <c r="G218" s="71" t="str">
        <f t="array" ref="G218">LET(percentage,XLOOKUP($E218,$K$2:$K$10,M$2:M$10,"",0)/(COUNTIFS($E:$E,$E218,$D:$D,RegularFormula!$D$2)+COUNTIFS($E:$E,$E218,$D:$D,IF($D218=RegularFormula!$D$2,$K$15,$D218))),IFERROR(IF(percentage,percentage,""),""))
</f>
        <v/>
      </c>
      <c r="H218" s="71" t="str">
        <f t="array" ref="H218">LET(percentage,XLOOKUP($E218,$K$2:$K$10,N$2:N$10,"",0)/(COUNTIFS($E:$E,$E218,$D:$D,RegularFormula!$D$2)+COUNTIFS($E:$E,$E218,$D:$D,IF($D218=RegularFormula!$D$2,$K$15,$D218))),IFERROR(IF(percentage,percentage,""),""))
</f>
        <v/>
      </c>
      <c r="I218" s="72" t="str">
        <f t="shared" si="1"/>
        <v/>
      </c>
      <c r="J218" s="73">
        <v>0.0</v>
      </c>
      <c r="K218" s="194"/>
      <c r="L218" s="55"/>
      <c r="M218" s="55"/>
      <c r="N218" s="55"/>
      <c r="O218" s="197"/>
      <c r="P218" s="103"/>
      <c r="Q218" s="103"/>
      <c r="R218" s="103"/>
      <c r="S218" s="79" t="str">
        <f t="shared" si="2"/>
        <v/>
      </c>
      <c r="T218" s="80" t="str">
        <f>IFERROR(__xludf.DUMMYFUNCTION("IF(
  Q218="""",
  """",
  IF(
   REGEXMATCH(SUBSTITUTE(Q218, "" ex"", """"), TEXTJOIN(""|"", TRUE, INDEX('language&amp;DataTest'!$A$33:$AB$182, , MATCH(HOME!$A$25, 'language&amp;DataTest'!$A$1:$G$1, 0)))),
   IF($M$26,
     IF(COUNTIFS(ARRAYFORMULA(SUBSTITUTE($C"&amp;"$2:$C287, "" ex"", """")), SUBSTITUTE(Q218, "" ex"", """"), $J$2:$J287, ""&gt;0"")=0, ""Yes"", ""No""),
     IF(COUNTIFS(ARRAYFORMULA(SUBSTITUTE($C$2:$C287, "" ex"", """")), SUBSTITUTE(Q218, "" ex"", """"), $A$2:$A287, TRUE)=0, ""Yes"", ""No"")
   ),
   ""No"&amp;"""
 )
)"),"")</f>
        <v/>
      </c>
    </row>
    <row r="219">
      <c r="A219" s="68" t="b">
        <v>1</v>
      </c>
      <c r="B219" s="69" t="s">
        <v>336</v>
      </c>
      <c r="C219" s="69" t="str">
        <f t="array" ref="C219">TEXTJOIN("", TRUE, IFERROR(INDEX('language&amp;DataTest'!A:J, MATCH(INDEX( PointerTest!C:C, MATCH(B219, PointerTest!A:A, 0), 0), 'language&amp;DataTest'!A:A, 0), MATCH(HOME!$A$25, 'language&amp;DataTest'!$A$1:$H$1, 0))),                      IFERROR(INDEX('language&amp;DataTest'!A:J, MATCH(INDEX( PointerTest!D:D, MATCH(B219, PointerTest!A:A, 0), 0), 'language&amp;DataTest'!A:A, 0), MATCH(HOME!$A$25, 'language&amp;DataTest'!$A$1:$H$1, 0))),                                          
IFERROR(INDEX('language&amp;DataTest'!A:J, MATCH(INDEX( PointerTest!E:E, MATCH(B219, PointerTest!A:A, 0), 0), 'language&amp;DataTest'!A:A, 0), MATCH(HOME!$A$25, 'language&amp;DataTest'!$A$1:$H$1, 0))))</f>
        <v>Old Amber</v>
      </c>
      <c r="D219" s="69" t="str">
        <f t="array" ref="D219">INDEX('language&amp;DataTest'!A:J, MATCH(INDEX( PointerTest!D:D, MATCH(INDEX(PointerTest!B:B, MATCH(B219, PointerTest!A:A, 0)), PointerTest!A:A, 0), 0), 'language&amp;DataTest'!A:A, 0), MATCH(HOME!$A$25, 'language&amp;DataTest'!$A$1:$H$1, 0))</f>
        <v>Mewtwo</v>
      </c>
      <c r="E219" s="69" t="str">
        <f t="array" ref="E219">INDEX( PointerTest!F:F, MATCH(B219, PointerTest!A:A, 0), 0)</f>
        <v>♢</v>
      </c>
      <c r="F219" s="70">
        <f t="array" ref="F219">LET(percentage,XLOOKUP($E219,$K$2:$K$10,L$2:L$10,"",0)/(COUNTIFS($E:$E,$E219,$D:$D,RegularFormula!$D$2)+COUNTIFS($E:$E,$E219,$D:$D,IF($D219=RegularFormula!$D$2,$K$15,$D219))),IFERROR(IF(percentage,percentage,""),""))
</f>
        <v>0.02</v>
      </c>
      <c r="G219" s="71" t="str">
        <f t="array" ref="G219">LET(percentage,XLOOKUP($E219,$K$2:$K$10,M$2:M$10,"",0)/(COUNTIFS($E:$E,$E219,$D:$D,RegularFormula!$D$2)+COUNTIFS($E:$E,$E219,$D:$D,IF($D219=RegularFormula!$D$2,$K$15,$D219))),IFERROR(IF(percentage,percentage,""),""))
</f>
        <v/>
      </c>
      <c r="H219" s="71" t="str">
        <f t="array" ref="H219">LET(percentage,XLOOKUP($E219,$K$2:$K$10,N$2:N$10,"",0)/(COUNTIFS($E:$E,$E219,$D:$D,RegularFormula!$D$2)+COUNTIFS($E:$E,$E219,$D:$D,IF($D219=RegularFormula!$D$2,$K$15,$D219))),IFERROR(IF(percentage,percentage,""),""))
</f>
        <v/>
      </c>
      <c r="I219" s="72" t="str">
        <f t="shared" si="1"/>
        <v/>
      </c>
      <c r="J219" s="73">
        <v>0.0</v>
      </c>
      <c r="K219" s="194"/>
      <c r="L219" s="55"/>
      <c r="M219" s="55"/>
      <c r="N219" s="55"/>
      <c r="O219" s="197"/>
      <c r="P219" s="103"/>
      <c r="Q219" s="103"/>
      <c r="R219" s="103"/>
      <c r="S219" s="79" t="str">
        <f t="shared" si="2"/>
        <v/>
      </c>
      <c r="T219" s="80" t="str">
        <f>IFERROR(__xludf.DUMMYFUNCTION("IF(
  Q219="""",
  """",
  IF(
   REGEXMATCH(SUBSTITUTE(Q219, "" ex"", """"), TEXTJOIN(""|"", TRUE, INDEX('language&amp;DataTest'!$A$33:$AB$182, , MATCH(HOME!$A$25, 'language&amp;DataTest'!$A$1:$G$1, 0)))),
   IF($M$26,
     IF(COUNTIFS(ARRAYFORMULA(SUBSTITUTE($C"&amp;"$2:$C287, "" ex"", """")), SUBSTITUTE(Q219, "" ex"", """"), $J$2:$J287, ""&gt;0"")=0, ""Yes"", ""No""),
     IF(COUNTIFS(ARRAYFORMULA(SUBSTITUTE($C$2:$C287, "" ex"", """")), SUBSTITUTE(Q219, "" ex"", """"), $A$2:$A287, TRUE)=0, ""Yes"", ""No"")
   ),
   ""No"&amp;"""
 )
)"),"")</f>
        <v/>
      </c>
    </row>
    <row r="220">
      <c r="A220" s="68" t="b">
        <v>1</v>
      </c>
      <c r="B220" s="69" t="s">
        <v>337</v>
      </c>
      <c r="C220" s="69" t="str">
        <f t="array" ref="C220">TEXTJOIN("", TRUE, IFERROR(INDEX('language&amp;DataTest'!A:J, MATCH(INDEX( PointerTest!C:C, MATCH(B220, PointerTest!A:A, 0), 0), 'language&amp;DataTest'!A:A, 0), MATCH(HOME!$A$25, 'language&amp;DataTest'!$A$1:$H$1, 0))),                      IFERROR(INDEX('language&amp;DataTest'!A:J, MATCH(INDEX( PointerTest!D:D, MATCH(B220, PointerTest!A:A, 0), 0), 'language&amp;DataTest'!A:A, 0), MATCH(HOME!$A$25, 'language&amp;DataTest'!$A$1:$H$1, 0))),                                          
IFERROR(INDEX('language&amp;DataTest'!A:J, MATCH(INDEX( PointerTest!E:E, MATCH(B220, PointerTest!A:A, 0), 0), 'language&amp;DataTest'!A:A, 0), MATCH(HOME!$A$25, 'language&amp;DataTest'!$A$1:$H$1, 0))))</f>
        <v>Erika</v>
      </c>
      <c r="D220" s="69" t="str">
        <f t="array" ref="D220">INDEX('language&amp;DataTest'!A:J, MATCH(INDEX( PointerTest!D:D, MATCH(INDEX(PointerTest!B:B, MATCH(B220, PointerTest!A:A, 0)), PointerTest!A:A, 0), 0), 'language&amp;DataTest'!A:A, 0), MATCH(HOME!$A$25, 'language&amp;DataTest'!$A$1:$H$1, 0))</f>
        <v>Charizard</v>
      </c>
      <c r="E220" s="69" t="str">
        <f t="array" ref="E220">INDEX( PointerTest!F:F, MATCH(B220, PointerTest!A:A, 0), 0)</f>
        <v>♢♢</v>
      </c>
      <c r="F220" s="70" t="str">
        <f t="array" ref="F220">LET(percentage,XLOOKUP($E220,$K$2:$K$10,L$2:L$10,"",0)/(COUNTIFS($E:$E,$E220,$D:$D,RegularFormula!$D$2)+COUNTIFS($E:$E,$E220,$D:$D,IF($D220=RegularFormula!$D$2,$K$15,$D220))),IFERROR(IF(percentage,percentage,""),""))
</f>
        <v/>
      </c>
      <c r="G220" s="71">
        <f t="array" ref="G220">LET(percentage,XLOOKUP($E220,$K$2:$K$10,M$2:M$10,"",0)/(COUNTIFS($E:$E,$E220,$D:$D,RegularFormula!$D$2)+COUNTIFS($E:$E,$E220,$D:$D,IF($D220=RegularFormula!$D$2,$K$15,$D220))),IFERROR(IF(percentage,percentage,""),""))
</f>
        <v>0.02571428571</v>
      </c>
      <c r="H220" s="71">
        <f t="array" ref="H220">LET(percentage,XLOOKUP($E220,$K$2:$K$10,N$2:N$10,"",0)/(COUNTIFS($E:$E,$E220,$D:$D,RegularFormula!$D$2)+COUNTIFS($E:$E,$E220,$D:$D,IF($D220=RegularFormula!$D$2,$K$15,$D220))),IFERROR(IF(percentage,percentage,""),""))
</f>
        <v>0.01714285714</v>
      </c>
      <c r="I220" s="72" t="str">
        <f t="shared" si="1"/>
        <v/>
      </c>
      <c r="J220" s="73">
        <v>0.0</v>
      </c>
      <c r="K220" s="194"/>
      <c r="L220" s="55"/>
      <c r="M220" s="55"/>
      <c r="N220" s="55"/>
      <c r="O220" s="197"/>
      <c r="P220" s="103"/>
      <c r="Q220" s="103"/>
      <c r="R220" s="103"/>
      <c r="S220" s="79" t="str">
        <f t="shared" si="2"/>
        <v/>
      </c>
      <c r="T220" s="80" t="str">
        <f>IFERROR(__xludf.DUMMYFUNCTION("IF(
  Q220="""",
  """",
  IF(
   REGEXMATCH(SUBSTITUTE(Q220, "" ex"", """"), TEXTJOIN(""|"", TRUE, INDEX('language&amp;DataTest'!$A$33:$AB$182, , MATCH(HOME!$A$25, 'language&amp;DataTest'!$A$1:$G$1, 0)))),
   IF($M$26,
     IF(COUNTIFS(ARRAYFORMULA(SUBSTITUTE($C"&amp;"$2:$C287, "" ex"", """")), SUBSTITUTE(Q220, "" ex"", """"), $J$2:$J287, ""&gt;0"")=0, ""Yes"", ""No""),
     IF(COUNTIFS(ARRAYFORMULA(SUBSTITUTE($C$2:$C287, "" ex"", """")), SUBSTITUTE(Q220, "" ex"", """"), $A$2:$A287, TRUE)=0, ""Yes"", ""No"")
   ),
   ""No"&amp;"""
 )
)"),"")</f>
        <v/>
      </c>
    </row>
    <row r="221">
      <c r="A221" s="68" t="b">
        <v>1</v>
      </c>
      <c r="B221" s="69" t="s">
        <v>338</v>
      </c>
      <c r="C221" s="69" t="str">
        <f t="array" ref="C221">TEXTJOIN("", TRUE, IFERROR(INDEX('language&amp;DataTest'!A:J, MATCH(INDEX( PointerTest!C:C, MATCH(B221, PointerTest!A:A, 0), 0), 'language&amp;DataTest'!A:A, 0), MATCH(HOME!$A$25, 'language&amp;DataTest'!$A$1:$H$1, 0))),                      IFERROR(INDEX('language&amp;DataTest'!A:J, MATCH(INDEX( PointerTest!D:D, MATCH(B221, PointerTest!A:A, 0), 0), 'language&amp;DataTest'!A:A, 0), MATCH(HOME!$A$25, 'language&amp;DataTest'!$A$1:$H$1, 0))),                                          
IFERROR(INDEX('language&amp;DataTest'!A:J, MATCH(INDEX( PointerTest!E:E, MATCH(B221, PointerTest!A:A, 0), 0), 'language&amp;DataTest'!A:A, 0), MATCH(HOME!$A$25, 'language&amp;DataTest'!$A$1:$H$1, 0))))</f>
        <v>Misty</v>
      </c>
      <c r="D221" s="69" t="str">
        <f t="array" ref="D221">INDEX('language&amp;DataTest'!A:J, MATCH(INDEX( PointerTest!D:D, MATCH(INDEX(PointerTest!B:B, MATCH(B221, PointerTest!A:A, 0)), PointerTest!A:A, 0), 0), 'language&amp;DataTest'!A:A, 0), MATCH(HOME!$A$25, 'language&amp;DataTest'!$A$1:$H$1, 0))</f>
        <v>Pikachu</v>
      </c>
      <c r="E221" s="69" t="str">
        <f t="array" ref="E221">INDEX( PointerTest!F:F, MATCH(B221, PointerTest!A:A, 0), 0)</f>
        <v>♢♢</v>
      </c>
      <c r="F221" s="70" t="str">
        <f t="array" ref="F221">LET(percentage,XLOOKUP($E221,$K$2:$K$10,L$2:L$10,"",0)/(COUNTIFS($E:$E,$E221,$D:$D,RegularFormula!$D$2)+COUNTIFS($E:$E,$E221,$D:$D,IF($D221=RegularFormula!$D$2,$K$15,$D221))),IFERROR(IF(percentage,percentage,""),""))
</f>
        <v/>
      </c>
      <c r="G221" s="71">
        <f t="array" ref="G221">LET(percentage,XLOOKUP($E221,$K$2:$K$10,M$2:M$10,"",0)/(COUNTIFS($E:$E,$E221,$D:$D,RegularFormula!$D$2)+COUNTIFS($E:$E,$E221,$D:$D,IF($D221=RegularFormula!$D$2,$K$15,$D221))),IFERROR(IF(percentage,percentage,""),""))
</f>
        <v>0.02571428571</v>
      </c>
      <c r="H221" s="71">
        <f t="array" ref="H221">LET(percentage,XLOOKUP($E221,$K$2:$K$10,N$2:N$10,"",0)/(COUNTIFS($E:$E,$E221,$D:$D,RegularFormula!$D$2)+COUNTIFS($E:$E,$E221,$D:$D,IF($D221=RegularFormula!$D$2,$K$15,$D221))),IFERROR(IF(percentage,percentage,""),""))
</f>
        <v>0.01714285714</v>
      </c>
      <c r="I221" s="72" t="str">
        <f t="shared" si="1"/>
        <v/>
      </c>
      <c r="J221" s="73">
        <v>0.0</v>
      </c>
      <c r="K221" s="194"/>
      <c r="L221" s="55"/>
      <c r="M221" s="55"/>
      <c r="N221" s="55"/>
      <c r="O221" s="197"/>
      <c r="P221" s="103"/>
      <c r="Q221" s="103"/>
      <c r="R221" s="103"/>
      <c r="S221" s="79" t="str">
        <f t="shared" si="2"/>
        <v/>
      </c>
      <c r="T221" s="80" t="str">
        <f>IFERROR(__xludf.DUMMYFUNCTION("IF(
  Q221="""",
  """",
  IF(
   REGEXMATCH(SUBSTITUTE(Q221, "" ex"", """"), TEXTJOIN(""|"", TRUE, INDEX('language&amp;DataTest'!$A$33:$AB$182, , MATCH(HOME!$A$25, 'language&amp;DataTest'!$A$1:$G$1, 0)))),
   IF($M$26,
     IF(COUNTIFS(ARRAYFORMULA(SUBSTITUTE($C"&amp;"$2:$C287, "" ex"", """")), SUBSTITUTE(Q221, "" ex"", """"), $J$2:$J287, ""&gt;0"")=0, ""Yes"", ""No""),
     IF(COUNTIFS(ARRAYFORMULA(SUBSTITUTE($C$2:$C287, "" ex"", """")), SUBSTITUTE(Q221, "" ex"", """"), $A$2:$A287, TRUE)=0, ""Yes"", ""No"")
   ),
   ""No"&amp;"""
 )
)"),"")</f>
        <v/>
      </c>
    </row>
    <row r="222">
      <c r="A222" s="68" t="b">
        <v>1</v>
      </c>
      <c r="B222" s="69" t="s">
        <v>339</v>
      </c>
      <c r="C222" s="69" t="str">
        <f t="array" ref="C222">TEXTJOIN("", TRUE, IFERROR(INDEX('language&amp;DataTest'!A:J, MATCH(INDEX( PointerTest!C:C, MATCH(B222, PointerTest!A:A, 0), 0), 'language&amp;DataTest'!A:A, 0), MATCH(HOME!$A$25, 'language&amp;DataTest'!$A$1:$H$1, 0))),                      IFERROR(INDEX('language&amp;DataTest'!A:J, MATCH(INDEX( PointerTest!D:D, MATCH(B222, PointerTest!A:A, 0), 0), 'language&amp;DataTest'!A:A, 0), MATCH(HOME!$A$25, 'language&amp;DataTest'!$A$1:$H$1, 0))),                                          
IFERROR(INDEX('language&amp;DataTest'!A:J, MATCH(INDEX( PointerTest!E:E, MATCH(B222, PointerTest!A:A, 0), 0), 'language&amp;DataTest'!A:A, 0), MATCH(HOME!$A$25, 'language&amp;DataTest'!$A$1:$H$1, 0))))</f>
        <v>Blaine</v>
      </c>
      <c r="D222" s="69" t="str">
        <f t="array" ref="D222">INDEX('language&amp;DataTest'!A:J, MATCH(INDEX( PointerTest!D:D, MATCH(INDEX(PointerTest!B:B, MATCH(B222, PointerTest!A:A, 0)), PointerTest!A:A, 0), 0), 'language&amp;DataTest'!A:A, 0), MATCH(HOME!$A$25, 'language&amp;DataTest'!$A$1:$H$1, 0))</f>
        <v>Charizard</v>
      </c>
      <c r="E222" s="69" t="str">
        <f t="array" ref="E222">INDEX( PointerTest!F:F, MATCH(B222, PointerTest!A:A, 0), 0)</f>
        <v>♢♢</v>
      </c>
      <c r="F222" s="70" t="str">
        <f t="array" ref="F222">LET(percentage,XLOOKUP($E222,$K$2:$K$10,L$2:L$10,"",0)/(COUNTIFS($E:$E,$E222,$D:$D,RegularFormula!$D$2)+COUNTIFS($E:$E,$E222,$D:$D,IF($D222=RegularFormula!$D$2,$K$15,$D222))),IFERROR(IF(percentage,percentage,""),""))
</f>
        <v/>
      </c>
      <c r="G222" s="71">
        <f t="array" ref="G222">LET(percentage,XLOOKUP($E222,$K$2:$K$10,M$2:M$10,"",0)/(COUNTIFS($E:$E,$E222,$D:$D,RegularFormula!$D$2)+COUNTIFS($E:$E,$E222,$D:$D,IF($D222=RegularFormula!$D$2,$K$15,$D222))),IFERROR(IF(percentage,percentage,""),""))
</f>
        <v>0.02571428571</v>
      </c>
      <c r="H222" s="71">
        <f t="array" ref="H222">LET(percentage,XLOOKUP($E222,$K$2:$K$10,N$2:N$10,"",0)/(COUNTIFS($E:$E,$E222,$D:$D,RegularFormula!$D$2)+COUNTIFS($E:$E,$E222,$D:$D,IF($D222=RegularFormula!$D$2,$K$15,$D222))),IFERROR(IF(percentage,percentage,""),""))
</f>
        <v>0.01714285714</v>
      </c>
      <c r="I222" s="72" t="str">
        <f t="shared" si="1"/>
        <v/>
      </c>
      <c r="J222" s="73">
        <v>0.0</v>
      </c>
      <c r="K222" s="194"/>
      <c r="L222" s="55"/>
      <c r="M222" s="55"/>
      <c r="N222" s="55"/>
      <c r="O222" s="197"/>
      <c r="P222" s="103"/>
      <c r="Q222" s="103"/>
      <c r="R222" s="103"/>
      <c r="S222" s="79" t="str">
        <f t="shared" si="2"/>
        <v/>
      </c>
      <c r="T222" s="80" t="str">
        <f>IFERROR(__xludf.DUMMYFUNCTION("IF(
  Q222="""",
  """",
  IF(
   REGEXMATCH(SUBSTITUTE(Q222, "" ex"", """"), TEXTJOIN(""|"", TRUE, INDEX('language&amp;DataTest'!$A$33:$AB$182, , MATCH(HOME!$A$25, 'language&amp;DataTest'!$A$1:$G$1, 0)))),
   IF($M$26,
     IF(COUNTIFS(ARRAYFORMULA(SUBSTITUTE($C"&amp;"$2:$C287, "" ex"", """")), SUBSTITUTE(Q222, "" ex"", """"), $J$2:$J287, ""&gt;0"")=0, ""Yes"", ""No""),
     IF(COUNTIFS(ARRAYFORMULA(SUBSTITUTE($C$2:$C287, "" ex"", """")), SUBSTITUTE(Q222, "" ex"", """"), $A$2:$A287, TRUE)=0, ""Yes"", ""No"")
   ),
   ""No"&amp;"""
 )
)"),"")</f>
        <v/>
      </c>
    </row>
    <row r="223">
      <c r="A223" s="68" t="b">
        <v>1</v>
      </c>
      <c r="B223" s="69" t="s">
        <v>340</v>
      </c>
      <c r="C223" s="69" t="str">
        <f t="array" ref="C223">TEXTJOIN("", TRUE, IFERROR(INDEX('language&amp;DataTest'!A:J, MATCH(INDEX( PointerTest!C:C, MATCH(B223, PointerTest!A:A, 0), 0), 'language&amp;DataTest'!A:A, 0), MATCH(HOME!$A$25, 'language&amp;DataTest'!$A$1:$H$1, 0))),                      IFERROR(INDEX('language&amp;DataTest'!A:J, MATCH(INDEX( PointerTest!D:D, MATCH(B223, PointerTest!A:A, 0), 0), 'language&amp;DataTest'!A:A, 0), MATCH(HOME!$A$25, 'language&amp;DataTest'!$A$1:$H$1, 0))),                                          
IFERROR(INDEX('language&amp;DataTest'!A:J, MATCH(INDEX( PointerTest!E:E, MATCH(B223, PointerTest!A:A, 0), 0), 'language&amp;DataTest'!A:A, 0), MATCH(HOME!$A$25, 'language&amp;DataTest'!$A$1:$H$1, 0))))</f>
        <v>Koga</v>
      </c>
      <c r="D223" s="69" t="str">
        <f t="array" ref="D223">INDEX('language&amp;DataTest'!A:J, MATCH(INDEX( PointerTest!D:D, MATCH(INDEX(PointerTest!B:B, MATCH(B223, PointerTest!A:A, 0)), PointerTest!A:A, 0), 0), 'language&amp;DataTest'!A:A, 0), MATCH(HOME!$A$25, 'language&amp;DataTest'!$A$1:$H$1, 0))</f>
        <v>Mewtwo</v>
      </c>
      <c r="E223" s="69" t="str">
        <f t="array" ref="E223">INDEX( PointerTest!F:F, MATCH(B223, PointerTest!A:A, 0), 0)</f>
        <v>♢♢</v>
      </c>
      <c r="F223" s="70" t="str">
        <f t="array" ref="F223">LET(percentage,XLOOKUP($E223,$K$2:$K$10,L$2:L$10,"",0)/(COUNTIFS($E:$E,$E223,$D:$D,RegularFormula!$D$2)+COUNTIFS($E:$E,$E223,$D:$D,IF($D223=RegularFormula!$D$2,$K$15,$D223))),IFERROR(IF(percentage,percentage,""),""))
</f>
        <v/>
      </c>
      <c r="G223" s="71">
        <f t="array" ref="G223">LET(percentage,XLOOKUP($E223,$K$2:$K$10,M$2:M$10,"",0)/(COUNTIFS($E:$E,$E223,$D:$D,RegularFormula!$D$2)+COUNTIFS($E:$E,$E223,$D:$D,IF($D223=RegularFormula!$D$2,$K$15,$D223))),IFERROR(IF(percentage,percentage,""),""))
</f>
        <v>0.02571428571</v>
      </c>
      <c r="H223" s="71">
        <f t="array" ref="H223">LET(percentage,XLOOKUP($E223,$K$2:$K$10,N$2:N$10,"",0)/(COUNTIFS($E:$E,$E223,$D:$D,RegularFormula!$D$2)+COUNTIFS($E:$E,$E223,$D:$D,IF($D223=RegularFormula!$D$2,$K$15,$D223))),IFERROR(IF(percentage,percentage,""),""))
</f>
        <v>0.01714285714</v>
      </c>
      <c r="I223" s="72" t="str">
        <f t="shared" si="1"/>
        <v/>
      </c>
      <c r="J223" s="73">
        <v>0.0</v>
      </c>
      <c r="K223" s="194"/>
      <c r="L223" s="55"/>
      <c r="M223" s="55"/>
      <c r="N223" s="55"/>
      <c r="O223" s="197"/>
      <c r="P223" s="103"/>
      <c r="Q223" s="103"/>
      <c r="R223" s="103"/>
      <c r="S223" s="79" t="str">
        <f t="shared" si="2"/>
        <v/>
      </c>
      <c r="T223" s="80" t="str">
        <f>IFERROR(__xludf.DUMMYFUNCTION("IF(
  Q223="""",
  """",
  IF(
   REGEXMATCH(SUBSTITUTE(Q223, "" ex"", """"), TEXTJOIN(""|"", TRUE, INDEX('language&amp;DataTest'!$A$33:$AB$182, , MATCH(HOME!$A$25, 'language&amp;DataTest'!$A$1:$G$1, 0)))),
   IF($M$26,
     IF(COUNTIFS(ARRAYFORMULA(SUBSTITUTE($C"&amp;"$2:$C287, "" ex"", """")), SUBSTITUTE(Q223, "" ex"", """"), $J$2:$J287, ""&gt;0"")=0, ""Yes"", ""No""),
     IF(COUNTIFS(ARRAYFORMULA(SUBSTITUTE($C$2:$C287, "" ex"", """")), SUBSTITUTE(Q223, "" ex"", """"), $A$2:$A287, TRUE)=0, ""Yes"", ""No"")
   ),
   ""No"&amp;"""
 )
)"),"")</f>
        <v/>
      </c>
    </row>
    <row r="224">
      <c r="A224" s="68" t="b">
        <v>1</v>
      </c>
      <c r="B224" s="69" t="s">
        <v>341</v>
      </c>
      <c r="C224" s="69" t="str">
        <f t="array" ref="C224">TEXTJOIN("", TRUE, IFERROR(INDEX('language&amp;DataTest'!A:J, MATCH(INDEX( PointerTest!C:C, MATCH(B224, PointerTest!A:A, 0), 0), 'language&amp;DataTest'!A:A, 0), MATCH(HOME!$A$25, 'language&amp;DataTest'!$A$1:$H$1, 0))),                      IFERROR(INDEX('language&amp;DataTest'!A:J, MATCH(INDEX( PointerTest!D:D, MATCH(B224, PointerTest!A:A, 0), 0), 'language&amp;DataTest'!A:A, 0), MATCH(HOME!$A$25, 'language&amp;DataTest'!$A$1:$H$1, 0))),                                          
IFERROR(INDEX('language&amp;DataTest'!A:J, MATCH(INDEX( PointerTest!E:E, MATCH(B224, PointerTest!A:A, 0), 0), 'language&amp;DataTest'!A:A, 0), MATCH(HOME!$A$25, 'language&amp;DataTest'!$A$1:$H$1, 0))))</f>
        <v>Giovanni</v>
      </c>
      <c r="D224" s="69" t="str">
        <f t="array" ref="D224">INDEX('language&amp;DataTest'!A:J, MATCH(INDEX( PointerTest!D:D, MATCH(INDEX(PointerTest!B:B, MATCH(B224, PointerTest!A:A, 0)), PointerTest!A:A, 0), 0), 'language&amp;DataTest'!A:A, 0), MATCH(HOME!$A$25, 'language&amp;DataTest'!$A$1:$H$1, 0))</f>
        <v>Mewtwo</v>
      </c>
      <c r="E224" s="69" t="str">
        <f t="array" ref="E224">INDEX( PointerTest!F:F, MATCH(B224, PointerTest!A:A, 0), 0)</f>
        <v>♢♢</v>
      </c>
      <c r="F224" s="70" t="str">
        <f t="array" ref="F224">LET(percentage,XLOOKUP($E224,$K$2:$K$10,L$2:L$10,"",0)/(COUNTIFS($E:$E,$E224,$D:$D,RegularFormula!$D$2)+COUNTIFS($E:$E,$E224,$D:$D,IF($D224=RegularFormula!$D$2,$K$15,$D224))),IFERROR(IF(percentage,percentage,""),""))
</f>
        <v/>
      </c>
      <c r="G224" s="71">
        <f t="array" ref="G224">LET(percentage,XLOOKUP($E224,$K$2:$K$10,M$2:M$10,"",0)/(COUNTIFS($E:$E,$E224,$D:$D,RegularFormula!$D$2)+COUNTIFS($E:$E,$E224,$D:$D,IF($D224=RegularFormula!$D$2,$K$15,$D224))),IFERROR(IF(percentage,percentage,""),""))
</f>
        <v>0.02571428571</v>
      </c>
      <c r="H224" s="71">
        <f t="array" ref="H224">LET(percentage,XLOOKUP($E224,$K$2:$K$10,N$2:N$10,"",0)/(COUNTIFS($E:$E,$E224,$D:$D,RegularFormula!$D$2)+COUNTIFS($E:$E,$E224,$D:$D,IF($D224=RegularFormula!$D$2,$K$15,$D224))),IFERROR(IF(percentage,percentage,""),""))
</f>
        <v>0.01714285714</v>
      </c>
      <c r="I224" s="72" t="str">
        <f t="shared" si="1"/>
        <v/>
      </c>
      <c r="J224" s="73">
        <v>0.0</v>
      </c>
      <c r="K224" s="194"/>
      <c r="L224" s="55"/>
      <c r="M224" s="55"/>
      <c r="N224" s="55"/>
      <c r="O224" s="197"/>
      <c r="P224" s="103"/>
      <c r="Q224" s="103"/>
      <c r="R224" s="103"/>
      <c r="S224" s="79" t="str">
        <f t="shared" si="2"/>
        <v/>
      </c>
      <c r="T224" s="80" t="str">
        <f>IFERROR(__xludf.DUMMYFUNCTION("IF(
  Q224="""",
  """",
  IF(
   REGEXMATCH(SUBSTITUTE(Q224, "" ex"", """"), TEXTJOIN(""|"", TRUE, INDEX('language&amp;DataTest'!$A$33:$AB$182, , MATCH(HOME!$A$25, 'language&amp;DataTest'!$A$1:$G$1, 0)))),
   IF($M$26,
     IF(COUNTIFS(ARRAYFORMULA(SUBSTITUTE($C"&amp;"$2:$C287, "" ex"", """")), SUBSTITUTE(Q224, "" ex"", """"), $J$2:$J287, ""&gt;0"")=0, ""Yes"", ""No""),
     IF(COUNTIFS(ARRAYFORMULA(SUBSTITUTE($C$2:$C287, "" ex"", """")), SUBSTITUTE(Q224, "" ex"", """"), $A$2:$A287, TRUE)=0, ""Yes"", ""No"")
   ),
   ""No"&amp;"""
 )
)"),"")</f>
        <v/>
      </c>
    </row>
    <row r="225">
      <c r="A225" s="68" t="b">
        <v>1</v>
      </c>
      <c r="B225" s="69" t="s">
        <v>342</v>
      </c>
      <c r="C225" s="69" t="str">
        <f t="array" ref="C225">TEXTJOIN("", TRUE, IFERROR(INDEX('language&amp;DataTest'!A:J, MATCH(INDEX( PointerTest!C:C, MATCH(B225, PointerTest!A:A, 0), 0), 'language&amp;DataTest'!A:A, 0), MATCH(HOME!$A$25, 'language&amp;DataTest'!$A$1:$H$1, 0))),                      IFERROR(INDEX('language&amp;DataTest'!A:J, MATCH(INDEX( PointerTest!D:D, MATCH(B225, PointerTest!A:A, 0), 0), 'language&amp;DataTest'!A:A, 0), MATCH(HOME!$A$25, 'language&amp;DataTest'!$A$1:$H$1, 0))),                                          
IFERROR(INDEX('language&amp;DataTest'!A:J, MATCH(INDEX( PointerTest!E:E, MATCH(B225, PointerTest!A:A, 0), 0), 'language&amp;DataTest'!A:A, 0), MATCH(HOME!$A$25, 'language&amp;DataTest'!$A$1:$H$1, 0))))</f>
        <v>Brock</v>
      </c>
      <c r="D225" s="69" t="str">
        <f t="array" ref="D225">INDEX('language&amp;DataTest'!A:J, MATCH(INDEX( PointerTest!D:D, MATCH(INDEX(PointerTest!B:B, MATCH(B225, PointerTest!A:A, 0)), PointerTest!A:A, 0), 0), 'language&amp;DataTest'!A:A, 0), MATCH(HOME!$A$25, 'language&amp;DataTest'!$A$1:$H$1, 0))</f>
        <v>Pikachu</v>
      </c>
      <c r="E225" s="69" t="str">
        <f t="array" ref="E225">INDEX( PointerTest!F:F, MATCH(B225, PointerTest!A:A, 0), 0)</f>
        <v>♢♢</v>
      </c>
      <c r="F225" s="70" t="str">
        <f t="array" ref="F225">LET(percentage,XLOOKUP($E225,$K$2:$K$10,L$2:L$10,"",0)/(COUNTIFS($E:$E,$E225,$D:$D,RegularFormula!$D$2)+COUNTIFS($E:$E,$E225,$D:$D,IF($D225=RegularFormula!$D$2,$K$15,$D225))),IFERROR(IF(percentage,percentage,""),""))
</f>
        <v/>
      </c>
      <c r="G225" s="71">
        <f t="array" ref="G225">LET(percentage,XLOOKUP($E225,$K$2:$K$10,M$2:M$10,"",0)/(COUNTIFS($E:$E,$E225,$D:$D,RegularFormula!$D$2)+COUNTIFS($E:$E,$E225,$D:$D,IF($D225=RegularFormula!$D$2,$K$15,$D225))),IFERROR(IF(percentage,percentage,""),""))
</f>
        <v>0.02571428571</v>
      </c>
      <c r="H225" s="71">
        <f t="array" ref="H225">LET(percentage,XLOOKUP($E225,$K$2:$K$10,N$2:N$10,"",0)/(COUNTIFS($E:$E,$E225,$D:$D,RegularFormula!$D$2)+COUNTIFS($E:$E,$E225,$D:$D,IF($D225=RegularFormula!$D$2,$K$15,$D225))),IFERROR(IF(percentage,percentage,""),""))
</f>
        <v>0.01714285714</v>
      </c>
      <c r="I225" s="72" t="str">
        <f t="shared" si="1"/>
        <v/>
      </c>
      <c r="J225" s="73">
        <v>0.0</v>
      </c>
      <c r="K225" s="194"/>
      <c r="L225" s="55"/>
      <c r="M225" s="55"/>
      <c r="N225" s="55"/>
      <c r="O225" s="197"/>
      <c r="P225" s="103"/>
      <c r="Q225" s="103"/>
      <c r="R225" s="103"/>
      <c r="S225" s="79" t="str">
        <f t="shared" si="2"/>
        <v/>
      </c>
      <c r="T225" s="80" t="str">
        <f>IFERROR(__xludf.DUMMYFUNCTION("IF(
  Q225="""",
  """",
  IF(
   REGEXMATCH(SUBSTITUTE(Q225, "" ex"", """"), TEXTJOIN(""|"", TRUE, INDEX('language&amp;DataTest'!$A$33:$AB$182, , MATCH(HOME!$A$25, 'language&amp;DataTest'!$A$1:$G$1, 0)))),
   IF($M$26,
     IF(COUNTIFS(ARRAYFORMULA(SUBSTITUTE($C"&amp;"$2:$C287, "" ex"", """")), SUBSTITUTE(Q225, "" ex"", """"), $J$2:$J287, ""&gt;0"")=0, ""Yes"", ""No""),
     IF(COUNTIFS(ARRAYFORMULA(SUBSTITUTE($C$2:$C287, "" ex"", """")), SUBSTITUTE(Q225, "" ex"", """"), $A$2:$A287, TRUE)=0, ""Yes"", ""No"")
   ),
   ""No"&amp;"""
 )
)"),"")</f>
        <v/>
      </c>
    </row>
    <row r="226">
      <c r="A226" s="68" t="b">
        <v>1</v>
      </c>
      <c r="B226" s="69" t="s">
        <v>343</v>
      </c>
      <c r="C226" s="69" t="str">
        <f t="array" ref="C226">TEXTJOIN("", TRUE, IFERROR(INDEX('language&amp;DataTest'!A:J, MATCH(INDEX( PointerTest!C:C, MATCH(B226, PointerTest!A:A, 0), 0), 'language&amp;DataTest'!A:A, 0), MATCH(HOME!$A$25, 'language&amp;DataTest'!$A$1:$H$1, 0))),                      IFERROR(INDEX('language&amp;DataTest'!A:J, MATCH(INDEX( PointerTest!D:D, MATCH(B226, PointerTest!A:A, 0), 0), 'language&amp;DataTest'!A:A, 0), MATCH(HOME!$A$25, 'language&amp;DataTest'!$A$1:$H$1, 0))),                                          
IFERROR(INDEX('language&amp;DataTest'!A:J, MATCH(INDEX( PointerTest!E:E, MATCH(B226, PointerTest!A:A, 0), 0), 'language&amp;DataTest'!A:A, 0), MATCH(HOME!$A$25, 'language&amp;DataTest'!$A$1:$H$1, 0))))</f>
        <v>Sabrina</v>
      </c>
      <c r="D226" s="69" t="str">
        <f t="array" ref="D226">INDEX('language&amp;DataTest'!A:J, MATCH(INDEX( PointerTest!D:D, MATCH(INDEX(PointerTest!B:B, MATCH(B226, PointerTest!A:A, 0)), PointerTest!A:A, 0), 0), 'language&amp;DataTest'!A:A, 0), MATCH(HOME!$A$25, 'language&amp;DataTest'!$A$1:$H$1, 0))</f>
        <v>Charizard</v>
      </c>
      <c r="E226" s="69" t="str">
        <f t="array" ref="E226">INDEX( PointerTest!F:F, MATCH(B226, PointerTest!A:A, 0), 0)</f>
        <v>♢♢</v>
      </c>
      <c r="F226" s="70" t="str">
        <f t="array" ref="F226">LET(percentage,XLOOKUP($E226,$K$2:$K$10,L$2:L$10,"",0)/(COUNTIFS($E:$E,$E226,$D:$D,RegularFormula!$D$2)+COUNTIFS($E:$E,$E226,$D:$D,IF($D226=RegularFormula!$D$2,$K$15,$D226))),IFERROR(IF(percentage,percentage,""),""))
</f>
        <v/>
      </c>
      <c r="G226" s="71">
        <f t="array" ref="G226">LET(percentage,XLOOKUP($E226,$K$2:$K$10,M$2:M$10,"",0)/(COUNTIFS($E:$E,$E226,$D:$D,RegularFormula!$D$2)+COUNTIFS($E:$E,$E226,$D:$D,IF($D226=RegularFormula!$D$2,$K$15,$D226))),IFERROR(IF(percentage,percentage,""),""))
</f>
        <v>0.02571428571</v>
      </c>
      <c r="H226" s="71">
        <f t="array" ref="H226">LET(percentage,XLOOKUP($E226,$K$2:$K$10,N$2:N$10,"",0)/(COUNTIFS($E:$E,$E226,$D:$D,RegularFormula!$D$2)+COUNTIFS($E:$E,$E226,$D:$D,IF($D226=RegularFormula!$D$2,$K$15,$D226))),IFERROR(IF(percentage,percentage,""),""))
</f>
        <v>0.01714285714</v>
      </c>
      <c r="I226" s="72" t="str">
        <f t="shared" si="1"/>
        <v/>
      </c>
      <c r="J226" s="73">
        <v>0.0</v>
      </c>
      <c r="K226" s="194"/>
      <c r="L226" s="55"/>
      <c r="M226" s="55"/>
      <c r="N226" s="55"/>
      <c r="O226" s="197"/>
      <c r="P226" s="103"/>
      <c r="Q226" s="103"/>
      <c r="R226" s="103"/>
      <c r="S226" s="79" t="str">
        <f t="shared" si="2"/>
        <v/>
      </c>
      <c r="T226" s="80" t="str">
        <f>IFERROR(__xludf.DUMMYFUNCTION("IF(
  Q226="""",
  """",
  IF(
   REGEXMATCH(SUBSTITUTE(Q226, "" ex"", """"), TEXTJOIN(""|"", TRUE, INDEX('language&amp;DataTest'!$A$33:$AB$182, , MATCH(HOME!$A$25, 'language&amp;DataTest'!$A$1:$G$1, 0)))),
   IF($M$26,
     IF(COUNTIFS(ARRAYFORMULA(SUBSTITUTE($C"&amp;"$2:$C287, "" ex"", """")), SUBSTITUTE(Q226, "" ex"", """"), $J$2:$J287, ""&gt;0"")=0, ""Yes"", ""No""),
     IF(COUNTIFS(ARRAYFORMULA(SUBSTITUTE($C$2:$C287, "" ex"", """")), SUBSTITUTE(Q226, "" ex"", """"), $A$2:$A287, TRUE)=0, ""Yes"", ""No"")
   ),
   ""No"&amp;"""
 )
)"),"")</f>
        <v/>
      </c>
    </row>
    <row r="227">
      <c r="A227" s="68" t="b">
        <v>1</v>
      </c>
      <c r="B227" s="69" t="s">
        <v>344</v>
      </c>
      <c r="C227" s="69" t="str">
        <f t="array" ref="C227">TEXTJOIN("", TRUE, IFERROR(INDEX('language&amp;DataTest'!A:J, MATCH(INDEX( PointerTest!C:C, MATCH(B227, PointerTest!A:A, 0), 0), 'language&amp;DataTest'!A:A, 0), MATCH(HOME!$A$25, 'language&amp;DataTest'!$A$1:$H$1, 0))),                      IFERROR(INDEX('language&amp;DataTest'!A:J, MATCH(INDEX( PointerTest!D:D, MATCH(B227, PointerTest!A:A, 0), 0), 'language&amp;DataTest'!A:A, 0), MATCH(HOME!$A$25, 'language&amp;DataTest'!$A$1:$H$1, 0))),                                          
IFERROR(INDEX('language&amp;DataTest'!A:J, MATCH(INDEX( PointerTest!E:E, MATCH(B227, PointerTest!A:A, 0), 0), 'language&amp;DataTest'!A:A, 0), MATCH(HOME!$A$25, 'language&amp;DataTest'!$A$1:$H$1, 0))))</f>
        <v>Lt. Surge</v>
      </c>
      <c r="D227" s="69" t="str">
        <f t="array" ref="D227">INDEX('language&amp;DataTest'!A:J, MATCH(INDEX( PointerTest!D:D, MATCH(INDEX(PointerTest!B:B, MATCH(B227, PointerTest!A:A, 0)), PointerTest!A:A, 0), 0), 'language&amp;DataTest'!A:A, 0), MATCH(HOME!$A$25, 'language&amp;DataTest'!$A$1:$H$1, 0))</f>
        <v>Pikachu</v>
      </c>
      <c r="E227" s="69" t="str">
        <f t="array" ref="E227">INDEX( PointerTest!F:F, MATCH(B227, PointerTest!A:A, 0), 0)</f>
        <v>♢♢</v>
      </c>
      <c r="F227" s="70" t="str">
        <f t="array" ref="F227">LET(percentage,XLOOKUP($E227,$K$2:$K$10,L$2:L$10,"",0)/(COUNTIFS($E:$E,$E227,$D:$D,RegularFormula!$D$2)+COUNTIFS($E:$E,$E227,$D:$D,IF($D227=RegularFormula!$D$2,$K$15,$D227))),IFERROR(IF(percentage,percentage,""),""))
</f>
        <v/>
      </c>
      <c r="G227" s="71">
        <f t="array" ref="G227">LET(percentage,XLOOKUP($E227,$K$2:$K$10,M$2:M$10,"",0)/(COUNTIFS($E:$E,$E227,$D:$D,RegularFormula!$D$2)+COUNTIFS($E:$E,$E227,$D:$D,IF($D227=RegularFormula!$D$2,$K$15,$D227))),IFERROR(IF(percentage,percentage,""),""))
</f>
        <v>0.02571428571</v>
      </c>
      <c r="H227" s="71">
        <f t="array" ref="H227">LET(percentage,XLOOKUP($E227,$K$2:$K$10,N$2:N$10,"",0)/(COUNTIFS($E:$E,$E227,$D:$D,RegularFormula!$D$2)+COUNTIFS($E:$E,$E227,$D:$D,IF($D227=RegularFormula!$D$2,$K$15,$D227))),IFERROR(IF(percentage,percentage,""),""))
</f>
        <v>0.01714285714</v>
      </c>
      <c r="I227" s="72" t="str">
        <f t="shared" si="1"/>
        <v/>
      </c>
      <c r="J227" s="73">
        <v>0.0</v>
      </c>
      <c r="K227" s="194"/>
      <c r="L227" s="55"/>
      <c r="M227" s="55"/>
      <c r="N227" s="55"/>
      <c r="O227" s="197"/>
      <c r="P227" s="103"/>
      <c r="Q227" s="103"/>
      <c r="R227" s="103"/>
      <c r="S227" s="79" t="str">
        <f t="shared" si="2"/>
        <v/>
      </c>
      <c r="T227" s="80" t="str">
        <f>IFERROR(__xludf.DUMMYFUNCTION("IF(
  Q227="""",
  """",
  IF(
   REGEXMATCH(SUBSTITUTE(Q227, "" ex"", """"), TEXTJOIN(""|"", TRUE, INDEX('language&amp;DataTest'!$A$33:$AB$182, , MATCH(HOME!$A$25, 'language&amp;DataTest'!$A$1:$G$1, 0)))),
   IF($M$26,
     IF(COUNTIFS(ARRAYFORMULA(SUBSTITUTE($C"&amp;"$2:$C287, "" ex"", """")), SUBSTITUTE(Q227, "" ex"", """"), $J$2:$J287, ""&gt;0"")=0, ""Yes"", ""No""),
     IF(COUNTIFS(ARRAYFORMULA(SUBSTITUTE($C$2:$C287, "" ex"", """")), SUBSTITUTE(Q227, "" ex"", """"), $A$2:$A287, TRUE)=0, ""Yes"", ""No"")
   ),
   ""No"&amp;"""
 )
)"),"")</f>
        <v/>
      </c>
    </row>
    <row r="228">
      <c r="A228" s="68" t="b">
        <v>1</v>
      </c>
      <c r="B228" s="69" t="s">
        <v>345</v>
      </c>
      <c r="C228" s="69" t="str">
        <f t="array" ref="C228">TEXTJOIN("", TRUE, IFERROR(INDEX('language&amp;DataTest'!A:J, MATCH(INDEX( PointerTest!C:C, MATCH(B228, PointerTest!A:A, 0), 0), 'language&amp;DataTest'!A:A, 0), MATCH(HOME!$A$25, 'language&amp;DataTest'!$A$1:$H$1, 0))),                      IFERROR(INDEX('language&amp;DataTest'!A:J, MATCH(INDEX( PointerTest!D:D, MATCH(B228, PointerTest!A:A, 0), 0), 'language&amp;DataTest'!A:A, 0), MATCH(HOME!$A$25, 'language&amp;DataTest'!$A$1:$H$1, 0))),                                          
IFERROR(INDEX('language&amp;DataTest'!A:J, MATCH(INDEX( PointerTest!E:E, MATCH(B228, PointerTest!A:A, 0), 0), 'language&amp;DataTest'!A:A, 0), MATCH(HOME!$A$25, 'language&amp;DataTest'!$A$1:$H$1, 0))))</f>
        <v>Bulbasaur</v>
      </c>
      <c r="D228" s="69" t="str">
        <f t="array" ref="D228">INDEX('language&amp;DataTest'!A:J, MATCH(INDEX( PointerTest!D:D, MATCH(INDEX(PointerTest!B:B, MATCH(B228, PointerTest!A:A, 0)), PointerTest!A:A, 0), 0), 'language&amp;DataTest'!A:A, 0), MATCH(HOME!$A$25, 'language&amp;DataTest'!$A$1:$H$1, 0))</f>
        <v>Mewtwo</v>
      </c>
      <c r="E228" s="69" t="str">
        <f t="array" ref="E228">INDEX( PointerTest!F:F, MATCH(B228, PointerTest!A:A, 0), 0)</f>
        <v>☆</v>
      </c>
      <c r="F228" s="70" t="str">
        <f t="array" ref="F228">LET(percentage,XLOOKUP($E228,$K$2:$K$10,L$2:L$10,"",0)/(COUNTIFS($E:$E,$E228,$D:$D,RegularFormula!$D$2)+COUNTIFS($E:$E,$E228,$D:$D,IF($D228=RegularFormula!$D$2,$K$15,$D228))),IFERROR(IF(percentage,percentage,""),""))
</f>
        <v/>
      </c>
      <c r="G228" s="71">
        <f t="array" ref="G228">LET(percentage,XLOOKUP($E228,$K$2:$K$10,M$2:M$10,"",0)/(COUNTIFS($E:$E,$E228,$D:$D,RegularFormula!$D$2)+COUNTIFS($E:$E,$E228,$D:$D,IF($D228=RegularFormula!$D$2,$K$15,$D228))),IFERROR(IF(percentage,percentage,""),""))
</f>
        <v>0.003215</v>
      </c>
      <c r="H228" s="71">
        <f t="array" ref="H228">LET(percentage,XLOOKUP($E228,$K$2:$K$10,N$2:N$10,"",0)/(COUNTIFS($E:$E,$E228,$D:$D,RegularFormula!$D$2)+COUNTIFS($E:$E,$E228,$D:$D,IF($D228=RegularFormula!$D$2,$K$15,$D228))),IFERROR(IF(percentage,percentage,""),""))
</f>
        <v>0.01286</v>
      </c>
      <c r="I228" s="72" t="str">
        <f t="shared" si="1"/>
        <v/>
      </c>
      <c r="J228" s="73">
        <v>0.0</v>
      </c>
      <c r="K228" s="194"/>
      <c r="L228" s="55"/>
      <c r="M228" s="55"/>
      <c r="N228" s="55"/>
      <c r="O228" s="197"/>
      <c r="P228" s="103"/>
      <c r="Q228" s="103"/>
      <c r="R228" s="103"/>
      <c r="S228" s="79" t="str">
        <f t="shared" si="2"/>
        <v/>
      </c>
      <c r="T228" s="80" t="str">
        <f>IFERROR(__xludf.DUMMYFUNCTION("IF(
  Q228="""",
  """",
  IF(
   REGEXMATCH(SUBSTITUTE(Q228, "" ex"", """"), TEXTJOIN(""|"", TRUE, INDEX('language&amp;DataTest'!$A$33:$AB$182, , MATCH(HOME!$A$25, 'language&amp;DataTest'!$A$1:$G$1, 0)))),
   IF($M$26,
     IF(COUNTIFS(ARRAYFORMULA(SUBSTITUTE($C"&amp;"$2:$C287, "" ex"", """")), SUBSTITUTE(Q228, "" ex"", """"), $J$2:$J287, ""&gt;0"")=0, ""Yes"", ""No""),
     IF(COUNTIFS(ARRAYFORMULA(SUBSTITUTE($C$2:$C287, "" ex"", """")), SUBSTITUTE(Q228, "" ex"", """"), $A$2:$A287, TRUE)=0, ""Yes"", ""No"")
   ),
   ""No"&amp;"""
 )
)"),"")</f>
        <v/>
      </c>
    </row>
    <row r="229">
      <c r="A229" s="68" t="b">
        <v>1</v>
      </c>
      <c r="B229" s="69" t="s">
        <v>346</v>
      </c>
      <c r="C229" s="69" t="str">
        <f t="array" ref="C229">TEXTJOIN("", TRUE, IFERROR(INDEX('language&amp;DataTest'!A:J, MATCH(INDEX( PointerTest!C:C, MATCH(B229, PointerTest!A:A, 0), 0), 'language&amp;DataTest'!A:A, 0), MATCH(HOME!$A$25, 'language&amp;DataTest'!$A$1:$H$1, 0))),                      IFERROR(INDEX('language&amp;DataTest'!A:J, MATCH(INDEX( PointerTest!D:D, MATCH(B229, PointerTest!A:A, 0), 0), 'language&amp;DataTest'!A:A, 0), MATCH(HOME!$A$25, 'language&amp;DataTest'!$A$1:$H$1, 0))),                                          
IFERROR(INDEX('language&amp;DataTest'!A:J, MATCH(INDEX( PointerTest!E:E, MATCH(B229, PointerTest!A:A, 0), 0), 'language&amp;DataTest'!A:A, 0), MATCH(HOME!$A$25, 'language&amp;DataTest'!$A$1:$H$1, 0))))</f>
        <v>Gloom</v>
      </c>
      <c r="D229" s="69" t="str">
        <f t="array" ref="D229">INDEX('language&amp;DataTest'!A:J, MATCH(INDEX( PointerTest!D:D, MATCH(INDEX(PointerTest!B:B, MATCH(B229, PointerTest!A:A, 0)), PointerTest!A:A, 0), 0), 'language&amp;DataTest'!A:A, 0), MATCH(HOME!$A$25, 'language&amp;DataTest'!$A$1:$H$1, 0))</f>
        <v>Charizard</v>
      </c>
      <c r="E229" s="69" t="str">
        <f t="array" ref="E229">INDEX( PointerTest!F:F, MATCH(B229, PointerTest!A:A, 0), 0)</f>
        <v>☆</v>
      </c>
      <c r="F229" s="70" t="str">
        <f t="array" ref="F229">LET(percentage,XLOOKUP($E229,$K$2:$K$10,L$2:L$10,"",0)/(COUNTIFS($E:$E,$E229,$D:$D,RegularFormula!$D$2)+COUNTIFS($E:$E,$E229,$D:$D,IF($D229=RegularFormula!$D$2,$K$15,$D229))),IFERROR(IF(percentage,percentage,""),""))
</f>
        <v/>
      </c>
      <c r="G229" s="71">
        <f t="array" ref="G229">LET(percentage,XLOOKUP($E229,$K$2:$K$10,M$2:M$10,"",0)/(COUNTIFS($E:$E,$E229,$D:$D,RegularFormula!$D$2)+COUNTIFS($E:$E,$E229,$D:$D,IF($D229=RegularFormula!$D$2,$K$15,$D229))),IFERROR(IF(percentage,percentage,""),""))
</f>
        <v>0.003215</v>
      </c>
      <c r="H229" s="71">
        <f t="array" ref="H229">LET(percentage,XLOOKUP($E229,$K$2:$K$10,N$2:N$10,"",0)/(COUNTIFS($E:$E,$E229,$D:$D,RegularFormula!$D$2)+COUNTIFS($E:$E,$E229,$D:$D,IF($D229=RegularFormula!$D$2,$K$15,$D229))),IFERROR(IF(percentage,percentage,""),""))
</f>
        <v>0.01286</v>
      </c>
      <c r="I229" s="72" t="str">
        <f t="shared" si="1"/>
        <v/>
      </c>
      <c r="J229" s="73">
        <v>0.0</v>
      </c>
      <c r="K229" s="194"/>
      <c r="L229" s="55"/>
      <c r="M229" s="55"/>
      <c r="N229" s="55"/>
      <c r="O229" s="197"/>
      <c r="P229" s="103"/>
      <c r="Q229" s="103"/>
      <c r="R229" s="103"/>
      <c r="S229" s="79" t="str">
        <f t="shared" si="2"/>
        <v/>
      </c>
      <c r="T229" s="80" t="str">
        <f>IFERROR(__xludf.DUMMYFUNCTION("IF(
  Q229="""",
  """",
  IF(
   REGEXMATCH(SUBSTITUTE(Q229, "" ex"", """"), TEXTJOIN(""|"", TRUE, INDEX('language&amp;DataTest'!$A$33:$AB$182, , MATCH(HOME!$A$25, 'language&amp;DataTest'!$A$1:$G$1, 0)))),
   IF($M$26,
     IF(COUNTIFS(ARRAYFORMULA(SUBSTITUTE($C"&amp;"$2:$C287, "" ex"", """")), SUBSTITUTE(Q229, "" ex"", """"), $J$2:$J287, ""&gt;0"")=0, ""Yes"", ""No""),
     IF(COUNTIFS(ARRAYFORMULA(SUBSTITUTE($C$2:$C287, "" ex"", """")), SUBSTITUTE(Q229, "" ex"", """"), $A$2:$A287, TRUE)=0, ""Yes"", ""No"")
   ),
   ""No"&amp;"""
 )
)"),"")</f>
        <v/>
      </c>
    </row>
    <row r="230">
      <c r="A230" s="68" t="b">
        <v>1</v>
      </c>
      <c r="B230" s="69" t="s">
        <v>347</v>
      </c>
      <c r="C230" s="69" t="str">
        <f t="array" ref="C230">TEXTJOIN("", TRUE, IFERROR(INDEX('language&amp;DataTest'!A:J, MATCH(INDEX( PointerTest!C:C, MATCH(B230, PointerTest!A:A, 0), 0), 'language&amp;DataTest'!A:A, 0), MATCH(HOME!$A$25, 'language&amp;DataTest'!$A$1:$H$1, 0))),                      IFERROR(INDEX('language&amp;DataTest'!A:J, MATCH(INDEX( PointerTest!D:D, MATCH(B230, PointerTest!A:A, 0), 0), 'language&amp;DataTest'!A:A, 0), MATCH(HOME!$A$25, 'language&amp;DataTest'!$A$1:$H$1, 0))),                                          
IFERROR(INDEX('language&amp;DataTest'!A:J, MATCH(INDEX( PointerTest!E:E, MATCH(B230, PointerTest!A:A, 0), 0), 'language&amp;DataTest'!A:A, 0), MATCH(HOME!$A$25, 'language&amp;DataTest'!$A$1:$H$1, 0))))</f>
        <v>Pinsir</v>
      </c>
      <c r="D230" s="69" t="str">
        <f t="array" ref="D230">INDEX('language&amp;DataTest'!A:J, MATCH(INDEX( PointerTest!D:D, MATCH(INDEX(PointerTest!B:B, MATCH(B230, PointerTest!A:A, 0)), PointerTest!A:A, 0), 0), 'language&amp;DataTest'!A:A, 0), MATCH(HOME!$A$25, 'language&amp;DataTest'!$A$1:$H$1, 0))</f>
        <v>Charizard</v>
      </c>
      <c r="E230" s="69" t="str">
        <f t="array" ref="E230">INDEX( PointerTest!F:F, MATCH(B230, PointerTest!A:A, 0), 0)</f>
        <v>☆</v>
      </c>
      <c r="F230" s="70" t="str">
        <f t="array" ref="F230">LET(percentage,XLOOKUP($E230,$K$2:$K$10,L$2:L$10,"",0)/(COUNTIFS($E:$E,$E230,$D:$D,RegularFormula!$D$2)+COUNTIFS($E:$E,$E230,$D:$D,IF($D230=RegularFormula!$D$2,$K$15,$D230))),IFERROR(IF(percentage,percentage,""),""))
</f>
        <v/>
      </c>
      <c r="G230" s="71">
        <f t="array" ref="G230">LET(percentage,XLOOKUP($E230,$K$2:$K$10,M$2:M$10,"",0)/(COUNTIFS($E:$E,$E230,$D:$D,RegularFormula!$D$2)+COUNTIFS($E:$E,$E230,$D:$D,IF($D230=RegularFormula!$D$2,$K$15,$D230))),IFERROR(IF(percentage,percentage,""),""))
</f>
        <v>0.003215</v>
      </c>
      <c r="H230" s="71">
        <f t="array" ref="H230">LET(percentage,XLOOKUP($E230,$K$2:$K$10,N$2:N$10,"",0)/(COUNTIFS($E:$E,$E230,$D:$D,RegularFormula!$D$2)+COUNTIFS($E:$E,$E230,$D:$D,IF($D230=RegularFormula!$D$2,$K$15,$D230))),IFERROR(IF(percentage,percentage,""),""))
</f>
        <v>0.01286</v>
      </c>
      <c r="I230" s="72" t="str">
        <f t="shared" si="1"/>
        <v/>
      </c>
      <c r="J230" s="73">
        <v>0.0</v>
      </c>
      <c r="K230" s="194"/>
      <c r="L230" s="55"/>
      <c r="M230" s="55"/>
      <c r="N230" s="55"/>
      <c r="O230" s="197"/>
      <c r="P230" s="103"/>
      <c r="Q230" s="103"/>
      <c r="R230" s="103"/>
      <c r="S230" s="79" t="str">
        <f t="shared" si="2"/>
        <v/>
      </c>
      <c r="T230" s="80" t="str">
        <f>IFERROR(__xludf.DUMMYFUNCTION("IF(
  Q230="""",
  """",
  IF(
   REGEXMATCH(SUBSTITUTE(Q230, "" ex"", """"), TEXTJOIN(""|"", TRUE, INDEX('language&amp;DataTest'!$A$33:$AB$182, , MATCH(HOME!$A$25, 'language&amp;DataTest'!$A$1:$G$1, 0)))),
   IF($M$26,
     IF(COUNTIFS(ARRAYFORMULA(SUBSTITUTE($C"&amp;"$2:$C287, "" ex"", """")), SUBSTITUTE(Q230, "" ex"", """"), $J$2:$J287, ""&gt;0"")=0, ""Yes"", ""No""),
     IF(COUNTIFS(ARRAYFORMULA(SUBSTITUTE($C$2:$C287, "" ex"", """")), SUBSTITUTE(Q230, "" ex"", """"), $A$2:$A287, TRUE)=0, ""Yes"", ""No"")
   ),
   ""No"&amp;"""
 )
)"),"")</f>
        <v/>
      </c>
    </row>
    <row r="231">
      <c r="A231" s="68" t="b">
        <v>1</v>
      </c>
      <c r="B231" s="69" t="s">
        <v>348</v>
      </c>
      <c r="C231" s="69" t="str">
        <f t="array" ref="C231">TEXTJOIN("", TRUE, IFERROR(INDEX('language&amp;DataTest'!A:J, MATCH(INDEX( PointerTest!C:C, MATCH(B231, PointerTest!A:A, 0), 0), 'language&amp;DataTest'!A:A, 0), MATCH(HOME!$A$25, 'language&amp;DataTest'!$A$1:$H$1, 0))),                      IFERROR(INDEX('language&amp;DataTest'!A:J, MATCH(INDEX( PointerTest!D:D, MATCH(B231, PointerTest!A:A, 0), 0), 'language&amp;DataTest'!A:A, 0), MATCH(HOME!$A$25, 'language&amp;DataTest'!$A$1:$H$1, 0))),                                          
IFERROR(INDEX('language&amp;DataTest'!A:J, MATCH(INDEX( PointerTest!E:E, MATCH(B231, PointerTest!A:A, 0), 0), 'language&amp;DataTest'!A:A, 0), MATCH(HOME!$A$25, 'language&amp;DataTest'!$A$1:$H$1, 0))))</f>
        <v>Charmander</v>
      </c>
      <c r="D231" s="69" t="str">
        <f t="array" ref="D231">INDEX('language&amp;DataTest'!A:J, MATCH(INDEX( PointerTest!D:D, MATCH(INDEX(PointerTest!B:B, MATCH(B231, PointerTest!A:A, 0)), PointerTest!A:A, 0), 0), 'language&amp;DataTest'!A:A, 0), MATCH(HOME!$A$25, 'language&amp;DataTest'!$A$1:$H$1, 0))</f>
        <v>Charizard</v>
      </c>
      <c r="E231" s="69" t="str">
        <f t="array" ref="E231">INDEX( PointerTest!F:F, MATCH(B231, PointerTest!A:A, 0), 0)</f>
        <v>☆</v>
      </c>
      <c r="F231" s="70" t="str">
        <f t="array" ref="F231">LET(percentage,XLOOKUP($E231,$K$2:$K$10,L$2:L$10,"",0)/(COUNTIFS($E:$E,$E231,$D:$D,RegularFormula!$D$2)+COUNTIFS($E:$E,$E231,$D:$D,IF($D231=RegularFormula!$D$2,$K$15,$D231))),IFERROR(IF(percentage,percentage,""),""))
</f>
        <v/>
      </c>
      <c r="G231" s="71">
        <f t="array" ref="G231">LET(percentage,XLOOKUP($E231,$K$2:$K$10,M$2:M$10,"",0)/(COUNTIFS($E:$E,$E231,$D:$D,RegularFormula!$D$2)+COUNTIFS($E:$E,$E231,$D:$D,IF($D231=RegularFormula!$D$2,$K$15,$D231))),IFERROR(IF(percentage,percentage,""),""))
</f>
        <v>0.003215</v>
      </c>
      <c r="H231" s="71">
        <f t="array" ref="H231">LET(percentage,XLOOKUP($E231,$K$2:$K$10,N$2:N$10,"",0)/(COUNTIFS($E:$E,$E231,$D:$D,RegularFormula!$D$2)+COUNTIFS($E:$E,$E231,$D:$D,IF($D231=RegularFormula!$D$2,$K$15,$D231))),IFERROR(IF(percentage,percentage,""),""))
</f>
        <v>0.01286</v>
      </c>
      <c r="I231" s="72" t="str">
        <f t="shared" si="1"/>
        <v/>
      </c>
      <c r="J231" s="73">
        <v>0.0</v>
      </c>
      <c r="K231" s="194"/>
      <c r="L231" s="55"/>
      <c r="M231" s="55"/>
      <c r="N231" s="55"/>
      <c r="O231" s="197"/>
      <c r="P231" s="103"/>
      <c r="Q231" s="103"/>
      <c r="R231" s="103"/>
      <c r="S231" s="79" t="str">
        <f t="shared" si="2"/>
        <v/>
      </c>
      <c r="T231" s="80" t="str">
        <f>IFERROR(__xludf.DUMMYFUNCTION("IF(
  Q231="""",
  """",
  IF(
   REGEXMATCH(SUBSTITUTE(Q231, "" ex"", """"), TEXTJOIN(""|"", TRUE, INDEX('language&amp;DataTest'!$A$33:$AB$182, , MATCH(HOME!$A$25, 'language&amp;DataTest'!$A$1:$G$1, 0)))),
   IF($M$26,
     IF(COUNTIFS(ARRAYFORMULA(SUBSTITUTE($C"&amp;"$2:$C287, "" ex"", """")), SUBSTITUTE(Q231, "" ex"", """"), $J$2:$J287, ""&gt;0"")=0, ""Yes"", ""No""),
     IF(COUNTIFS(ARRAYFORMULA(SUBSTITUTE($C$2:$C287, "" ex"", """")), SUBSTITUTE(Q231, "" ex"", """"), $A$2:$A287, TRUE)=0, ""Yes"", ""No"")
   ),
   ""No"&amp;"""
 )
)"),"")</f>
        <v/>
      </c>
    </row>
    <row r="232">
      <c r="A232" s="68" t="b">
        <v>0</v>
      </c>
      <c r="B232" s="69" t="s">
        <v>349</v>
      </c>
      <c r="C232" s="69" t="str">
        <f t="array" ref="C232">TEXTJOIN("", TRUE, IFERROR(INDEX('language&amp;DataTest'!A:J, MATCH(INDEX( PointerTest!C:C, MATCH(B232, PointerTest!A:A, 0), 0), 'language&amp;DataTest'!A:A, 0), MATCH(HOME!$A$25, 'language&amp;DataTest'!$A$1:$H$1, 0))),                      IFERROR(INDEX('language&amp;DataTest'!A:J, MATCH(INDEX( PointerTest!D:D, MATCH(B232, PointerTest!A:A, 0), 0), 'language&amp;DataTest'!A:A, 0), MATCH(HOME!$A$25, 'language&amp;DataTest'!$A$1:$H$1, 0))),                                          
IFERROR(INDEX('language&amp;DataTest'!A:J, MATCH(INDEX( PointerTest!E:E, MATCH(B232, PointerTest!A:A, 0), 0), 'language&amp;DataTest'!A:A, 0), MATCH(HOME!$A$25, 'language&amp;DataTest'!$A$1:$H$1, 0))))</f>
        <v>Rapidash</v>
      </c>
      <c r="D232" s="69" t="str">
        <f t="array" ref="D232">INDEX('language&amp;DataTest'!A:J, MATCH(INDEX( PointerTest!D:D, MATCH(INDEX(PointerTest!B:B, MATCH(B232, PointerTest!A:A, 0)), PointerTest!A:A, 0), 0), 'language&amp;DataTest'!A:A, 0), MATCH(HOME!$A$25, 'language&amp;DataTest'!$A$1:$H$1, 0))</f>
        <v>Charizard</v>
      </c>
      <c r="E232" s="69" t="str">
        <f t="array" ref="E232">INDEX( PointerTest!F:F, MATCH(B232, PointerTest!A:A, 0), 0)</f>
        <v>☆</v>
      </c>
      <c r="F232" s="70" t="str">
        <f t="array" ref="F232">LET(percentage,XLOOKUP($E232,$K$2:$K$10,L$2:L$10,"",0)/(COUNTIFS($E:$E,$E232,$D:$D,RegularFormula!$D$2)+COUNTIFS($E:$E,$E232,$D:$D,IF($D232=RegularFormula!$D$2,$K$15,$D232))),IFERROR(IF(percentage,percentage,""),""))
</f>
        <v/>
      </c>
      <c r="G232" s="71">
        <f t="array" ref="G232">LET(percentage,XLOOKUP($E232,$K$2:$K$10,M$2:M$10,"",0)/(COUNTIFS($E:$E,$E232,$D:$D,RegularFormula!$D$2)+COUNTIFS($E:$E,$E232,$D:$D,IF($D232=RegularFormula!$D$2,$K$15,$D232))),IFERROR(IF(percentage,percentage,""),""))
</f>
        <v>0.003215</v>
      </c>
      <c r="H232" s="71">
        <f t="array" ref="H232">LET(percentage,XLOOKUP($E232,$K$2:$K$10,N$2:N$10,"",0)/(COUNTIFS($E:$E,$E232,$D:$D,RegularFormula!$D$2)+COUNTIFS($E:$E,$E232,$D:$D,IF($D232=RegularFormula!$D$2,$K$15,$D232))),IFERROR(IF(percentage,percentage,""),""))
</f>
        <v>0.01286</v>
      </c>
      <c r="I232" s="72" t="str">
        <f t="shared" si="1"/>
        <v/>
      </c>
      <c r="J232" s="73">
        <v>0.0</v>
      </c>
      <c r="K232" s="194"/>
      <c r="L232" s="55"/>
      <c r="M232" s="55"/>
      <c r="N232" s="55"/>
      <c r="O232" s="197"/>
      <c r="P232" s="103"/>
      <c r="Q232" s="103"/>
      <c r="R232" s="103"/>
      <c r="S232" s="79" t="str">
        <f t="shared" si="2"/>
        <v/>
      </c>
      <c r="T232" s="80" t="str">
        <f>IFERROR(__xludf.DUMMYFUNCTION("IF(
  Q232="""",
  """",
  IF(
   REGEXMATCH(SUBSTITUTE(Q232, "" ex"", """"), TEXTJOIN(""|"", TRUE, INDEX('language&amp;DataTest'!$A$33:$AB$182, , MATCH(HOME!$A$25, 'language&amp;DataTest'!$A$1:$G$1, 0)))),
   IF($M$26,
     IF(COUNTIFS(ARRAYFORMULA(SUBSTITUTE($C"&amp;"$2:$C287, "" ex"", """")), SUBSTITUTE(Q232, "" ex"", """"), $J$2:$J287, ""&gt;0"")=0, ""Yes"", ""No""),
     IF(COUNTIFS(ARRAYFORMULA(SUBSTITUTE($C$2:$C287, "" ex"", """")), SUBSTITUTE(Q232, "" ex"", """"), $A$2:$A287, TRUE)=0, ""Yes"", ""No"")
   ),
   ""No"&amp;"""
 )
)"),"")</f>
        <v/>
      </c>
    </row>
    <row r="233">
      <c r="A233" s="68" t="b">
        <v>1</v>
      </c>
      <c r="B233" s="69" t="s">
        <v>350</v>
      </c>
      <c r="C233" s="69" t="str">
        <f t="array" ref="C233">TEXTJOIN("", TRUE, IFERROR(INDEX('language&amp;DataTest'!A:J, MATCH(INDEX( PointerTest!C:C, MATCH(B233, PointerTest!A:A, 0), 0), 'language&amp;DataTest'!A:A, 0), MATCH(HOME!$A$25, 'language&amp;DataTest'!$A$1:$H$1, 0))),                      IFERROR(INDEX('language&amp;DataTest'!A:J, MATCH(INDEX( PointerTest!D:D, MATCH(B233, PointerTest!A:A, 0), 0), 'language&amp;DataTest'!A:A, 0), MATCH(HOME!$A$25, 'language&amp;DataTest'!$A$1:$H$1, 0))),                                          
IFERROR(INDEX('language&amp;DataTest'!A:J, MATCH(INDEX( PointerTest!E:E, MATCH(B233, PointerTest!A:A, 0), 0), 'language&amp;DataTest'!A:A, 0), MATCH(HOME!$A$25, 'language&amp;DataTest'!$A$1:$H$1, 0))))</f>
        <v>Squirtle</v>
      </c>
      <c r="D233" s="69" t="str">
        <f t="array" ref="D233">INDEX('language&amp;DataTest'!A:J, MATCH(INDEX( PointerTest!D:D, MATCH(INDEX(PointerTest!B:B, MATCH(B233, PointerTest!A:A, 0)), PointerTest!A:A, 0), 0), 'language&amp;DataTest'!A:A, 0), MATCH(HOME!$A$25, 'language&amp;DataTest'!$A$1:$H$1, 0))</f>
        <v>Pikachu</v>
      </c>
      <c r="E233" s="69" t="str">
        <f t="array" ref="E233">INDEX( PointerTest!F:F, MATCH(B233, PointerTest!A:A, 0), 0)</f>
        <v>☆</v>
      </c>
      <c r="F233" s="70" t="str">
        <f t="array" ref="F233">LET(percentage,XLOOKUP($E233,$K$2:$K$10,L$2:L$10,"",0)/(COUNTIFS($E:$E,$E233,$D:$D,RegularFormula!$D$2)+COUNTIFS($E:$E,$E233,$D:$D,IF($D233=RegularFormula!$D$2,$K$15,$D233))),IFERROR(IF(percentage,percentage,""),""))
</f>
        <v/>
      </c>
      <c r="G233" s="71">
        <f t="array" ref="G233">LET(percentage,XLOOKUP($E233,$K$2:$K$10,M$2:M$10,"",0)/(COUNTIFS($E:$E,$E233,$D:$D,RegularFormula!$D$2)+COUNTIFS($E:$E,$E233,$D:$D,IF($D233=RegularFormula!$D$2,$K$15,$D233))),IFERROR(IF(percentage,percentage,""),""))
</f>
        <v>0.003215</v>
      </c>
      <c r="H233" s="71">
        <f t="array" ref="H233">LET(percentage,XLOOKUP($E233,$K$2:$K$10,N$2:N$10,"",0)/(COUNTIFS($E:$E,$E233,$D:$D,RegularFormula!$D$2)+COUNTIFS($E:$E,$E233,$D:$D,IF($D233=RegularFormula!$D$2,$K$15,$D233))),IFERROR(IF(percentage,percentage,""),""))
</f>
        <v>0.01286</v>
      </c>
      <c r="I233" s="72" t="str">
        <f t="shared" si="1"/>
        <v/>
      </c>
      <c r="J233" s="73">
        <v>0.0</v>
      </c>
      <c r="K233" s="194"/>
      <c r="L233" s="55"/>
      <c r="M233" s="55"/>
      <c r="N233" s="55"/>
      <c r="O233" s="197"/>
      <c r="P233" s="103"/>
      <c r="Q233" s="103"/>
      <c r="R233" s="103"/>
      <c r="S233" s="79" t="str">
        <f t="shared" si="2"/>
        <v/>
      </c>
      <c r="T233" s="80" t="str">
        <f>IFERROR(__xludf.DUMMYFUNCTION("IF(
  Q233="""",
  """",
  IF(
   REGEXMATCH(SUBSTITUTE(Q233, "" ex"", """"), TEXTJOIN(""|"", TRUE, INDEX('language&amp;DataTest'!$A$33:$AB$182, , MATCH(HOME!$A$25, 'language&amp;DataTest'!$A$1:$G$1, 0)))),
   IF($M$26,
     IF(COUNTIFS(ARRAYFORMULA(SUBSTITUTE($C"&amp;"$2:$C287, "" ex"", """")), SUBSTITUTE(Q233, "" ex"", """"), $J$2:$J287, ""&gt;0"")=0, ""Yes"", ""No""),
     IF(COUNTIFS(ARRAYFORMULA(SUBSTITUTE($C$2:$C287, "" ex"", """")), SUBSTITUTE(Q233, "" ex"", """"), $A$2:$A287, TRUE)=0, ""Yes"", ""No"")
   ),
   ""No"&amp;"""
 )
)"),"")</f>
        <v/>
      </c>
    </row>
    <row r="234">
      <c r="A234" s="68" t="b">
        <v>1</v>
      </c>
      <c r="B234" s="69" t="s">
        <v>351</v>
      </c>
      <c r="C234" s="69" t="str">
        <f t="array" ref="C234">TEXTJOIN("", TRUE, IFERROR(INDEX('language&amp;DataTest'!A:J, MATCH(INDEX( PointerTest!C:C, MATCH(B234, PointerTest!A:A, 0), 0), 'language&amp;DataTest'!A:A, 0), MATCH(HOME!$A$25, 'language&amp;DataTest'!$A$1:$H$1, 0))),                      IFERROR(INDEX('language&amp;DataTest'!A:J, MATCH(INDEX( PointerTest!D:D, MATCH(B234, PointerTest!A:A, 0), 0), 'language&amp;DataTest'!A:A, 0), MATCH(HOME!$A$25, 'language&amp;DataTest'!$A$1:$H$1, 0))),                                          
IFERROR(INDEX('language&amp;DataTest'!A:J, MATCH(INDEX( PointerTest!E:E, MATCH(B234, PointerTest!A:A, 0), 0), 'language&amp;DataTest'!A:A, 0), MATCH(HOME!$A$25, 'language&amp;DataTest'!$A$1:$H$1, 0))))</f>
        <v>Gyarados</v>
      </c>
      <c r="D234" s="69" t="str">
        <f t="array" ref="D234">INDEX('language&amp;DataTest'!A:J, MATCH(INDEX( PointerTest!D:D, MATCH(INDEX(PointerTest!B:B, MATCH(B234, PointerTest!A:A, 0)), PointerTest!A:A, 0), 0), 'language&amp;DataTest'!A:A, 0), MATCH(HOME!$A$25, 'language&amp;DataTest'!$A$1:$H$1, 0))</f>
        <v>Pikachu</v>
      </c>
      <c r="E234" s="69" t="str">
        <f t="array" ref="E234">INDEX( PointerTest!F:F, MATCH(B234, PointerTest!A:A, 0), 0)</f>
        <v>☆</v>
      </c>
      <c r="F234" s="70" t="str">
        <f t="array" ref="F234">LET(percentage,XLOOKUP($E234,$K$2:$K$10,L$2:L$10,"",0)/(COUNTIFS($E:$E,$E234,$D:$D,RegularFormula!$D$2)+COUNTIFS($E:$E,$E234,$D:$D,IF($D234=RegularFormula!$D$2,$K$15,$D234))),IFERROR(IF(percentage,percentage,""),""))
</f>
        <v/>
      </c>
      <c r="G234" s="71">
        <f t="array" ref="G234">LET(percentage,XLOOKUP($E234,$K$2:$K$10,M$2:M$10,"",0)/(COUNTIFS($E:$E,$E234,$D:$D,RegularFormula!$D$2)+COUNTIFS($E:$E,$E234,$D:$D,IF($D234=RegularFormula!$D$2,$K$15,$D234))),IFERROR(IF(percentage,percentage,""),""))
</f>
        <v>0.003215</v>
      </c>
      <c r="H234" s="71">
        <f t="array" ref="H234">LET(percentage,XLOOKUP($E234,$K$2:$K$10,N$2:N$10,"",0)/(COUNTIFS($E:$E,$E234,$D:$D,RegularFormula!$D$2)+COUNTIFS($E:$E,$E234,$D:$D,IF($D234=RegularFormula!$D$2,$K$15,$D234))),IFERROR(IF(percentage,percentage,""),""))
</f>
        <v>0.01286</v>
      </c>
      <c r="I234" s="72" t="str">
        <f t="shared" si="1"/>
        <v/>
      </c>
      <c r="J234" s="73">
        <v>0.0</v>
      </c>
      <c r="K234" s="194"/>
      <c r="L234" s="55"/>
      <c r="M234" s="55"/>
      <c r="N234" s="55"/>
      <c r="O234" s="197"/>
      <c r="P234" s="103"/>
      <c r="Q234" s="103"/>
      <c r="R234" s="103"/>
      <c r="S234" s="79" t="str">
        <f t="shared" si="2"/>
        <v/>
      </c>
      <c r="T234" s="80" t="str">
        <f>IFERROR(__xludf.DUMMYFUNCTION("IF(
  Q234="""",
  """",
  IF(
   REGEXMATCH(SUBSTITUTE(Q234, "" ex"", """"), TEXTJOIN(""|"", TRUE, INDEX('language&amp;DataTest'!$A$33:$AB$182, , MATCH(HOME!$A$25, 'language&amp;DataTest'!$A$1:$G$1, 0)))),
   IF($M$26,
     IF(COUNTIFS(ARRAYFORMULA(SUBSTITUTE($C"&amp;"$2:$C287, "" ex"", """")), SUBSTITUTE(Q234, "" ex"", """"), $J$2:$J287, ""&gt;0"")=0, ""Yes"", ""No""),
     IF(COUNTIFS(ARRAYFORMULA(SUBSTITUTE($C$2:$C287, "" ex"", """")), SUBSTITUTE(Q234, "" ex"", """"), $A$2:$A287, TRUE)=0, ""Yes"", ""No"")
   ),
   ""No"&amp;"""
 )
)"),"")</f>
        <v/>
      </c>
    </row>
    <row r="235">
      <c r="A235" s="68" t="b">
        <v>1</v>
      </c>
      <c r="B235" s="69" t="s">
        <v>352</v>
      </c>
      <c r="C235" s="69" t="str">
        <f t="array" ref="C235">TEXTJOIN("", TRUE, IFERROR(INDEX('language&amp;DataTest'!A:J, MATCH(INDEX( PointerTest!C:C, MATCH(B235, PointerTest!A:A, 0), 0), 'language&amp;DataTest'!A:A, 0), MATCH(HOME!$A$25, 'language&amp;DataTest'!$A$1:$H$1, 0))),                      IFERROR(INDEX('language&amp;DataTest'!A:J, MATCH(INDEX( PointerTest!D:D, MATCH(B235, PointerTest!A:A, 0), 0), 'language&amp;DataTest'!A:A, 0), MATCH(HOME!$A$25, 'language&amp;DataTest'!$A$1:$H$1, 0))),                                          
IFERROR(INDEX('language&amp;DataTest'!A:J, MATCH(INDEX( PointerTest!E:E, MATCH(B235, PointerTest!A:A, 0), 0), 'language&amp;DataTest'!A:A, 0), MATCH(HOME!$A$25, 'language&amp;DataTest'!$A$1:$H$1, 0))))</f>
        <v>Lapras</v>
      </c>
      <c r="D235" s="69" t="str">
        <f t="array" ref="D235">INDEX('language&amp;DataTest'!A:J, MATCH(INDEX( PointerTest!D:D, MATCH(INDEX(PointerTest!B:B, MATCH(B235, PointerTest!A:A, 0)), PointerTest!A:A, 0), 0), 'language&amp;DataTest'!A:A, 0), MATCH(HOME!$A$25, 'language&amp;DataTest'!$A$1:$H$1, 0))</f>
        <v>Charizard</v>
      </c>
      <c r="E235" s="69" t="str">
        <f t="array" ref="E235">INDEX( PointerTest!F:F, MATCH(B235, PointerTest!A:A, 0), 0)</f>
        <v>☆</v>
      </c>
      <c r="F235" s="70" t="str">
        <f t="array" ref="F235">LET(percentage,XLOOKUP($E235,$K$2:$K$10,L$2:L$10,"",0)/(COUNTIFS($E:$E,$E235,$D:$D,RegularFormula!$D$2)+COUNTIFS($E:$E,$E235,$D:$D,IF($D235=RegularFormula!$D$2,$K$15,$D235))),IFERROR(IF(percentage,percentage,""),""))
</f>
        <v/>
      </c>
      <c r="G235" s="71">
        <f t="array" ref="G235">LET(percentage,XLOOKUP($E235,$K$2:$K$10,M$2:M$10,"",0)/(COUNTIFS($E:$E,$E235,$D:$D,RegularFormula!$D$2)+COUNTIFS($E:$E,$E235,$D:$D,IF($D235=RegularFormula!$D$2,$K$15,$D235))),IFERROR(IF(percentage,percentage,""),""))
</f>
        <v>0.003215</v>
      </c>
      <c r="H235" s="71">
        <f t="array" ref="H235">LET(percentage,XLOOKUP($E235,$K$2:$K$10,N$2:N$10,"",0)/(COUNTIFS($E:$E,$E235,$D:$D,RegularFormula!$D$2)+COUNTIFS($E:$E,$E235,$D:$D,IF($D235=RegularFormula!$D$2,$K$15,$D235))),IFERROR(IF(percentage,percentage,""),""))
</f>
        <v>0.01286</v>
      </c>
      <c r="I235" s="72" t="str">
        <f t="shared" si="1"/>
        <v/>
      </c>
      <c r="J235" s="73">
        <v>0.0</v>
      </c>
      <c r="K235" s="194"/>
      <c r="L235" s="55"/>
      <c r="M235" s="55"/>
      <c r="N235" s="55"/>
      <c r="O235" s="197"/>
      <c r="P235" s="103"/>
      <c r="Q235" s="103"/>
      <c r="R235" s="103"/>
      <c r="S235" s="79" t="str">
        <f t="shared" si="2"/>
        <v/>
      </c>
      <c r="T235" s="80" t="str">
        <f>IFERROR(__xludf.DUMMYFUNCTION("IF(
  Q235="""",
  """",
  IF(
   REGEXMATCH(SUBSTITUTE(Q235, "" ex"", """"), TEXTJOIN(""|"", TRUE, INDEX('language&amp;DataTest'!$A$33:$AB$182, , MATCH(HOME!$A$25, 'language&amp;DataTest'!$A$1:$G$1, 0)))),
   IF($M$26,
     IF(COUNTIFS(ARRAYFORMULA(SUBSTITUTE($C"&amp;"$2:$C287, "" ex"", """")), SUBSTITUTE(Q235, "" ex"", """"), $J$2:$J287, ""&gt;0"")=0, ""Yes"", ""No""),
     IF(COUNTIFS(ARRAYFORMULA(SUBSTITUTE($C$2:$C287, "" ex"", """")), SUBSTITUTE(Q235, "" ex"", """"), $A$2:$A287, TRUE)=0, ""Yes"", ""No"")
   ),
   ""No"&amp;"""
 )
)"),"")</f>
        <v/>
      </c>
    </row>
    <row r="236">
      <c r="A236" s="68" t="b">
        <v>1</v>
      </c>
      <c r="B236" s="69" t="s">
        <v>353</v>
      </c>
      <c r="C236" s="69" t="str">
        <f t="array" ref="C236">TEXTJOIN("", TRUE, IFERROR(INDEX('language&amp;DataTest'!A:J, MATCH(INDEX( PointerTest!C:C, MATCH(B236, PointerTest!A:A, 0), 0), 'language&amp;DataTest'!A:A, 0), MATCH(HOME!$A$25, 'language&amp;DataTest'!$A$1:$H$1, 0))),                      IFERROR(INDEX('language&amp;DataTest'!A:J, MATCH(INDEX( PointerTest!D:D, MATCH(B236, PointerTest!A:A, 0), 0), 'language&amp;DataTest'!A:A, 0), MATCH(HOME!$A$25, 'language&amp;DataTest'!$A$1:$H$1, 0))),                                          
IFERROR(INDEX('language&amp;DataTest'!A:J, MATCH(INDEX( PointerTest!E:E, MATCH(B236, PointerTest!A:A, 0), 0), 'language&amp;DataTest'!A:A, 0), MATCH(HOME!$A$25, 'language&amp;DataTest'!$A$1:$H$1, 0))))</f>
        <v>Electrode</v>
      </c>
      <c r="D236" s="69" t="str">
        <f t="array" ref="D236">INDEX('language&amp;DataTest'!A:J, MATCH(INDEX( PointerTest!D:D, MATCH(INDEX(PointerTest!B:B, MATCH(B236, PointerTest!A:A, 0)), PointerTest!A:A, 0), 0), 'language&amp;DataTest'!A:A, 0), MATCH(HOME!$A$25, 'language&amp;DataTest'!$A$1:$H$1, 0))</f>
        <v>Pikachu</v>
      </c>
      <c r="E236" s="69" t="str">
        <f t="array" ref="E236">INDEX( PointerTest!F:F, MATCH(B236, PointerTest!A:A, 0), 0)</f>
        <v>☆</v>
      </c>
      <c r="F236" s="70" t="str">
        <f t="array" ref="F236">LET(percentage,XLOOKUP($E236,$K$2:$K$10,L$2:L$10,"",0)/(COUNTIFS($E:$E,$E236,$D:$D,RegularFormula!$D$2)+COUNTIFS($E:$E,$E236,$D:$D,IF($D236=RegularFormula!$D$2,$K$15,$D236))),IFERROR(IF(percentage,percentage,""),""))
</f>
        <v/>
      </c>
      <c r="G236" s="71">
        <f t="array" ref="G236">LET(percentage,XLOOKUP($E236,$K$2:$K$10,M$2:M$10,"",0)/(COUNTIFS($E:$E,$E236,$D:$D,RegularFormula!$D$2)+COUNTIFS($E:$E,$E236,$D:$D,IF($D236=RegularFormula!$D$2,$K$15,$D236))),IFERROR(IF(percentage,percentage,""),""))
</f>
        <v>0.003215</v>
      </c>
      <c r="H236" s="71">
        <f t="array" ref="H236">LET(percentage,XLOOKUP($E236,$K$2:$K$10,N$2:N$10,"",0)/(COUNTIFS($E:$E,$E236,$D:$D,RegularFormula!$D$2)+COUNTIFS($E:$E,$E236,$D:$D,IF($D236=RegularFormula!$D$2,$K$15,$D236))),IFERROR(IF(percentage,percentage,""),""))
</f>
        <v>0.01286</v>
      </c>
      <c r="I236" s="72" t="str">
        <f t="shared" si="1"/>
        <v/>
      </c>
      <c r="J236" s="73">
        <v>0.0</v>
      </c>
      <c r="K236" s="194"/>
      <c r="L236" s="55"/>
      <c r="M236" s="55"/>
      <c r="N236" s="55"/>
      <c r="O236" s="197"/>
      <c r="P236" s="103"/>
      <c r="Q236" s="103"/>
      <c r="R236" s="103"/>
      <c r="S236" s="79" t="str">
        <f t="shared" si="2"/>
        <v/>
      </c>
      <c r="T236" s="80" t="str">
        <f>IFERROR(__xludf.DUMMYFUNCTION("IF(
  Q236="""",
  """",
  IF(
   REGEXMATCH(SUBSTITUTE(Q236, "" ex"", """"), TEXTJOIN(""|"", TRUE, INDEX('language&amp;DataTest'!$A$33:$AB$182, , MATCH(HOME!$A$25, 'language&amp;DataTest'!$A$1:$G$1, 0)))),
   IF($M$26,
     IF(COUNTIFS(ARRAYFORMULA(SUBSTITUTE($C"&amp;"$2:$C287, "" ex"", """")), SUBSTITUTE(Q236, "" ex"", """"), $J$2:$J287, ""&gt;0"")=0, ""Yes"", ""No""),
     IF(COUNTIFS(ARRAYFORMULA(SUBSTITUTE($C$2:$C287, "" ex"", """")), SUBSTITUTE(Q236, "" ex"", """"), $A$2:$A287, TRUE)=0, ""Yes"", ""No"")
   ),
   ""No"&amp;"""
 )
)"),"")</f>
        <v/>
      </c>
    </row>
    <row r="237">
      <c r="A237" s="68" t="b">
        <v>1</v>
      </c>
      <c r="B237" s="69" t="s">
        <v>354</v>
      </c>
      <c r="C237" s="69" t="str">
        <f t="array" ref="C237">TEXTJOIN("", TRUE, IFERROR(INDEX('language&amp;DataTest'!A:J, MATCH(INDEX( PointerTest!C:C, MATCH(B237, PointerTest!A:A, 0), 0), 'language&amp;DataTest'!A:A, 0), MATCH(HOME!$A$25, 'language&amp;DataTest'!$A$1:$H$1, 0))),                      IFERROR(INDEX('language&amp;DataTest'!A:J, MATCH(INDEX( PointerTest!D:D, MATCH(B237, PointerTest!A:A, 0), 0), 'language&amp;DataTest'!A:A, 0), MATCH(HOME!$A$25, 'language&amp;DataTest'!$A$1:$H$1, 0))),                                          
IFERROR(INDEX('language&amp;DataTest'!A:J, MATCH(INDEX( PointerTest!E:E, MATCH(B237, PointerTest!A:A, 0), 0), 'language&amp;DataTest'!A:A, 0), MATCH(HOME!$A$25, 'language&amp;DataTest'!$A$1:$H$1, 0))))</f>
        <v>Alakazam</v>
      </c>
      <c r="D237" s="69" t="str">
        <f t="array" ref="D237">INDEX('language&amp;DataTest'!A:J, MATCH(INDEX( PointerTest!D:D, MATCH(INDEX(PointerTest!B:B, MATCH(B237, PointerTest!A:A, 0)), PointerTest!A:A, 0), 0), 'language&amp;DataTest'!A:A, 0), MATCH(HOME!$A$25, 'language&amp;DataTest'!$A$1:$H$1, 0))</f>
        <v>Charizard</v>
      </c>
      <c r="E237" s="69" t="str">
        <f t="array" ref="E237">INDEX( PointerTest!F:F, MATCH(B237, PointerTest!A:A, 0), 0)</f>
        <v>☆</v>
      </c>
      <c r="F237" s="70" t="str">
        <f t="array" ref="F237">LET(percentage,XLOOKUP($E237,$K$2:$K$10,L$2:L$10,"",0)/(COUNTIFS($E:$E,$E237,$D:$D,RegularFormula!$D$2)+COUNTIFS($E:$E,$E237,$D:$D,IF($D237=RegularFormula!$D$2,$K$15,$D237))),IFERROR(IF(percentage,percentage,""),""))
</f>
        <v/>
      </c>
      <c r="G237" s="71">
        <f t="array" ref="G237">LET(percentage,XLOOKUP($E237,$K$2:$K$10,M$2:M$10,"",0)/(COUNTIFS($E:$E,$E237,$D:$D,RegularFormula!$D$2)+COUNTIFS($E:$E,$E237,$D:$D,IF($D237=RegularFormula!$D$2,$K$15,$D237))),IFERROR(IF(percentage,percentage,""),""))
</f>
        <v>0.003215</v>
      </c>
      <c r="H237" s="71">
        <f t="array" ref="H237">LET(percentage,XLOOKUP($E237,$K$2:$K$10,N$2:N$10,"",0)/(COUNTIFS($E:$E,$E237,$D:$D,RegularFormula!$D$2)+COUNTIFS($E:$E,$E237,$D:$D,IF($D237=RegularFormula!$D$2,$K$15,$D237))),IFERROR(IF(percentage,percentage,""),""))
</f>
        <v>0.01286</v>
      </c>
      <c r="I237" s="72" t="str">
        <f t="shared" si="1"/>
        <v/>
      </c>
      <c r="J237" s="73">
        <v>0.0</v>
      </c>
      <c r="K237" s="194"/>
      <c r="L237" s="55"/>
      <c r="M237" s="55"/>
      <c r="N237" s="55"/>
      <c r="O237" s="197"/>
      <c r="P237" s="103"/>
      <c r="Q237" s="103"/>
      <c r="R237" s="103"/>
      <c r="S237" s="79" t="str">
        <f t="shared" si="2"/>
        <v/>
      </c>
      <c r="T237" s="80" t="str">
        <f>IFERROR(__xludf.DUMMYFUNCTION("IF(
  Q237="""",
  """",
  IF(
   REGEXMATCH(SUBSTITUTE(Q237, "" ex"", """"), TEXTJOIN(""|"", TRUE, INDEX('language&amp;DataTest'!$A$33:$AB$182, , MATCH(HOME!$A$25, 'language&amp;DataTest'!$A$1:$G$1, 0)))),
   IF($M$26,
     IF(COUNTIFS(ARRAYFORMULA(SUBSTITUTE($C"&amp;"$2:$C287, "" ex"", """")), SUBSTITUTE(Q237, "" ex"", """"), $J$2:$J287, ""&gt;0"")=0, ""Yes"", ""No""),
     IF(COUNTIFS(ARRAYFORMULA(SUBSTITUTE($C$2:$C287, "" ex"", """")), SUBSTITUTE(Q237, "" ex"", """"), $A$2:$A287, TRUE)=0, ""Yes"", ""No"")
   ),
   ""No"&amp;"""
 )
)"),"")</f>
        <v/>
      </c>
    </row>
    <row r="238">
      <c r="A238" s="68" t="b">
        <v>1</v>
      </c>
      <c r="B238" s="69" t="s">
        <v>355</v>
      </c>
      <c r="C238" s="69" t="str">
        <f t="array" ref="C238">TEXTJOIN("", TRUE, IFERROR(INDEX('language&amp;DataTest'!A:J, MATCH(INDEX( PointerTest!C:C, MATCH(B238, PointerTest!A:A, 0), 0), 'language&amp;DataTest'!A:A, 0), MATCH(HOME!$A$25, 'language&amp;DataTest'!$A$1:$H$1, 0))),                      IFERROR(INDEX('language&amp;DataTest'!A:J, MATCH(INDEX( PointerTest!D:D, MATCH(B238, PointerTest!A:A, 0), 0), 'language&amp;DataTest'!A:A, 0), MATCH(HOME!$A$25, 'language&amp;DataTest'!$A$1:$H$1, 0))),                                          
IFERROR(INDEX('language&amp;DataTest'!A:J, MATCH(INDEX( PointerTest!E:E, MATCH(B238, PointerTest!A:A, 0), 0), 'language&amp;DataTest'!A:A, 0), MATCH(HOME!$A$25, 'language&amp;DataTest'!$A$1:$H$1, 0))))</f>
        <v>Slowpoke</v>
      </c>
      <c r="D238" s="69" t="str">
        <f t="array" ref="D238">INDEX('language&amp;DataTest'!A:J, MATCH(INDEX( PointerTest!D:D, MATCH(INDEX(PointerTest!B:B, MATCH(B238, PointerTest!A:A, 0)), PointerTest!A:A, 0), 0), 'language&amp;DataTest'!A:A, 0), MATCH(HOME!$A$25, 'language&amp;DataTest'!$A$1:$H$1, 0))</f>
        <v>Charizard</v>
      </c>
      <c r="E238" s="69" t="str">
        <f t="array" ref="E238">INDEX( PointerTest!F:F, MATCH(B238, PointerTest!A:A, 0), 0)</f>
        <v>☆</v>
      </c>
      <c r="F238" s="70" t="str">
        <f t="array" ref="F238">LET(percentage,XLOOKUP($E238,$K$2:$K$10,L$2:L$10,"",0)/(COUNTIFS($E:$E,$E238,$D:$D,RegularFormula!$D$2)+COUNTIFS($E:$E,$E238,$D:$D,IF($D238=RegularFormula!$D$2,$K$15,$D238))),IFERROR(IF(percentage,percentage,""),""))
</f>
        <v/>
      </c>
      <c r="G238" s="71">
        <f t="array" ref="G238">LET(percentage,XLOOKUP($E238,$K$2:$K$10,M$2:M$10,"",0)/(COUNTIFS($E:$E,$E238,$D:$D,RegularFormula!$D$2)+COUNTIFS($E:$E,$E238,$D:$D,IF($D238=RegularFormula!$D$2,$K$15,$D238))),IFERROR(IF(percentage,percentage,""),""))
</f>
        <v>0.003215</v>
      </c>
      <c r="H238" s="71">
        <f t="array" ref="H238">LET(percentage,XLOOKUP($E238,$K$2:$K$10,N$2:N$10,"",0)/(COUNTIFS($E:$E,$E238,$D:$D,RegularFormula!$D$2)+COUNTIFS($E:$E,$E238,$D:$D,IF($D238=RegularFormula!$D$2,$K$15,$D238))),IFERROR(IF(percentage,percentage,""),""))
</f>
        <v>0.01286</v>
      </c>
      <c r="I238" s="72" t="str">
        <f t="shared" si="1"/>
        <v/>
      </c>
      <c r="J238" s="73">
        <v>0.0</v>
      </c>
      <c r="K238" s="194"/>
      <c r="L238" s="55"/>
      <c r="M238" s="55"/>
      <c r="N238" s="55"/>
      <c r="O238" s="197"/>
      <c r="P238" s="103"/>
      <c r="Q238" s="103"/>
      <c r="R238" s="103"/>
      <c r="S238" s="79" t="str">
        <f t="shared" si="2"/>
        <v/>
      </c>
      <c r="T238" s="80" t="str">
        <f>IFERROR(__xludf.DUMMYFUNCTION("IF(
  Q238="""",
  """",
  IF(
   REGEXMATCH(SUBSTITUTE(Q238, "" ex"", """"), TEXTJOIN(""|"", TRUE, INDEX('language&amp;DataTest'!$A$33:$AB$182, , MATCH(HOME!$A$25, 'language&amp;DataTest'!$A$1:$G$1, 0)))),
   IF($M$26,
     IF(COUNTIFS(ARRAYFORMULA(SUBSTITUTE($C"&amp;"$2:$C287, "" ex"", """")), SUBSTITUTE(Q238, "" ex"", """"), $J$2:$J287, ""&gt;0"")=0, ""Yes"", ""No""),
     IF(COUNTIFS(ARRAYFORMULA(SUBSTITUTE($C$2:$C287, "" ex"", """")), SUBSTITUTE(Q238, "" ex"", """"), $A$2:$A287, TRUE)=0, ""Yes"", ""No"")
   ),
   ""No"&amp;"""
 )
)"),"")</f>
        <v/>
      </c>
    </row>
    <row r="239">
      <c r="A239" s="68" t="b">
        <v>1</v>
      </c>
      <c r="B239" s="69" t="s">
        <v>356</v>
      </c>
      <c r="C239" s="69" t="str">
        <f t="array" ref="C239">TEXTJOIN("", TRUE, IFERROR(INDEX('language&amp;DataTest'!A:J, MATCH(INDEX( PointerTest!C:C, MATCH(B239, PointerTest!A:A, 0), 0), 'language&amp;DataTest'!A:A, 0), MATCH(HOME!$A$25, 'language&amp;DataTest'!$A$1:$H$1, 0))),                      IFERROR(INDEX('language&amp;DataTest'!A:J, MATCH(INDEX( PointerTest!D:D, MATCH(B239, PointerTest!A:A, 0), 0), 'language&amp;DataTest'!A:A, 0), MATCH(HOME!$A$25, 'language&amp;DataTest'!$A$1:$H$1, 0))),                                          
IFERROR(INDEX('language&amp;DataTest'!A:J, MATCH(INDEX( PointerTest!E:E, MATCH(B239, PointerTest!A:A, 0), 0), 'language&amp;DataTest'!A:A, 0), MATCH(HOME!$A$25, 'language&amp;DataTest'!$A$1:$H$1, 0))))</f>
        <v>Diglett</v>
      </c>
      <c r="D239" s="69" t="str">
        <f t="array" ref="D239">INDEX('language&amp;DataTest'!A:J, MATCH(INDEX( PointerTest!D:D, MATCH(INDEX(PointerTest!B:B, MATCH(B239, PointerTest!A:A, 0)), PointerTest!A:A, 0), 0), 'language&amp;DataTest'!A:A, 0), MATCH(HOME!$A$25, 'language&amp;DataTest'!$A$1:$H$1, 0))</f>
        <v>Pikachu</v>
      </c>
      <c r="E239" s="69" t="str">
        <f t="array" ref="E239">INDEX( PointerTest!F:F, MATCH(B239, PointerTest!A:A, 0), 0)</f>
        <v>☆</v>
      </c>
      <c r="F239" s="70" t="str">
        <f t="array" ref="F239">LET(percentage,XLOOKUP($E239,$K$2:$K$10,L$2:L$10,"",0)/(COUNTIFS($E:$E,$E239,$D:$D,RegularFormula!$D$2)+COUNTIFS($E:$E,$E239,$D:$D,IF($D239=RegularFormula!$D$2,$K$15,$D239))),IFERROR(IF(percentage,percentage,""),""))
</f>
        <v/>
      </c>
      <c r="G239" s="71">
        <f t="array" ref="G239">LET(percentage,XLOOKUP($E239,$K$2:$K$10,M$2:M$10,"",0)/(COUNTIFS($E:$E,$E239,$D:$D,RegularFormula!$D$2)+COUNTIFS($E:$E,$E239,$D:$D,IF($D239=RegularFormula!$D$2,$K$15,$D239))),IFERROR(IF(percentage,percentage,""),""))
</f>
        <v>0.003215</v>
      </c>
      <c r="H239" s="71">
        <f t="array" ref="H239">LET(percentage,XLOOKUP($E239,$K$2:$K$10,N$2:N$10,"",0)/(COUNTIFS($E:$E,$E239,$D:$D,RegularFormula!$D$2)+COUNTIFS($E:$E,$E239,$D:$D,IF($D239=RegularFormula!$D$2,$K$15,$D239))),IFERROR(IF(percentage,percentage,""),""))
</f>
        <v>0.01286</v>
      </c>
      <c r="I239" s="72" t="str">
        <f t="shared" si="1"/>
        <v/>
      </c>
      <c r="J239" s="73">
        <v>0.0</v>
      </c>
      <c r="K239" s="194"/>
      <c r="L239" s="55"/>
      <c r="M239" s="55"/>
      <c r="N239" s="55"/>
      <c r="O239" s="197"/>
      <c r="P239" s="103"/>
      <c r="Q239" s="103"/>
      <c r="R239" s="103"/>
      <c r="S239" s="79" t="str">
        <f t="shared" si="2"/>
        <v/>
      </c>
      <c r="T239" s="80" t="str">
        <f>IFERROR(__xludf.DUMMYFUNCTION("IF(
  Q239="""",
  """",
  IF(
   REGEXMATCH(SUBSTITUTE(Q239, "" ex"", """"), TEXTJOIN(""|"", TRUE, INDEX('language&amp;DataTest'!$A$33:$AB$182, , MATCH(HOME!$A$25, 'language&amp;DataTest'!$A$1:$G$1, 0)))),
   IF($M$26,
     IF(COUNTIFS(ARRAYFORMULA(SUBSTITUTE($C"&amp;"$2:$C287, "" ex"", """")), SUBSTITUTE(Q239, "" ex"", """"), $J$2:$J287, ""&gt;0"")=0, ""Yes"", ""No""),
     IF(COUNTIFS(ARRAYFORMULA(SUBSTITUTE($C$2:$C287, "" ex"", """")), SUBSTITUTE(Q239, "" ex"", """"), $A$2:$A287, TRUE)=0, ""Yes"", ""No"")
   ),
   ""No"&amp;"""
 )
)"),"")</f>
        <v/>
      </c>
    </row>
    <row r="240">
      <c r="A240" s="68" t="b">
        <v>1</v>
      </c>
      <c r="B240" s="69" t="s">
        <v>357</v>
      </c>
      <c r="C240" s="69" t="str">
        <f t="array" ref="C240">TEXTJOIN("", TRUE, IFERROR(INDEX('language&amp;DataTest'!A:J, MATCH(INDEX( PointerTest!C:C, MATCH(B240, PointerTest!A:A, 0), 0), 'language&amp;DataTest'!A:A, 0), MATCH(HOME!$A$25, 'language&amp;DataTest'!$A$1:$H$1, 0))),                      IFERROR(INDEX('language&amp;DataTest'!A:J, MATCH(INDEX( PointerTest!D:D, MATCH(B240, PointerTest!A:A, 0), 0), 'language&amp;DataTest'!A:A, 0), MATCH(HOME!$A$25, 'language&amp;DataTest'!$A$1:$H$1, 0))),                                          
IFERROR(INDEX('language&amp;DataTest'!A:J, MATCH(INDEX( PointerTest!E:E, MATCH(B240, PointerTest!A:A, 0), 0), 'language&amp;DataTest'!A:A, 0), MATCH(HOME!$A$25, 'language&amp;DataTest'!$A$1:$H$1, 0))))</f>
        <v>Cubone</v>
      </c>
      <c r="D240" s="69" t="str">
        <f t="array" ref="D240">INDEX('language&amp;DataTest'!A:J, MATCH(INDEX( PointerTest!D:D, MATCH(INDEX(PointerTest!B:B, MATCH(B240, PointerTest!A:A, 0)), PointerTest!A:A, 0), 0), 'language&amp;DataTest'!A:A, 0), MATCH(HOME!$A$25, 'language&amp;DataTest'!$A$1:$H$1, 0))</f>
        <v>Mewtwo</v>
      </c>
      <c r="E240" s="69" t="str">
        <f t="array" ref="E240">INDEX( PointerTest!F:F, MATCH(B240, PointerTest!A:A, 0), 0)</f>
        <v>☆</v>
      </c>
      <c r="F240" s="70" t="str">
        <f t="array" ref="F240">LET(percentage,XLOOKUP($E240,$K$2:$K$10,L$2:L$10,"",0)/(COUNTIFS($E:$E,$E240,$D:$D,RegularFormula!$D$2)+COUNTIFS($E:$E,$E240,$D:$D,IF($D240=RegularFormula!$D$2,$K$15,$D240))),IFERROR(IF(percentage,percentage,""),""))
</f>
        <v/>
      </c>
      <c r="G240" s="71">
        <f t="array" ref="G240">LET(percentage,XLOOKUP($E240,$K$2:$K$10,M$2:M$10,"",0)/(COUNTIFS($E:$E,$E240,$D:$D,RegularFormula!$D$2)+COUNTIFS($E:$E,$E240,$D:$D,IF($D240=RegularFormula!$D$2,$K$15,$D240))),IFERROR(IF(percentage,percentage,""),""))
</f>
        <v>0.003215</v>
      </c>
      <c r="H240" s="71">
        <f t="array" ref="H240">LET(percentage,XLOOKUP($E240,$K$2:$K$10,N$2:N$10,"",0)/(COUNTIFS($E:$E,$E240,$D:$D,RegularFormula!$D$2)+COUNTIFS($E:$E,$E240,$D:$D,IF($D240=RegularFormula!$D$2,$K$15,$D240))),IFERROR(IF(percentage,percentage,""),""))
</f>
        <v>0.01286</v>
      </c>
      <c r="I240" s="72" t="str">
        <f t="shared" si="1"/>
        <v/>
      </c>
      <c r="J240" s="73">
        <v>0.0</v>
      </c>
      <c r="K240" s="194"/>
      <c r="L240" s="55"/>
      <c r="M240" s="55"/>
      <c r="N240" s="55"/>
      <c r="O240" s="197"/>
      <c r="P240" s="103"/>
      <c r="Q240" s="103"/>
      <c r="R240" s="103"/>
      <c r="S240" s="79" t="str">
        <f t="shared" si="2"/>
        <v/>
      </c>
      <c r="T240" s="80" t="str">
        <f>IFERROR(__xludf.DUMMYFUNCTION("IF(
  Q240="""",
  """",
  IF(
   REGEXMATCH(SUBSTITUTE(Q240, "" ex"", """"), TEXTJOIN(""|"", TRUE, INDEX('language&amp;DataTest'!$A$33:$AB$182, , MATCH(HOME!$A$25, 'language&amp;DataTest'!$A$1:$G$1, 0)))),
   IF($M$26,
     IF(COUNTIFS(ARRAYFORMULA(SUBSTITUTE($C"&amp;"$2:$C287, "" ex"", """")), SUBSTITUTE(Q240, "" ex"", """"), $J$2:$J287, ""&gt;0"")=0, ""Yes"", ""No""),
     IF(COUNTIFS(ARRAYFORMULA(SUBSTITUTE($C$2:$C287, "" ex"", """")), SUBSTITUTE(Q240, "" ex"", """"), $A$2:$A287, TRUE)=0, ""Yes"", ""No"")
   ),
   ""No"&amp;"""
 )
)"),"")</f>
        <v/>
      </c>
    </row>
    <row r="241">
      <c r="A241" s="68" t="b">
        <v>1</v>
      </c>
      <c r="B241" s="69" t="s">
        <v>358</v>
      </c>
      <c r="C241" s="69" t="str">
        <f t="array" ref="C241">TEXTJOIN("", TRUE, IFERROR(INDEX('language&amp;DataTest'!A:J, MATCH(INDEX( PointerTest!C:C, MATCH(B241, PointerTest!A:A, 0), 0), 'language&amp;DataTest'!A:A, 0), MATCH(HOME!$A$25, 'language&amp;DataTest'!$A$1:$H$1, 0))),                      IFERROR(INDEX('language&amp;DataTest'!A:J, MATCH(INDEX( PointerTest!D:D, MATCH(B241, PointerTest!A:A, 0), 0), 'language&amp;DataTest'!A:A, 0), MATCH(HOME!$A$25, 'language&amp;DataTest'!$A$1:$H$1, 0))),                                          
IFERROR(INDEX('language&amp;DataTest'!A:J, MATCH(INDEX( PointerTest!E:E, MATCH(B241, PointerTest!A:A, 0), 0), 'language&amp;DataTest'!A:A, 0), MATCH(HOME!$A$25, 'language&amp;DataTest'!$A$1:$H$1, 0))))</f>
        <v>Nidoqueen</v>
      </c>
      <c r="D241" s="69" t="str">
        <f t="array" ref="D241">INDEX('language&amp;DataTest'!A:J, MATCH(INDEX( PointerTest!D:D, MATCH(INDEX(PointerTest!B:B, MATCH(B241, PointerTest!A:A, 0)), PointerTest!A:A, 0), 0), 'language&amp;DataTest'!A:A, 0), MATCH(HOME!$A$25, 'language&amp;DataTest'!$A$1:$H$1, 0))</f>
        <v>Pikachu</v>
      </c>
      <c r="E241" s="69" t="str">
        <f t="array" ref="E241">INDEX( PointerTest!F:F, MATCH(B241, PointerTest!A:A, 0), 0)</f>
        <v>☆</v>
      </c>
      <c r="F241" s="70" t="str">
        <f t="array" ref="F241">LET(percentage,XLOOKUP($E241,$K$2:$K$10,L$2:L$10,"",0)/(COUNTIFS($E:$E,$E241,$D:$D,RegularFormula!$D$2)+COUNTIFS($E:$E,$E241,$D:$D,IF($D241=RegularFormula!$D$2,$K$15,$D241))),IFERROR(IF(percentage,percentage,""),""))
</f>
        <v/>
      </c>
      <c r="G241" s="71">
        <f t="array" ref="G241">LET(percentage,XLOOKUP($E241,$K$2:$K$10,M$2:M$10,"",0)/(COUNTIFS($E:$E,$E241,$D:$D,RegularFormula!$D$2)+COUNTIFS($E:$E,$E241,$D:$D,IF($D241=RegularFormula!$D$2,$K$15,$D241))),IFERROR(IF(percentage,percentage,""),""))
</f>
        <v>0.003215</v>
      </c>
      <c r="H241" s="71">
        <f t="array" ref="H241">LET(percentage,XLOOKUP($E241,$K$2:$K$10,N$2:N$10,"",0)/(COUNTIFS($E:$E,$E241,$D:$D,RegularFormula!$D$2)+COUNTIFS($E:$E,$E241,$D:$D,IF($D241=RegularFormula!$D$2,$K$15,$D241))),IFERROR(IF(percentage,percentage,""),""))
</f>
        <v>0.01286</v>
      </c>
      <c r="I241" s="72" t="str">
        <f t="shared" si="1"/>
        <v/>
      </c>
      <c r="J241" s="73">
        <v>0.0</v>
      </c>
      <c r="K241" s="194"/>
      <c r="L241" s="55"/>
      <c r="M241" s="55"/>
      <c r="N241" s="55"/>
      <c r="O241" s="197"/>
      <c r="P241" s="103"/>
      <c r="Q241" s="103"/>
      <c r="R241" s="103"/>
      <c r="S241" s="79" t="str">
        <f t="shared" si="2"/>
        <v/>
      </c>
      <c r="T241" s="80" t="str">
        <f>IFERROR(__xludf.DUMMYFUNCTION("IF(
  Q241="""",
  """",
  IF(
   REGEXMATCH(SUBSTITUTE(Q241, "" ex"", """"), TEXTJOIN(""|"", TRUE, INDEX('language&amp;DataTest'!$A$33:$AB$182, , MATCH(HOME!$A$25, 'language&amp;DataTest'!$A$1:$G$1, 0)))),
   IF($M$26,
     IF(COUNTIFS(ARRAYFORMULA(SUBSTITUTE($C"&amp;"$2:$C287, "" ex"", """")), SUBSTITUTE(Q241, "" ex"", """"), $J$2:$J287, ""&gt;0"")=0, ""Yes"", ""No""),
     IF(COUNTIFS(ARRAYFORMULA(SUBSTITUTE($C$2:$C287, "" ex"", """")), SUBSTITUTE(Q241, "" ex"", """"), $A$2:$A287, TRUE)=0, ""Yes"", ""No"")
   ),
   ""No"&amp;"""
 )
)"),"")</f>
        <v/>
      </c>
    </row>
    <row r="242">
      <c r="A242" s="68" t="b">
        <v>0</v>
      </c>
      <c r="B242" s="69" t="s">
        <v>359</v>
      </c>
      <c r="C242" s="69" t="str">
        <f t="array" ref="C242">TEXTJOIN("", TRUE, IFERROR(INDEX('language&amp;DataTest'!A:J, MATCH(INDEX( PointerTest!C:C, MATCH(B242, PointerTest!A:A, 0), 0), 'language&amp;DataTest'!A:A, 0), MATCH(HOME!$A$25, 'language&amp;DataTest'!$A$1:$H$1, 0))),                      IFERROR(INDEX('language&amp;DataTest'!A:J, MATCH(INDEX( PointerTest!D:D, MATCH(B242, PointerTest!A:A, 0), 0), 'language&amp;DataTest'!A:A, 0), MATCH(HOME!$A$25, 'language&amp;DataTest'!$A$1:$H$1, 0))),                                          
IFERROR(INDEX('language&amp;DataTest'!A:J, MATCH(INDEX( PointerTest!E:E, MATCH(B242, PointerTest!A:A, 0), 0), 'language&amp;DataTest'!A:A, 0), MATCH(HOME!$A$25, 'language&amp;DataTest'!$A$1:$H$1, 0))))</f>
        <v>Nidoking</v>
      </c>
      <c r="D242" s="69" t="str">
        <f t="array" ref="D242">INDEX('language&amp;DataTest'!A:J, MATCH(INDEX( PointerTest!D:D, MATCH(INDEX(PointerTest!B:B, MATCH(B242, PointerTest!A:A, 0)), PointerTest!A:A, 0), 0), 'language&amp;DataTest'!A:A, 0), MATCH(HOME!$A$25, 'language&amp;DataTest'!$A$1:$H$1, 0))</f>
        <v>Pikachu</v>
      </c>
      <c r="E242" s="69" t="str">
        <f t="array" ref="E242">INDEX( PointerTest!F:F, MATCH(B242, PointerTest!A:A, 0), 0)</f>
        <v>☆</v>
      </c>
      <c r="F242" s="70" t="str">
        <f t="array" ref="F242">LET(percentage,XLOOKUP($E242,$K$2:$K$10,L$2:L$10,"",0)/(COUNTIFS($E:$E,$E242,$D:$D,RegularFormula!$D$2)+COUNTIFS($E:$E,$E242,$D:$D,IF($D242=RegularFormula!$D$2,$K$15,$D242))),IFERROR(IF(percentage,percentage,""),""))
</f>
        <v/>
      </c>
      <c r="G242" s="71">
        <f t="array" ref="G242">LET(percentage,XLOOKUP($E242,$K$2:$K$10,M$2:M$10,"",0)/(COUNTIFS($E:$E,$E242,$D:$D,RegularFormula!$D$2)+COUNTIFS($E:$E,$E242,$D:$D,IF($D242=RegularFormula!$D$2,$K$15,$D242))),IFERROR(IF(percentage,percentage,""),""))
</f>
        <v>0.003215</v>
      </c>
      <c r="H242" s="71">
        <f t="array" ref="H242">LET(percentage,XLOOKUP($E242,$K$2:$K$10,N$2:N$10,"",0)/(COUNTIFS($E:$E,$E242,$D:$D,RegularFormula!$D$2)+COUNTIFS($E:$E,$E242,$D:$D,IF($D242=RegularFormula!$D$2,$K$15,$D242))),IFERROR(IF(percentage,percentage,""),""))
</f>
        <v>0.01286</v>
      </c>
      <c r="I242" s="72" t="str">
        <f t="shared" si="1"/>
        <v/>
      </c>
      <c r="J242" s="73">
        <v>0.0</v>
      </c>
      <c r="K242" s="194"/>
      <c r="L242" s="55"/>
      <c r="M242" s="55"/>
      <c r="N242" s="55"/>
      <c r="O242" s="197"/>
      <c r="P242" s="103"/>
      <c r="Q242" s="103"/>
      <c r="R242" s="103"/>
      <c r="S242" s="79" t="str">
        <f t="shared" si="2"/>
        <v/>
      </c>
      <c r="T242" s="80" t="str">
        <f>IFERROR(__xludf.DUMMYFUNCTION("IF(
  Q242="""",
  """",
  IF(
   REGEXMATCH(SUBSTITUTE(Q242, "" ex"", """"), TEXTJOIN(""|"", TRUE, INDEX('language&amp;DataTest'!$A$33:$AB$182, , MATCH(HOME!$A$25, 'language&amp;DataTest'!$A$1:$G$1, 0)))),
   IF($M$26,
     IF(COUNTIFS(ARRAYFORMULA(SUBSTITUTE($C"&amp;"$2:$C287, "" ex"", """")), SUBSTITUTE(Q242, "" ex"", """"), $J$2:$J287, ""&gt;0"")=0, ""Yes"", ""No""),
     IF(COUNTIFS(ARRAYFORMULA(SUBSTITUTE($C$2:$C287, "" ex"", """")), SUBSTITUTE(Q242, "" ex"", """"), $A$2:$A287, TRUE)=0, ""Yes"", ""No"")
   ),
   ""No"&amp;"""
 )
)"),"")</f>
        <v/>
      </c>
    </row>
    <row r="243">
      <c r="A243" s="68" t="b">
        <v>1</v>
      </c>
      <c r="B243" s="69" t="s">
        <v>360</v>
      </c>
      <c r="C243" s="69" t="str">
        <f t="array" ref="C243">TEXTJOIN("", TRUE, IFERROR(INDEX('language&amp;DataTest'!A:J, MATCH(INDEX( PointerTest!C:C, MATCH(B243, PointerTest!A:A, 0), 0), 'language&amp;DataTest'!A:A, 0), MATCH(HOME!$A$25, 'language&amp;DataTest'!$A$1:$H$1, 0))),                      IFERROR(INDEX('language&amp;DataTest'!A:J, MATCH(INDEX( PointerTest!D:D, MATCH(B243, PointerTest!A:A, 0), 0), 'language&amp;DataTest'!A:A, 0), MATCH(HOME!$A$25, 'language&amp;DataTest'!$A$1:$H$1, 0))),                                          
IFERROR(INDEX('language&amp;DataTest'!A:J, MATCH(INDEX( PointerTest!E:E, MATCH(B243, PointerTest!A:A, 0), 0), 'language&amp;DataTest'!A:A, 0), MATCH(HOME!$A$25, 'language&amp;DataTest'!$A$1:$H$1, 0))))</f>
        <v>Golbat</v>
      </c>
      <c r="D243" s="69" t="str">
        <f t="array" ref="D243">INDEX('language&amp;DataTest'!A:J, MATCH(INDEX( PointerTest!D:D, MATCH(INDEX(PointerTest!B:B, MATCH(B243, PointerTest!A:A, 0)), PointerTest!A:A, 0), 0), 'language&amp;DataTest'!A:A, 0), MATCH(HOME!$A$25, 'language&amp;DataTest'!$A$1:$H$1, 0))</f>
        <v>Mewtwo</v>
      </c>
      <c r="E243" s="69" t="str">
        <f t="array" ref="E243">INDEX( PointerTest!F:F, MATCH(B243, PointerTest!A:A, 0), 0)</f>
        <v>☆</v>
      </c>
      <c r="F243" s="70" t="str">
        <f t="array" ref="F243">LET(percentage,XLOOKUP($E243,$K$2:$K$10,L$2:L$10,"",0)/(COUNTIFS($E:$E,$E243,$D:$D,RegularFormula!$D$2)+COUNTIFS($E:$E,$E243,$D:$D,IF($D243=RegularFormula!$D$2,$K$15,$D243))),IFERROR(IF(percentage,percentage,""),""))
</f>
        <v/>
      </c>
      <c r="G243" s="71">
        <f t="array" ref="G243">LET(percentage,XLOOKUP($E243,$K$2:$K$10,M$2:M$10,"",0)/(COUNTIFS($E:$E,$E243,$D:$D,RegularFormula!$D$2)+COUNTIFS($E:$E,$E243,$D:$D,IF($D243=RegularFormula!$D$2,$K$15,$D243))),IFERROR(IF(percentage,percentage,""),""))
</f>
        <v>0.003215</v>
      </c>
      <c r="H243" s="71">
        <f t="array" ref="H243">LET(percentage,XLOOKUP($E243,$K$2:$K$10,N$2:N$10,"",0)/(COUNTIFS($E:$E,$E243,$D:$D,RegularFormula!$D$2)+COUNTIFS($E:$E,$E243,$D:$D,IF($D243=RegularFormula!$D$2,$K$15,$D243))),IFERROR(IF(percentage,percentage,""),""))
</f>
        <v>0.01286</v>
      </c>
      <c r="I243" s="72" t="str">
        <f t="shared" si="1"/>
        <v/>
      </c>
      <c r="J243" s="73">
        <v>0.0</v>
      </c>
      <c r="K243" s="194"/>
      <c r="L243" s="55"/>
      <c r="M243" s="55"/>
      <c r="N243" s="55"/>
      <c r="O243" s="197"/>
      <c r="P243" s="103"/>
      <c r="Q243" s="103"/>
      <c r="R243" s="103"/>
      <c r="S243" s="79" t="str">
        <f t="shared" si="2"/>
        <v/>
      </c>
      <c r="T243" s="80" t="str">
        <f>IFERROR(__xludf.DUMMYFUNCTION("IF(
  Q243="""",
  """",
  IF(
   REGEXMATCH(SUBSTITUTE(Q243, "" ex"", """"), TEXTJOIN(""|"", TRUE, INDEX('language&amp;DataTest'!$A$33:$AB$182, , MATCH(HOME!$A$25, 'language&amp;DataTest'!$A$1:$G$1, 0)))),
   IF($M$26,
     IF(COUNTIFS(ARRAYFORMULA(SUBSTITUTE($C"&amp;"$2:$C287, "" ex"", """")), SUBSTITUTE(Q243, "" ex"", """"), $J$2:$J287, ""&gt;0"")=0, ""Yes"", ""No""),
     IF(COUNTIFS(ARRAYFORMULA(SUBSTITUTE($C$2:$C287, "" ex"", """")), SUBSTITUTE(Q243, "" ex"", """"), $A$2:$A287, TRUE)=0, ""Yes"", ""No"")
   ),
   ""No"&amp;"""
 )
)"),"")</f>
        <v/>
      </c>
    </row>
    <row r="244">
      <c r="A244" s="68" t="b">
        <v>1</v>
      </c>
      <c r="B244" s="69" t="s">
        <v>361</v>
      </c>
      <c r="C244" s="69" t="str">
        <f t="array" ref="C244">TEXTJOIN("", TRUE, IFERROR(INDEX('language&amp;DataTest'!A:J, MATCH(INDEX( PointerTest!C:C, MATCH(B244, PointerTest!A:A, 0), 0), 'language&amp;DataTest'!A:A, 0), MATCH(HOME!$A$25, 'language&amp;DataTest'!$A$1:$H$1, 0))),                      IFERROR(INDEX('language&amp;DataTest'!A:J, MATCH(INDEX( PointerTest!D:D, MATCH(B244, PointerTest!A:A, 0), 0), 'language&amp;DataTest'!A:A, 0), MATCH(HOME!$A$25, 'language&amp;DataTest'!$A$1:$H$1, 0))),                                          
IFERROR(INDEX('language&amp;DataTest'!A:J, MATCH(INDEX( PointerTest!E:E, MATCH(B244, PointerTest!A:A, 0), 0), 'language&amp;DataTest'!A:A, 0), MATCH(HOME!$A$25, 'language&amp;DataTest'!$A$1:$H$1, 0))))</f>
        <v>Weezing</v>
      </c>
      <c r="D244" s="69" t="str">
        <f t="array" ref="D244">INDEX('language&amp;DataTest'!A:J, MATCH(INDEX( PointerTest!D:D, MATCH(INDEX(PointerTest!B:B, MATCH(B244, PointerTest!A:A, 0)), PointerTest!A:A, 0), 0), 'language&amp;DataTest'!A:A, 0), MATCH(HOME!$A$25, 'language&amp;DataTest'!$A$1:$H$1, 0))</f>
        <v>Mewtwo</v>
      </c>
      <c r="E244" s="69" t="str">
        <f t="array" ref="E244">INDEX( PointerTest!F:F, MATCH(B244, PointerTest!A:A, 0), 0)</f>
        <v>☆</v>
      </c>
      <c r="F244" s="70" t="str">
        <f t="array" ref="F244">LET(percentage,XLOOKUP($E244,$K$2:$K$10,L$2:L$10,"",0)/(COUNTIFS($E:$E,$E244,$D:$D,RegularFormula!$D$2)+COUNTIFS($E:$E,$E244,$D:$D,IF($D244=RegularFormula!$D$2,$K$15,$D244))),IFERROR(IF(percentage,percentage,""),""))
</f>
        <v/>
      </c>
      <c r="G244" s="71">
        <f t="array" ref="G244">LET(percentage,XLOOKUP($E244,$K$2:$K$10,M$2:M$10,"",0)/(COUNTIFS($E:$E,$E244,$D:$D,RegularFormula!$D$2)+COUNTIFS($E:$E,$E244,$D:$D,IF($D244=RegularFormula!$D$2,$K$15,$D244))),IFERROR(IF(percentage,percentage,""),""))
</f>
        <v>0.003215</v>
      </c>
      <c r="H244" s="71">
        <f t="array" ref="H244">LET(percentage,XLOOKUP($E244,$K$2:$K$10,N$2:N$10,"",0)/(COUNTIFS($E:$E,$E244,$D:$D,RegularFormula!$D$2)+COUNTIFS($E:$E,$E244,$D:$D,IF($D244=RegularFormula!$D$2,$K$15,$D244))),IFERROR(IF(percentage,percentage,""),""))
</f>
        <v>0.01286</v>
      </c>
      <c r="I244" s="72" t="str">
        <f t="shared" si="1"/>
        <v/>
      </c>
      <c r="J244" s="73">
        <v>0.0</v>
      </c>
      <c r="K244" s="194"/>
      <c r="L244" s="55"/>
      <c r="M244" s="55"/>
      <c r="N244" s="55"/>
      <c r="O244" s="197"/>
      <c r="P244" s="103"/>
      <c r="Q244" s="103"/>
      <c r="R244" s="103"/>
      <c r="S244" s="79" t="str">
        <f t="shared" si="2"/>
        <v/>
      </c>
      <c r="T244" s="80" t="str">
        <f>IFERROR(__xludf.DUMMYFUNCTION("IF(
  Q244="""",
  """",
  IF(
   REGEXMATCH(SUBSTITUTE(Q244, "" ex"", """"), TEXTJOIN(""|"", TRUE, INDEX('language&amp;DataTest'!$A$33:$AB$182, , MATCH(HOME!$A$25, 'language&amp;DataTest'!$A$1:$G$1, 0)))),
   IF($M$26,
     IF(COUNTIFS(ARRAYFORMULA(SUBSTITUTE($C"&amp;"$2:$C287, "" ex"", """")), SUBSTITUTE(Q244, "" ex"", """"), $J$2:$J287, ""&gt;0"")=0, ""Yes"", ""No""),
     IF(COUNTIFS(ARRAYFORMULA(SUBSTITUTE($C$2:$C287, "" ex"", """")), SUBSTITUTE(Q244, "" ex"", """"), $A$2:$A287, TRUE)=0, ""Yes"", ""No"")
   ),
   ""No"&amp;"""
 )
)"),"")</f>
        <v/>
      </c>
    </row>
    <row r="245">
      <c r="A245" s="68" t="b">
        <v>1</v>
      </c>
      <c r="B245" s="69" t="s">
        <v>362</v>
      </c>
      <c r="C245" s="69" t="str">
        <f t="array" ref="C245">TEXTJOIN("", TRUE, IFERROR(INDEX('language&amp;DataTest'!A:J, MATCH(INDEX( PointerTest!C:C, MATCH(B245, PointerTest!A:A, 0), 0), 'language&amp;DataTest'!A:A, 0), MATCH(HOME!$A$25, 'language&amp;DataTest'!$A$1:$H$1, 0))),                      IFERROR(INDEX('language&amp;DataTest'!A:J, MATCH(INDEX( PointerTest!D:D, MATCH(B245, PointerTest!A:A, 0), 0), 'language&amp;DataTest'!A:A, 0), MATCH(HOME!$A$25, 'language&amp;DataTest'!$A$1:$H$1, 0))),                                          
IFERROR(INDEX('language&amp;DataTest'!A:J, MATCH(INDEX( PointerTest!E:E, MATCH(B245, PointerTest!A:A, 0), 0), 'language&amp;DataTest'!A:A, 0), MATCH(HOME!$A$25, 'language&amp;DataTest'!$A$1:$H$1, 0))))</f>
        <v>Dragonite</v>
      </c>
      <c r="D245" s="69" t="str">
        <f t="array" ref="D245">INDEX('language&amp;DataTest'!A:J, MATCH(INDEX( PointerTest!D:D, MATCH(INDEX(PointerTest!B:B, MATCH(B245, PointerTest!A:A, 0)), PointerTest!A:A, 0), 0), 'language&amp;DataTest'!A:A, 0), MATCH(HOME!$A$25, 'language&amp;DataTest'!$A$1:$H$1, 0))</f>
        <v>Mewtwo</v>
      </c>
      <c r="E245" s="69" t="str">
        <f t="array" ref="E245">INDEX( PointerTest!F:F, MATCH(B245, PointerTest!A:A, 0), 0)</f>
        <v>☆</v>
      </c>
      <c r="F245" s="70" t="str">
        <f t="array" ref="F245">LET(percentage,XLOOKUP($E245,$K$2:$K$10,L$2:L$10,"",0)/(COUNTIFS($E:$E,$E245,$D:$D,RegularFormula!$D$2)+COUNTIFS($E:$E,$E245,$D:$D,IF($D245=RegularFormula!$D$2,$K$15,$D245))),IFERROR(IF(percentage,percentage,""),""))
</f>
        <v/>
      </c>
      <c r="G245" s="71">
        <f t="array" ref="G245">LET(percentage,XLOOKUP($E245,$K$2:$K$10,M$2:M$10,"",0)/(COUNTIFS($E:$E,$E245,$D:$D,RegularFormula!$D$2)+COUNTIFS($E:$E,$E245,$D:$D,IF($D245=RegularFormula!$D$2,$K$15,$D245))),IFERROR(IF(percentage,percentage,""),""))
</f>
        <v>0.003215</v>
      </c>
      <c r="H245" s="71">
        <f t="array" ref="H245">LET(percentage,XLOOKUP($E245,$K$2:$K$10,N$2:N$10,"",0)/(COUNTIFS($E:$E,$E245,$D:$D,RegularFormula!$D$2)+COUNTIFS($E:$E,$E245,$D:$D,IF($D245=RegularFormula!$D$2,$K$15,$D245))),IFERROR(IF(percentage,percentage,""),""))
</f>
        <v>0.01286</v>
      </c>
      <c r="I245" s="72" t="str">
        <f t="shared" si="1"/>
        <v/>
      </c>
      <c r="J245" s="73">
        <v>0.0</v>
      </c>
      <c r="K245" s="194"/>
      <c r="L245" s="55"/>
      <c r="M245" s="55"/>
      <c r="N245" s="55"/>
      <c r="O245" s="197"/>
      <c r="P245" s="103"/>
      <c r="Q245" s="103"/>
      <c r="R245" s="103"/>
      <c r="S245" s="79" t="str">
        <f t="shared" si="2"/>
        <v/>
      </c>
      <c r="T245" s="80" t="str">
        <f>IFERROR(__xludf.DUMMYFUNCTION("IF(
  Q245="""",
  """",
  IF(
   REGEXMATCH(SUBSTITUTE(Q245, "" ex"", """"), TEXTJOIN(""|"", TRUE, INDEX('language&amp;DataTest'!$A$33:$AB$182, , MATCH(HOME!$A$25, 'language&amp;DataTest'!$A$1:$G$1, 0)))),
   IF($M$26,
     IF(COUNTIFS(ARRAYFORMULA(SUBSTITUTE($C"&amp;"$2:$C287, "" ex"", """")), SUBSTITUTE(Q245, "" ex"", """"), $J$2:$J287, ""&gt;0"")=0, ""Yes"", ""No""),
     IF(COUNTIFS(ARRAYFORMULA(SUBSTITUTE($C$2:$C287, "" ex"", """")), SUBSTITUTE(Q245, "" ex"", """"), $A$2:$A287, TRUE)=0, ""Yes"", ""No"")
   ),
   ""No"&amp;"""
 )
)"),"")</f>
        <v/>
      </c>
    </row>
    <row r="246">
      <c r="A246" s="68" t="b">
        <v>0</v>
      </c>
      <c r="B246" s="69" t="s">
        <v>363</v>
      </c>
      <c r="C246" s="69" t="str">
        <f t="array" ref="C246">TEXTJOIN("", TRUE, IFERROR(INDEX('language&amp;DataTest'!A:J, MATCH(INDEX( PointerTest!C:C, MATCH(B246, PointerTest!A:A, 0), 0), 'language&amp;DataTest'!A:A, 0), MATCH(HOME!$A$25, 'language&amp;DataTest'!$A$1:$H$1, 0))),                      IFERROR(INDEX('language&amp;DataTest'!A:J, MATCH(INDEX( PointerTest!D:D, MATCH(B246, PointerTest!A:A, 0), 0), 'language&amp;DataTest'!A:A, 0), MATCH(HOME!$A$25, 'language&amp;DataTest'!$A$1:$H$1, 0))),                                          
IFERROR(INDEX('language&amp;DataTest'!A:J, MATCH(INDEX( PointerTest!E:E, MATCH(B246, PointerTest!A:A, 0), 0), 'language&amp;DataTest'!A:A, 0), MATCH(HOME!$A$25, 'language&amp;DataTest'!$A$1:$H$1, 0))))</f>
        <v>Pidgeot</v>
      </c>
      <c r="D246" s="69" t="str">
        <f t="array" ref="D246">INDEX('language&amp;DataTest'!A:J, MATCH(INDEX( PointerTest!D:D, MATCH(INDEX(PointerTest!B:B, MATCH(B246, PointerTest!A:A, 0)), PointerTest!A:A, 0), 0), 'language&amp;DataTest'!A:A, 0), MATCH(HOME!$A$25, 'language&amp;DataTest'!$A$1:$H$1, 0))</f>
        <v>Mewtwo</v>
      </c>
      <c r="E246" s="69" t="str">
        <f t="array" ref="E246">INDEX( PointerTest!F:F, MATCH(B246, PointerTest!A:A, 0), 0)</f>
        <v>☆</v>
      </c>
      <c r="F246" s="70" t="str">
        <f t="array" ref="F246">LET(percentage,XLOOKUP($E246,$K$2:$K$10,L$2:L$10,"",0)/(COUNTIFS($E:$E,$E246,$D:$D,RegularFormula!$D$2)+COUNTIFS($E:$E,$E246,$D:$D,IF($D246=RegularFormula!$D$2,$K$15,$D246))),IFERROR(IF(percentage,percentage,""),""))
</f>
        <v/>
      </c>
      <c r="G246" s="71">
        <f t="array" ref="G246">LET(percentage,XLOOKUP($E246,$K$2:$K$10,M$2:M$10,"",0)/(COUNTIFS($E:$E,$E246,$D:$D,RegularFormula!$D$2)+COUNTIFS($E:$E,$E246,$D:$D,IF($D246=RegularFormula!$D$2,$K$15,$D246))),IFERROR(IF(percentage,percentage,""),""))
</f>
        <v>0.003215</v>
      </c>
      <c r="H246" s="71">
        <f t="array" ref="H246">LET(percentage,XLOOKUP($E246,$K$2:$K$10,N$2:N$10,"",0)/(COUNTIFS($E:$E,$E246,$D:$D,RegularFormula!$D$2)+COUNTIFS($E:$E,$E246,$D:$D,IF($D246=RegularFormula!$D$2,$K$15,$D246))),IFERROR(IF(percentage,percentage,""),""))
</f>
        <v>0.01286</v>
      </c>
      <c r="I246" s="72" t="str">
        <f t="shared" si="1"/>
        <v/>
      </c>
      <c r="J246" s="73">
        <v>0.0</v>
      </c>
      <c r="K246" s="194"/>
      <c r="L246" s="55"/>
      <c r="M246" s="55"/>
      <c r="N246" s="55"/>
      <c r="O246" s="197"/>
      <c r="P246" s="103"/>
      <c r="Q246" s="103"/>
      <c r="R246" s="103"/>
      <c r="S246" s="79" t="str">
        <f t="shared" si="2"/>
        <v/>
      </c>
      <c r="T246" s="80" t="str">
        <f>IFERROR(__xludf.DUMMYFUNCTION("IF(
  Q246="""",
  """",
  IF(
   REGEXMATCH(SUBSTITUTE(Q246, "" ex"", """"), TEXTJOIN(""|"", TRUE, INDEX('language&amp;DataTest'!$A$33:$AB$182, , MATCH(HOME!$A$25, 'language&amp;DataTest'!$A$1:$G$1, 0)))),
   IF($M$26,
     IF(COUNTIFS(ARRAYFORMULA(SUBSTITUTE($C"&amp;"$2:$C287, "" ex"", """")), SUBSTITUTE(Q246, "" ex"", """"), $J$2:$J287, ""&gt;0"")=0, ""Yes"", ""No""),
     IF(COUNTIFS(ARRAYFORMULA(SUBSTITUTE($C$2:$C287, "" ex"", """")), SUBSTITUTE(Q246, "" ex"", """"), $A$2:$A287, TRUE)=0, ""Yes"", ""No"")
   ),
   ""No"&amp;"""
 )
)"),"")</f>
        <v/>
      </c>
    </row>
    <row r="247">
      <c r="A247" s="68" t="b">
        <v>0</v>
      </c>
      <c r="B247" s="69" t="s">
        <v>364</v>
      </c>
      <c r="C247" s="69" t="str">
        <f t="array" ref="C247">TEXTJOIN("", TRUE, IFERROR(INDEX('language&amp;DataTest'!A:J, MATCH(INDEX( PointerTest!C:C, MATCH(B247, PointerTest!A:A, 0), 0), 'language&amp;DataTest'!A:A, 0), MATCH(HOME!$A$25, 'language&amp;DataTest'!$A$1:$H$1, 0))),                      IFERROR(INDEX('language&amp;DataTest'!A:J, MATCH(INDEX( PointerTest!D:D, MATCH(B247, PointerTest!A:A, 0), 0), 'language&amp;DataTest'!A:A, 0), MATCH(HOME!$A$25, 'language&amp;DataTest'!$A$1:$H$1, 0))),                                          
IFERROR(INDEX('language&amp;DataTest'!A:J, MATCH(INDEX( PointerTest!E:E, MATCH(B247, PointerTest!A:A, 0), 0), 'language&amp;DataTest'!A:A, 0), MATCH(HOME!$A$25, 'language&amp;DataTest'!$A$1:$H$1, 0))))</f>
        <v>Meowth</v>
      </c>
      <c r="D247" s="69" t="str">
        <f t="array" ref="D247">INDEX('language&amp;DataTest'!A:J, MATCH(INDEX( PointerTest!D:D, MATCH(INDEX(PointerTest!B:B, MATCH(B247, PointerTest!A:A, 0)), PointerTest!A:A, 0), 0), 'language&amp;DataTest'!A:A, 0), MATCH(HOME!$A$25, 'language&amp;DataTest'!$A$1:$H$1, 0))</f>
        <v>Charizard</v>
      </c>
      <c r="E247" s="69" t="str">
        <f t="array" ref="E247">INDEX( PointerTest!F:F, MATCH(B247, PointerTest!A:A, 0), 0)</f>
        <v>☆</v>
      </c>
      <c r="F247" s="70" t="str">
        <f t="array" ref="F247">LET(percentage,XLOOKUP($E247,$K$2:$K$10,L$2:L$10,"",0)/(COUNTIFS($E:$E,$E247,$D:$D,RegularFormula!$D$2)+COUNTIFS($E:$E,$E247,$D:$D,IF($D247=RegularFormula!$D$2,$K$15,$D247))),IFERROR(IF(percentage,percentage,""),""))
</f>
        <v/>
      </c>
      <c r="G247" s="71">
        <f t="array" ref="G247">LET(percentage,XLOOKUP($E247,$K$2:$K$10,M$2:M$10,"",0)/(COUNTIFS($E:$E,$E247,$D:$D,RegularFormula!$D$2)+COUNTIFS($E:$E,$E247,$D:$D,IF($D247=RegularFormula!$D$2,$K$15,$D247))),IFERROR(IF(percentage,percentage,""),""))
</f>
        <v>0.003215</v>
      </c>
      <c r="H247" s="71">
        <f t="array" ref="H247">LET(percentage,XLOOKUP($E247,$K$2:$K$10,N$2:N$10,"",0)/(COUNTIFS($E:$E,$E247,$D:$D,RegularFormula!$D$2)+COUNTIFS($E:$E,$E247,$D:$D,IF($D247=RegularFormula!$D$2,$K$15,$D247))),IFERROR(IF(percentage,percentage,""),""))
</f>
        <v>0.01286</v>
      </c>
      <c r="I247" s="72" t="str">
        <f t="shared" si="1"/>
        <v/>
      </c>
      <c r="J247" s="73">
        <v>0.0</v>
      </c>
      <c r="K247" s="194"/>
      <c r="L247" s="55"/>
      <c r="M247" s="55"/>
      <c r="N247" s="55"/>
      <c r="O247" s="197"/>
      <c r="P247" s="103"/>
      <c r="Q247" s="103"/>
      <c r="R247" s="103"/>
      <c r="S247" s="79" t="str">
        <f t="shared" si="2"/>
        <v/>
      </c>
      <c r="T247" s="80" t="str">
        <f>IFERROR(__xludf.DUMMYFUNCTION("IF(
  Q247="""",
  """",
  IF(
   REGEXMATCH(SUBSTITUTE(Q247, "" ex"", """"), TEXTJOIN(""|"", TRUE, INDEX('language&amp;DataTest'!$A$33:$AB$182, , MATCH(HOME!$A$25, 'language&amp;DataTest'!$A$1:$G$1, 0)))),
   IF($M$26,
     IF(COUNTIFS(ARRAYFORMULA(SUBSTITUTE($C"&amp;"$2:$C287, "" ex"", """")), SUBSTITUTE(Q247, "" ex"", """"), $J$2:$J287, ""&gt;0"")=0, ""Yes"", ""No""),
     IF(COUNTIFS(ARRAYFORMULA(SUBSTITUTE($C$2:$C287, "" ex"", """")), SUBSTITUTE(Q247, "" ex"", """"), $A$2:$A287, TRUE)=0, ""Yes"", ""No"")
   ),
   ""No"&amp;"""
 )
)"),"")</f>
        <v/>
      </c>
    </row>
    <row r="248">
      <c r="A248" s="68" t="b">
        <v>1</v>
      </c>
      <c r="B248" s="69" t="s">
        <v>365</v>
      </c>
      <c r="C248" s="69" t="str">
        <f t="array" ref="C248">TEXTJOIN("", TRUE, IFERROR(INDEX('language&amp;DataTest'!A:J, MATCH(INDEX( PointerTest!C:C, MATCH(B248, PointerTest!A:A, 0), 0), 'language&amp;DataTest'!A:A, 0), MATCH(HOME!$A$25, 'language&amp;DataTest'!$A$1:$H$1, 0))),                      IFERROR(INDEX('language&amp;DataTest'!A:J, MATCH(INDEX( PointerTest!D:D, MATCH(B248, PointerTest!A:A, 0), 0), 'language&amp;DataTest'!A:A, 0), MATCH(HOME!$A$25, 'language&amp;DataTest'!$A$1:$H$1, 0))),                                          
IFERROR(INDEX('language&amp;DataTest'!A:J, MATCH(INDEX( PointerTest!E:E, MATCH(B248, PointerTest!A:A, 0), 0), 'language&amp;DataTest'!A:A, 0), MATCH(HOME!$A$25, 'language&amp;DataTest'!$A$1:$H$1, 0))))</f>
        <v>Ditto</v>
      </c>
      <c r="D248" s="69" t="str">
        <f t="array" ref="D248">INDEX('language&amp;DataTest'!A:J, MATCH(INDEX( PointerTest!D:D, MATCH(INDEX(PointerTest!B:B, MATCH(B248, PointerTest!A:A, 0)), PointerTest!A:A, 0), 0), 'language&amp;DataTest'!A:A, 0), MATCH(HOME!$A$25, 'language&amp;DataTest'!$A$1:$H$1, 0))</f>
        <v>Mewtwo</v>
      </c>
      <c r="E248" s="69" t="str">
        <f t="array" ref="E248">INDEX( PointerTest!F:F, MATCH(B248, PointerTest!A:A, 0), 0)</f>
        <v>☆</v>
      </c>
      <c r="F248" s="70" t="str">
        <f t="array" ref="F248">LET(percentage,XLOOKUP($E248,$K$2:$K$10,L$2:L$10,"",0)/(COUNTIFS($E:$E,$E248,$D:$D,RegularFormula!$D$2)+COUNTIFS($E:$E,$E248,$D:$D,IF($D248=RegularFormula!$D$2,$K$15,$D248))),IFERROR(IF(percentage,percentage,""),""))
</f>
        <v/>
      </c>
      <c r="G248" s="71">
        <f t="array" ref="G248">LET(percentage,XLOOKUP($E248,$K$2:$K$10,M$2:M$10,"",0)/(COUNTIFS($E:$E,$E248,$D:$D,RegularFormula!$D$2)+COUNTIFS($E:$E,$E248,$D:$D,IF($D248=RegularFormula!$D$2,$K$15,$D248))),IFERROR(IF(percentage,percentage,""),""))
</f>
        <v>0.003215</v>
      </c>
      <c r="H248" s="71">
        <f t="array" ref="H248">LET(percentage,XLOOKUP($E248,$K$2:$K$10,N$2:N$10,"",0)/(COUNTIFS($E:$E,$E248,$D:$D,RegularFormula!$D$2)+COUNTIFS($E:$E,$E248,$D:$D,IF($D248=RegularFormula!$D$2,$K$15,$D248))),IFERROR(IF(percentage,percentage,""),""))
</f>
        <v>0.01286</v>
      </c>
      <c r="I248" s="72" t="str">
        <f t="shared" si="1"/>
        <v/>
      </c>
      <c r="J248" s="73">
        <v>0.0</v>
      </c>
      <c r="K248" s="194"/>
      <c r="L248" s="55"/>
      <c r="M248" s="55"/>
      <c r="N248" s="55"/>
      <c r="O248" s="197"/>
      <c r="P248" s="103"/>
      <c r="Q248" s="103"/>
      <c r="R248" s="103"/>
      <c r="S248" s="79" t="str">
        <f t="shared" si="2"/>
        <v/>
      </c>
      <c r="T248" s="80" t="str">
        <f>IFERROR(__xludf.DUMMYFUNCTION("IF(
  Q248="""",
  """",
  IF(
   REGEXMATCH(SUBSTITUTE(Q248, "" ex"", """"), TEXTJOIN(""|"", TRUE, INDEX('language&amp;DataTest'!$A$33:$AB$182, , MATCH(HOME!$A$25, 'language&amp;DataTest'!$A$1:$G$1, 0)))),
   IF($M$26,
     IF(COUNTIFS(ARRAYFORMULA(SUBSTITUTE($C"&amp;"$2:$C287, "" ex"", """")), SUBSTITUTE(Q248, "" ex"", """"), $J$2:$J287, ""&gt;0"")=0, ""Yes"", ""No""),
     IF(COUNTIFS(ARRAYFORMULA(SUBSTITUTE($C$2:$C287, "" ex"", """")), SUBSTITUTE(Q248, "" ex"", """"), $A$2:$A287, TRUE)=0, ""Yes"", ""No"")
   ),
   ""No"&amp;"""
 )
)"),"")</f>
        <v/>
      </c>
    </row>
    <row r="249">
      <c r="A249" s="68" t="b">
        <v>1</v>
      </c>
      <c r="B249" s="69" t="s">
        <v>366</v>
      </c>
      <c r="C249" s="69" t="str">
        <f t="array" ref="C249">TEXTJOIN("", TRUE, IFERROR(INDEX('language&amp;DataTest'!A:J, MATCH(INDEX( PointerTest!C:C, MATCH(B249, PointerTest!A:A, 0), 0), 'language&amp;DataTest'!A:A, 0), MATCH(HOME!$A$25, 'language&amp;DataTest'!$A$1:$H$1, 0))),                      IFERROR(INDEX('language&amp;DataTest'!A:J, MATCH(INDEX( PointerTest!D:D, MATCH(B249, PointerTest!A:A, 0), 0), 'language&amp;DataTest'!A:A, 0), MATCH(HOME!$A$25, 'language&amp;DataTest'!$A$1:$H$1, 0))),                                          
IFERROR(INDEX('language&amp;DataTest'!A:J, MATCH(INDEX( PointerTest!E:E, MATCH(B249, PointerTest!A:A, 0), 0), 'language&amp;DataTest'!A:A, 0), MATCH(HOME!$A$25, 'language&amp;DataTest'!$A$1:$H$1, 0))))</f>
        <v>Eevee</v>
      </c>
      <c r="D249" s="69" t="str">
        <f t="array" ref="D249">INDEX('language&amp;DataTest'!A:J, MATCH(INDEX( PointerTest!D:D, MATCH(INDEX(PointerTest!B:B, MATCH(B249, PointerTest!A:A, 0)), PointerTest!A:A, 0), 0), 'language&amp;DataTest'!A:A, 0), MATCH(HOME!$A$25, 'language&amp;DataTest'!$A$1:$H$1, 0))</f>
        <v>Pikachu</v>
      </c>
      <c r="E249" s="69" t="str">
        <f t="array" ref="E249">INDEX( PointerTest!F:F, MATCH(B249, PointerTest!A:A, 0), 0)</f>
        <v>☆</v>
      </c>
      <c r="F249" s="70" t="str">
        <f t="array" ref="F249">LET(percentage,XLOOKUP($E249,$K$2:$K$10,L$2:L$10,"",0)/(COUNTIFS($E:$E,$E249,$D:$D,RegularFormula!$D$2)+COUNTIFS($E:$E,$E249,$D:$D,IF($D249=RegularFormula!$D$2,$K$15,$D249))),IFERROR(IF(percentage,percentage,""),""))
</f>
        <v/>
      </c>
      <c r="G249" s="71">
        <f t="array" ref="G249">LET(percentage,XLOOKUP($E249,$K$2:$K$10,M$2:M$10,"",0)/(COUNTIFS($E:$E,$E249,$D:$D,RegularFormula!$D$2)+COUNTIFS($E:$E,$E249,$D:$D,IF($D249=RegularFormula!$D$2,$K$15,$D249))),IFERROR(IF(percentage,percentage,""),""))
</f>
        <v>0.003215</v>
      </c>
      <c r="H249" s="71">
        <f t="array" ref="H249">LET(percentage,XLOOKUP($E249,$K$2:$K$10,N$2:N$10,"",0)/(COUNTIFS($E:$E,$E249,$D:$D,RegularFormula!$D$2)+COUNTIFS($E:$E,$E249,$D:$D,IF($D249=RegularFormula!$D$2,$K$15,$D249))),IFERROR(IF(percentage,percentage,""),""))
</f>
        <v>0.01286</v>
      </c>
      <c r="I249" s="72" t="str">
        <f t="shared" si="1"/>
        <v/>
      </c>
      <c r="J249" s="73">
        <v>0.0</v>
      </c>
      <c r="K249" s="194"/>
      <c r="L249" s="55"/>
      <c r="M249" s="55"/>
      <c r="N249" s="55"/>
      <c r="O249" s="197"/>
      <c r="P249" s="103"/>
      <c r="Q249" s="103"/>
      <c r="R249" s="103"/>
      <c r="S249" s="79" t="str">
        <f t="shared" si="2"/>
        <v/>
      </c>
      <c r="T249" s="80" t="str">
        <f>IFERROR(__xludf.DUMMYFUNCTION("IF(
  Q249="""",
  """",
  IF(
   REGEXMATCH(SUBSTITUTE(Q249, "" ex"", """"), TEXTJOIN(""|"", TRUE, INDEX('language&amp;DataTest'!$A$33:$AB$182, , MATCH(HOME!$A$25, 'language&amp;DataTest'!$A$1:$G$1, 0)))),
   IF($M$26,
     IF(COUNTIFS(ARRAYFORMULA(SUBSTITUTE($C"&amp;"$2:$C287, "" ex"", """")), SUBSTITUTE(Q249, "" ex"", """"), $J$2:$J287, ""&gt;0"")=0, ""Yes"", ""No""),
     IF(COUNTIFS(ARRAYFORMULA(SUBSTITUTE($C$2:$C287, "" ex"", """")), SUBSTITUTE(Q249, "" ex"", """"), $A$2:$A287, TRUE)=0, ""Yes"", ""No"")
   ),
   ""No"&amp;"""
 )
)"),"")</f>
        <v/>
      </c>
    </row>
    <row r="250">
      <c r="A250" s="68" t="b">
        <v>1</v>
      </c>
      <c r="B250" s="69" t="s">
        <v>367</v>
      </c>
      <c r="C250" s="69" t="str">
        <f t="array" ref="C250">TEXTJOIN("", TRUE, IFERROR(INDEX('language&amp;DataTest'!A:J, MATCH(INDEX( PointerTest!C:C, MATCH(B250, PointerTest!A:A, 0), 0), 'language&amp;DataTest'!A:A, 0), MATCH(HOME!$A$25, 'language&amp;DataTest'!$A$1:$H$1, 0))),                      IFERROR(INDEX('language&amp;DataTest'!A:J, MATCH(INDEX( PointerTest!D:D, MATCH(B250, PointerTest!A:A, 0), 0), 'language&amp;DataTest'!A:A, 0), MATCH(HOME!$A$25, 'language&amp;DataTest'!$A$1:$H$1, 0))),                                          
IFERROR(INDEX('language&amp;DataTest'!A:J, MATCH(INDEX( PointerTest!E:E, MATCH(B250, PointerTest!A:A, 0), 0), 'language&amp;DataTest'!A:A, 0), MATCH(HOME!$A$25, 'language&amp;DataTest'!$A$1:$H$1, 0))))</f>
        <v>Porygon</v>
      </c>
      <c r="D250" s="69" t="str">
        <f t="array" ref="D250">INDEX('language&amp;DataTest'!A:J, MATCH(INDEX( PointerTest!D:D, MATCH(INDEX(PointerTest!B:B, MATCH(B250, PointerTest!A:A, 0)), PointerTest!A:A, 0), 0), 'language&amp;DataTest'!A:A, 0), MATCH(HOME!$A$25, 'language&amp;DataTest'!$A$1:$H$1, 0))</f>
        <v>Mewtwo</v>
      </c>
      <c r="E250" s="69" t="str">
        <f t="array" ref="E250">INDEX( PointerTest!F:F, MATCH(B250, PointerTest!A:A, 0), 0)</f>
        <v>☆</v>
      </c>
      <c r="F250" s="70" t="str">
        <f t="array" ref="F250">LET(percentage,XLOOKUP($E250,$K$2:$K$10,L$2:L$10,"",0)/(COUNTIFS($E:$E,$E250,$D:$D,RegularFormula!$D$2)+COUNTIFS($E:$E,$E250,$D:$D,IF($D250=RegularFormula!$D$2,$K$15,$D250))),IFERROR(IF(percentage,percentage,""),""))
</f>
        <v/>
      </c>
      <c r="G250" s="71">
        <f t="array" ref="G250">LET(percentage,XLOOKUP($E250,$K$2:$K$10,M$2:M$10,"",0)/(COUNTIFS($E:$E,$E250,$D:$D,RegularFormula!$D$2)+COUNTIFS($E:$E,$E250,$D:$D,IF($D250=RegularFormula!$D$2,$K$15,$D250))),IFERROR(IF(percentage,percentage,""),""))
</f>
        <v>0.003215</v>
      </c>
      <c r="H250" s="71">
        <f t="array" ref="H250">LET(percentage,XLOOKUP($E250,$K$2:$K$10,N$2:N$10,"",0)/(COUNTIFS($E:$E,$E250,$D:$D,RegularFormula!$D$2)+COUNTIFS($E:$E,$E250,$D:$D,IF($D250=RegularFormula!$D$2,$K$15,$D250))),IFERROR(IF(percentage,percentage,""),""))
</f>
        <v>0.01286</v>
      </c>
      <c r="I250" s="72" t="str">
        <f t="shared" si="1"/>
        <v/>
      </c>
      <c r="J250" s="73">
        <v>0.0</v>
      </c>
      <c r="K250" s="194"/>
      <c r="L250" s="55"/>
      <c r="M250" s="55"/>
      <c r="N250" s="55"/>
      <c r="O250" s="197"/>
      <c r="P250" s="103"/>
      <c r="Q250" s="103"/>
      <c r="R250" s="103"/>
      <c r="S250" s="79" t="str">
        <f t="shared" si="2"/>
        <v/>
      </c>
      <c r="T250" s="80" t="str">
        <f>IFERROR(__xludf.DUMMYFUNCTION("IF(
  Q250="""",
  """",
  IF(
   REGEXMATCH(SUBSTITUTE(Q250, "" ex"", """"), TEXTJOIN(""|"", TRUE, INDEX('language&amp;DataTest'!$A$33:$AB$182, , MATCH(HOME!$A$25, 'language&amp;DataTest'!$A$1:$G$1, 0)))),
   IF($M$26,
     IF(COUNTIFS(ARRAYFORMULA(SUBSTITUTE($C"&amp;"$2:$C287, "" ex"", """")), SUBSTITUTE(Q250, "" ex"", """"), $J$2:$J287, ""&gt;0"")=0, ""Yes"", ""No""),
     IF(COUNTIFS(ARRAYFORMULA(SUBSTITUTE($C$2:$C287, "" ex"", """")), SUBSTITUTE(Q250, "" ex"", """"), $A$2:$A287, TRUE)=0, ""Yes"", ""No"")
   ),
   ""No"&amp;"""
 )
)"),"")</f>
        <v/>
      </c>
    </row>
    <row r="251">
      <c r="A251" s="68" t="b">
        <v>1</v>
      </c>
      <c r="B251" s="69" t="s">
        <v>368</v>
      </c>
      <c r="C251" s="69" t="str">
        <f t="array" ref="C251">TEXTJOIN("", TRUE, IFERROR(INDEX('language&amp;DataTest'!A:J, MATCH(INDEX( PointerTest!C:C, MATCH(B251, PointerTest!A:A, 0), 0), 'language&amp;DataTest'!A:A, 0), MATCH(HOME!$A$25, 'language&amp;DataTest'!$A$1:$H$1, 0))),                      IFERROR(INDEX('language&amp;DataTest'!A:J, MATCH(INDEX( PointerTest!D:D, MATCH(B251, PointerTest!A:A, 0), 0), 'language&amp;DataTest'!A:A, 0), MATCH(HOME!$A$25, 'language&amp;DataTest'!$A$1:$H$1, 0))),                                          
IFERROR(INDEX('language&amp;DataTest'!A:J, MATCH(INDEX( PointerTest!E:E, MATCH(B251, PointerTest!A:A, 0), 0), 'language&amp;DataTest'!A:A, 0), MATCH(HOME!$A$25, 'language&amp;DataTest'!$A$1:$H$1, 0))))</f>
        <v>Snorlax</v>
      </c>
      <c r="D251" s="69" t="str">
        <f t="array" ref="D251">INDEX('language&amp;DataTest'!A:J, MATCH(INDEX( PointerTest!D:D, MATCH(INDEX(PointerTest!B:B, MATCH(B251, PointerTest!A:A, 0)), PointerTest!A:A, 0), 0), 'language&amp;DataTest'!A:A, 0), MATCH(HOME!$A$25, 'language&amp;DataTest'!$A$1:$H$1, 0))</f>
        <v>Pikachu</v>
      </c>
      <c r="E251" s="69" t="str">
        <f t="array" ref="E251">INDEX( PointerTest!F:F, MATCH(B251, PointerTest!A:A, 0), 0)</f>
        <v>☆</v>
      </c>
      <c r="F251" s="70" t="str">
        <f t="array" ref="F251">LET(percentage,XLOOKUP($E251,$K$2:$K$10,L$2:L$10,"",0)/(COUNTIFS($E:$E,$E251,$D:$D,RegularFormula!$D$2)+COUNTIFS($E:$E,$E251,$D:$D,IF($D251=RegularFormula!$D$2,$K$15,$D251))),IFERROR(IF(percentage,percentage,""),""))
</f>
        <v/>
      </c>
      <c r="G251" s="71">
        <f t="array" ref="G251">LET(percentage,XLOOKUP($E251,$K$2:$K$10,M$2:M$10,"",0)/(COUNTIFS($E:$E,$E251,$D:$D,RegularFormula!$D$2)+COUNTIFS($E:$E,$E251,$D:$D,IF($D251=RegularFormula!$D$2,$K$15,$D251))),IFERROR(IF(percentage,percentage,""),""))
</f>
        <v>0.003215</v>
      </c>
      <c r="H251" s="71">
        <f t="array" ref="H251">LET(percentage,XLOOKUP($E251,$K$2:$K$10,N$2:N$10,"",0)/(COUNTIFS($E:$E,$E251,$D:$D,RegularFormula!$D$2)+COUNTIFS($E:$E,$E251,$D:$D,IF($D251=RegularFormula!$D$2,$K$15,$D251))),IFERROR(IF(percentage,percentage,""),""))
</f>
        <v>0.01286</v>
      </c>
      <c r="I251" s="72" t="str">
        <f t="shared" si="1"/>
        <v/>
      </c>
      <c r="J251" s="73">
        <v>0.0</v>
      </c>
      <c r="K251" s="194"/>
      <c r="L251" s="55"/>
      <c r="M251" s="55"/>
      <c r="N251" s="55"/>
      <c r="O251" s="197"/>
      <c r="P251" s="103"/>
      <c r="Q251" s="103"/>
      <c r="R251" s="103"/>
      <c r="S251" s="79" t="str">
        <f t="shared" si="2"/>
        <v/>
      </c>
      <c r="T251" s="80" t="str">
        <f>IFERROR(__xludf.DUMMYFUNCTION("IF(
  Q251="""",
  """",
  IF(
   REGEXMATCH(SUBSTITUTE(Q251, "" ex"", """"), TEXTJOIN(""|"", TRUE, INDEX('language&amp;DataTest'!$A$33:$AB$182, , MATCH(HOME!$A$25, 'language&amp;DataTest'!$A$1:$G$1, 0)))),
   IF($M$26,
     IF(COUNTIFS(ARRAYFORMULA(SUBSTITUTE($C"&amp;"$2:$C287, "" ex"", """")), SUBSTITUTE(Q251, "" ex"", """"), $J$2:$J287, ""&gt;0"")=0, ""Yes"", ""No""),
     IF(COUNTIFS(ARRAYFORMULA(SUBSTITUTE($C$2:$C287, "" ex"", """")), SUBSTITUTE(Q251, "" ex"", """"), $A$2:$A287, TRUE)=0, ""Yes"", ""No"")
   ),
   ""No"&amp;"""
 )
)"),"")</f>
        <v/>
      </c>
    </row>
    <row r="252">
      <c r="A252" s="68" t="b">
        <v>0</v>
      </c>
      <c r="B252" s="69" t="s">
        <v>369</v>
      </c>
      <c r="C252" s="69" t="str">
        <f t="array" ref="C252">TEXTJOIN("", TRUE, IFERROR(INDEX('language&amp;DataTest'!A:J, MATCH(INDEX( PointerTest!C:C, MATCH(B252, PointerTest!A:A, 0), 0), 'language&amp;DataTest'!A:A, 0), MATCH(HOME!$A$25, 'language&amp;DataTest'!$A$1:$H$1, 0))),                      IFERROR(INDEX('language&amp;DataTest'!A:J, MATCH(INDEX( PointerTest!D:D, MATCH(B252, PointerTest!A:A, 0), 0), 'language&amp;DataTest'!A:A, 0), MATCH(HOME!$A$25, 'language&amp;DataTest'!$A$1:$H$1, 0))),                                          
IFERROR(INDEX('language&amp;DataTest'!A:J, MATCH(INDEX( PointerTest!E:E, MATCH(B252, PointerTest!A:A, 0), 0), 'language&amp;DataTest'!A:A, 0), MATCH(HOME!$A$25, 'language&amp;DataTest'!$A$1:$H$1, 0))))</f>
        <v>Venusaur ex</v>
      </c>
      <c r="D252" s="69" t="str">
        <f t="array" ref="D252">INDEX('language&amp;DataTest'!A:J, MATCH(INDEX( PointerTest!D:D, MATCH(INDEX(PointerTest!B:B, MATCH(B252, PointerTest!A:A, 0)), PointerTest!A:A, 0), 0), 'language&amp;DataTest'!A:A, 0), MATCH(HOME!$A$25, 'language&amp;DataTest'!$A$1:$H$1, 0))</f>
        <v>Mewtwo</v>
      </c>
      <c r="E252" s="69" t="str">
        <f t="array" ref="E252">INDEX( PointerTest!F:F, MATCH(B252, PointerTest!A:A, 0), 0)</f>
        <v>☆☆</v>
      </c>
      <c r="F252" s="70" t="str">
        <f t="array" ref="F252">LET(percentage,XLOOKUP($E252,$K$2:$K$10,L$2:L$10,"",0)/(COUNTIFS($E:$E,$E252,$D:$D,RegularFormula!$D$2)+COUNTIFS($E:$E,$E252,$D:$D,IF($D252=RegularFormula!$D$2,$K$15,$D252))),IFERROR(IF(percentage,percentage,""),""))
</f>
        <v/>
      </c>
      <c r="G252" s="71">
        <f t="array" ref="G252">LET(percentage,XLOOKUP($E252,$K$2:$K$10,M$2:M$10,"",0)/(COUNTIFS($E:$E,$E252,$D:$D,RegularFormula!$D$2)+COUNTIFS($E:$E,$E252,$D:$D,IF($D252=RegularFormula!$D$2,$K$15,$D252))),IFERROR(IF(percentage,percentage,""),""))
</f>
        <v>0.0005555555556</v>
      </c>
      <c r="H252" s="71">
        <f t="array" ref="H252">LET(percentage,XLOOKUP($E252,$K$2:$K$10,N$2:N$10,"",0)/(COUNTIFS($E:$E,$E252,$D:$D,RegularFormula!$D$2)+COUNTIFS($E:$E,$E252,$D:$D,IF($D252=RegularFormula!$D$2,$K$15,$D252))),IFERROR(IF(percentage,percentage,""),""))
</f>
        <v>0.002222222222</v>
      </c>
      <c r="I252" s="72" t="str">
        <f t="shared" si="1"/>
        <v/>
      </c>
      <c r="J252" s="73">
        <v>0.0</v>
      </c>
      <c r="K252" s="194"/>
      <c r="L252" s="55"/>
      <c r="M252" s="55"/>
      <c r="N252" s="55"/>
      <c r="O252" s="197"/>
      <c r="P252" s="103"/>
      <c r="Q252" s="103"/>
      <c r="R252" s="103"/>
      <c r="S252" s="79" t="str">
        <f t="shared" si="2"/>
        <v/>
      </c>
      <c r="T252" s="80" t="str">
        <f>IFERROR(__xludf.DUMMYFUNCTION("IF(
  Q252="""",
  """",
  IF(
   REGEXMATCH(SUBSTITUTE(Q252, "" ex"", """"), TEXTJOIN(""|"", TRUE, INDEX('language&amp;DataTest'!$A$33:$AB$182, , MATCH(HOME!$A$25, 'language&amp;DataTest'!$A$1:$G$1, 0)))),
   IF($M$26,
     IF(COUNTIFS(ARRAYFORMULA(SUBSTITUTE($C"&amp;"$2:$C287, "" ex"", """")), SUBSTITUTE(Q252, "" ex"", """"), $J$2:$J287, ""&gt;0"")=0, ""Yes"", ""No""),
     IF(COUNTIFS(ARRAYFORMULA(SUBSTITUTE($C$2:$C287, "" ex"", """")), SUBSTITUTE(Q252, "" ex"", """"), $A$2:$A287, TRUE)=0, ""Yes"", ""No"")
   ),
   ""No"&amp;"""
 )
)"),"")</f>
        <v/>
      </c>
    </row>
    <row r="253">
      <c r="A253" s="68" t="b">
        <v>0</v>
      </c>
      <c r="B253" s="69" t="s">
        <v>370</v>
      </c>
      <c r="C253" s="69" t="str">
        <f t="array" ref="C253">TEXTJOIN("", TRUE, IFERROR(INDEX('language&amp;DataTest'!A:J, MATCH(INDEX( PointerTest!C:C, MATCH(B253, PointerTest!A:A, 0), 0), 'language&amp;DataTest'!A:A, 0), MATCH(HOME!$A$25, 'language&amp;DataTest'!$A$1:$H$1, 0))),                      IFERROR(INDEX('language&amp;DataTest'!A:J, MATCH(INDEX( PointerTest!D:D, MATCH(B253, PointerTest!A:A, 0), 0), 'language&amp;DataTest'!A:A, 0), MATCH(HOME!$A$25, 'language&amp;DataTest'!$A$1:$H$1, 0))),                                          
IFERROR(INDEX('language&amp;DataTest'!A:J, MATCH(INDEX( PointerTest!E:E, MATCH(B253, PointerTest!A:A, 0), 0), 'language&amp;DataTest'!A:A, 0), MATCH(HOME!$A$25, 'language&amp;DataTest'!$A$1:$H$1, 0))))</f>
        <v>Exeggutor ex</v>
      </c>
      <c r="D253" s="69" t="str">
        <f t="array" ref="D253">INDEX('language&amp;DataTest'!A:J, MATCH(INDEX( PointerTest!D:D, MATCH(INDEX(PointerTest!B:B, MATCH(B253, PointerTest!A:A, 0)), PointerTest!A:A, 0), 0), 'language&amp;DataTest'!A:A, 0), MATCH(HOME!$A$25, 'language&amp;DataTest'!$A$1:$H$1, 0))</f>
        <v>Charizard</v>
      </c>
      <c r="E253" s="69" t="str">
        <f t="array" ref="E253">INDEX( PointerTest!F:F, MATCH(B253, PointerTest!A:A, 0), 0)</f>
        <v>☆☆</v>
      </c>
      <c r="F253" s="70" t="str">
        <f t="array" ref="F253">LET(percentage,XLOOKUP($E253,$K$2:$K$10,L$2:L$10,"",0)/(COUNTIFS($E:$E,$E253,$D:$D,RegularFormula!$D$2)+COUNTIFS($E:$E,$E253,$D:$D,IF($D253=RegularFormula!$D$2,$K$15,$D253))),IFERROR(IF(percentage,percentage,""),""))
</f>
        <v/>
      </c>
      <c r="G253" s="71">
        <f t="array" ref="G253">LET(percentage,XLOOKUP($E253,$K$2:$K$10,M$2:M$10,"",0)/(COUNTIFS($E:$E,$E253,$D:$D,RegularFormula!$D$2)+COUNTIFS($E:$E,$E253,$D:$D,IF($D253=RegularFormula!$D$2,$K$15,$D253))),IFERROR(IF(percentage,percentage,""),""))
</f>
        <v>0.0005</v>
      </c>
      <c r="H253" s="71">
        <f t="array" ref="H253">LET(percentage,XLOOKUP($E253,$K$2:$K$10,N$2:N$10,"",0)/(COUNTIFS($E:$E,$E253,$D:$D,RegularFormula!$D$2)+COUNTIFS($E:$E,$E253,$D:$D,IF($D253=RegularFormula!$D$2,$K$15,$D253))),IFERROR(IF(percentage,percentage,""),""))
</f>
        <v>0.002</v>
      </c>
      <c r="I253" s="72" t="str">
        <f t="shared" si="1"/>
        <v/>
      </c>
      <c r="J253" s="73">
        <v>0.0</v>
      </c>
      <c r="K253" s="194"/>
      <c r="L253" s="55"/>
      <c r="M253" s="55"/>
      <c r="N253" s="55"/>
      <c r="O253" s="197"/>
      <c r="P253" s="103"/>
      <c r="Q253" s="103"/>
      <c r="R253" s="103"/>
      <c r="S253" s="79" t="str">
        <f t="shared" si="2"/>
        <v/>
      </c>
      <c r="T253" s="80" t="str">
        <f>IFERROR(__xludf.DUMMYFUNCTION("IF(
  Q253="""",
  """",
  IF(
   REGEXMATCH(SUBSTITUTE(Q253, "" ex"", """"), TEXTJOIN(""|"", TRUE, INDEX('language&amp;DataTest'!$A$33:$AB$182, , MATCH(HOME!$A$25, 'language&amp;DataTest'!$A$1:$G$1, 0)))),
   IF($M$26,
     IF(COUNTIFS(ARRAYFORMULA(SUBSTITUTE($C"&amp;"$2:$C287, "" ex"", """")), SUBSTITUTE(Q253, "" ex"", """"), $J$2:$J287, ""&gt;0"")=0, ""Yes"", ""No""),
     IF(COUNTIFS(ARRAYFORMULA(SUBSTITUTE($C$2:$C287, "" ex"", """")), SUBSTITUTE(Q253, "" ex"", """"), $A$2:$A287, TRUE)=0, ""Yes"", ""No"")
   ),
   ""No"&amp;"""
 )
)"),"")</f>
        <v/>
      </c>
    </row>
    <row r="254">
      <c r="A254" s="68" t="b">
        <v>0</v>
      </c>
      <c r="B254" s="69" t="s">
        <v>371</v>
      </c>
      <c r="C254" s="69" t="str">
        <f t="array" ref="C254">TEXTJOIN("", TRUE, IFERROR(INDEX('language&amp;DataTest'!A:J, MATCH(INDEX( PointerTest!C:C, MATCH(B254, PointerTest!A:A, 0), 0), 'language&amp;DataTest'!A:A, 0), MATCH(HOME!$A$25, 'language&amp;DataTest'!$A$1:$H$1, 0))),                      IFERROR(INDEX('language&amp;DataTest'!A:J, MATCH(INDEX( PointerTest!D:D, MATCH(B254, PointerTest!A:A, 0), 0), 'language&amp;DataTest'!A:A, 0), MATCH(HOME!$A$25, 'language&amp;DataTest'!$A$1:$H$1, 0))),                                          
IFERROR(INDEX('language&amp;DataTest'!A:J, MATCH(INDEX( PointerTest!E:E, MATCH(B254, PointerTest!A:A, 0), 0), 'language&amp;DataTest'!A:A, 0), MATCH(HOME!$A$25, 'language&amp;DataTest'!$A$1:$H$1, 0))))</f>
        <v>Charizard ex</v>
      </c>
      <c r="D254" s="69" t="str">
        <f t="array" ref="D254">INDEX('language&amp;DataTest'!A:J, MATCH(INDEX( PointerTest!D:D, MATCH(INDEX(PointerTest!B:B, MATCH(B254, PointerTest!A:A, 0)), PointerTest!A:A, 0), 0), 'language&amp;DataTest'!A:A, 0), MATCH(HOME!$A$25, 'language&amp;DataTest'!$A$1:$H$1, 0))</f>
        <v>Charizard</v>
      </c>
      <c r="E254" s="69" t="str">
        <f t="array" ref="E254">INDEX( PointerTest!F:F, MATCH(B254, PointerTest!A:A, 0), 0)</f>
        <v>☆☆</v>
      </c>
      <c r="F254" s="70" t="str">
        <f t="array" ref="F254">LET(percentage,XLOOKUP($E254,$K$2:$K$10,L$2:L$10,"",0)/(COUNTIFS($E:$E,$E254,$D:$D,RegularFormula!$D$2)+COUNTIFS($E:$E,$E254,$D:$D,IF($D254=RegularFormula!$D$2,$K$15,$D254))),IFERROR(IF(percentage,percentage,""),""))
</f>
        <v/>
      </c>
      <c r="G254" s="71">
        <f t="array" ref="G254">LET(percentage,XLOOKUP($E254,$K$2:$K$10,M$2:M$10,"",0)/(COUNTIFS($E:$E,$E254,$D:$D,RegularFormula!$D$2)+COUNTIFS($E:$E,$E254,$D:$D,IF($D254=RegularFormula!$D$2,$K$15,$D254))),IFERROR(IF(percentage,percentage,""),""))
</f>
        <v>0.0005</v>
      </c>
      <c r="H254" s="71">
        <f t="array" ref="H254">LET(percentage,XLOOKUP($E254,$K$2:$K$10,N$2:N$10,"",0)/(COUNTIFS($E:$E,$E254,$D:$D,RegularFormula!$D$2)+COUNTIFS($E:$E,$E254,$D:$D,IF($D254=RegularFormula!$D$2,$K$15,$D254))),IFERROR(IF(percentage,percentage,""),""))
</f>
        <v>0.002</v>
      </c>
      <c r="I254" s="72" t="str">
        <f t="shared" si="1"/>
        <v/>
      </c>
      <c r="J254" s="73">
        <v>0.0</v>
      </c>
      <c r="K254" s="198" t="s">
        <v>372</v>
      </c>
      <c r="L254" s="199"/>
      <c r="M254" s="199"/>
      <c r="N254" s="200"/>
      <c r="O254" s="64" t="s">
        <v>373</v>
      </c>
      <c r="P254" s="103"/>
      <c r="Q254" s="103"/>
      <c r="R254" s="103"/>
      <c r="S254" s="79" t="str">
        <f t="shared" si="2"/>
        <v/>
      </c>
      <c r="T254" s="80" t="str">
        <f>IFERROR(__xludf.DUMMYFUNCTION("IF(
  Q254="""",
  """",
  IF(
   REGEXMATCH(SUBSTITUTE(Q254, "" ex"", """"), TEXTJOIN(""|"", TRUE, INDEX('language&amp;DataTest'!$A$33:$AB$182, , MATCH(HOME!$A$25, 'language&amp;DataTest'!$A$1:$G$1, 0)))),
   IF($M$26,
     IF(COUNTIFS(ARRAYFORMULA(SUBSTITUTE($C"&amp;"$2:$C287, "" ex"", """")), SUBSTITUTE(Q254, "" ex"", """"), $J$2:$J287, ""&gt;0"")=0, ""Yes"", ""No""),
     IF(COUNTIFS(ARRAYFORMULA(SUBSTITUTE($C$2:$C287, "" ex"", """")), SUBSTITUTE(Q254, "" ex"", """"), $A$2:$A287, TRUE)=0, ""Yes"", ""No"")
   ),
   ""No"&amp;"""
 )
)"),"")</f>
        <v/>
      </c>
    </row>
    <row r="255">
      <c r="A255" s="68" t="b">
        <v>0</v>
      </c>
      <c r="B255" s="69" t="s">
        <v>374</v>
      </c>
      <c r="C255" s="69" t="str">
        <f t="array" ref="C255">TEXTJOIN("", TRUE, IFERROR(INDEX('language&amp;DataTest'!A:J, MATCH(INDEX( PointerTest!C:C, MATCH(B255, PointerTest!A:A, 0), 0), 'language&amp;DataTest'!A:A, 0), MATCH(HOME!$A$25, 'language&amp;DataTest'!$A$1:$H$1, 0))),                      IFERROR(INDEX('language&amp;DataTest'!A:J, MATCH(INDEX( PointerTest!D:D, MATCH(B255, PointerTest!A:A, 0), 0), 'language&amp;DataTest'!A:A, 0), MATCH(HOME!$A$25, 'language&amp;DataTest'!$A$1:$H$1, 0))),                                          
IFERROR(INDEX('language&amp;DataTest'!A:J, MATCH(INDEX( PointerTest!E:E, MATCH(B255, PointerTest!A:A, 0), 0), 'language&amp;DataTest'!A:A, 0), MATCH(HOME!$A$25, 'language&amp;DataTest'!$A$1:$H$1, 0))))</f>
        <v>Arcanine ex</v>
      </c>
      <c r="D255" s="69" t="str">
        <f t="array" ref="D255">INDEX('language&amp;DataTest'!A:J, MATCH(INDEX( PointerTest!D:D, MATCH(INDEX(PointerTest!B:B, MATCH(B255, PointerTest!A:A, 0)), PointerTest!A:A, 0), 0), 'language&amp;DataTest'!A:A, 0), MATCH(HOME!$A$25, 'language&amp;DataTest'!$A$1:$H$1, 0))</f>
        <v>Pikachu</v>
      </c>
      <c r="E255" s="69" t="str">
        <f t="array" ref="E255">INDEX( PointerTest!F:F, MATCH(B255, PointerTest!A:A, 0), 0)</f>
        <v>☆☆</v>
      </c>
      <c r="F255" s="70" t="str">
        <f t="array" ref="F255">LET(percentage,XLOOKUP($E255,$K$2:$K$10,L$2:L$10,"",0)/(COUNTIFS($E:$E,$E255,$D:$D,RegularFormula!$D$2)+COUNTIFS($E:$E,$E255,$D:$D,IF($D255=RegularFormula!$D$2,$K$15,$D255))),IFERROR(IF(percentage,percentage,""),""))
</f>
        <v/>
      </c>
      <c r="G255" s="71">
        <f t="array" ref="G255">LET(percentage,XLOOKUP($E255,$K$2:$K$10,M$2:M$10,"",0)/(COUNTIFS($E:$E,$E255,$D:$D,RegularFormula!$D$2)+COUNTIFS($E:$E,$E255,$D:$D,IF($D255=RegularFormula!$D$2,$K$15,$D255))),IFERROR(IF(percentage,percentage,""),""))
</f>
        <v>0.0005</v>
      </c>
      <c r="H255" s="71">
        <f t="array" ref="H255">LET(percentage,XLOOKUP($E255,$K$2:$K$10,N$2:N$10,"",0)/(COUNTIFS($E:$E,$E255,$D:$D,RegularFormula!$D$2)+COUNTIFS($E:$E,$E255,$D:$D,IF($D255=RegularFormula!$D$2,$K$15,$D255))),IFERROR(IF(percentage,percentage,""),""))
</f>
        <v>0.002</v>
      </c>
      <c r="I255" s="72" t="str">
        <f t="shared" si="1"/>
        <v/>
      </c>
      <c r="J255" s="73">
        <v>0.0</v>
      </c>
      <c r="K255" s="201"/>
      <c r="L255" s="202"/>
      <c r="M255" s="202"/>
      <c r="N255" s="203"/>
      <c r="P255" s="103"/>
      <c r="Q255" s="103"/>
      <c r="R255" s="103"/>
      <c r="S255" s="79" t="str">
        <f t="shared" si="2"/>
        <v/>
      </c>
      <c r="T255" s="80" t="str">
        <f>IFERROR(__xludf.DUMMYFUNCTION("IF(
  Q255="""",
  """",
  IF(
   REGEXMATCH(SUBSTITUTE(Q255, "" ex"", """"), TEXTJOIN(""|"", TRUE, INDEX('language&amp;DataTest'!$A$33:$AB$182, , MATCH(HOME!$A$25, 'language&amp;DataTest'!$A$1:$G$1, 0)))),
   IF($M$26,
     IF(COUNTIFS(ARRAYFORMULA(SUBSTITUTE($C"&amp;"$2:$C287, "" ex"", """")), SUBSTITUTE(Q255, "" ex"", """"), $J$2:$J287, ""&gt;0"")=0, ""Yes"", ""No""),
     IF(COUNTIFS(ARRAYFORMULA(SUBSTITUTE($C$2:$C287, "" ex"", """")), SUBSTITUTE(Q255, "" ex"", """"), $A$2:$A287, TRUE)=0, ""Yes"", ""No"")
   ),
   ""No"&amp;"""
 )
)"),"")</f>
        <v/>
      </c>
    </row>
    <row r="256">
      <c r="A256" s="68" t="b">
        <v>0</v>
      </c>
      <c r="B256" s="69" t="s">
        <v>375</v>
      </c>
      <c r="C256" s="69" t="str">
        <f t="array" ref="C256">TEXTJOIN("", TRUE, IFERROR(INDEX('language&amp;DataTest'!A:J, MATCH(INDEX( PointerTest!C:C, MATCH(B256, PointerTest!A:A, 0), 0), 'language&amp;DataTest'!A:A, 0), MATCH(HOME!$A$25, 'language&amp;DataTest'!$A$1:$H$1, 0))),                      IFERROR(INDEX('language&amp;DataTest'!A:J, MATCH(INDEX( PointerTest!D:D, MATCH(B256, PointerTest!A:A, 0), 0), 'language&amp;DataTest'!A:A, 0), MATCH(HOME!$A$25, 'language&amp;DataTest'!$A$1:$H$1, 0))),                                          
IFERROR(INDEX('language&amp;DataTest'!A:J, MATCH(INDEX( PointerTest!E:E, MATCH(B256, PointerTest!A:A, 0), 0), 'language&amp;DataTest'!A:A, 0), MATCH(HOME!$A$25, 'language&amp;DataTest'!$A$1:$H$1, 0))))</f>
        <v>Moltres ex</v>
      </c>
      <c r="D256" s="69" t="str">
        <f t="array" ref="D256">INDEX('language&amp;DataTest'!A:J, MATCH(INDEX( PointerTest!D:D, MATCH(INDEX(PointerTest!B:B, MATCH(B256, PointerTest!A:A, 0)), PointerTest!A:A, 0), 0), 'language&amp;DataTest'!A:A, 0), MATCH(HOME!$A$25, 'language&amp;DataTest'!$A$1:$H$1, 0))</f>
        <v>Charizard</v>
      </c>
      <c r="E256" s="69" t="str">
        <f t="array" ref="E256">INDEX( PointerTest!F:F, MATCH(B256, PointerTest!A:A, 0), 0)</f>
        <v>☆☆</v>
      </c>
      <c r="F256" s="70" t="str">
        <f t="array" ref="F256">LET(percentage,XLOOKUP($E256,$K$2:$K$10,L$2:L$10,"",0)/(COUNTIFS($E:$E,$E256,$D:$D,RegularFormula!$D$2)+COUNTIFS($E:$E,$E256,$D:$D,IF($D256=RegularFormula!$D$2,$K$15,$D256))),IFERROR(IF(percentage,percentage,""),""))
</f>
        <v/>
      </c>
      <c r="G256" s="71">
        <f t="array" ref="G256">LET(percentage,XLOOKUP($E256,$K$2:$K$10,M$2:M$10,"",0)/(COUNTIFS($E:$E,$E256,$D:$D,RegularFormula!$D$2)+COUNTIFS($E:$E,$E256,$D:$D,IF($D256=RegularFormula!$D$2,$K$15,$D256))),IFERROR(IF(percentage,percentage,""),""))
</f>
        <v>0.0005</v>
      </c>
      <c r="H256" s="71">
        <f t="array" ref="H256">LET(percentage,XLOOKUP($E256,$K$2:$K$10,N$2:N$10,"",0)/(COUNTIFS($E:$E,$E256,$D:$D,RegularFormula!$D$2)+COUNTIFS($E:$E,$E256,$D:$D,IF($D256=RegularFormula!$D$2,$K$15,$D256))),IFERROR(IF(percentage,percentage,""),""))
</f>
        <v>0.002</v>
      </c>
      <c r="I256" s="72" t="str">
        <f t="shared" si="1"/>
        <v/>
      </c>
      <c r="J256" s="73">
        <v>0.0</v>
      </c>
      <c r="K256" s="194"/>
      <c r="L256" s="55"/>
      <c r="M256" s="55"/>
      <c r="N256" s="102"/>
      <c r="P256" s="103"/>
      <c r="Q256" s="103"/>
      <c r="R256" s="103"/>
      <c r="S256" s="79" t="str">
        <f t="shared" si="2"/>
        <v/>
      </c>
      <c r="T256" s="80" t="str">
        <f>IFERROR(__xludf.DUMMYFUNCTION("IF(
  Q256="""",
  """",
  IF(
   REGEXMATCH(SUBSTITUTE(Q256, "" ex"", """"), TEXTJOIN(""|"", TRUE, INDEX('language&amp;DataTest'!$A$33:$AB$182, , MATCH(HOME!$A$25, 'language&amp;DataTest'!$A$1:$G$1, 0)))),
   IF($M$26,
     IF(COUNTIFS(ARRAYFORMULA(SUBSTITUTE($C"&amp;"$2:$C287, "" ex"", """")), SUBSTITUTE(Q256, "" ex"", """"), $J$2:$J287, ""&gt;0"")=0, ""Yes"", ""No""),
     IF(COUNTIFS(ARRAYFORMULA(SUBSTITUTE($C$2:$C287, "" ex"", """")), SUBSTITUTE(Q256, "" ex"", """"), $A$2:$A287, TRUE)=0, ""Yes"", ""No"")
   ),
   ""No"&amp;"""
 )
)"),"")</f>
        <v/>
      </c>
    </row>
    <row r="257">
      <c r="A257" s="68" t="b">
        <v>0</v>
      </c>
      <c r="B257" s="69" t="s">
        <v>376</v>
      </c>
      <c r="C257" s="69" t="str">
        <f t="array" ref="C257">TEXTJOIN("", TRUE, IFERROR(INDEX('language&amp;DataTest'!A:J, MATCH(INDEX( PointerTest!C:C, MATCH(B257, PointerTest!A:A, 0), 0), 'language&amp;DataTest'!A:A, 0), MATCH(HOME!$A$25, 'language&amp;DataTest'!$A$1:$H$1, 0))),                      IFERROR(INDEX('language&amp;DataTest'!A:J, MATCH(INDEX( PointerTest!D:D, MATCH(B257, PointerTest!A:A, 0), 0), 'language&amp;DataTest'!A:A, 0), MATCH(HOME!$A$25, 'language&amp;DataTest'!$A$1:$H$1, 0))),                                          
IFERROR(INDEX('language&amp;DataTest'!A:J, MATCH(INDEX( PointerTest!E:E, MATCH(B257, PointerTest!A:A, 0), 0), 'language&amp;DataTest'!A:A, 0), MATCH(HOME!$A$25, 'language&amp;DataTest'!$A$1:$H$1, 0))))</f>
        <v>Blastoise ex</v>
      </c>
      <c r="D257" s="69" t="str">
        <f t="array" ref="D257">INDEX('language&amp;DataTest'!A:J, MATCH(INDEX( PointerTest!D:D, MATCH(INDEX(PointerTest!B:B, MATCH(B257, PointerTest!A:A, 0)), PointerTest!A:A, 0), 0), 'language&amp;DataTest'!A:A, 0), MATCH(HOME!$A$25, 'language&amp;DataTest'!$A$1:$H$1, 0))</f>
        <v>Pikachu</v>
      </c>
      <c r="E257" s="69" t="str">
        <f t="array" ref="E257">INDEX( PointerTest!F:F, MATCH(B257, PointerTest!A:A, 0), 0)</f>
        <v>☆☆</v>
      </c>
      <c r="F257" s="70" t="str">
        <f t="array" ref="F257">LET(percentage,XLOOKUP($E257,$K$2:$K$10,L$2:L$10,"",0)/(COUNTIFS($E:$E,$E257,$D:$D,RegularFormula!$D$2)+COUNTIFS($E:$E,$E257,$D:$D,IF($D257=RegularFormula!$D$2,$K$15,$D257))),IFERROR(IF(percentage,percentage,""),""))
</f>
        <v/>
      </c>
      <c r="G257" s="71">
        <f t="array" ref="G257">LET(percentage,XLOOKUP($E257,$K$2:$K$10,M$2:M$10,"",0)/(COUNTIFS($E:$E,$E257,$D:$D,RegularFormula!$D$2)+COUNTIFS($E:$E,$E257,$D:$D,IF($D257=RegularFormula!$D$2,$K$15,$D257))),IFERROR(IF(percentage,percentage,""),""))
</f>
        <v>0.0005</v>
      </c>
      <c r="H257" s="71">
        <f t="array" ref="H257">LET(percentage,XLOOKUP($E257,$K$2:$K$10,N$2:N$10,"",0)/(COUNTIFS($E:$E,$E257,$D:$D,RegularFormula!$D$2)+COUNTIFS($E:$E,$E257,$D:$D,IF($D257=RegularFormula!$D$2,$K$15,$D257))),IFERROR(IF(percentage,percentage,""),""))
</f>
        <v>0.002</v>
      </c>
      <c r="I257" s="72" t="str">
        <f t="shared" si="1"/>
        <v/>
      </c>
      <c r="J257" s="73">
        <v>0.0</v>
      </c>
      <c r="K257" s="204"/>
      <c r="N257" s="205"/>
      <c r="P257" s="103"/>
      <c r="Q257" s="103"/>
      <c r="R257" s="103"/>
      <c r="S257" s="79" t="str">
        <f t="shared" si="2"/>
        <v/>
      </c>
      <c r="T257" s="80" t="str">
        <f>IFERROR(__xludf.DUMMYFUNCTION("IF(
  Q257="""",
  """",
  IF(
   REGEXMATCH(SUBSTITUTE(Q257, "" ex"", """"), TEXTJOIN(""|"", TRUE, INDEX('language&amp;DataTest'!$A$33:$AB$182, , MATCH(HOME!$A$25, 'language&amp;DataTest'!$A$1:$G$1, 0)))),
   IF($M$26,
     IF(COUNTIFS(ARRAYFORMULA(SUBSTITUTE($C"&amp;"$2:$C287, "" ex"", """")), SUBSTITUTE(Q257, "" ex"", """"), $J$2:$J287, ""&gt;0"")=0, ""Yes"", ""No""),
     IF(COUNTIFS(ARRAYFORMULA(SUBSTITUTE($C$2:$C287, "" ex"", """")), SUBSTITUTE(Q257, "" ex"", """"), $A$2:$A287, TRUE)=0, ""Yes"", ""No"")
   ),
   ""No"&amp;"""
 )
)"),"")</f>
        <v/>
      </c>
    </row>
    <row r="258">
      <c r="A258" s="68" t="b">
        <v>0</v>
      </c>
      <c r="B258" s="69" t="s">
        <v>377</v>
      </c>
      <c r="C258" s="69" t="str">
        <f t="array" ref="C258">TEXTJOIN("", TRUE, IFERROR(INDEX('language&amp;DataTest'!A:J, MATCH(INDEX( PointerTest!C:C, MATCH(B258, PointerTest!A:A, 0), 0), 'language&amp;DataTest'!A:A, 0), MATCH(HOME!$A$25, 'language&amp;DataTest'!$A$1:$H$1, 0))),                      IFERROR(INDEX('language&amp;DataTest'!A:J, MATCH(INDEX( PointerTest!D:D, MATCH(B258, PointerTest!A:A, 0), 0), 'language&amp;DataTest'!A:A, 0), MATCH(HOME!$A$25, 'language&amp;DataTest'!$A$1:$H$1, 0))),                                          
IFERROR(INDEX('language&amp;DataTest'!A:J, MATCH(INDEX( PointerTest!E:E, MATCH(B258, PointerTest!A:A, 0), 0), 'language&amp;DataTest'!A:A, 0), MATCH(HOME!$A$25, 'language&amp;DataTest'!$A$1:$H$1, 0))))</f>
        <v>Starmie ex</v>
      </c>
      <c r="D258" s="69" t="str">
        <f t="array" ref="D258">INDEX('language&amp;DataTest'!A:J, MATCH(INDEX( PointerTest!D:D, MATCH(INDEX(PointerTest!B:B, MATCH(B258, PointerTest!A:A, 0)), PointerTest!A:A, 0), 0), 'language&amp;DataTest'!A:A, 0), MATCH(HOME!$A$25, 'language&amp;DataTest'!$A$1:$H$1, 0))</f>
        <v>Charizard</v>
      </c>
      <c r="E258" s="69" t="str">
        <f t="array" ref="E258">INDEX( PointerTest!F:F, MATCH(B258, PointerTest!A:A, 0), 0)</f>
        <v>☆☆</v>
      </c>
      <c r="F258" s="70" t="str">
        <f t="array" ref="F258">LET(percentage,XLOOKUP($E258,$K$2:$K$10,L$2:L$10,"",0)/(COUNTIFS($E:$E,$E258,$D:$D,RegularFormula!$D$2)+COUNTIFS($E:$E,$E258,$D:$D,IF($D258=RegularFormula!$D$2,$K$15,$D258))),IFERROR(IF(percentage,percentage,""),""))
</f>
        <v/>
      </c>
      <c r="G258" s="71">
        <f t="array" ref="G258">LET(percentage,XLOOKUP($E258,$K$2:$K$10,M$2:M$10,"",0)/(COUNTIFS($E:$E,$E258,$D:$D,RegularFormula!$D$2)+COUNTIFS($E:$E,$E258,$D:$D,IF($D258=RegularFormula!$D$2,$K$15,$D258))),IFERROR(IF(percentage,percentage,""),""))
</f>
        <v>0.0005</v>
      </c>
      <c r="H258" s="71">
        <f t="array" ref="H258">LET(percentage,XLOOKUP($E258,$K$2:$K$10,N$2:N$10,"",0)/(COUNTIFS($E:$E,$E258,$D:$D,RegularFormula!$D$2)+COUNTIFS($E:$E,$E258,$D:$D,IF($D258=RegularFormula!$D$2,$K$15,$D258))),IFERROR(IF(percentage,percentage,""),""))
</f>
        <v>0.002</v>
      </c>
      <c r="I258" s="72" t="str">
        <f t="shared" si="1"/>
        <v/>
      </c>
      <c r="J258" s="73">
        <v>0.0</v>
      </c>
      <c r="K258" s="194"/>
      <c r="L258" s="55"/>
      <c r="M258" s="206" t="s">
        <v>378</v>
      </c>
      <c r="N258" s="200"/>
      <c r="O258" s="64" t="s">
        <v>379</v>
      </c>
      <c r="P258" s="103"/>
      <c r="Q258" s="103"/>
      <c r="R258" s="103"/>
      <c r="S258" s="79" t="str">
        <f t="shared" si="2"/>
        <v/>
      </c>
      <c r="T258" s="80" t="str">
        <f>IFERROR(__xludf.DUMMYFUNCTION("IF(
  Q258="""",
  """",
  IF(
   REGEXMATCH(SUBSTITUTE(Q258, "" ex"", """"), TEXTJOIN(""|"", TRUE, INDEX('language&amp;DataTest'!$A$33:$AB$182, , MATCH(HOME!$A$25, 'language&amp;DataTest'!$A$1:$G$1, 0)))),
   IF($M$26,
     IF(COUNTIFS(ARRAYFORMULA(SUBSTITUTE($C"&amp;"$2:$C287, "" ex"", """")), SUBSTITUTE(Q258, "" ex"", """"), $J$2:$J287, ""&gt;0"")=0, ""Yes"", ""No""),
     IF(COUNTIFS(ARRAYFORMULA(SUBSTITUTE($C$2:$C287, "" ex"", """")), SUBSTITUTE(Q258, "" ex"", """"), $A$2:$A287, TRUE)=0, ""Yes"", ""No"")
   ),
   ""No"&amp;"""
 )
)"),"")</f>
        <v/>
      </c>
    </row>
    <row r="259">
      <c r="A259" s="68" t="b">
        <v>0</v>
      </c>
      <c r="B259" s="69" t="s">
        <v>380</v>
      </c>
      <c r="C259" s="69" t="str">
        <f t="array" ref="C259">TEXTJOIN("", TRUE, IFERROR(INDEX('language&amp;DataTest'!A:J, MATCH(INDEX( PointerTest!C:C, MATCH(B259, PointerTest!A:A, 0), 0), 'language&amp;DataTest'!A:A, 0), MATCH(HOME!$A$25, 'language&amp;DataTest'!$A$1:$H$1, 0))),                      IFERROR(INDEX('language&amp;DataTest'!A:J, MATCH(INDEX( PointerTest!D:D, MATCH(B259, PointerTest!A:A, 0), 0), 'language&amp;DataTest'!A:A, 0), MATCH(HOME!$A$25, 'language&amp;DataTest'!$A$1:$H$1, 0))),                                          
IFERROR(INDEX('language&amp;DataTest'!A:J, MATCH(INDEX( PointerTest!E:E, MATCH(B259, PointerTest!A:A, 0), 0), 'language&amp;DataTest'!A:A, 0), MATCH(HOME!$A$25, 'language&amp;DataTest'!$A$1:$H$1, 0))))</f>
        <v>Articuno ex</v>
      </c>
      <c r="D259" s="69" t="str">
        <f t="array" ref="D259">INDEX('language&amp;DataTest'!A:J, MATCH(INDEX( PointerTest!D:D, MATCH(INDEX(PointerTest!B:B, MATCH(B259, PointerTest!A:A, 0)), PointerTest!A:A, 0), 0), 'language&amp;DataTest'!A:A, 0), MATCH(HOME!$A$25, 'language&amp;DataTest'!$A$1:$H$1, 0))</f>
        <v>Mewtwo</v>
      </c>
      <c r="E259" s="69" t="str">
        <f t="array" ref="E259">INDEX( PointerTest!F:F, MATCH(B259, PointerTest!A:A, 0), 0)</f>
        <v>☆☆</v>
      </c>
      <c r="F259" s="70" t="str">
        <f t="array" ref="F259">LET(percentage,XLOOKUP($E259,$K$2:$K$10,L$2:L$10,"",0)/(COUNTIFS($E:$E,$E259,$D:$D,RegularFormula!$D$2)+COUNTIFS($E:$E,$E259,$D:$D,IF($D259=RegularFormula!$D$2,$K$15,$D259))),IFERROR(IF(percentage,percentage,""),""))
</f>
        <v/>
      </c>
      <c r="G259" s="71">
        <f t="array" ref="G259">LET(percentage,XLOOKUP($E259,$K$2:$K$10,M$2:M$10,"",0)/(COUNTIFS($E:$E,$E259,$D:$D,RegularFormula!$D$2)+COUNTIFS($E:$E,$E259,$D:$D,IF($D259=RegularFormula!$D$2,$K$15,$D259))),IFERROR(IF(percentage,percentage,""),""))
</f>
        <v>0.0005555555556</v>
      </c>
      <c r="H259" s="71">
        <f t="array" ref="H259">LET(percentage,XLOOKUP($E259,$K$2:$K$10,N$2:N$10,"",0)/(COUNTIFS($E:$E,$E259,$D:$D,RegularFormula!$D$2)+COUNTIFS($E:$E,$E259,$D:$D,IF($D259=RegularFormula!$D$2,$K$15,$D259))),IFERROR(IF(percentage,percentage,""),""))
</f>
        <v>0.002222222222</v>
      </c>
      <c r="I259" s="72" t="str">
        <f t="shared" si="1"/>
        <v/>
      </c>
      <c r="J259" s="73">
        <v>0.0</v>
      </c>
      <c r="K259" s="194"/>
      <c r="L259" s="55"/>
      <c r="M259" s="100" t="s">
        <v>381</v>
      </c>
      <c r="N259" s="207">
        <f>COUNTIFS(E2:E287, "♢", D2:D287, "Mewtwo")</f>
        <v>25</v>
      </c>
      <c r="P259" s="103"/>
      <c r="Q259" s="103"/>
      <c r="R259" s="103"/>
      <c r="S259" s="79" t="str">
        <f t="shared" si="2"/>
        <v/>
      </c>
      <c r="T259" s="80" t="str">
        <f>IFERROR(__xludf.DUMMYFUNCTION("IF(
  Q259="""",
  """",
  IF(
   REGEXMATCH(SUBSTITUTE(Q259, "" ex"", """"), TEXTJOIN(""|"", TRUE, INDEX('language&amp;DataTest'!$A$33:$AB$182, , MATCH(HOME!$A$25, 'language&amp;DataTest'!$A$1:$G$1, 0)))),
   IF($M$26,
     IF(COUNTIFS(ARRAYFORMULA(SUBSTITUTE($C"&amp;"$2:$C287, "" ex"", """")), SUBSTITUTE(Q259, "" ex"", """"), $J$2:$J287, ""&gt;0"")=0, ""Yes"", ""No""),
     IF(COUNTIFS(ARRAYFORMULA(SUBSTITUTE($C$2:$C287, "" ex"", """")), SUBSTITUTE(Q259, "" ex"", """"), $A$2:$A287, TRUE)=0, ""Yes"", ""No"")
   ),
   ""No"&amp;"""
 )
)"),"")</f>
        <v/>
      </c>
    </row>
    <row r="260">
      <c r="A260" s="68" t="b">
        <v>0</v>
      </c>
      <c r="B260" s="69" t="s">
        <v>382</v>
      </c>
      <c r="C260" s="69" t="str">
        <f t="array" ref="C260">TEXTJOIN("", TRUE, IFERROR(INDEX('language&amp;DataTest'!A:J, MATCH(INDEX( PointerTest!C:C, MATCH(B260, PointerTest!A:A, 0), 0), 'language&amp;DataTest'!A:A, 0), MATCH(HOME!$A$25, 'language&amp;DataTest'!$A$1:$H$1, 0))),                      IFERROR(INDEX('language&amp;DataTest'!A:J, MATCH(INDEX( PointerTest!D:D, MATCH(B260, PointerTest!A:A, 0), 0), 'language&amp;DataTest'!A:A, 0), MATCH(HOME!$A$25, 'language&amp;DataTest'!$A$1:$H$1, 0))),                                          
IFERROR(INDEX('language&amp;DataTest'!A:J, MATCH(INDEX( PointerTest!E:E, MATCH(B260, PointerTest!A:A, 0), 0), 'language&amp;DataTest'!A:A, 0), MATCH(HOME!$A$25, 'language&amp;DataTest'!$A$1:$H$1, 0))))</f>
        <v>Pikachu ex</v>
      </c>
      <c r="D260" s="69" t="str">
        <f t="array" ref="D260">INDEX('language&amp;DataTest'!A:J, MATCH(INDEX( PointerTest!D:D, MATCH(INDEX(PointerTest!B:B, MATCH(B260, PointerTest!A:A, 0)), PointerTest!A:A, 0), 0), 'language&amp;DataTest'!A:A, 0), MATCH(HOME!$A$25, 'language&amp;DataTest'!$A$1:$H$1, 0))</f>
        <v>Pikachu</v>
      </c>
      <c r="E260" s="69" t="str">
        <f t="array" ref="E260">INDEX( PointerTest!F:F, MATCH(B260, PointerTest!A:A, 0), 0)</f>
        <v>☆☆</v>
      </c>
      <c r="F260" s="70" t="str">
        <f t="array" ref="F260">LET(percentage,XLOOKUP($E260,$K$2:$K$10,L$2:L$10,"",0)/(COUNTIFS($E:$E,$E260,$D:$D,RegularFormula!$D$2)+COUNTIFS($E:$E,$E260,$D:$D,IF($D260=RegularFormula!$D$2,$K$15,$D260))),IFERROR(IF(percentage,percentage,""),""))
</f>
        <v/>
      </c>
      <c r="G260" s="71">
        <f t="array" ref="G260">LET(percentage,XLOOKUP($E260,$K$2:$K$10,M$2:M$10,"",0)/(COUNTIFS($E:$E,$E260,$D:$D,RegularFormula!$D$2)+COUNTIFS($E:$E,$E260,$D:$D,IF($D260=RegularFormula!$D$2,$K$15,$D260))),IFERROR(IF(percentage,percentage,""),""))
</f>
        <v>0.0005</v>
      </c>
      <c r="H260" s="71">
        <f t="array" ref="H260">LET(percentage,XLOOKUP($E260,$K$2:$K$10,N$2:N$10,"",0)/(COUNTIFS($E:$E,$E260,$D:$D,RegularFormula!$D$2)+COUNTIFS($E:$E,$E260,$D:$D,IF($D260=RegularFormula!$D$2,$K$15,$D260))),IFERROR(IF(percentage,percentage,""),""))
</f>
        <v>0.002</v>
      </c>
      <c r="I260" s="72" t="str">
        <f t="shared" si="1"/>
        <v/>
      </c>
      <c r="J260" s="73">
        <v>0.0</v>
      </c>
      <c r="K260" s="194"/>
      <c r="L260" s="55"/>
      <c r="M260" s="100" t="s">
        <v>383</v>
      </c>
      <c r="N260" s="207">
        <f>COUNTIFS(E2:E287, "♢", D2:D287, "Pikachu")</f>
        <v>25</v>
      </c>
      <c r="P260" s="103"/>
      <c r="Q260" s="103"/>
      <c r="R260" s="103"/>
      <c r="S260" s="79" t="str">
        <f t="shared" si="2"/>
        <v/>
      </c>
      <c r="T260" s="80" t="str">
        <f>IFERROR(__xludf.DUMMYFUNCTION("IF(
  Q260="""",
  """",
  IF(
   REGEXMATCH(SUBSTITUTE(Q260, "" ex"", """"), TEXTJOIN(""|"", TRUE, INDEX('language&amp;DataTest'!$A$33:$AB$182, , MATCH(HOME!$A$25, 'language&amp;DataTest'!$A$1:$G$1, 0)))),
   IF($M$26,
     IF(COUNTIFS(ARRAYFORMULA(SUBSTITUTE($C"&amp;"$2:$C287, "" ex"", """")), SUBSTITUTE(Q260, "" ex"", """"), $J$2:$J287, ""&gt;0"")=0, ""Yes"", ""No""),
     IF(COUNTIFS(ARRAYFORMULA(SUBSTITUTE($C$2:$C287, "" ex"", """")), SUBSTITUTE(Q260, "" ex"", """"), $A$2:$A287, TRUE)=0, ""Yes"", ""No"")
   ),
   ""No"&amp;"""
 )
)"),"")</f>
        <v/>
      </c>
    </row>
    <row r="261">
      <c r="A261" s="68" t="b">
        <v>0</v>
      </c>
      <c r="B261" s="69" t="s">
        <v>384</v>
      </c>
      <c r="C261" s="69" t="str">
        <f t="array" ref="C261">TEXTJOIN("", TRUE, IFERROR(INDEX('language&amp;DataTest'!A:J, MATCH(INDEX( PointerTest!C:C, MATCH(B261, PointerTest!A:A, 0), 0), 'language&amp;DataTest'!A:A, 0), MATCH(HOME!$A$25, 'language&amp;DataTest'!$A$1:$H$1, 0))),                      IFERROR(INDEX('language&amp;DataTest'!A:J, MATCH(INDEX( PointerTest!D:D, MATCH(B261, PointerTest!A:A, 0), 0), 'language&amp;DataTest'!A:A, 0), MATCH(HOME!$A$25, 'language&amp;DataTest'!$A$1:$H$1, 0))),                                          
IFERROR(INDEX('language&amp;DataTest'!A:J, MATCH(INDEX( PointerTest!E:E, MATCH(B261, PointerTest!A:A, 0), 0), 'language&amp;DataTest'!A:A, 0), MATCH(HOME!$A$25, 'language&amp;DataTest'!$A$1:$H$1, 0))))</f>
        <v>Zapdos ex</v>
      </c>
      <c r="D261" s="69" t="str">
        <f t="array" ref="D261">INDEX('language&amp;DataTest'!A:J, MATCH(INDEX( PointerTest!D:D, MATCH(INDEX(PointerTest!B:B, MATCH(B261, PointerTest!A:A, 0)), PointerTest!A:A, 0), 0), 'language&amp;DataTest'!A:A, 0), MATCH(HOME!$A$25, 'language&amp;DataTest'!$A$1:$H$1, 0))</f>
        <v>Pikachu</v>
      </c>
      <c r="E261" s="69" t="str">
        <f t="array" ref="E261">INDEX( PointerTest!F:F, MATCH(B261, PointerTest!A:A, 0), 0)</f>
        <v>☆☆</v>
      </c>
      <c r="F261" s="70" t="str">
        <f t="array" ref="F261">LET(percentage,XLOOKUP($E261,$K$2:$K$10,L$2:L$10,"",0)/(COUNTIFS($E:$E,$E261,$D:$D,RegularFormula!$D$2)+COUNTIFS($E:$E,$E261,$D:$D,IF($D261=RegularFormula!$D$2,$K$15,$D261))),IFERROR(IF(percentage,percentage,""),""))
</f>
        <v/>
      </c>
      <c r="G261" s="71">
        <f t="array" ref="G261">LET(percentage,XLOOKUP($E261,$K$2:$K$10,M$2:M$10,"",0)/(COUNTIFS($E:$E,$E261,$D:$D,RegularFormula!$D$2)+COUNTIFS($E:$E,$E261,$D:$D,IF($D261=RegularFormula!$D$2,$K$15,$D261))),IFERROR(IF(percentage,percentage,""),""))
</f>
        <v>0.0005</v>
      </c>
      <c r="H261" s="71">
        <f t="array" ref="H261">LET(percentage,XLOOKUP($E261,$K$2:$K$10,N$2:N$10,"",0)/(COUNTIFS($E:$E,$E261,$D:$D,RegularFormula!$D$2)+COUNTIFS($E:$E,$E261,$D:$D,IF($D261=RegularFormula!$D$2,$K$15,$D261))),IFERROR(IF(percentage,percentage,""),""))
</f>
        <v>0.002</v>
      </c>
      <c r="I261" s="72" t="str">
        <f t="shared" si="1"/>
        <v/>
      </c>
      <c r="J261" s="73">
        <v>0.0</v>
      </c>
      <c r="K261" s="194"/>
      <c r="L261" s="55"/>
      <c r="M261" s="100" t="s">
        <v>385</v>
      </c>
      <c r="N261" s="207">
        <f>COUNTIFS(E2:E287, "♢", D2:D287, "Charizard")</f>
        <v>25</v>
      </c>
      <c r="P261" s="103"/>
      <c r="Q261" s="103"/>
      <c r="R261" s="103"/>
      <c r="S261" s="79" t="str">
        <f t="shared" si="2"/>
        <v/>
      </c>
      <c r="T261" s="80" t="str">
        <f>IFERROR(__xludf.DUMMYFUNCTION("IF(
  Q261="""",
  """",
  IF(
   REGEXMATCH(SUBSTITUTE(Q261, "" ex"", """"), TEXTJOIN(""|"", TRUE, INDEX('language&amp;DataTest'!$A$33:$AB$182, , MATCH(HOME!$A$25, 'language&amp;DataTest'!$A$1:$G$1, 0)))),
   IF($M$26,
     IF(COUNTIFS(ARRAYFORMULA(SUBSTITUTE($C"&amp;"$2:$C287, "" ex"", """")), SUBSTITUTE(Q261, "" ex"", """"), $J$2:$J287, ""&gt;0"")=0, ""Yes"", ""No""),
     IF(COUNTIFS(ARRAYFORMULA(SUBSTITUTE($C$2:$C287, "" ex"", """")), SUBSTITUTE(Q261, "" ex"", """"), $A$2:$A287, TRUE)=0, ""Yes"", ""No"")
   ),
   ""No"&amp;"""
 )
)"),"")</f>
        <v/>
      </c>
    </row>
    <row r="262">
      <c r="A262" s="68" t="b">
        <v>0</v>
      </c>
      <c r="B262" s="69" t="s">
        <v>386</v>
      </c>
      <c r="C262" s="69" t="str">
        <f t="array" ref="C262">TEXTJOIN("", TRUE, IFERROR(INDEX('language&amp;DataTest'!A:J, MATCH(INDEX( PointerTest!C:C, MATCH(B262, PointerTest!A:A, 0), 0), 'language&amp;DataTest'!A:A, 0), MATCH(HOME!$A$25, 'language&amp;DataTest'!$A$1:$H$1, 0))),                      IFERROR(INDEX('language&amp;DataTest'!A:J, MATCH(INDEX( PointerTest!D:D, MATCH(B262, PointerTest!A:A, 0), 0), 'language&amp;DataTest'!A:A, 0), MATCH(HOME!$A$25, 'language&amp;DataTest'!$A$1:$H$1, 0))),                                          
IFERROR(INDEX('language&amp;DataTest'!A:J, MATCH(INDEX( PointerTest!E:E, MATCH(B262, PointerTest!A:A, 0), 0), 'language&amp;DataTest'!A:A, 0), MATCH(HOME!$A$25, 'language&amp;DataTest'!$A$1:$H$1, 0))))</f>
        <v>Gengar ex</v>
      </c>
      <c r="D262" s="69" t="str">
        <f t="array" ref="D262">INDEX('language&amp;DataTest'!A:J, MATCH(INDEX( PointerTest!D:D, MATCH(INDEX(PointerTest!B:B, MATCH(B262, PointerTest!A:A, 0)), PointerTest!A:A, 0), 0), 'language&amp;DataTest'!A:A, 0), MATCH(HOME!$A$25, 'language&amp;DataTest'!$A$1:$H$1, 0))</f>
        <v>Mewtwo</v>
      </c>
      <c r="E262" s="69" t="str">
        <f t="array" ref="E262">INDEX( PointerTest!F:F, MATCH(B262, PointerTest!A:A, 0), 0)</f>
        <v>☆☆</v>
      </c>
      <c r="F262" s="70" t="str">
        <f t="array" ref="F262">LET(percentage,XLOOKUP($E262,$K$2:$K$10,L$2:L$10,"",0)/(COUNTIFS($E:$E,$E262,$D:$D,RegularFormula!$D$2)+COUNTIFS($E:$E,$E262,$D:$D,IF($D262=RegularFormula!$D$2,$K$15,$D262))),IFERROR(IF(percentage,percentage,""),""))
</f>
        <v/>
      </c>
      <c r="G262" s="71">
        <f t="array" ref="G262">LET(percentage,XLOOKUP($E262,$K$2:$K$10,M$2:M$10,"",0)/(COUNTIFS($E:$E,$E262,$D:$D,RegularFormula!$D$2)+COUNTIFS($E:$E,$E262,$D:$D,IF($D262=RegularFormula!$D$2,$K$15,$D262))),IFERROR(IF(percentage,percentage,""),""))
</f>
        <v>0.0005555555556</v>
      </c>
      <c r="H262" s="71">
        <f t="array" ref="H262">LET(percentage,XLOOKUP($E262,$K$2:$K$10,N$2:N$10,"",0)/(COUNTIFS($E:$E,$E262,$D:$D,RegularFormula!$D$2)+COUNTIFS($E:$E,$E262,$D:$D,IF($D262=RegularFormula!$D$2,$K$15,$D262))),IFERROR(IF(percentage,percentage,""),""))
</f>
        <v>0.002222222222</v>
      </c>
      <c r="I262" s="72" t="str">
        <f t="shared" si="1"/>
        <v/>
      </c>
      <c r="J262" s="73">
        <v>0.0</v>
      </c>
      <c r="K262" s="194"/>
      <c r="L262" s="55"/>
      <c r="M262" s="100" t="s">
        <v>387</v>
      </c>
      <c r="N262" s="207">
        <f>COUNTIFS(E2:E287, "♢", D2:D287, "All")</f>
        <v>25</v>
      </c>
      <c r="O262" s="197"/>
      <c r="P262" s="103"/>
      <c r="Q262" s="103"/>
      <c r="R262" s="103"/>
      <c r="S262" s="79" t="str">
        <f t="shared" si="2"/>
        <v/>
      </c>
      <c r="T262" s="80" t="str">
        <f>IFERROR(__xludf.DUMMYFUNCTION("IF(
  Q262="""",
  """",
  IF(
   REGEXMATCH(SUBSTITUTE(Q262, "" ex"", """"), TEXTJOIN(""|"", TRUE, INDEX('language&amp;DataTest'!$A$33:$AB$182, , MATCH(HOME!$A$25, 'language&amp;DataTest'!$A$1:$G$1, 0)))),
   IF($M$26,
     IF(COUNTIFS(ARRAYFORMULA(SUBSTITUTE($C"&amp;"$2:$C287, "" ex"", """")), SUBSTITUTE(Q262, "" ex"", """"), $J$2:$J287, ""&gt;0"")=0, ""Yes"", ""No""),
     IF(COUNTIFS(ARRAYFORMULA(SUBSTITUTE($C$2:$C287, "" ex"", """")), SUBSTITUTE(Q262, "" ex"", """"), $A$2:$A287, TRUE)=0, ""Yes"", ""No"")
   ),
   ""No"&amp;"""
 )
)"),"")</f>
        <v/>
      </c>
    </row>
    <row r="263">
      <c r="A263" s="68" t="b">
        <v>0</v>
      </c>
      <c r="B263" s="69" t="s">
        <v>388</v>
      </c>
      <c r="C263" s="69" t="str">
        <f t="array" ref="C263">TEXTJOIN("", TRUE, IFERROR(INDEX('language&amp;DataTest'!A:J, MATCH(INDEX( PointerTest!C:C, MATCH(B263, PointerTest!A:A, 0), 0), 'language&amp;DataTest'!A:A, 0), MATCH(HOME!$A$25, 'language&amp;DataTest'!$A$1:$H$1, 0))),                      IFERROR(INDEX('language&amp;DataTest'!A:J, MATCH(INDEX( PointerTest!D:D, MATCH(B263, PointerTest!A:A, 0), 0), 'language&amp;DataTest'!A:A, 0), MATCH(HOME!$A$25, 'language&amp;DataTest'!$A$1:$H$1, 0))),                                          
IFERROR(INDEX('language&amp;DataTest'!A:J, MATCH(INDEX( PointerTest!E:E, MATCH(B263, PointerTest!A:A, 0), 0), 'language&amp;DataTest'!A:A, 0), MATCH(HOME!$A$25, 'language&amp;DataTest'!$A$1:$H$1, 0))))</f>
        <v>Mewtwo ex</v>
      </c>
      <c r="D263" s="69" t="str">
        <f t="array" ref="D263">INDEX('language&amp;DataTest'!A:J, MATCH(INDEX( PointerTest!D:D, MATCH(INDEX(PointerTest!B:B, MATCH(B263, PointerTest!A:A, 0)), PointerTest!A:A, 0), 0), 'language&amp;DataTest'!A:A, 0), MATCH(HOME!$A$25, 'language&amp;DataTest'!$A$1:$H$1, 0))</f>
        <v>Mewtwo</v>
      </c>
      <c r="E263" s="69" t="str">
        <f t="array" ref="E263">INDEX( PointerTest!F:F, MATCH(B263, PointerTest!A:A, 0), 0)</f>
        <v>☆☆</v>
      </c>
      <c r="F263" s="70" t="str">
        <f t="array" ref="F263">LET(percentage,XLOOKUP($E263,$K$2:$K$10,L$2:L$10,"",0)/(COUNTIFS($E:$E,$E263,$D:$D,RegularFormula!$D$2)+COUNTIFS($E:$E,$E263,$D:$D,IF($D263=RegularFormula!$D$2,$K$15,$D263))),IFERROR(IF(percentage,percentage,""),""))
</f>
        <v/>
      </c>
      <c r="G263" s="71">
        <f t="array" ref="G263">LET(percentage,XLOOKUP($E263,$K$2:$K$10,M$2:M$10,"",0)/(COUNTIFS($E:$E,$E263,$D:$D,RegularFormula!$D$2)+COUNTIFS($E:$E,$E263,$D:$D,IF($D263=RegularFormula!$D$2,$K$15,$D263))),IFERROR(IF(percentage,percentage,""),""))
</f>
        <v>0.0005555555556</v>
      </c>
      <c r="H263" s="71">
        <f t="array" ref="H263">LET(percentage,XLOOKUP($E263,$K$2:$K$10,N$2:N$10,"",0)/(COUNTIFS($E:$E,$E263,$D:$D,RegularFormula!$D$2)+COUNTIFS($E:$E,$E263,$D:$D,IF($D263=RegularFormula!$D$2,$K$15,$D263))),IFERROR(IF(percentage,percentage,""),""))
</f>
        <v>0.002222222222</v>
      </c>
      <c r="I263" s="72" t="str">
        <f t="shared" si="1"/>
        <v/>
      </c>
      <c r="J263" s="73">
        <v>0.0</v>
      </c>
      <c r="K263" s="194"/>
      <c r="L263" s="55"/>
      <c r="M263" s="100" t="s">
        <v>389</v>
      </c>
      <c r="N263" s="207">
        <f>COUNTIFS(E2:E287, "♢♢", D2:D287, "Mewtwo")</f>
        <v>17</v>
      </c>
      <c r="O263" s="197"/>
      <c r="P263" s="103"/>
      <c r="Q263" s="103"/>
      <c r="R263" s="103"/>
      <c r="S263" s="79" t="str">
        <f t="shared" si="2"/>
        <v/>
      </c>
      <c r="T263" s="80" t="str">
        <f>IFERROR(__xludf.DUMMYFUNCTION("IF(
  Q263="""",
  """",
  IF(
   REGEXMATCH(SUBSTITUTE(Q263, "" ex"", """"), TEXTJOIN(""|"", TRUE, INDEX('language&amp;DataTest'!$A$33:$AB$182, , MATCH(HOME!$A$25, 'language&amp;DataTest'!$A$1:$G$1, 0)))),
   IF($M$26,
     IF(COUNTIFS(ARRAYFORMULA(SUBSTITUTE($C"&amp;"$2:$C287, "" ex"", """")), SUBSTITUTE(Q263, "" ex"", """"), $J$2:$J287, ""&gt;0"")=0, ""Yes"", ""No""),
     IF(COUNTIFS(ARRAYFORMULA(SUBSTITUTE($C$2:$C287, "" ex"", """")), SUBSTITUTE(Q263, "" ex"", """"), $A$2:$A287, TRUE)=0, ""Yes"", ""No"")
   ),
   ""No"&amp;"""
 )
)"),"")</f>
        <v/>
      </c>
    </row>
    <row r="264">
      <c r="A264" s="68" t="b">
        <v>0</v>
      </c>
      <c r="B264" s="69" t="s">
        <v>390</v>
      </c>
      <c r="C264" s="69" t="str">
        <f t="array" ref="C264">TEXTJOIN("", TRUE, IFERROR(INDEX('language&amp;DataTest'!A:J, MATCH(INDEX( PointerTest!C:C, MATCH(B264, PointerTest!A:A, 0), 0), 'language&amp;DataTest'!A:A, 0), MATCH(HOME!$A$25, 'language&amp;DataTest'!$A$1:$H$1, 0))),                      IFERROR(INDEX('language&amp;DataTest'!A:J, MATCH(INDEX( PointerTest!D:D, MATCH(B264, PointerTest!A:A, 0), 0), 'language&amp;DataTest'!A:A, 0), MATCH(HOME!$A$25, 'language&amp;DataTest'!$A$1:$H$1, 0))),                                          
IFERROR(INDEX('language&amp;DataTest'!A:J, MATCH(INDEX( PointerTest!E:E, MATCH(B264, PointerTest!A:A, 0), 0), 'language&amp;DataTest'!A:A, 0), MATCH(HOME!$A$25, 'language&amp;DataTest'!$A$1:$H$1, 0))))</f>
        <v>Machamp ex</v>
      </c>
      <c r="D264" s="69" t="str">
        <f t="array" ref="D264">INDEX('language&amp;DataTest'!A:J, MATCH(INDEX( PointerTest!D:D, MATCH(INDEX(PointerTest!B:B, MATCH(B264, PointerTest!A:A, 0)), PointerTest!A:A, 0), 0), 'language&amp;DataTest'!A:A, 0), MATCH(HOME!$A$25, 'language&amp;DataTest'!$A$1:$H$1, 0))</f>
        <v>Charizard</v>
      </c>
      <c r="E264" s="69" t="str">
        <f t="array" ref="E264">INDEX( PointerTest!F:F, MATCH(B264, PointerTest!A:A, 0), 0)</f>
        <v>☆☆</v>
      </c>
      <c r="F264" s="70" t="str">
        <f t="array" ref="F264">LET(percentage,XLOOKUP($E264,$K$2:$K$10,L$2:L$10,"",0)/(COUNTIFS($E:$E,$E264,$D:$D,RegularFormula!$D$2)+COUNTIFS($E:$E,$E264,$D:$D,IF($D264=RegularFormula!$D$2,$K$15,$D264))),IFERROR(IF(percentage,percentage,""),""))
</f>
        <v/>
      </c>
      <c r="G264" s="71">
        <f t="array" ref="G264">LET(percentage,XLOOKUP($E264,$K$2:$K$10,M$2:M$10,"",0)/(COUNTIFS($E:$E,$E264,$D:$D,RegularFormula!$D$2)+COUNTIFS($E:$E,$E264,$D:$D,IF($D264=RegularFormula!$D$2,$K$15,$D264))),IFERROR(IF(percentage,percentage,""),""))
</f>
        <v>0.0005</v>
      </c>
      <c r="H264" s="71">
        <f t="array" ref="H264">LET(percentage,XLOOKUP($E264,$K$2:$K$10,N$2:N$10,"",0)/(COUNTIFS($E:$E,$E264,$D:$D,RegularFormula!$D$2)+COUNTIFS($E:$E,$E264,$D:$D,IF($D264=RegularFormula!$D$2,$K$15,$D264))),IFERROR(IF(percentage,percentage,""),""))
</f>
        <v>0.002</v>
      </c>
      <c r="I264" s="72" t="str">
        <f t="shared" si="1"/>
        <v/>
      </c>
      <c r="J264" s="73">
        <v>0.0</v>
      </c>
      <c r="K264" s="194"/>
      <c r="L264" s="55"/>
      <c r="M264" s="100" t="s">
        <v>391</v>
      </c>
      <c r="N264" s="207">
        <f>COUNTIFS(E2:E287, "♢♢", D2:D287, "Pikachu")</f>
        <v>17</v>
      </c>
      <c r="O264" s="208"/>
      <c r="P264" s="209"/>
      <c r="Q264" s="209"/>
      <c r="R264" s="209"/>
      <c r="S264" s="79" t="str">
        <f t="shared" si="2"/>
        <v/>
      </c>
      <c r="T264" s="80" t="str">
        <f>IFERROR(__xludf.DUMMYFUNCTION("IF(
  Q264="""",
  """",
  IF(
   REGEXMATCH(SUBSTITUTE(Q264, "" ex"", """"), TEXTJOIN(""|"", TRUE, INDEX('language&amp;DataTest'!$A$33:$AB$182, , MATCH(HOME!$A$25, 'language&amp;DataTest'!$A$1:$G$1, 0)))),
   IF($M$26,
     IF(COUNTIFS(ARRAYFORMULA(SUBSTITUTE($C"&amp;"$2:$C287, "" ex"", """")), SUBSTITUTE(Q264, "" ex"", """"), $J$2:$J287, ""&gt;0"")=0, ""Yes"", ""No""),
     IF(COUNTIFS(ARRAYFORMULA(SUBSTITUTE($C$2:$C287, "" ex"", """")), SUBSTITUTE(Q264, "" ex"", """"), $A$2:$A287, TRUE)=0, ""Yes"", ""No"")
   ),
   ""No"&amp;"""
 )
)"),"")</f>
        <v/>
      </c>
    </row>
    <row r="265">
      <c r="A265" s="68" t="b">
        <v>0</v>
      </c>
      <c r="B265" s="69" t="s">
        <v>392</v>
      </c>
      <c r="C265" s="69" t="str">
        <f t="array" ref="C265">TEXTJOIN("", TRUE, IFERROR(INDEX('language&amp;DataTest'!A:J, MATCH(INDEX( PointerTest!C:C, MATCH(B265, PointerTest!A:A, 0), 0), 'language&amp;DataTest'!A:A, 0), MATCH(HOME!$A$25, 'language&amp;DataTest'!$A$1:$H$1, 0))),                      IFERROR(INDEX('language&amp;DataTest'!A:J, MATCH(INDEX( PointerTest!D:D, MATCH(B265, PointerTest!A:A, 0), 0), 'language&amp;DataTest'!A:A, 0), MATCH(HOME!$A$25, 'language&amp;DataTest'!$A$1:$H$1, 0))),                                          
IFERROR(INDEX('language&amp;DataTest'!A:J, MATCH(INDEX( PointerTest!E:E, MATCH(B265, PointerTest!A:A, 0), 0), 'language&amp;DataTest'!A:A, 0), MATCH(HOME!$A$25, 'language&amp;DataTest'!$A$1:$H$1, 0))))</f>
        <v>Marowak ex</v>
      </c>
      <c r="D265" s="69" t="str">
        <f t="array" ref="D265">INDEX('language&amp;DataTest'!A:J, MATCH(INDEX( PointerTest!D:D, MATCH(INDEX(PointerTest!B:B, MATCH(B265, PointerTest!A:A, 0)), PointerTest!A:A, 0), 0), 'language&amp;DataTest'!A:A, 0), MATCH(HOME!$A$25, 'language&amp;DataTest'!$A$1:$H$1, 0))</f>
        <v>Mewtwo</v>
      </c>
      <c r="E265" s="69" t="str">
        <f t="array" ref="E265">INDEX( PointerTest!F:F, MATCH(B265, PointerTest!A:A, 0), 0)</f>
        <v>☆☆</v>
      </c>
      <c r="F265" s="70" t="str">
        <f t="array" ref="F265">LET(percentage,XLOOKUP($E265,$K$2:$K$10,L$2:L$10,"",0)/(COUNTIFS($E:$E,$E265,$D:$D,RegularFormula!$D$2)+COUNTIFS($E:$E,$E265,$D:$D,IF($D265=RegularFormula!$D$2,$K$15,$D265))),IFERROR(IF(percentage,percentage,""),""))
</f>
        <v/>
      </c>
      <c r="G265" s="71">
        <f t="array" ref="G265">LET(percentage,XLOOKUP($E265,$K$2:$K$10,M$2:M$10,"",0)/(COUNTIFS($E:$E,$E265,$D:$D,RegularFormula!$D$2)+COUNTIFS($E:$E,$E265,$D:$D,IF($D265=RegularFormula!$D$2,$K$15,$D265))),IFERROR(IF(percentage,percentage,""),""))
</f>
        <v>0.0005555555556</v>
      </c>
      <c r="H265" s="71">
        <f t="array" ref="H265">LET(percentage,XLOOKUP($E265,$K$2:$K$10,N$2:N$10,"",0)/(COUNTIFS($E:$E,$E265,$D:$D,RegularFormula!$D$2)+COUNTIFS($E:$E,$E265,$D:$D,IF($D265=RegularFormula!$D$2,$K$15,$D265))),IFERROR(IF(percentage,percentage,""),""))
</f>
        <v>0.002222222222</v>
      </c>
      <c r="I265" s="72" t="str">
        <f t="shared" si="1"/>
        <v/>
      </c>
      <c r="J265" s="73">
        <v>0.0</v>
      </c>
      <c r="K265" s="194"/>
      <c r="L265" s="55"/>
      <c r="M265" s="100" t="s">
        <v>393</v>
      </c>
      <c r="N265" s="207">
        <f>COUNTIFS(E2:E287, "♢♢", D2:D287, "Charizard")</f>
        <v>17</v>
      </c>
      <c r="O265" s="208"/>
      <c r="P265" s="209"/>
      <c r="Q265" s="209"/>
      <c r="R265" s="209"/>
      <c r="S265" s="79" t="str">
        <f t="shared" si="2"/>
        <v/>
      </c>
      <c r="T265" s="80" t="str">
        <f>IFERROR(__xludf.DUMMYFUNCTION("IF(
  Q265="""",
  """",
  IF(
   REGEXMATCH(SUBSTITUTE(Q265, "" ex"", """"), TEXTJOIN(""|"", TRUE, INDEX('language&amp;DataTest'!$A$33:$AB$182, , MATCH(HOME!$A$25, 'language&amp;DataTest'!$A$1:$G$1, 0)))),
   IF($M$26,
     IF(COUNTIFS(ARRAYFORMULA(SUBSTITUTE($C"&amp;"$2:$C287, "" ex"", """")), SUBSTITUTE(Q265, "" ex"", """"), $J$2:$J287, ""&gt;0"")=0, ""Yes"", ""No""),
     IF(COUNTIFS(ARRAYFORMULA(SUBSTITUTE($C$2:$C287, "" ex"", """")), SUBSTITUTE(Q265, "" ex"", """"), $A$2:$A287, TRUE)=0, ""Yes"", ""No"")
   ),
   ""No"&amp;"""
 )
)"),"")</f>
        <v/>
      </c>
    </row>
    <row r="266">
      <c r="A266" s="68" t="b">
        <v>0</v>
      </c>
      <c r="B266" s="69" t="s">
        <v>394</v>
      </c>
      <c r="C266" s="69" t="str">
        <f t="array" ref="C266">TEXTJOIN("", TRUE, IFERROR(INDEX('language&amp;DataTest'!A:J, MATCH(INDEX( PointerTest!C:C, MATCH(B266, PointerTest!A:A, 0), 0), 'language&amp;DataTest'!A:A, 0), MATCH(HOME!$A$25, 'language&amp;DataTest'!$A$1:$H$1, 0))),                      IFERROR(INDEX('language&amp;DataTest'!A:J, MATCH(INDEX( PointerTest!D:D, MATCH(B266, PointerTest!A:A, 0), 0), 'language&amp;DataTest'!A:A, 0), MATCH(HOME!$A$25, 'language&amp;DataTest'!$A$1:$H$1, 0))),                                          
IFERROR(INDEX('language&amp;DataTest'!A:J, MATCH(INDEX( PointerTest!E:E, MATCH(B266, PointerTest!A:A, 0), 0), 'language&amp;DataTest'!A:A, 0), MATCH(HOME!$A$25, 'language&amp;DataTest'!$A$1:$H$1, 0))))</f>
        <v>Wigglytuff ex</v>
      </c>
      <c r="D266" s="69" t="str">
        <f t="array" ref="D266">INDEX('language&amp;DataTest'!A:J, MATCH(INDEX( PointerTest!D:D, MATCH(INDEX(PointerTest!B:B, MATCH(B266, PointerTest!A:A, 0)), PointerTest!A:A, 0), 0), 'language&amp;DataTest'!A:A, 0), MATCH(HOME!$A$25, 'language&amp;DataTest'!$A$1:$H$1, 0))</f>
        <v>Pikachu</v>
      </c>
      <c r="E266" s="69" t="str">
        <f t="array" ref="E266">INDEX( PointerTest!F:F, MATCH(B266, PointerTest!A:A, 0), 0)</f>
        <v>☆☆</v>
      </c>
      <c r="F266" s="70" t="str">
        <f t="array" ref="F266">LET(percentage,XLOOKUP($E266,$K$2:$K$10,L$2:L$10,"",0)/(COUNTIFS($E:$E,$E266,$D:$D,RegularFormula!$D$2)+COUNTIFS($E:$E,$E266,$D:$D,IF($D266=RegularFormula!$D$2,$K$15,$D266))),IFERROR(IF(percentage,percentage,""),""))
</f>
        <v/>
      </c>
      <c r="G266" s="71">
        <f t="array" ref="G266">LET(percentage,XLOOKUP($E266,$K$2:$K$10,M$2:M$10,"",0)/(COUNTIFS($E:$E,$E266,$D:$D,RegularFormula!$D$2)+COUNTIFS($E:$E,$E266,$D:$D,IF($D266=RegularFormula!$D$2,$K$15,$D266))),IFERROR(IF(percentage,percentage,""),""))
</f>
        <v>0.0005</v>
      </c>
      <c r="H266" s="71">
        <f t="array" ref="H266">LET(percentage,XLOOKUP($E266,$K$2:$K$10,N$2:N$10,"",0)/(COUNTIFS($E:$E,$E266,$D:$D,RegularFormula!$D$2)+COUNTIFS($E:$E,$E266,$D:$D,IF($D266=RegularFormula!$D$2,$K$15,$D266))),IFERROR(IF(percentage,percentage,""),""))
</f>
        <v>0.002</v>
      </c>
      <c r="I266" s="72" t="str">
        <f t="shared" si="1"/>
        <v/>
      </c>
      <c r="J266" s="73">
        <v>0.0</v>
      </c>
      <c r="K266" s="194"/>
      <c r="L266" s="55"/>
      <c r="M266" s="100" t="s">
        <v>395</v>
      </c>
      <c r="N266" s="207">
        <f>COUNTIFS(E2:E287, "♢♢", D2:D287, "All")</f>
        <v>18</v>
      </c>
      <c r="O266" s="197"/>
      <c r="P266" s="103"/>
      <c r="Q266" s="103"/>
      <c r="R266" s="103"/>
      <c r="S266" s="79" t="str">
        <f t="shared" si="2"/>
        <v/>
      </c>
      <c r="T266" s="80" t="str">
        <f>IFERROR(__xludf.DUMMYFUNCTION("IF(
  Q266="""",
  """",
  IF(
   REGEXMATCH(SUBSTITUTE(Q266, "" ex"", """"), TEXTJOIN(""|"", TRUE, INDEX('language&amp;DataTest'!$A$33:$AB$182, , MATCH(HOME!$A$25, 'language&amp;DataTest'!$A$1:$G$1, 0)))),
   IF($M$26,
     IF(COUNTIFS(ARRAYFORMULA(SUBSTITUTE($C"&amp;"$2:$C287, "" ex"", """")), SUBSTITUTE(Q266, "" ex"", """"), $J$2:$J287, ""&gt;0"")=0, ""Yes"", ""No""),
     IF(COUNTIFS(ARRAYFORMULA(SUBSTITUTE($C$2:$C287, "" ex"", """")), SUBSTITUTE(Q266, "" ex"", """"), $A$2:$A287, TRUE)=0, ""Yes"", ""No"")
   ),
   ""No"&amp;"""
 )
)"),"")</f>
        <v/>
      </c>
    </row>
    <row r="267">
      <c r="A267" s="68" t="b">
        <v>0</v>
      </c>
      <c r="B267" s="69" t="s">
        <v>396</v>
      </c>
      <c r="C267" s="69" t="str">
        <f t="array" ref="C267">TEXTJOIN("", TRUE, IFERROR(INDEX('language&amp;DataTest'!A:J, MATCH(INDEX( PointerTest!C:C, MATCH(B267, PointerTest!A:A, 0), 0), 'language&amp;DataTest'!A:A, 0), MATCH(HOME!$A$25, 'language&amp;DataTest'!$A$1:$H$1, 0))),                      IFERROR(INDEX('language&amp;DataTest'!A:J, MATCH(INDEX( PointerTest!D:D, MATCH(B267, PointerTest!A:A, 0), 0), 'language&amp;DataTest'!A:A, 0), MATCH(HOME!$A$25, 'language&amp;DataTest'!$A$1:$H$1, 0))),                                          
IFERROR(INDEX('language&amp;DataTest'!A:J, MATCH(INDEX( PointerTest!E:E, MATCH(B267, PointerTest!A:A, 0), 0), 'language&amp;DataTest'!A:A, 0), MATCH(HOME!$A$25, 'language&amp;DataTest'!$A$1:$H$1, 0))))</f>
        <v>Erika</v>
      </c>
      <c r="D267" s="69" t="str">
        <f t="array" ref="D267">INDEX('language&amp;DataTest'!A:J, MATCH(INDEX( PointerTest!D:D, MATCH(INDEX(PointerTest!B:B, MATCH(B267, PointerTest!A:A, 0)), PointerTest!A:A, 0), 0), 'language&amp;DataTest'!A:A, 0), MATCH(HOME!$A$25, 'language&amp;DataTest'!$A$1:$H$1, 0))</f>
        <v>Charizard</v>
      </c>
      <c r="E267" s="69" t="str">
        <f t="array" ref="E267">INDEX( PointerTest!F:F, MATCH(B267, PointerTest!A:A, 0), 0)</f>
        <v>☆☆</v>
      </c>
      <c r="F267" s="70" t="str">
        <f t="array" ref="F267">LET(percentage,XLOOKUP($E267,$K$2:$K$10,L$2:L$10,"",0)/(COUNTIFS($E:$E,$E267,$D:$D,RegularFormula!$D$2)+COUNTIFS($E:$E,$E267,$D:$D,IF($D267=RegularFormula!$D$2,$K$15,$D267))),IFERROR(IF(percentage,percentage,""),""))
</f>
        <v/>
      </c>
      <c r="G267" s="71">
        <f t="array" ref="G267">LET(percentage,XLOOKUP($E267,$K$2:$K$10,M$2:M$10,"",0)/(COUNTIFS($E:$E,$E267,$D:$D,RegularFormula!$D$2)+COUNTIFS($E:$E,$E267,$D:$D,IF($D267=RegularFormula!$D$2,$K$15,$D267))),IFERROR(IF(percentage,percentage,""),""))
</f>
        <v>0.0005</v>
      </c>
      <c r="H267" s="71">
        <f t="array" ref="H267">LET(percentage,XLOOKUP($E267,$K$2:$K$10,N$2:N$10,"",0)/(COUNTIFS($E:$E,$E267,$D:$D,RegularFormula!$D$2)+COUNTIFS($E:$E,$E267,$D:$D,IF($D267=RegularFormula!$D$2,$K$15,$D267))),IFERROR(IF(percentage,percentage,""),""))
</f>
        <v>0.002</v>
      </c>
      <c r="I267" s="72" t="str">
        <f t="shared" si="1"/>
        <v/>
      </c>
      <c r="J267" s="73">
        <v>0.0</v>
      </c>
      <c r="K267" s="194"/>
      <c r="L267" s="55"/>
      <c r="M267" s="100" t="s">
        <v>397</v>
      </c>
      <c r="N267" s="207">
        <f>COUNTIFS(E2:E287, "♢♢♢", D2:D287, "Mewtwo")</f>
        <v>14</v>
      </c>
      <c r="O267" s="208"/>
      <c r="P267" s="209"/>
      <c r="Q267" s="209"/>
      <c r="R267" s="209"/>
      <c r="S267" s="79" t="str">
        <f t="shared" si="2"/>
        <v/>
      </c>
      <c r="T267" s="80" t="str">
        <f>IFERROR(__xludf.DUMMYFUNCTION("IF(
  Q267="""",
  """",
  IF(
   REGEXMATCH(SUBSTITUTE(Q267, "" ex"", """"), TEXTJOIN(""|"", TRUE, INDEX('language&amp;DataTest'!$A$33:$AB$182, , MATCH(HOME!$A$25, 'language&amp;DataTest'!$A$1:$G$1, 0)))),
   IF($M$26,
     IF(COUNTIFS(ARRAYFORMULA(SUBSTITUTE($C"&amp;"$2:$C287, "" ex"", """")), SUBSTITUTE(Q267, "" ex"", """"), $J$2:$J287, ""&gt;0"")=0, ""Yes"", ""No""),
     IF(COUNTIFS(ARRAYFORMULA(SUBSTITUTE($C$2:$C287, "" ex"", """")), SUBSTITUTE(Q267, "" ex"", """"), $A$2:$A287, TRUE)=0, ""Yes"", ""No"")
   ),
   ""No"&amp;"""
 )
)"),"")</f>
        <v/>
      </c>
    </row>
    <row r="268">
      <c r="A268" s="68" t="b">
        <v>0</v>
      </c>
      <c r="B268" s="69" t="s">
        <v>398</v>
      </c>
      <c r="C268" s="69" t="str">
        <f t="array" ref="C268">TEXTJOIN("", TRUE, IFERROR(INDEX('language&amp;DataTest'!A:J, MATCH(INDEX( PointerTest!C:C, MATCH(B268, PointerTest!A:A, 0), 0), 'language&amp;DataTest'!A:A, 0), MATCH(HOME!$A$25, 'language&amp;DataTest'!$A$1:$H$1, 0))),                      IFERROR(INDEX('language&amp;DataTest'!A:J, MATCH(INDEX( PointerTest!D:D, MATCH(B268, PointerTest!A:A, 0), 0), 'language&amp;DataTest'!A:A, 0), MATCH(HOME!$A$25, 'language&amp;DataTest'!$A$1:$H$1, 0))),                                          
IFERROR(INDEX('language&amp;DataTest'!A:J, MATCH(INDEX( PointerTest!E:E, MATCH(B268, PointerTest!A:A, 0), 0), 'language&amp;DataTest'!A:A, 0), MATCH(HOME!$A$25, 'language&amp;DataTest'!$A$1:$H$1, 0))))</f>
        <v>Misty</v>
      </c>
      <c r="D268" s="69" t="str">
        <f t="array" ref="D268">INDEX('language&amp;DataTest'!A:J, MATCH(INDEX( PointerTest!D:D, MATCH(INDEX(PointerTest!B:B, MATCH(B268, PointerTest!A:A, 0)), PointerTest!A:A, 0), 0), 'language&amp;DataTest'!A:A, 0), MATCH(HOME!$A$25, 'language&amp;DataTest'!$A$1:$H$1, 0))</f>
        <v>Pikachu</v>
      </c>
      <c r="E268" s="69" t="str">
        <f t="array" ref="E268">INDEX( PointerTest!F:F, MATCH(B268, PointerTest!A:A, 0), 0)</f>
        <v>☆☆</v>
      </c>
      <c r="F268" s="70" t="str">
        <f t="array" ref="F268">LET(percentage,XLOOKUP($E268,$K$2:$K$10,L$2:L$10,"",0)/(COUNTIFS($E:$E,$E268,$D:$D,RegularFormula!$D$2)+COUNTIFS($E:$E,$E268,$D:$D,IF($D268=RegularFormula!$D$2,$K$15,$D268))),IFERROR(IF(percentage,percentage,""),""))
</f>
        <v/>
      </c>
      <c r="G268" s="71">
        <f t="array" ref="G268">LET(percentage,XLOOKUP($E268,$K$2:$K$10,M$2:M$10,"",0)/(COUNTIFS($E:$E,$E268,$D:$D,RegularFormula!$D$2)+COUNTIFS($E:$E,$E268,$D:$D,IF($D268=RegularFormula!$D$2,$K$15,$D268))),IFERROR(IF(percentage,percentage,""),""))
</f>
        <v>0.0005</v>
      </c>
      <c r="H268" s="71">
        <f t="array" ref="H268">LET(percentage,XLOOKUP($E268,$K$2:$K$10,N$2:N$10,"",0)/(COUNTIFS($E:$E,$E268,$D:$D,RegularFormula!$D$2)+COUNTIFS($E:$E,$E268,$D:$D,IF($D268=RegularFormula!$D$2,$K$15,$D268))),IFERROR(IF(percentage,percentage,""),""))
</f>
        <v>0.002</v>
      </c>
      <c r="I268" s="72" t="str">
        <f t="shared" si="1"/>
        <v/>
      </c>
      <c r="J268" s="73">
        <v>0.0</v>
      </c>
      <c r="K268" s="194"/>
      <c r="L268" s="55"/>
      <c r="M268" s="100" t="s">
        <v>399</v>
      </c>
      <c r="N268" s="207">
        <f>COUNTIFS(E2:E287, "♢♢♢", D2:D287, "Pikachu")</f>
        <v>14</v>
      </c>
      <c r="O268" s="197"/>
      <c r="P268" s="103"/>
      <c r="Q268" s="103"/>
      <c r="R268" s="103"/>
      <c r="S268" s="79" t="str">
        <f t="shared" si="2"/>
        <v/>
      </c>
      <c r="T268" s="80" t="str">
        <f>IFERROR(__xludf.DUMMYFUNCTION("IF(
  Q268="""",
  """",
  IF(
   REGEXMATCH(SUBSTITUTE(Q268, "" ex"", """"), TEXTJOIN(""|"", TRUE, INDEX('language&amp;DataTest'!$A$33:$AB$182, , MATCH(HOME!$A$25, 'language&amp;DataTest'!$A$1:$G$1, 0)))),
   IF($M$26,
     IF(COUNTIFS(ARRAYFORMULA(SUBSTITUTE($C"&amp;"$2:$C287, "" ex"", """")), SUBSTITUTE(Q268, "" ex"", """"), $J$2:$J287, ""&gt;0"")=0, ""Yes"", ""No""),
     IF(COUNTIFS(ARRAYFORMULA(SUBSTITUTE($C$2:$C287, "" ex"", """")), SUBSTITUTE(Q268, "" ex"", """"), $A$2:$A287, TRUE)=0, ""Yes"", ""No"")
   ),
   ""No"&amp;"""
 )
)"),"")</f>
        <v/>
      </c>
    </row>
    <row r="269">
      <c r="A269" s="68" t="b">
        <v>0</v>
      </c>
      <c r="B269" s="69" t="s">
        <v>400</v>
      </c>
      <c r="C269" s="69" t="str">
        <f t="array" ref="C269">TEXTJOIN("", TRUE, IFERROR(INDEX('language&amp;DataTest'!A:J, MATCH(INDEX( PointerTest!C:C, MATCH(B269, PointerTest!A:A, 0), 0), 'language&amp;DataTest'!A:A, 0), MATCH(HOME!$A$25, 'language&amp;DataTest'!$A$1:$H$1, 0))),                      IFERROR(INDEX('language&amp;DataTest'!A:J, MATCH(INDEX( PointerTest!D:D, MATCH(B269, PointerTest!A:A, 0), 0), 'language&amp;DataTest'!A:A, 0), MATCH(HOME!$A$25, 'language&amp;DataTest'!$A$1:$H$1, 0))),                                          
IFERROR(INDEX('language&amp;DataTest'!A:J, MATCH(INDEX( PointerTest!E:E, MATCH(B269, PointerTest!A:A, 0), 0), 'language&amp;DataTest'!A:A, 0), MATCH(HOME!$A$25, 'language&amp;DataTest'!$A$1:$H$1, 0))))</f>
        <v>Blaine</v>
      </c>
      <c r="D269" s="69" t="str">
        <f t="array" ref="D269">INDEX('language&amp;DataTest'!A:J, MATCH(INDEX( PointerTest!D:D, MATCH(INDEX(PointerTest!B:B, MATCH(B269, PointerTest!A:A, 0)), PointerTest!A:A, 0), 0), 'language&amp;DataTest'!A:A, 0), MATCH(HOME!$A$25, 'language&amp;DataTest'!$A$1:$H$1, 0))</f>
        <v>Charizard</v>
      </c>
      <c r="E269" s="69" t="str">
        <f t="array" ref="E269">INDEX( PointerTest!F:F, MATCH(B269, PointerTest!A:A, 0), 0)</f>
        <v>☆☆</v>
      </c>
      <c r="F269" s="70" t="str">
        <f t="array" ref="F269">LET(percentage,XLOOKUP($E269,$K$2:$K$10,L$2:L$10,"",0)/(COUNTIFS($E:$E,$E269,$D:$D,RegularFormula!$D$2)+COUNTIFS($E:$E,$E269,$D:$D,IF($D269=RegularFormula!$D$2,$K$15,$D269))),IFERROR(IF(percentage,percentage,""),""))
</f>
        <v/>
      </c>
      <c r="G269" s="71">
        <f t="array" ref="G269">LET(percentage,XLOOKUP($E269,$K$2:$K$10,M$2:M$10,"",0)/(COUNTIFS($E:$E,$E269,$D:$D,RegularFormula!$D$2)+COUNTIFS($E:$E,$E269,$D:$D,IF($D269=RegularFormula!$D$2,$K$15,$D269))),IFERROR(IF(percentage,percentage,""),""))
</f>
        <v>0.0005</v>
      </c>
      <c r="H269" s="71">
        <f t="array" ref="H269">LET(percentage,XLOOKUP($E269,$K$2:$K$10,N$2:N$10,"",0)/(COUNTIFS($E:$E,$E269,$D:$D,RegularFormula!$D$2)+COUNTIFS($E:$E,$E269,$D:$D,IF($D269=RegularFormula!$D$2,$K$15,$D269))),IFERROR(IF(percentage,percentage,""),""))
</f>
        <v>0.002</v>
      </c>
      <c r="I269" s="72" t="str">
        <f t="shared" si="1"/>
        <v/>
      </c>
      <c r="J269" s="73">
        <v>0.0</v>
      </c>
      <c r="K269" s="194"/>
      <c r="L269" s="55"/>
      <c r="M269" s="100" t="s">
        <v>401</v>
      </c>
      <c r="N269" s="207">
        <f>COUNTIFS(E2:E287, "♢♢♢", D2:D287, "Charizard")</f>
        <v>14</v>
      </c>
      <c r="O269" s="197"/>
      <c r="P269" s="103"/>
      <c r="Q269" s="103"/>
      <c r="R269" s="103"/>
      <c r="S269" s="79" t="str">
        <f t="shared" si="2"/>
        <v/>
      </c>
      <c r="T269" s="80" t="str">
        <f>IFERROR(__xludf.DUMMYFUNCTION("IF(
  Q269="""",
  """",
  IF(
   REGEXMATCH(SUBSTITUTE(Q269, "" ex"", """"), TEXTJOIN(""|"", TRUE, INDEX('language&amp;DataTest'!$A$33:$AB$182, , MATCH(HOME!$A$25, 'language&amp;DataTest'!$A$1:$G$1, 0)))),
   IF($M$26,
     IF(COUNTIFS(ARRAYFORMULA(SUBSTITUTE($C"&amp;"$2:$C287, "" ex"", """")), SUBSTITUTE(Q269, "" ex"", """"), $J$2:$J287, ""&gt;0"")=0, ""Yes"", ""No""),
     IF(COUNTIFS(ARRAYFORMULA(SUBSTITUTE($C$2:$C287, "" ex"", """")), SUBSTITUTE(Q269, "" ex"", """"), $A$2:$A287, TRUE)=0, ""Yes"", ""No"")
   ),
   ""No"&amp;"""
 )
)"),"")</f>
        <v/>
      </c>
    </row>
    <row r="270">
      <c r="A270" s="68" t="b">
        <v>0</v>
      </c>
      <c r="B270" s="69" t="s">
        <v>402</v>
      </c>
      <c r="C270" s="69" t="str">
        <f t="array" ref="C270">TEXTJOIN("", TRUE, IFERROR(INDEX('language&amp;DataTest'!A:J, MATCH(INDEX( PointerTest!C:C, MATCH(B270, PointerTest!A:A, 0), 0), 'language&amp;DataTest'!A:A, 0), MATCH(HOME!$A$25, 'language&amp;DataTest'!$A$1:$H$1, 0))),                      IFERROR(INDEX('language&amp;DataTest'!A:J, MATCH(INDEX( PointerTest!D:D, MATCH(B270, PointerTest!A:A, 0), 0), 'language&amp;DataTest'!A:A, 0), MATCH(HOME!$A$25, 'language&amp;DataTest'!$A$1:$H$1, 0))),                                          
IFERROR(INDEX('language&amp;DataTest'!A:J, MATCH(INDEX( PointerTest!E:E, MATCH(B270, PointerTest!A:A, 0), 0), 'language&amp;DataTest'!A:A, 0), MATCH(HOME!$A$25, 'language&amp;DataTest'!$A$1:$H$1, 0))))</f>
        <v>Koga</v>
      </c>
      <c r="D270" s="69" t="str">
        <f t="array" ref="D270">INDEX('language&amp;DataTest'!A:J, MATCH(INDEX( PointerTest!D:D, MATCH(INDEX(PointerTest!B:B, MATCH(B270, PointerTest!A:A, 0)), PointerTest!A:A, 0), 0), 'language&amp;DataTest'!A:A, 0), MATCH(HOME!$A$25, 'language&amp;DataTest'!$A$1:$H$1, 0))</f>
        <v>Mewtwo</v>
      </c>
      <c r="E270" s="69" t="str">
        <f t="array" ref="E270">INDEX( PointerTest!F:F, MATCH(B270, PointerTest!A:A, 0), 0)</f>
        <v>☆☆</v>
      </c>
      <c r="F270" s="70" t="str">
        <f t="array" ref="F270">LET(percentage,XLOOKUP($E270,$K$2:$K$10,L$2:L$10,"",0)/(COUNTIFS($E:$E,$E270,$D:$D,RegularFormula!$D$2)+COUNTIFS($E:$E,$E270,$D:$D,IF($D270=RegularFormula!$D$2,$K$15,$D270))),IFERROR(IF(percentage,percentage,""),""))
</f>
        <v/>
      </c>
      <c r="G270" s="71">
        <f t="array" ref="G270">LET(percentage,XLOOKUP($E270,$K$2:$K$10,M$2:M$10,"",0)/(COUNTIFS($E:$E,$E270,$D:$D,RegularFormula!$D$2)+COUNTIFS($E:$E,$E270,$D:$D,IF($D270=RegularFormula!$D$2,$K$15,$D270))),IFERROR(IF(percentage,percentage,""),""))
</f>
        <v>0.0005555555556</v>
      </c>
      <c r="H270" s="71">
        <f t="array" ref="H270">LET(percentage,XLOOKUP($E270,$K$2:$K$10,N$2:N$10,"",0)/(COUNTIFS($E:$E,$E270,$D:$D,RegularFormula!$D$2)+COUNTIFS($E:$E,$E270,$D:$D,IF($D270=RegularFormula!$D$2,$K$15,$D270))),IFERROR(IF(percentage,percentage,""),""))
</f>
        <v>0.002222222222</v>
      </c>
      <c r="I270" s="72" t="str">
        <f t="shared" si="1"/>
        <v/>
      </c>
      <c r="J270" s="73">
        <v>0.0</v>
      </c>
      <c r="K270" s="194"/>
      <c r="L270" s="55"/>
      <c r="M270" s="100" t="s">
        <v>403</v>
      </c>
      <c r="N270" s="207">
        <f>COUNTIFS(E2:E287, "♢♢♢", D2:D287, "All")</f>
        <v>0</v>
      </c>
      <c r="O270" s="197"/>
      <c r="P270" s="103"/>
      <c r="Q270" s="103"/>
      <c r="R270" s="103"/>
      <c r="S270" s="79" t="str">
        <f t="shared" si="2"/>
        <v/>
      </c>
      <c r="T270" s="80" t="str">
        <f>IFERROR(__xludf.DUMMYFUNCTION("IF(
  Q270="""",
  """",
  IF(
   REGEXMATCH(SUBSTITUTE(Q270, "" ex"", """"), TEXTJOIN(""|"", TRUE, INDEX('language&amp;DataTest'!$A$33:$AB$182, , MATCH(HOME!$A$25, 'language&amp;DataTest'!$A$1:$G$1, 0)))),
   IF($M$26,
     IF(COUNTIFS(ARRAYFORMULA(SUBSTITUTE($C"&amp;"$2:$C287, "" ex"", """")), SUBSTITUTE(Q270, "" ex"", """"), $J$2:$J287, ""&gt;0"")=0, ""Yes"", ""No""),
     IF(COUNTIFS(ARRAYFORMULA(SUBSTITUTE($C$2:$C287, "" ex"", """")), SUBSTITUTE(Q270, "" ex"", """"), $A$2:$A287, TRUE)=0, ""Yes"", ""No"")
   ),
   ""No"&amp;"""
 )
)"),"")</f>
        <v/>
      </c>
    </row>
    <row r="271">
      <c r="A271" s="68" t="b">
        <v>0</v>
      </c>
      <c r="B271" s="69" t="s">
        <v>404</v>
      </c>
      <c r="C271" s="69" t="str">
        <f t="array" ref="C271">TEXTJOIN("", TRUE, IFERROR(INDEX('language&amp;DataTest'!A:J, MATCH(INDEX( PointerTest!C:C, MATCH(B271, PointerTest!A:A, 0), 0), 'language&amp;DataTest'!A:A, 0), MATCH(HOME!$A$25, 'language&amp;DataTest'!$A$1:$H$1, 0))),                      IFERROR(INDEX('language&amp;DataTest'!A:J, MATCH(INDEX( PointerTest!D:D, MATCH(B271, PointerTest!A:A, 0), 0), 'language&amp;DataTest'!A:A, 0), MATCH(HOME!$A$25, 'language&amp;DataTest'!$A$1:$H$1, 0))),                                          
IFERROR(INDEX('language&amp;DataTest'!A:J, MATCH(INDEX( PointerTest!E:E, MATCH(B271, PointerTest!A:A, 0), 0), 'language&amp;DataTest'!A:A, 0), MATCH(HOME!$A$25, 'language&amp;DataTest'!$A$1:$H$1, 0))))</f>
        <v>Giovanni</v>
      </c>
      <c r="D271" s="69" t="str">
        <f t="array" ref="D271">INDEX('language&amp;DataTest'!A:J, MATCH(INDEX( PointerTest!D:D, MATCH(INDEX(PointerTest!B:B, MATCH(B271, PointerTest!A:A, 0)), PointerTest!A:A, 0), 0), 'language&amp;DataTest'!A:A, 0), MATCH(HOME!$A$25, 'language&amp;DataTest'!$A$1:$H$1, 0))</f>
        <v>Mewtwo</v>
      </c>
      <c r="E271" s="69" t="str">
        <f t="array" ref="E271">INDEX( PointerTest!F:F, MATCH(B271, PointerTest!A:A, 0), 0)</f>
        <v>☆☆</v>
      </c>
      <c r="F271" s="70" t="str">
        <f t="array" ref="F271">LET(percentage,XLOOKUP($E271,$K$2:$K$10,L$2:L$10,"",0)/(COUNTIFS($E:$E,$E271,$D:$D,RegularFormula!$D$2)+COUNTIFS($E:$E,$E271,$D:$D,IF($D271=RegularFormula!$D$2,$K$15,$D271))),IFERROR(IF(percentage,percentage,""),""))
</f>
        <v/>
      </c>
      <c r="G271" s="71">
        <f t="array" ref="G271">LET(percentage,XLOOKUP($E271,$K$2:$K$10,M$2:M$10,"",0)/(COUNTIFS($E:$E,$E271,$D:$D,RegularFormula!$D$2)+COUNTIFS($E:$E,$E271,$D:$D,IF($D271=RegularFormula!$D$2,$K$15,$D271))),IFERROR(IF(percentage,percentage,""),""))
</f>
        <v>0.0005555555556</v>
      </c>
      <c r="H271" s="71">
        <f t="array" ref="H271">LET(percentage,XLOOKUP($E271,$K$2:$K$10,N$2:N$10,"",0)/(COUNTIFS($E:$E,$E271,$D:$D,RegularFormula!$D$2)+COUNTIFS($E:$E,$E271,$D:$D,IF($D271=RegularFormula!$D$2,$K$15,$D271))),IFERROR(IF(percentage,percentage,""),""))
</f>
        <v>0.002222222222</v>
      </c>
      <c r="I271" s="72" t="str">
        <f t="shared" si="1"/>
        <v/>
      </c>
      <c r="J271" s="73">
        <v>0.0</v>
      </c>
      <c r="K271" s="194"/>
      <c r="L271" s="55"/>
      <c r="M271" s="100" t="s">
        <v>405</v>
      </c>
      <c r="N271" s="207">
        <f>COUNTIFS(E2:E287, "♢♢♢♢", D2:D287, "Mewtwo")</f>
        <v>5</v>
      </c>
      <c r="O271" s="197"/>
      <c r="P271" s="103"/>
      <c r="Q271" s="103"/>
      <c r="R271" s="103"/>
      <c r="S271" s="79" t="str">
        <f t="shared" si="2"/>
        <v/>
      </c>
      <c r="T271" s="80" t="str">
        <f>IFERROR(__xludf.DUMMYFUNCTION("IF(
  Q271="""",
  """",
  IF(
   REGEXMATCH(SUBSTITUTE(Q271, "" ex"", """"), TEXTJOIN(""|"", TRUE, INDEX('language&amp;DataTest'!$A$33:$AB$182, , MATCH(HOME!$A$25, 'language&amp;DataTest'!$A$1:$G$1, 0)))),
   IF($M$26,
     IF(COUNTIFS(ARRAYFORMULA(SUBSTITUTE($C"&amp;"$2:$C287, "" ex"", """")), SUBSTITUTE(Q271, "" ex"", """"), $J$2:$J287, ""&gt;0"")=0, ""Yes"", ""No""),
     IF(COUNTIFS(ARRAYFORMULA(SUBSTITUTE($C$2:$C287, "" ex"", """")), SUBSTITUTE(Q271, "" ex"", """"), $A$2:$A287, TRUE)=0, ""Yes"", ""No"")
   ),
   ""No"&amp;"""
 )
)"),"")</f>
        <v/>
      </c>
    </row>
    <row r="272">
      <c r="A272" s="68" t="b">
        <v>0</v>
      </c>
      <c r="B272" s="69" t="s">
        <v>406</v>
      </c>
      <c r="C272" s="69" t="str">
        <f t="array" ref="C272">TEXTJOIN("", TRUE, IFERROR(INDEX('language&amp;DataTest'!A:J, MATCH(INDEX( PointerTest!C:C, MATCH(B272, PointerTest!A:A, 0), 0), 'language&amp;DataTest'!A:A, 0), MATCH(HOME!$A$25, 'language&amp;DataTest'!$A$1:$H$1, 0))),                      IFERROR(INDEX('language&amp;DataTest'!A:J, MATCH(INDEX( PointerTest!D:D, MATCH(B272, PointerTest!A:A, 0), 0), 'language&amp;DataTest'!A:A, 0), MATCH(HOME!$A$25, 'language&amp;DataTest'!$A$1:$H$1, 0))),                                          
IFERROR(INDEX('language&amp;DataTest'!A:J, MATCH(INDEX( PointerTest!E:E, MATCH(B272, PointerTest!A:A, 0), 0), 'language&amp;DataTest'!A:A, 0), MATCH(HOME!$A$25, 'language&amp;DataTest'!$A$1:$H$1, 0))))</f>
        <v>Brock</v>
      </c>
      <c r="D272" s="69" t="str">
        <f t="array" ref="D272">INDEX('language&amp;DataTest'!A:J, MATCH(INDEX( PointerTest!D:D, MATCH(INDEX(PointerTest!B:B, MATCH(B272, PointerTest!A:A, 0)), PointerTest!A:A, 0), 0), 'language&amp;DataTest'!A:A, 0), MATCH(HOME!$A$25, 'language&amp;DataTest'!$A$1:$H$1, 0))</f>
        <v>Pikachu</v>
      </c>
      <c r="E272" s="69" t="str">
        <f t="array" ref="E272">INDEX( PointerTest!F:F, MATCH(B272, PointerTest!A:A, 0), 0)</f>
        <v>☆☆</v>
      </c>
      <c r="F272" s="70" t="str">
        <f t="array" ref="F272">LET(percentage,XLOOKUP($E272,$K$2:$K$10,L$2:L$10,"",0)/(COUNTIFS($E:$E,$E272,$D:$D,RegularFormula!$D$2)+COUNTIFS($E:$E,$E272,$D:$D,IF($D272=RegularFormula!$D$2,$K$15,$D272))),IFERROR(IF(percentage,percentage,""),""))
</f>
        <v/>
      </c>
      <c r="G272" s="71">
        <f t="array" ref="G272">LET(percentage,XLOOKUP($E272,$K$2:$K$10,M$2:M$10,"",0)/(COUNTIFS($E:$E,$E272,$D:$D,RegularFormula!$D$2)+COUNTIFS($E:$E,$E272,$D:$D,IF($D272=RegularFormula!$D$2,$K$15,$D272))),IFERROR(IF(percentage,percentage,""),""))
</f>
        <v>0.0005</v>
      </c>
      <c r="H272" s="71">
        <f t="array" ref="H272">LET(percentage,XLOOKUP($E272,$K$2:$K$10,N$2:N$10,"",0)/(COUNTIFS($E:$E,$E272,$D:$D,RegularFormula!$D$2)+COUNTIFS($E:$E,$E272,$D:$D,IF($D272=RegularFormula!$D$2,$K$15,$D272))),IFERROR(IF(percentage,percentage,""),""))
</f>
        <v>0.002</v>
      </c>
      <c r="I272" s="72" t="str">
        <f t="shared" si="1"/>
        <v/>
      </c>
      <c r="J272" s="73">
        <v>0.0</v>
      </c>
      <c r="K272" s="194"/>
      <c r="L272" s="55"/>
      <c r="M272" s="100" t="s">
        <v>407</v>
      </c>
      <c r="N272" s="207">
        <f>COUNTIFS(E2:E287, "♢♢♢♢", D2:D287, "Pikachu")</f>
        <v>5</v>
      </c>
      <c r="O272" s="197"/>
      <c r="P272" s="103"/>
      <c r="Q272" s="103"/>
      <c r="R272" s="103"/>
      <c r="S272" s="79" t="str">
        <f t="shared" si="2"/>
        <v/>
      </c>
      <c r="T272" s="80" t="str">
        <f>IFERROR(__xludf.DUMMYFUNCTION("IF(
  Q272="""",
  """",
  IF(
   REGEXMATCH(SUBSTITUTE(Q272, "" ex"", """"), TEXTJOIN(""|"", TRUE, INDEX('language&amp;DataTest'!$A$33:$AB$182, , MATCH(HOME!$A$25, 'language&amp;DataTest'!$A$1:$G$1, 0)))),
   IF($M$26,
     IF(COUNTIFS(ARRAYFORMULA(SUBSTITUTE($C"&amp;"$2:$C287, "" ex"", """")), SUBSTITUTE(Q272, "" ex"", """"), $J$2:$J287, ""&gt;0"")=0, ""Yes"", ""No""),
     IF(COUNTIFS(ARRAYFORMULA(SUBSTITUTE($C$2:$C287, "" ex"", """")), SUBSTITUTE(Q272, "" ex"", """"), $A$2:$A287, TRUE)=0, ""Yes"", ""No"")
   ),
   ""No"&amp;"""
 )
)"),"")</f>
        <v/>
      </c>
    </row>
    <row r="273">
      <c r="A273" s="68" t="b">
        <v>0</v>
      </c>
      <c r="B273" s="69" t="s">
        <v>408</v>
      </c>
      <c r="C273" s="69" t="str">
        <f t="array" ref="C273">TEXTJOIN("", TRUE, IFERROR(INDEX('language&amp;DataTest'!A:J, MATCH(INDEX( PointerTest!C:C, MATCH(B273, PointerTest!A:A, 0), 0), 'language&amp;DataTest'!A:A, 0), MATCH(HOME!$A$25, 'language&amp;DataTest'!$A$1:$H$1, 0))),                      IFERROR(INDEX('language&amp;DataTest'!A:J, MATCH(INDEX( PointerTest!D:D, MATCH(B273, PointerTest!A:A, 0), 0), 'language&amp;DataTest'!A:A, 0), MATCH(HOME!$A$25, 'language&amp;DataTest'!$A$1:$H$1, 0))),                                          
IFERROR(INDEX('language&amp;DataTest'!A:J, MATCH(INDEX( PointerTest!E:E, MATCH(B273, PointerTest!A:A, 0), 0), 'language&amp;DataTest'!A:A, 0), MATCH(HOME!$A$25, 'language&amp;DataTest'!$A$1:$H$1, 0))))</f>
        <v>Sabrina</v>
      </c>
      <c r="D273" s="69" t="str">
        <f t="array" ref="D273">INDEX('language&amp;DataTest'!A:J, MATCH(INDEX( PointerTest!D:D, MATCH(INDEX(PointerTest!B:B, MATCH(B273, PointerTest!A:A, 0)), PointerTest!A:A, 0), 0), 'language&amp;DataTest'!A:A, 0), MATCH(HOME!$A$25, 'language&amp;DataTest'!$A$1:$H$1, 0))</f>
        <v>Charizard</v>
      </c>
      <c r="E273" s="69" t="str">
        <f t="array" ref="E273">INDEX( PointerTest!F:F, MATCH(B273, PointerTest!A:A, 0), 0)</f>
        <v>☆☆</v>
      </c>
      <c r="F273" s="70" t="str">
        <f t="array" ref="F273">LET(percentage,XLOOKUP($E273,$K$2:$K$10,L$2:L$10,"",0)/(COUNTIFS($E:$E,$E273,$D:$D,RegularFormula!$D$2)+COUNTIFS($E:$E,$E273,$D:$D,IF($D273=RegularFormula!$D$2,$K$15,$D273))),IFERROR(IF(percentage,percentage,""),""))
</f>
        <v/>
      </c>
      <c r="G273" s="71">
        <f t="array" ref="G273">LET(percentage,XLOOKUP($E273,$K$2:$K$10,M$2:M$10,"",0)/(COUNTIFS($E:$E,$E273,$D:$D,RegularFormula!$D$2)+COUNTIFS($E:$E,$E273,$D:$D,IF($D273=RegularFormula!$D$2,$K$15,$D273))),IFERROR(IF(percentage,percentage,""),""))
</f>
        <v>0.0005</v>
      </c>
      <c r="H273" s="71">
        <f t="array" ref="H273">LET(percentage,XLOOKUP($E273,$K$2:$K$10,N$2:N$10,"",0)/(COUNTIFS($E:$E,$E273,$D:$D,RegularFormula!$D$2)+COUNTIFS($E:$E,$E273,$D:$D,IF($D273=RegularFormula!$D$2,$K$15,$D273))),IFERROR(IF(percentage,percentage,""),""))
</f>
        <v>0.002</v>
      </c>
      <c r="I273" s="72" t="str">
        <f t="shared" si="1"/>
        <v/>
      </c>
      <c r="J273" s="73">
        <v>0.0</v>
      </c>
      <c r="K273" s="194"/>
      <c r="L273" s="55"/>
      <c r="M273" s="100" t="s">
        <v>409</v>
      </c>
      <c r="N273" s="207">
        <f>COUNTIFS(E2:E287, "♢♢♢♢", D2:D287, "Charizard")</f>
        <v>5</v>
      </c>
      <c r="O273" s="197"/>
      <c r="P273" s="103"/>
      <c r="Q273" s="103"/>
      <c r="R273" s="103"/>
      <c r="S273" s="79" t="str">
        <f t="shared" si="2"/>
        <v/>
      </c>
      <c r="T273" s="80" t="str">
        <f>IFERROR(__xludf.DUMMYFUNCTION("IF(
  Q273="""",
  """",
  IF(
   REGEXMATCH(SUBSTITUTE(Q273, "" ex"", """"), TEXTJOIN(""|"", TRUE, INDEX('language&amp;DataTest'!$A$33:$AB$182, , MATCH(HOME!$A$25, 'language&amp;DataTest'!$A$1:$G$1, 0)))),
   IF($M$26,
     IF(COUNTIFS(ARRAYFORMULA(SUBSTITUTE($C"&amp;"$2:$C287, "" ex"", """")), SUBSTITUTE(Q273, "" ex"", """"), $J$2:$J287, ""&gt;0"")=0, ""Yes"", ""No""),
     IF(COUNTIFS(ARRAYFORMULA(SUBSTITUTE($C$2:$C287, "" ex"", """")), SUBSTITUTE(Q273, "" ex"", """"), $A$2:$A287, TRUE)=0, ""Yes"", ""No"")
   ),
   ""No"&amp;"""
 )
)"),"")</f>
        <v/>
      </c>
    </row>
    <row r="274">
      <c r="A274" s="68" t="b">
        <v>0</v>
      </c>
      <c r="B274" s="69" t="s">
        <v>410</v>
      </c>
      <c r="C274" s="69" t="str">
        <f t="array" ref="C274">TEXTJOIN("", TRUE, IFERROR(INDEX('language&amp;DataTest'!A:J, MATCH(INDEX( PointerTest!C:C, MATCH(B274, PointerTest!A:A, 0), 0), 'language&amp;DataTest'!A:A, 0), MATCH(HOME!$A$25, 'language&amp;DataTest'!$A$1:$H$1, 0))),                      IFERROR(INDEX('language&amp;DataTest'!A:J, MATCH(INDEX( PointerTest!D:D, MATCH(B274, PointerTest!A:A, 0), 0), 'language&amp;DataTest'!A:A, 0), MATCH(HOME!$A$25, 'language&amp;DataTest'!$A$1:$H$1, 0))),                                          
IFERROR(INDEX('language&amp;DataTest'!A:J, MATCH(INDEX( PointerTest!E:E, MATCH(B274, PointerTest!A:A, 0), 0), 'language&amp;DataTest'!A:A, 0), MATCH(HOME!$A$25, 'language&amp;DataTest'!$A$1:$H$1, 0))))</f>
        <v>Lt. Surge</v>
      </c>
      <c r="D274" s="69" t="str">
        <f t="array" ref="D274">INDEX('language&amp;DataTest'!A:J, MATCH(INDEX( PointerTest!D:D, MATCH(INDEX(PointerTest!B:B, MATCH(B274, PointerTest!A:A, 0)), PointerTest!A:A, 0), 0), 'language&amp;DataTest'!A:A, 0), MATCH(HOME!$A$25, 'language&amp;DataTest'!$A$1:$H$1, 0))</f>
        <v>Pikachu</v>
      </c>
      <c r="E274" s="69" t="str">
        <f t="array" ref="E274">INDEX( PointerTest!F:F, MATCH(B274, PointerTest!A:A, 0), 0)</f>
        <v>☆☆</v>
      </c>
      <c r="F274" s="70" t="str">
        <f t="array" ref="F274">LET(percentage,XLOOKUP($E274,$K$2:$K$10,L$2:L$10,"",0)/(COUNTIFS($E:$E,$E274,$D:$D,RegularFormula!$D$2)+COUNTIFS($E:$E,$E274,$D:$D,IF($D274=RegularFormula!$D$2,$K$15,$D274))),IFERROR(IF(percentage,percentage,""),""))
</f>
        <v/>
      </c>
      <c r="G274" s="71">
        <f t="array" ref="G274">LET(percentage,XLOOKUP($E274,$K$2:$K$10,M$2:M$10,"",0)/(COUNTIFS($E:$E,$E274,$D:$D,RegularFormula!$D$2)+COUNTIFS($E:$E,$E274,$D:$D,IF($D274=RegularFormula!$D$2,$K$15,$D274))),IFERROR(IF(percentage,percentage,""),""))
</f>
        <v>0.0005</v>
      </c>
      <c r="H274" s="71">
        <f t="array" ref="H274">LET(percentage,XLOOKUP($E274,$K$2:$K$10,N$2:N$10,"",0)/(COUNTIFS($E:$E,$E274,$D:$D,RegularFormula!$D$2)+COUNTIFS($E:$E,$E274,$D:$D,IF($D274=RegularFormula!$D$2,$K$15,$D274))),IFERROR(IF(percentage,percentage,""),""))
</f>
        <v>0.002</v>
      </c>
      <c r="I274" s="72" t="str">
        <f t="shared" si="1"/>
        <v/>
      </c>
      <c r="J274" s="73">
        <v>0.0</v>
      </c>
      <c r="K274" s="194"/>
      <c r="L274" s="55"/>
      <c r="M274" s="100" t="s">
        <v>411</v>
      </c>
      <c r="N274" s="207">
        <f>COUNTIFS(E2:E287, "♢♢♢♢", D2:D287, "All")</f>
        <v>0</v>
      </c>
      <c r="O274" s="197"/>
      <c r="P274" s="103"/>
      <c r="Q274" s="103"/>
      <c r="R274" s="103"/>
      <c r="S274" s="79" t="str">
        <f t="shared" si="2"/>
        <v/>
      </c>
      <c r="T274" s="80" t="str">
        <f>IFERROR(__xludf.DUMMYFUNCTION("IF(
  Q274="""",
  """",
  IF(
   REGEXMATCH(SUBSTITUTE(Q274, "" ex"", """"), TEXTJOIN(""|"", TRUE, INDEX('language&amp;DataTest'!$A$33:$AB$182, , MATCH(HOME!$A$25, 'language&amp;DataTest'!$A$1:$G$1, 0)))),
   IF($M$26,
     IF(COUNTIFS(ARRAYFORMULA(SUBSTITUTE($C"&amp;"$2:$C287, "" ex"", """")), SUBSTITUTE(Q274, "" ex"", """"), $J$2:$J287, ""&gt;0"")=0, ""Yes"", ""No""),
     IF(COUNTIFS(ARRAYFORMULA(SUBSTITUTE($C$2:$C287, "" ex"", """")), SUBSTITUTE(Q274, "" ex"", """"), $A$2:$A287, TRUE)=0, ""Yes"", ""No"")
   ),
   ""No"&amp;"""
 )
)"),"")</f>
        <v/>
      </c>
    </row>
    <row r="275">
      <c r="A275" s="68" t="b">
        <v>1</v>
      </c>
      <c r="B275" s="69" t="s">
        <v>412</v>
      </c>
      <c r="C275" s="69" t="str">
        <f t="array" ref="C275">TEXTJOIN("", TRUE, IFERROR(INDEX('language&amp;DataTest'!A:J, MATCH(INDEX( PointerTest!C:C, MATCH(B275, PointerTest!A:A, 0), 0), 'language&amp;DataTest'!A:A, 0), MATCH(HOME!$A$25, 'language&amp;DataTest'!$A$1:$H$1, 0))),                      IFERROR(INDEX('language&amp;DataTest'!A:J, MATCH(INDEX( PointerTest!D:D, MATCH(B275, PointerTest!A:A, 0), 0), 'language&amp;DataTest'!A:A, 0), MATCH(HOME!$A$25, 'language&amp;DataTest'!$A$1:$H$1, 0))),                                          
IFERROR(INDEX('language&amp;DataTest'!A:J, MATCH(INDEX( PointerTest!E:E, MATCH(B275, PointerTest!A:A, 0), 0), 'language&amp;DataTest'!A:A, 0), MATCH(HOME!$A$25, 'language&amp;DataTest'!$A$1:$H$1, 0))))</f>
        <v>Moltres ex</v>
      </c>
      <c r="D275" s="69" t="str">
        <f t="array" ref="D275">INDEX('language&amp;DataTest'!A:J, MATCH(INDEX( PointerTest!D:D, MATCH(INDEX(PointerTest!B:B, MATCH(B275, PointerTest!A:A, 0)), PointerTest!A:A, 0), 0), 'language&amp;DataTest'!A:A, 0), MATCH(HOME!$A$25, 'language&amp;DataTest'!$A$1:$H$1, 0))</f>
        <v>Charizard</v>
      </c>
      <c r="E275" s="69" t="str">
        <f t="array" ref="E275">INDEX( PointerTest!F:F, MATCH(B275, PointerTest!A:A, 0), 0)</f>
        <v>☆☆</v>
      </c>
      <c r="F275" s="70" t="str">
        <f t="array" ref="F275">LET(percentage,XLOOKUP($E275,$K$2:$K$10,L$2:L$10,"",0)/(COUNTIFS($E:$E,$E275,$D:$D,RegularFormula!$D$2)+COUNTIFS($E:$E,$E275,$D:$D,IF($D275=RegularFormula!$D$2,$K$15,$D275))),IFERROR(IF(percentage,percentage,""),""))
</f>
        <v/>
      </c>
      <c r="G275" s="71">
        <f t="array" ref="G275">LET(percentage,XLOOKUP($E275,$K$2:$K$10,M$2:M$10,"",0)/(COUNTIFS($E:$E,$E275,$D:$D,RegularFormula!$D$2)+COUNTIFS($E:$E,$E275,$D:$D,IF($D275=RegularFormula!$D$2,$K$15,$D275))),IFERROR(IF(percentage,percentage,""),""))
</f>
        <v>0.0005</v>
      </c>
      <c r="H275" s="71">
        <f t="array" ref="H275">LET(percentage,XLOOKUP($E275,$K$2:$K$10,N$2:N$10,"",0)/(COUNTIFS($E:$E,$E275,$D:$D,RegularFormula!$D$2)+COUNTIFS($E:$E,$E275,$D:$D,IF($D275=RegularFormula!$D$2,$K$15,$D275))),IFERROR(IF(percentage,percentage,""),""))
</f>
        <v>0.002</v>
      </c>
      <c r="I275" s="72" t="str">
        <f t="shared" si="1"/>
        <v/>
      </c>
      <c r="J275" s="73">
        <v>0.0</v>
      </c>
      <c r="K275" s="194"/>
      <c r="L275" s="55"/>
      <c r="M275" s="100" t="s">
        <v>413</v>
      </c>
      <c r="N275" s="207">
        <f>COUNTIFS(E2:E287, "☆", D2:D287, "Mewtwo")</f>
        <v>8</v>
      </c>
      <c r="O275" s="197"/>
      <c r="P275" s="103"/>
      <c r="Q275" s="103"/>
      <c r="R275" s="103"/>
      <c r="S275" s="79" t="str">
        <f t="shared" si="2"/>
        <v/>
      </c>
      <c r="T275" s="80" t="str">
        <f>IFERROR(__xludf.DUMMYFUNCTION("IF(
  Q275="""",
  """",
  IF(
   REGEXMATCH(SUBSTITUTE(Q275, "" ex"", """"), TEXTJOIN(""|"", TRUE, INDEX('language&amp;DataTest'!$A$33:$AB$182, , MATCH(HOME!$A$25, 'language&amp;DataTest'!$A$1:$G$1, 0)))),
   IF($M$26,
     IF(COUNTIFS(ARRAYFORMULA(SUBSTITUTE($C"&amp;"$2:$C287, "" ex"", """")), SUBSTITUTE(Q275, "" ex"", """"), $J$2:$J287, ""&gt;0"")=0, ""Yes"", ""No""),
     IF(COUNTIFS(ARRAYFORMULA(SUBSTITUTE($C$2:$C287, "" ex"", """")), SUBSTITUTE(Q275, "" ex"", """"), $A$2:$A287, TRUE)=0, ""Yes"", ""No"")
   ),
   ""No"&amp;"""
 )
)"),"")</f>
        <v/>
      </c>
    </row>
    <row r="276">
      <c r="A276" s="68" t="b">
        <v>0</v>
      </c>
      <c r="B276" s="69" t="s">
        <v>414</v>
      </c>
      <c r="C276" s="69" t="str">
        <f t="array" ref="C276">TEXTJOIN("", TRUE, IFERROR(INDEX('language&amp;DataTest'!A:J, MATCH(INDEX( PointerTest!C:C, MATCH(B276, PointerTest!A:A, 0), 0), 'language&amp;DataTest'!A:A, 0), MATCH(HOME!$A$25, 'language&amp;DataTest'!$A$1:$H$1, 0))),                      IFERROR(INDEX('language&amp;DataTest'!A:J, MATCH(INDEX( PointerTest!D:D, MATCH(B276, PointerTest!A:A, 0), 0), 'language&amp;DataTest'!A:A, 0), MATCH(HOME!$A$25, 'language&amp;DataTest'!$A$1:$H$1, 0))),                                          
IFERROR(INDEX('language&amp;DataTest'!A:J, MATCH(INDEX( PointerTest!E:E, MATCH(B276, PointerTest!A:A, 0), 0), 'language&amp;DataTest'!A:A, 0), MATCH(HOME!$A$25, 'language&amp;DataTest'!$A$1:$H$1, 0))))</f>
        <v>Articuno ex</v>
      </c>
      <c r="D276" s="69" t="str">
        <f t="array" ref="D276">INDEX('language&amp;DataTest'!A:J, MATCH(INDEX( PointerTest!D:D, MATCH(INDEX(PointerTest!B:B, MATCH(B276, PointerTest!A:A, 0)), PointerTest!A:A, 0), 0), 'language&amp;DataTest'!A:A, 0), MATCH(HOME!$A$25, 'language&amp;DataTest'!$A$1:$H$1, 0))</f>
        <v>Mewtwo</v>
      </c>
      <c r="E276" s="69" t="str">
        <f t="array" ref="E276">INDEX( PointerTest!F:F, MATCH(B276, PointerTest!A:A, 0), 0)</f>
        <v>☆☆</v>
      </c>
      <c r="F276" s="70" t="str">
        <f t="array" ref="F276">LET(percentage,XLOOKUP($E276,$K$2:$K$10,L$2:L$10,"",0)/(COUNTIFS($E:$E,$E276,$D:$D,RegularFormula!$D$2)+COUNTIFS($E:$E,$E276,$D:$D,IF($D276=RegularFormula!$D$2,$K$15,$D276))),IFERROR(IF(percentage,percentage,""),""))
</f>
        <v/>
      </c>
      <c r="G276" s="71">
        <f t="array" ref="G276">LET(percentage,XLOOKUP($E276,$K$2:$K$10,M$2:M$10,"",0)/(COUNTIFS($E:$E,$E276,$D:$D,RegularFormula!$D$2)+COUNTIFS($E:$E,$E276,$D:$D,IF($D276=RegularFormula!$D$2,$K$15,$D276))),IFERROR(IF(percentage,percentage,""),""))
</f>
        <v>0.0005555555556</v>
      </c>
      <c r="H276" s="71">
        <f t="array" ref="H276">LET(percentage,XLOOKUP($E276,$K$2:$K$10,N$2:N$10,"",0)/(COUNTIFS($E:$E,$E276,$D:$D,RegularFormula!$D$2)+COUNTIFS($E:$E,$E276,$D:$D,IF($D276=RegularFormula!$D$2,$K$15,$D276))),IFERROR(IF(percentage,percentage,""),""))
</f>
        <v>0.002222222222</v>
      </c>
      <c r="I276" s="72" t="str">
        <f t="shared" si="1"/>
        <v/>
      </c>
      <c r="J276" s="73">
        <v>0.0</v>
      </c>
      <c r="K276" s="194"/>
      <c r="L276" s="55"/>
      <c r="M276" s="100" t="s">
        <v>415</v>
      </c>
      <c r="N276" s="207">
        <f>COUNTIFS(E2:E287, "☆", D2:D287, "Pikachu")</f>
        <v>8</v>
      </c>
      <c r="O276" s="197"/>
      <c r="P276" s="103"/>
      <c r="Q276" s="103"/>
      <c r="R276" s="103"/>
      <c r="S276" s="79" t="str">
        <f t="shared" si="2"/>
        <v/>
      </c>
      <c r="T276" s="80" t="str">
        <f>IFERROR(__xludf.DUMMYFUNCTION("IF(
  Q276="""",
  """",
  IF(
   REGEXMATCH(SUBSTITUTE(Q276, "" ex"", """"), TEXTJOIN(""|"", TRUE, INDEX('language&amp;DataTest'!$A$33:$AB$182, , MATCH(HOME!$A$25, 'language&amp;DataTest'!$A$1:$G$1, 0)))),
   IF($M$26,
     IF(COUNTIFS(ARRAYFORMULA(SUBSTITUTE($C"&amp;"$2:$C287, "" ex"", """")), SUBSTITUTE(Q276, "" ex"", """"), $J$2:$J287, ""&gt;0"")=0, ""Yes"", ""No""),
     IF(COUNTIFS(ARRAYFORMULA(SUBSTITUTE($C$2:$C287, "" ex"", """")), SUBSTITUTE(Q276, "" ex"", """"), $A$2:$A287, TRUE)=0, ""Yes"", ""No"")
   ),
   ""No"&amp;"""
 )
)"),"")</f>
        <v/>
      </c>
    </row>
    <row r="277">
      <c r="A277" s="68" t="b">
        <v>0</v>
      </c>
      <c r="B277" s="69" t="s">
        <v>416</v>
      </c>
      <c r="C277" s="69" t="str">
        <f t="array" ref="C277">TEXTJOIN("", TRUE, IFERROR(INDEX('language&amp;DataTest'!A:J, MATCH(INDEX( PointerTest!C:C, MATCH(B277, PointerTest!A:A, 0), 0), 'language&amp;DataTest'!A:A, 0), MATCH(HOME!$A$25, 'language&amp;DataTest'!$A$1:$H$1, 0))),                      IFERROR(INDEX('language&amp;DataTest'!A:J, MATCH(INDEX( PointerTest!D:D, MATCH(B277, PointerTest!A:A, 0), 0), 'language&amp;DataTest'!A:A, 0), MATCH(HOME!$A$25, 'language&amp;DataTest'!$A$1:$H$1, 0))),                                          
IFERROR(INDEX('language&amp;DataTest'!A:J, MATCH(INDEX( PointerTest!E:E, MATCH(B277, PointerTest!A:A, 0), 0), 'language&amp;DataTest'!A:A, 0), MATCH(HOME!$A$25, 'language&amp;DataTest'!$A$1:$H$1, 0))))</f>
        <v>Zapdos ex</v>
      </c>
      <c r="D277" s="69" t="str">
        <f t="array" ref="D277">INDEX('language&amp;DataTest'!A:J, MATCH(INDEX( PointerTest!D:D, MATCH(INDEX(PointerTest!B:B, MATCH(B277, PointerTest!A:A, 0)), PointerTest!A:A, 0), 0), 'language&amp;DataTest'!A:A, 0), MATCH(HOME!$A$25, 'language&amp;DataTest'!$A$1:$H$1, 0))</f>
        <v>Pikachu</v>
      </c>
      <c r="E277" s="69" t="str">
        <f t="array" ref="E277">INDEX( PointerTest!F:F, MATCH(B277, PointerTest!A:A, 0), 0)</f>
        <v>☆☆</v>
      </c>
      <c r="F277" s="70" t="str">
        <f t="array" ref="F277">LET(percentage,XLOOKUP($E277,$K$2:$K$10,L$2:L$10,"",0)/(COUNTIFS($E:$E,$E277,$D:$D,RegularFormula!$D$2)+COUNTIFS($E:$E,$E277,$D:$D,IF($D277=RegularFormula!$D$2,$K$15,$D277))),IFERROR(IF(percentage,percentage,""),""))
</f>
        <v/>
      </c>
      <c r="G277" s="71">
        <f t="array" ref="G277">LET(percentage,XLOOKUP($E277,$K$2:$K$10,M$2:M$10,"",0)/(COUNTIFS($E:$E,$E277,$D:$D,RegularFormula!$D$2)+COUNTIFS($E:$E,$E277,$D:$D,IF($D277=RegularFormula!$D$2,$K$15,$D277))),IFERROR(IF(percentage,percentage,""),""))
</f>
        <v>0.0005</v>
      </c>
      <c r="H277" s="71">
        <f t="array" ref="H277">LET(percentage,XLOOKUP($E277,$K$2:$K$10,N$2:N$10,"",0)/(COUNTIFS($E:$E,$E277,$D:$D,RegularFormula!$D$2)+COUNTIFS($E:$E,$E277,$D:$D,IF($D277=RegularFormula!$D$2,$K$15,$D277))),IFERROR(IF(percentage,percentage,""),""))
</f>
        <v>0.002</v>
      </c>
      <c r="I277" s="72" t="str">
        <f t="shared" si="1"/>
        <v/>
      </c>
      <c r="J277" s="73">
        <v>0.0</v>
      </c>
      <c r="K277" s="194"/>
      <c r="L277" s="55"/>
      <c r="M277" s="100" t="s">
        <v>417</v>
      </c>
      <c r="N277" s="207">
        <f>COUNTIFS(E2:E287, "☆", D2:D287, "Charizard")</f>
        <v>8</v>
      </c>
      <c r="O277" s="197"/>
      <c r="P277" s="103"/>
      <c r="Q277" s="103"/>
      <c r="R277" s="103"/>
      <c r="S277" s="79" t="str">
        <f t="shared" si="2"/>
        <v/>
      </c>
      <c r="T277" s="80" t="str">
        <f>IFERROR(__xludf.DUMMYFUNCTION("IF(
  Q277="""",
  """",
  IF(
   REGEXMATCH(SUBSTITUTE(Q277, "" ex"", """"), TEXTJOIN(""|"", TRUE, INDEX('language&amp;DataTest'!$A$33:$AB$182, , MATCH(HOME!$A$25, 'language&amp;DataTest'!$A$1:$G$1, 0)))),
   IF($M$26,
     IF(COUNTIFS(ARRAYFORMULA(SUBSTITUTE($C"&amp;"$2:$C287, "" ex"", """")), SUBSTITUTE(Q277, "" ex"", """"), $J$2:$J287, ""&gt;0"")=0, ""Yes"", ""No""),
     IF(COUNTIFS(ARRAYFORMULA(SUBSTITUTE($C$2:$C287, "" ex"", """")), SUBSTITUTE(Q277, "" ex"", """"), $A$2:$A287, TRUE)=0, ""Yes"", ""No"")
   ),
   ""No"&amp;"""
 )
)"),"")</f>
        <v/>
      </c>
    </row>
    <row r="278">
      <c r="A278" s="68" t="b">
        <v>0</v>
      </c>
      <c r="B278" s="69" t="s">
        <v>418</v>
      </c>
      <c r="C278" s="69" t="str">
        <f t="array" ref="C278">TEXTJOIN("", TRUE, IFERROR(INDEX('language&amp;DataTest'!A:J, MATCH(INDEX( PointerTest!C:C, MATCH(B278, PointerTest!A:A, 0), 0), 'language&amp;DataTest'!A:A, 0), MATCH(HOME!$A$25, 'language&amp;DataTest'!$A$1:$H$1, 0))),                      IFERROR(INDEX('language&amp;DataTest'!A:J, MATCH(INDEX( PointerTest!D:D, MATCH(B278, PointerTest!A:A, 0), 0), 'language&amp;DataTest'!A:A, 0), MATCH(HOME!$A$25, 'language&amp;DataTest'!$A$1:$H$1, 0))),                                          
IFERROR(INDEX('language&amp;DataTest'!A:J, MATCH(INDEX( PointerTest!E:E, MATCH(B278, PointerTest!A:A, 0), 0), 'language&amp;DataTest'!A:A, 0), MATCH(HOME!$A$25, 'language&amp;DataTest'!$A$1:$H$1, 0))))</f>
        <v>Gengar ex</v>
      </c>
      <c r="D278" s="69" t="str">
        <f t="array" ref="D278">INDEX('language&amp;DataTest'!A:J, MATCH(INDEX( PointerTest!D:D, MATCH(INDEX(PointerTest!B:B, MATCH(B278, PointerTest!A:A, 0)), PointerTest!A:A, 0), 0), 'language&amp;DataTest'!A:A, 0), MATCH(HOME!$A$25, 'language&amp;DataTest'!$A$1:$H$1, 0))</f>
        <v>Mewtwo</v>
      </c>
      <c r="E278" s="69" t="str">
        <f t="array" ref="E278">INDEX( PointerTest!F:F, MATCH(B278, PointerTest!A:A, 0), 0)</f>
        <v>☆☆</v>
      </c>
      <c r="F278" s="70" t="str">
        <f t="array" ref="F278">LET(percentage,XLOOKUP($E278,$K$2:$K$10,L$2:L$10,"",0)/(COUNTIFS($E:$E,$E278,$D:$D,RegularFormula!$D$2)+COUNTIFS($E:$E,$E278,$D:$D,IF($D278=RegularFormula!$D$2,$K$15,$D278))),IFERROR(IF(percentage,percentage,""),""))
</f>
        <v/>
      </c>
      <c r="G278" s="71">
        <f t="array" ref="G278">LET(percentage,XLOOKUP($E278,$K$2:$K$10,M$2:M$10,"",0)/(COUNTIFS($E:$E,$E278,$D:$D,RegularFormula!$D$2)+COUNTIFS($E:$E,$E278,$D:$D,IF($D278=RegularFormula!$D$2,$K$15,$D278))),IFERROR(IF(percentage,percentage,""),""))
</f>
        <v>0.0005555555556</v>
      </c>
      <c r="H278" s="71">
        <f t="array" ref="H278">LET(percentage,XLOOKUP($E278,$K$2:$K$10,N$2:N$10,"",0)/(COUNTIFS($E:$E,$E278,$D:$D,RegularFormula!$D$2)+COUNTIFS($E:$E,$E278,$D:$D,IF($D278=RegularFormula!$D$2,$K$15,$D278))),IFERROR(IF(percentage,percentage,""),""))
</f>
        <v>0.002222222222</v>
      </c>
      <c r="I278" s="72" t="str">
        <f t="shared" si="1"/>
        <v/>
      </c>
      <c r="J278" s="73">
        <v>0.0</v>
      </c>
      <c r="K278" s="206" t="s">
        <v>419</v>
      </c>
      <c r="L278" s="200"/>
      <c r="M278" s="100" t="s">
        <v>420</v>
      </c>
      <c r="N278" s="207">
        <f>COUNTIFS(E2:E287, "☆", D2:D287, "All")</f>
        <v>0</v>
      </c>
      <c r="O278" s="64" t="s">
        <v>421</v>
      </c>
      <c r="P278" s="103"/>
      <c r="Q278" s="103"/>
      <c r="R278" s="103"/>
      <c r="S278" s="79" t="str">
        <f t="shared" si="2"/>
        <v/>
      </c>
      <c r="T278" s="80" t="str">
        <f>IFERROR(__xludf.DUMMYFUNCTION("IF(
  Q278="""",
  """",
  IF(
   REGEXMATCH(SUBSTITUTE(Q278, "" ex"", """"), TEXTJOIN(""|"", TRUE, INDEX('language&amp;DataTest'!$A$33:$AB$182, , MATCH(HOME!$A$25, 'language&amp;DataTest'!$A$1:$G$1, 0)))),
   IF($M$26,
     IF(COUNTIFS(ARRAYFORMULA(SUBSTITUTE($C"&amp;"$2:$C287, "" ex"", """")), SUBSTITUTE(Q278, "" ex"", """"), $J$2:$J287, ""&gt;0"")=0, ""Yes"", ""No""),
     IF(COUNTIFS(ARRAYFORMULA(SUBSTITUTE($C$2:$C287, "" ex"", """")), SUBSTITUTE(Q278, "" ex"", """"), $A$2:$A287, TRUE)=0, ""Yes"", ""No"")
   ),
   ""No"&amp;"""
 )
)"),"")</f>
        <v/>
      </c>
    </row>
    <row r="279">
      <c r="A279" s="68" t="b">
        <v>1</v>
      </c>
      <c r="B279" s="69" t="s">
        <v>422</v>
      </c>
      <c r="C279" s="69" t="str">
        <f t="array" ref="C279">TEXTJOIN("", TRUE, IFERROR(INDEX('language&amp;DataTest'!A:J, MATCH(INDEX( PointerTest!C:C, MATCH(B279, PointerTest!A:A, 0), 0), 'language&amp;DataTest'!A:A, 0), MATCH(HOME!$A$25, 'language&amp;DataTest'!$A$1:$H$1, 0))),                      IFERROR(INDEX('language&amp;DataTest'!A:J, MATCH(INDEX( PointerTest!D:D, MATCH(B279, PointerTest!A:A, 0), 0), 'language&amp;DataTest'!A:A, 0), MATCH(HOME!$A$25, 'language&amp;DataTest'!$A$1:$H$1, 0))),                                          
IFERROR(INDEX('language&amp;DataTest'!A:J, MATCH(INDEX( PointerTest!E:E, MATCH(B279, PointerTest!A:A, 0), 0), 'language&amp;DataTest'!A:A, 0), MATCH(HOME!$A$25, 'language&amp;DataTest'!$A$1:$H$1, 0))))</f>
        <v>Machamp ex</v>
      </c>
      <c r="D279" s="69" t="str">
        <f t="array" ref="D279">INDEX('language&amp;DataTest'!A:J, MATCH(INDEX( PointerTest!D:D, MATCH(INDEX(PointerTest!B:B, MATCH(B279, PointerTest!A:A, 0)), PointerTest!A:A, 0), 0), 'language&amp;DataTest'!A:A, 0), MATCH(HOME!$A$25, 'language&amp;DataTest'!$A$1:$H$1, 0))</f>
        <v>Charizard</v>
      </c>
      <c r="E279" s="69" t="str">
        <f t="array" ref="E279">INDEX( PointerTest!F:F, MATCH(B279, PointerTest!A:A, 0), 0)</f>
        <v>☆☆</v>
      </c>
      <c r="F279" s="70" t="str">
        <f t="array" ref="F279">LET(percentage,XLOOKUP($E279,$K$2:$K$10,L$2:L$10,"",0)/(COUNTIFS($E:$E,$E279,$D:$D,RegularFormula!$D$2)+COUNTIFS($E:$E,$E279,$D:$D,IF($D279=RegularFormula!$D$2,$K$15,$D279))),IFERROR(IF(percentage,percentage,""),""))
</f>
        <v/>
      </c>
      <c r="G279" s="71">
        <f t="array" ref="G279">LET(percentage,XLOOKUP($E279,$K$2:$K$10,M$2:M$10,"",0)/(COUNTIFS($E:$E,$E279,$D:$D,RegularFormula!$D$2)+COUNTIFS($E:$E,$E279,$D:$D,IF($D279=RegularFormula!$D$2,$K$15,$D279))),IFERROR(IF(percentage,percentage,""),""))
</f>
        <v>0.0005</v>
      </c>
      <c r="H279" s="71">
        <f t="array" ref="H279">LET(percentage,XLOOKUP($E279,$K$2:$K$10,N$2:N$10,"",0)/(COUNTIFS($E:$E,$E279,$D:$D,RegularFormula!$D$2)+COUNTIFS($E:$E,$E279,$D:$D,IF($D279=RegularFormula!$D$2,$K$15,$D279))),IFERROR(IF(percentage,percentage,""),""))
</f>
        <v>0.002</v>
      </c>
      <c r="I279" s="72" t="str">
        <f t="shared" si="1"/>
        <v/>
      </c>
      <c r="J279" s="73">
        <v>0.0</v>
      </c>
      <c r="K279" s="100" t="s">
        <v>423</v>
      </c>
      <c r="L279" s="210">
        <f>SUMIFS(F2:F287, D2:D287, "Mewtwo") + SUMIFS(F2:F287, D2:D287, "All")</f>
        <v>1</v>
      </c>
      <c r="M279" s="100" t="s">
        <v>424</v>
      </c>
      <c r="N279" s="207">
        <f>COUNTIFS(E2:E287, "☆☆", D2:D287, "Mewtwo")</f>
        <v>9</v>
      </c>
      <c r="P279" s="103"/>
      <c r="Q279" s="103"/>
      <c r="R279" s="103"/>
      <c r="S279" s="79" t="str">
        <f t="shared" si="2"/>
        <v/>
      </c>
      <c r="T279" s="80" t="str">
        <f>IFERROR(__xludf.DUMMYFUNCTION("IF(
  Q279="""",
  """",
  IF(
   REGEXMATCH(SUBSTITUTE(Q279, "" ex"", """"), TEXTJOIN(""|"", TRUE, INDEX('language&amp;DataTest'!$A$33:$AB$182, , MATCH(HOME!$A$25, 'language&amp;DataTest'!$A$1:$G$1, 0)))),
   IF($M$26,
     IF(COUNTIFS(ARRAYFORMULA(SUBSTITUTE($C"&amp;"$2:$C287, "" ex"", """")), SUBSTITUTE(Q279, "" ex"", """"), $J$2:$J287, ""&gt;0"")=0, ""Yes"", ""No""),
     IF(COUNTIFS(ARRAYFORMULA(SUBSTITUTE($C$2:$C287, "" ex"", """")), SUBSTITUTE(Q279, "" ex"", """"), $A$2:$A287, TRUE)=0, ""Yes"", ""No"")
   ),
   ""No"&amp;"""
 )
)"),"")</f>
        <v/>
      </c>
    </row>
    <row r="280">
      <c r="A280" s="68" t="b">
        <v>0</v>
      </c>
      <c r="B280" s="69" t="s">
        <v>425</v>
      </c>
      <c r="C280" s="69" t="str">
        <f t="array" ref="C280">TEXTJOIN("", TRUE, IFERROR(INDEX('language&amp;DataTest'!A:J, MATCH(INDEX( PointerTest!C:C, MATCH(B280, PointerTest!A:A, 0), 0), 'language&amp;DataTest'!A:A, 0), MATCH(HOME!$A$25, 'language&amp;DataTest'!$A$1:$H$1, 0))),                      IFERROR(INDEX('language&amp;DataTest'!A:J, MATCH(INDEX( PointerTest!D:D, MATCH(B280, PointerTest!A:A, 0), 0), 'language&amp;DataTest'!A:A, 0), MATCH(HOME!$A$25, 'language&amp;DataTest'!$A$1:$H$1, 0))),                                          
IFERROR(INDEX('language&amp;DataTest'!A:J, MATCH(INDEX( PointerTest!E:E, MATCH(B280, PointerTest!A:A, 0), 0), 'language&amp;DataTest'!A:A, 0), MATCH(HOME!$A$25, 'language&amp;DataTest'!$A$1:$H$1, 0))))</f>
        <v>Wigglytuff ex</v>
      </c>
      <c r="D280" s="69" t="str">
        <f t="array" ref="D280">INDEX('language&amp;DataTest'!A:J, MATCH(INDEX( PointerTest!D:D, MATCH(INDEX(PointerTest!B:B, MATCH(B280, PointerTest!A:A, 0)), PointerTest!A:A, 0), 0), 'language&amp;DataTest'!A:A, 0), MATCH(HOME!$A$25, 'language&amp;DataTest'!$A$1:$H$1, 0))</f>
        <v>Pikachu</v>
      </c>
      <c r="E280" s="69" t="str">
        <f t="array" ref="E280">INDEX( PointerTest!F:F, MATCH(B280, PointerTest!A:A, 0), 0)</f>
        <v>☆☆</v>
      </c>
      <c r="F280" s="70" t="str">
        <f t="array" ref="F280">LET(percentage,XLOOKUP($E280,$K$2:$K$10,L$2:L$10,"",0)/(COUNTIFS($E:$E,$E280,$D:$D,RegularFormula!$D$2)+COUNTIFS($E:$E,$E280,$D:$D,IF($D280=RegularFormula!$D$2,$K$15,$D280))),IFERROR(IF(percentage,percentage,""),""))
</f>
        <v/>
      </c>
      <c r="G280" s="71">
        <f t="array" ref="G280">LET(percentage,XLOOKUP($E280,$K$2:$K$10,M$2:M$10,"",0)/(COUNTIFS($E:$E,$E280,$D:$D,RegularFormula!$D$2)+COUNTIFS($E:$E,$E280,$D:$D,IF($D280=RegularFormula!$D$2,$K$15,$D280))),IFERROR(IF(percentage,percentage,""),""))
</f>
        <v>0.0005</v>
      </c>
      <c r="H280" s="71">
        <f t="array" ref="H280">LET(percentage,XLOOKUP($E280,$K$2:$K$10,N$2:N$10,"",0)/(COUNTIFS($E:$E,$E280,$D:$D,RegularFormula!$D$2)+COUNTIFS($E:$E,$E280,$D:$D,IF($D280=RegularFormula!$D$2,$K$15,$D280))),IFERROR(IF(percentage,percentage,""),""))
</f>
        <v>0.002</v>
      </c>
      <c r="I280" s="72" t="str">
        <f t="shared" si="1"/>
        <v/>
      </c>
      <c r="J280" s="73">
        <v>0.0</v>
      </c>
      <c r="K280" s="100" t="s">
        <v>426</v>
      </c>
      <c r="L280" s="210">
        <f>SUMIFS(F2:F287, D2:D287, "Pikachu") + SUMIFS(F2:F287, D2:D287, "All")</f>
        <v>1</v>
      </c>
      <c r="M280" s="100" t="s">
        <v>427</v>
      </c>
      <c r="N280" s="207">
        <f>COUNTIFS(E2:E287, "☆☆", D2:D287, "Pikachu")</f>
        <v>10</v>
      </c>
      <c r="P280" s="103"/>
      <c r="Q280" s="103"/>
      <c r="R280" s="103"/>
      <c r="S280" s="79" t="str">
        <f t="shared" si="2"/>
        <v/>
      </c>
      <c r="T280" s="80" t="str">
        <f>IFERROR(__xludf.DUMMYFUNCTION("IF(
  Q280="""",
  """",
  IF(
   REGEXMATCH(SUBSTITUTE(Q280, "" ex"", """"), TEXTJOIN(""|"", TRUE, INDEX('language&amp;DataTest'!$A$33:$AB$182, , MATCH(HOME!$A$25, 'language&amp;DataTest'!$A$1:$G$1, 0)))),
   IF($M$26,
     IF(COUNTIFS(ARRAYFORMULA(SUBSTITUTE($C"&amp;"$2:$C287, "" ex"", """")), SUBSTITUTE(Q280, "" ex"", """"), $J$2:$J287, ""&gt;0"")=0, ""Yes"", ""No""),
     IF(COUNTIFS(ARRAYFORMULA(SUBSTITUTE($C$2:$C287, "" ex"", """")), SUBSTITUTE(Q280, "" ex"", """"), $A$2:$A287, TRUE)=0, ""Yes"", ""No"")
   ),
   ""No"&amp;"""
 )
)"),"")</f>
        <v/>
      </c>
    </row>
    <row r="281">
      <c r="A281" s="68" t="b">
        <v>1</v>
      </c>
      <c r="B281" s="69" t="s">
        <v>428</v>
      </c>
      <c r="C281" s="69" t="str">
        <f t="array" ref="C281">TEXTJOIN("", TRUE, IFERROR(INDEX('language&amp;DataTest'!A:J, MATCH(INDEX( PointerTest!C:C, MATCH(B281, PointerTest!A:A, 0), 0), 'language&amp;DataTest'!A:A, 0), MATCH(HOME!$A$25, 'language&amp;DataTest'!$A$1:$H$1, 0))),                      IFERROR(INDEX('language&amp;DataTest'!A:J, MATCH(INDEX( PointerTest!D:D, MATCH(B281, PointerTest!A:A, 0), 0), 'language&amp;DataTest'!A:A, 0), MATCH(HOME!$A$25, 'language&amp;DataTest'!$A$1:$H$1, 0))),                                          
IFERROR(INDEX('language&amp;DataTest'!A:J, MATCH(INDEX( PointerTest!E:E, MATCH(B281, PointerTest!A:A, 0), 0), 'language&amp;DataTest'!A:A, 0), MATCH(HOME!$A$25, 'language&amp;DataTest'!$A$1:$H$1, 0))))</f>
        <v>Charizard ex</v>
      </c>
      <c r="D281" s="69" t="str">
        <f t="array" ref="D281">INDEX('language&amp;DataTest'!A:J, MATCH(INDEX( PointerTest!D:D, MATCH(INDEX(PointerTest!B:B, MATCH(B281, PointerTest!A:A, 0)), PointerTest!A:A, 0), 0), 'language&amp;DataTest'!A:A, 0), MATCH(HOME!$A$25, 'language&amp;DataTest'!$A$1:$H$1, 0))</f>
        <v>Charizard</v>
      </c>
      <c r="E281" s="69" t="str">
        <f t="array" ref="E281">INDEX( PointerTest!F:F, MATCH(B281, PointerTest!A:A, 0), 0)</f>
        <v>☆☆☆</v>
      </c>
      <c r="F281" s="70" t="str">
        <f t="array" ref="F281">LET(percentage,XLOOKUP($E281,$K$2:$K$10,L$2:L$10,"",0)/(COUNTIFS($E:$E,$E281,$D:$D,RegularFormula!$D$2)+COUNTIFS($E:$E,$E281,$D:$D,IF($D281=RegularFormula!$D$2,$K$15,$D281))),IFERROR(IF(percentage,percentage,""),""))
</f>
        <v/>
      </c>
      <c r="G281" s="71">
        <f t="array" ref="G281">LET(percentage,XLOOKUP($E281,$K$2:$K$10,M$2:M$10,"",0)/(COUNTIFS($E:$E,$E281,$D:$D,RegularFormula!$D$2)+COUNTIFS($E:$E,$E281,$D:$D,IF($D281=RegularFormula!$D$2,$K$15,$D281))),IFERROR(IF(percentage,percentage,""),""))
</f>
        <v>0.00222</v>
      </c>
      <c r="H281" s="71">
        <f t="array" ref="H281">LET(percentage,XLOOKUP($E281,$K$2:$K$10,N$2:N$10,"",0)/(COUNTIFS($E:$E,$E281,$D:$D,RegularFormula!$D$2)+COUNTIFS($E:$E,$E281,$D:$D,IF($D281=RegularFormula!$D$2,$K$15,$D281))),IFERROR(IF(percentage,percentage,""),""))
</f>
        <v>0.00888</v>
      </c>
      <c r="I281" s="72" t="str">
        <f t="shared" si="1"/>
        <v/>
      </c>
      <c r="J281" s="73">
        <v>0.0</v>
      </c>
      <c r="K281" s="100" t="s">
        <v>429</v>
      </c>
      <c r="L281" s="210">
        <f>SUMIFS(F2:F287, D2:D287, "Charizard") + SUMIFS(F2:F287, D2:D287, "All")
</f>
        <v>1</v>
      </c>
      <c r="M281" s="100" t="s">
        <v>430</v>
      </c>
      <c r="N281" s="207">
        <f>COUNTIFS(E2:E287, "☆☆", D2:D287, "Charizard")</f>
        <v>10</v>
      </c>
      <c r="P281" s="103"/>
      <c r="Q281" s="103"/>
      <c r="R281" s="103"/>
      <c r="S281" s="79" t="str">
        <f t="shared" si="2"/>
        <v/>
      </c>
      <c r="T281" s="80" t="str">
        <f>IFERROR(__xludf.DUMMYFUNCTION("IF(
  Q281="""",
  """",
  IF(
   REGEXMATCH(SUBSTITUTE(Q281, "" ex"", """"), TEXTJOIN(""|"", TRUE, INDEX('language&amp;DataTest'!$A$33:$AB$182, , MATCH(HOME!$A$25, 'language&amp;DataTest'!$A$1:$G$1, 0)))),
   IF($M$26,
     IF(COUNTIFS(ARRAYFORMULA(SUBSTITUTE($C"&amp;"$2:$C287, "" ex"", """")), SUBSTITUTE(Q281, "" ex"", """"), $J$2:$J287, ""&gt;0"")=0, ""Yes"", ""No""),
     IF(COUNTIFS(ARRAYFORMULA(SUBSTITUTE($C$2:$C287, "" ex"", """")), SUBSTITUTE(Q281, "" ex"", """"), $A$2:$A287, TRUE)=0, ""Yes"", ""No"")
   ),
   ""No"&amp;"""
 )
)"),"")</f>
        <v/>
      </c>
    </row>
    <row r="282">
      <c r="A282" s="68" t="b">
        <v>1</v>
      </c>
      <c r="B282" s="69" t="s">
        <v>431</v>
      </c>
      <c r="C282" s="69" t="str">
        <f t="array" ref="C282">TEXTJOIN("", TRUE, IFERROR(INDEX('language&amp;DataTest'!A:J, MATCH(INDEX( PointerTest!C:C, MATCH(B282, PointerTest!A:A, 0), 0), 'language&amp;DataTest'!A:A, 0), MATCH(HOME!$A$25, 'language&amp;DataTest'!$A$1:$H$1, 0))),                      IFERROR(INDEX('language&amp;DataTest'!A:J, MATCH(INDEX( PointerTest!D:D, MATCH(B282, PointerTest!A:A, 0), 0), 'language&amp;DataTest'!A:A, 0), MATCH(HOME!$A$25, 'language&amp;DataTest'!$A$1:$H$1, 0))),                                          
IFERROR(INDEX('language&amp;DataTest'!A:J, MATCH(INDEX( PointerTest!E:E, MATCH(B282, PointerTest!A:A, 0), 0), 'language&amp;DataTest'!A:A, 0), MATCH(HOME!$A$25, 'language&amp;DataTest'!$A$1:$H$1, 0))))</f>
        <v>Pikachu ex</v>
      </c>
      <c r="D282" s="69" t="str">
        <f t="array" ref="D282">INDEX('language&amp;DataTest'!A:J, MATCH(INDEX( PointerTest!D:D, MATCH(INDEX(PointerTest!B:B, MATCH(B282, PointerTest!A:A, 0)), PointerTest!A:A, 0), 0), 'language&amp;DataTest'!A:A, 0), MATCH(HOME!$A$25, 'language&amp;DataTest'!$A$1:$H$1, 0))</f>
        <v>Pikachu</v>
      </c>
      <c r="E282" s="69" t="str">
        <f t="array" ref="E282">INDEX( PointerTest!F:F, MATCH(B282, PointerTest!A:A, 0), 0)</f>
        <v>☆☆☆</v>
      </c>
      <c r="F282" s="70" t="str">
        <f t="array" ref="F282">LET(percentage,XLOOKUP($E282,$K$2:$K$10,L$2:L$10,"",0)/(COUNTIFS($E:$E,$E282,$D:$D,RegularFormula!$D$2)+COUNTIFS($E:$E,$E282,$D:$D,IF($D282=RegularFormula!$D$2,$K$15,$D282))),IFERROR(IF(percentage,percentage,""),""))
</f>
        <v/>
      </c>
      <c r="G282" s="71">
        <f t="array" ref="G282">LET(percentage,XLOOKUP($E282,$K$2:$K$10,M$2:M$10,"",0)/(COUNTIFS($E:$E,$E282,$D:$D,RegularFormula!$D$2)+COUNTIFS($E:$E,$E282,$D:$D,IF($D282=RegularFormula!$D$2,$K$15,$D282))),IFERROR(IF(percentage,percentage,""),""))
</f>
        <v>0.00222</v>
      </c>
      <c r="H282" s="71">
        <f t="array" ref="H282">LET(percentage,XLOOKUP($E282,$K$2:$K$10,N$2:N$10,"",0)/(COUNTIFS($E:$E,$E282,$D:$D,RegularFormula!$D$2)+COUNTIFS($E:$E,$E282,$D:$D,IF($D282=RegularFormula!$D$2,$K$15,$D282))),IFERROR(IF(percentage,percentage,""),""))
</f>
        <v>0.00888</v>
      </c>
      <c r="I282" s="72" t="str">
        <f t="shared" si="1"/>
        <v/>
      </c>
      <c r="J282" s="73">
        <v>0.0</v>
      </c>
      <c r="K282" s="100" t="s">
        <v>432</v>
      </c>
      <c r="L282" s="210">
        <f>SUMIFS(G2:G287, D2:D287, "Mewtwo") + SUMIFS(G2:G287, D2:D287, "All")</f>
        <v>1</v>
      </c>
      <c r="M282" s="100" t="s">
        <v>433</v>
      </c>
      <c r="N282" s="207">
        <f>COUNTIFS(E2:E287, "☆☆", D2:D287, "All")</f>
        <v>0</v>
      </c>
      <c r="P282" s="103"/>
      <c r="Q282" s="103"/>
      <c r="R282" s="103"/>
      <c r="S282" s="79" t="str">
        <f t="shared" si="2"/>
        <v/>
      </c>
      <c r="T282" s="80" t="str">
        <f>IFERROR(__xludf.DUMMYFUNCTION("IF(
  Q282="""",
  """",
  IF(
   REGEXMATCH(SUBSTITUTE(Q282, "" ex"", """"), TEXTJOIN(""|"", TRUE, INDEX('language&amp;DataTest'!$A$33:$AB$182, , MATCH(HOME!$A$25, 'language&amp;DataTest'!$A$1:$G$1, 0)))),
   IF($M$26,
     IF(COUNTIFS(ARRAYFORMULA(SUBSTITUTE($C"&amp;"$2:$C287, "" ex"", """")), SUBSTITUTE(Q282, "" ex"", """"), $J$2:$J287, ""&gt;0"")=0, ""Yes"", ""No""),
     IF(COUNTIFS(ARRAYFORMULA(SUBSTITUTE($C$2:$C287, "" ex"", """")), SUBSTITUTE(Q282, "" ex"", """"), $A$2:$A287, TRUE)=0, ""Yes"", ""No"")
   ),
   ""No"&amp;"""
 )
)"),"")</f>
        <v/>
      </c>
    </row>
    <row r="283">
      <c r="A283" s="68" t="b">
        <v>1</v>
      </c>
      <c r="B283" s="69" t="s">
        <v>434</v>
      </c>
      <c r="C283" s="69" t="str">
        <f t="array" ref="C283">TEXTJOIN("", TRUE, IFERROR(INDEX('language&amp;DataTest'!A:J, MATCH(INDEX( PointerTest!C:C, MATCH(B283, PointerTest!A:A, 0), 0), 'language&amp;DataTest'!A:A, 0), MATCH(HOME!$A$25, 'language&amp;DataTest'!$A$1:$H$1, 0))),                      IFERROR(INDEX('language&amp;DataTest'!A:J, MATCH(INDEX( PointerTest!D:D, MATCH(B283, PointerTest!A:A, 0), 0), 'language&amp;DataTest'!A:A, 0), MATCH(HOME!$A$25, 'language&amp;DataTest'!$A$1:$H$1, 0))),                                          
IFERROR(INDEX('language&amp;DataTest'!A:J, MATCH(INDEX( PointerTest!E:E, MATCH(B283, PointerTest!A:A, 0), 0), 'language&amp;DataTest'!A:A, 0), MATCH(HOME!$A$25, 'language&amp;DataTest'!$A$1:$H$1, 0))))</f>
        <v>Mewtwo ex</v>
      </c>
      <c r="D283" s="69" t="str">
        <f t="array" ref="D283">INDEX('language&amp;DataTest'!A:J, MATCH(INDEX( PointerTest!D:D, MATCH(INDEX(PointerTest!B:B, MATCH(B283, PointerTest!A:A, 0)), PointerTest!A:A, 0), 0), 'language&amp;DataTest'!A:A, 0), MATCH(HOME!$A$25, 'language&amp;DataTest'!$A$1:$H$1, 0))</f>
        <v>Mewtwo</v>
      </c>
      <c r="E283" s="69" t="str">
        <f t="array" ref="E283">INDEX( PointerTest!F:F, MATCH(B283, PointerTest!A:A, 0), 0)</f>
        <v>☆☆☆</v>
      </c>
      <c r="F283" s="70" t="str">
        <f t="array" ref="F283">LET(percentage,XLOOKUP($E283,$K$2:$K$10,L$2:L$10,"",0)/(COUNTIFS($E:$E,$E283,$D:$D,RegularFormula!$D$2)+COUNTIFS($E:$E,$E283,$D:$D,IF($D283=RegularFormula!$D$2,$K$15,$D283))),IFERROR(IF(percentage,percentage,""),""))
</f>
        <v/>
      </c>
      <c r="G283" s="71">
        <f t="array" ref="G283">LET(percentage,XLOOKUP($E283,$K$2:$K$10,M$2:M$10,"",0)/(COUNTIFS($E:$E,$E283,$D:$D,RegularFormula!$D$2)+COUNTIFS($E:$E,$E283,$D:$D,IF($D283=RegularFormula!$D$2,$K$15,$D283))),IFERROR(IF(percentage,percentage,""),""))
</f>
        <v>0.00222</v>
      </c>
      <c r="H283" s="71">
        <f t="array" ref="H283">LET(percentage,XLOOKUP($E283,$K$2:$K$10,N$2:N$10,"",0)/(COUNTIFS($E:$E,$E283,$D:$D,RegularFormula!$D$2)+COUNTIFS($E:$E,$E283,$D:$D,IF($D283=RegularFormula!$D$2,$K$15,$D283))),IFERROR(IF(percentage,percentage,""),""))
</f>
        <v>0.00888</v>
      </c>
      <c r="I283" s="72" t="str">
        <f t="shared" si="1"/>
        <v/>
      </c>
      <c r="J283" s="73">
        <v>0.0</v>
      </c>
      <c r="K283" s="100" t="s">
        <v>435</v>
      </c>
      <c r="L283" s="210">
        <f>SUMIFS(G2:G287, D2:D287, "Pikachu") + SUMIFS(G2:G287, D2:D287, "All")</f>
        <v>1</v>
      </c>
      <c r="M283" s="100" t="s">
        <v>436</v>
      </c>
      <c r="N283" s="207">
        <f>COUNTIFS(E2:E287, "☆☆☆", D2:D287, "Mewtwo")</f>
        <v>1</v>
      </c>
      <c r="P283" s="103"/>
      <c r="Q283" s="103"/>
      <c r="R283" s="103"/>
      <c r="S283" s="79" t="str">
        <f t="shared" si="2"/>
        <v/>
      </c>
      <c r="T283" s="80" t="str">
        <f>IFERROR(__xludf.DUMMYFUNCTION("IF(
  Q283="""",
  """",
  IF(
   REGEXMATCH(SUBSTITUTE(Q283, "" ex"", """"), TEXTJOIN(""|"", TRUE, INDEX('language&amp;DataTest'!$A$33:$AB$182, , MATCH(HOME!$A$25, 'language&amp;DataTest'!$A$1:$G$1, 0)))),
   IF($M$26,
     IF(COUNTIFS(ARRAYFORMULA(SUBSTITUTE($C"&amp;"$2:$C287, "" ex"", """")), SUBSTITUTE(Q283, "" ex"", """"), $J$2:$J287, ""&gt;0"")=0, ""Yes"", ""No""),
     IF(COUNTIFS(ARRAYFORMULA(SUBSTITUTE($C$2:$C287, "" ex"", """")), SUBSTITUTE(Q283, "" ex"", """"), $A$2:$A287, TRUE)=0, ""Yes"", ""No"")
   ),
   ""No"&amp;"""
 )
)"),"")</f>
        <v/>
      </c>
    </row>
    <row r="284">
      <c r="A284" s="68" t="b">
        <v>1</v>
      </c>
      <c r="B284" s="69" t="s">
        <v>437</v>
      </c>
      <c r="C284" s="69" t="str">
        <f t="array" ref="C284">TEXTJOIN("", TRUE, IFERROR(INDEX('language&amp;DataTest'!A:J, MATCH(INDEX( PointerTest!C:C, MATCH(B284, PointerTest!A:A, 0), 0), 'language&amp;DataTest'!A:A, 0), MATCH(HOME!$A$25, 'language&amp;DataTest'!$A$1:$H$1, 0))),                      IFERROR(INDEX('language&amp;DataTest'!A:J, MATCH(INDEX( PointerTest!D:D, MATCH(B284, PointerTest!A:A, 0), 0), 'language&amp;DataTest'!A:A, 0), MATCH(HOME!$A$25, 'language&amp;DataTest'!$A$1:$H$1, 0))),                                          
IFERROR(INDEX('language&amp;DataTest'!A:J, MATCH(INDEX( PointerTest!E:E, MATCH(B284, PointerTest!A:A, 0), 0), 'language&amp;DataTest'!A:A, 0), MATCH(HOME!$A$25, 'language&amp;DataTest'!$A$1:$H$1, 0))))</f>
        <v>Mew</v>
      </c>
      <c r="D284" s="69" t="str">
        <f t="array" ref="D284">INDEX('language&amp;DataTest'!A:J, MATCH(INDEX( PointerTest!D:D, MATCH(INDEX(PointerTest!B:B, MATCH(B284, PointerTest!A:A, 0)), PointerTest!A:A, 0), 0), 'language&amp;DataTest'!A:A, 0), MATCH(HOME!$A$25, 'language&amp;DataTest'!$A$1:$H$1, 0))</f>
        <v>Free mission</v>
      </c>
      <c r="E284" s="69"/>
      <c r="F284" s="211"/>
      <c r="G284" s="212"/>
      <c r="H284" s="212"/>
      <c r="I284" s="213" t="s">
        <v>438</v>
      </c>
      <c r="J284" s="73">
        <v>0.0</v>
      </c>
      <c r="K284" s="100" t="s">
        <v>439</v>
      </c>
      <c r="L284" s="210">
        <f>SUMIFS(G2:G287, D2:D287, "Charizard") + SUMIFS(G2:G287, D2:D287, "All")
</f>
        <v>1</v>
      </c>
      <c r="M284" s="100" t="s">
        <v>440</v>
      </c>
      <c r="N284" s="207">
        <f>COUNTIFS(E2:E287, "☆☆☆", D2:D287, "Pikachu")</f>
        <v>1</v>
      </c>
      <c r="P284" s="103"/>
      <c r="Q284" s="103"/>
      <c r="R284" s="103"/>
      <c r="S284" s="79" t="str">
        <f t="shared" si="2"/>
        <v/>
      </c>
      <c r="T284" s="80" t="str">
        <f>IFERROR(__xludf.DUMMYFUNCTION("IF(
  Q284="""",
  """",
  IF(
   REGEXMATCH(SUBSTITUTE(Q284, "" ex"", """"), TEXTJOIN(""|"", TRUE, INDEX('language&amp;DataTest'!$A$33:$AB$182, , MATCH(HOME!$A$25, 'language&amp;DataTest'!$A$1:$G$1, 0)))),
   IF($M$26,
     IF(COUNTIFS(ARRAYFORMULA(SUBSTITUTE($C"&amp;"$2:$C287, "" ex"", """")), SUBSTITUTE(Q284, "" ex"", """"), $J$2:$J287, ""&gt;0"")=0, ""Yes"", ""No""),
     IF(COUNTIFS(ARRAYFORMULA(SUBSTITUTE($C$2:$C287, "" ex"", """")), SUBSTITUTE(Q284, "" ex"", """"), $A$2:$A287, TRUE)=0, ""Yes"", ""No"")
   ),
   ""No"&amp;"""
 )
)"),"")</f>
        <v/>
      </c>
    </row>
    <row r="285">
      <c r="A285" s="68" t="b">
        <v>0</v>
      </c>
      <c r="B285" s="69" t="s">
        <v>441</v>
      </c>
      <c r="C285" s="69" t="str">
        <f t="array" ref="C285">TEXTJOIN("", TRUE, IFERROR(INDEX('language&amp;DataTest'!A:J, MATCH(INDEX( PointerTest!C:C, MATCH(B285, PointerTest!A:A, 0), 0), 'language&amp;DataTest'!A:A, 0), MATCH(HOME!$A$25, 'language&amp;DataTest'!$A$1:$H$1, 0))),                      IFERROR(INDEX('language&amp;DataTest'!A:J, MATCH(INDEX( PointerTest!D:D, MATCH(B285, PointerTest!A:A, 0), 0), 'language&amp;DataTest'!A:A, 0), MATCH(HOME!$A$25, 'language&amp;DataTest'!$A$1:$H$1, 0))),                                          
IFERROR(INDEX('language&amp;DataTest'!A:J, MATCH(INDEX( PointerTest!E:E, MATCH(B285, PointerTest!A:A, 0), 0), 'language&amp;DataTest'!A:A, 0), MATCH(HOME!$A$25, 'language&amp;DataTest'!$A$1:$H$1, 0))))</f>
        <v>Charizard ex</v>
      </c>
      <c r="D285" s="69" t="str">
        <f t="array" ref="D285">INDEX('language&amp;DataTest'!A:J, MATCH(INDEX( PointerTest!D:D, MATCH(INDEX(PointerTest!B:B, MATCH(B285, PointerTest!A:A, 0)), PointerTest!A:A, 0), 0), 'language&amp;DataTest'!A:A, 0), MATCH(HOME!$A$25, 'language&amp;DataTest'!$A$1:$H$1, 0))</f>
        <v>All</v>
      </c>
      <c r="E285" s="69" t="str">
        <f t="array" ref="E285">INDEX( PointerTest!F:F, MATCH(B285, PointerTest!A:A, 0), 0)</f>
        <v>♛</v>
      </c>
      <c r="F285" s="70" t="str">
        <f t="array" ref="F285">LET(percentage,XLOOKUP($E285,$K$2:$K$10,L$2:L$10,"",0)/(COUNTIFS($E:$E,$E285,$D:$D,RegularFormula!$D$2)+COUNTIFS($E:$E,$E285,$D:$D,IF($D285=RegularFormula!$D$2,$K$15,$D285))),IFERROR(IF(percentage,percentage,""),""))
</f>
        <v/>
      </c>
      <c r="G285" s="71">
        <f t="array" ref="G285">LET(percentage,XLOOKUP($E285,$K$2:$K$10,M$2:M$10,"",0)/(COUNTIFS($E:$E,$E285,$D:$D,RegularFormula!$D$2)+COUNTIFS($E:$E,$E285,$D:$D,IF($D285=RegularFormula!$D$2,$K$15,$D285))),IFERROR(IF(percentage,percentage,""),""))
</f>
        <v>0.0001333333333</v>
      </c>
      <c r="H285" s="71">
        <f t="array" ref="H285">LET(percentage,XLOOKUP($E285,$K$2:$K$10,N$2:N$10,"",0)/(COUNTIFS($E:$E,$E285,$D:$D,RegularFormula!$D$2)+COUNTIFS($E:$E,$E285,$D:$D,IF($D285=RegularFormula!$D$2,$K$15,$D285))),IFERROR(IF(percentage,percentage,""),""))
</f>
        <v>0.0005333333333</v>
      </c>
      <c r="I285" s="72" t="str">
        <f t="shared" ref="I285:I287" si="9">IF(D285 = "All", "*Based on " &amp; $D$2 &amp; " pack", "")
</f>
        <v>*Based on Mewtwo pack</v>
      </c>
      <c r="J285" s="73">
        <v>0.0</v>
      </c>
      <c r="K285" s="100" t="s">
        <v>442</v>
      </c>
      <c r="L285" s="210">
        <f>SUMIFS(H2:H287, D2:D287, "Mewtwo") + SUMIFS(H2:H287, D2:D287, "All")</f>
        <v>1</v>
      </c>
      <c r="M285" s="100" t="s">
        <v>443</v>
      </c>
      <c r="N285" s="207">
        <f>COUNTIFS(E2:E287, "☆☆☆", D2:D287, "Charizard")</f>
        <v>1</v>
      </c>
      <c r="P285" s="103"/>
      <c r="Q285" s="103"/>
      <c r="R285" s="103"/>
      <c r="S285" s="79" t="str">
        <f t="shared" si="2"/>
        <v/>
      </c>
      <c r="T285" s="80" t="str">
        <f>IFERROR(__xludf.DUMMYFUNCTION("IF(
  Q285="""",
  """",
  IF(
   REGEXMATCH(SUBSTITUTE(Q285, "" ex"", """"), TEXTJOIN(""|"", TRUE, INDEX('language&amp;DataTest'!$A$33:$AB$182, , MATCH(HOME!$A$25, 'language&amp;DataTest'!$A$1:$G$1, 0)))),
   IF($M$26,
     IF(COUNTIFS(ARRAYFORMULA(SUBSTITUTE($C"&amp;"$2:$C287, "" ex"", """")), SUBSTITUTE(Q285, "" ex"", """"), $J$2:$J287, ""&gt;0"")=0, ""Yes"", ""No""),
     IF(COUNTIFS(ARRAYFORMULA(SUBSTITUTE($C$2:$C287, "" ex"", """")), SUBSTITUTE(Q285, "" ex"", """"), $A$2:$A287, TRUE)=0, ""Yes"", ""No"")
   ),
   ""No"&amp;"""
 )
)"),"")</f>
        <v/>
      </c>
    </row>
    <row r="286">
      <c r="A286" s="68" t="b">
        <v>0</v>
      </c>
      <c r="B286" s="69" t="s">
        <v>444</v>
      </c>
      <c r="C286" s="69" t="str">
        <f t="array" ref="C286">TEXTJOIN("", TRUE, IFERROR(INDEX('language&amp;DataTest'!A:J, MATCH(INDEX( PointerTest!C:C, MATCH(B286, PointerTest!A:A, 0), 0), 'language&amp;DataTest'!A:A, 0), MATCH(HOME!$A$25, 'language&amp;DataTest'!$A$1:$H$1, 0))),                      IFERROR(INDEX('language&amp;DataTest'!A:J, MATCH(INDEX( PointerTest!D:D, MATCH(B286, PointerTest!A:A, 0), 0), 'language&amp;DataTest'!A:A, 0), MATCH(HOME!$A$25, 'language&amp;DataTest'!$A$1:$H$1, 0))),                                          
IFERROR(INDEX('language&amp;DataTest'!A:J, MATCH(INDEX( PointerTest!E:E, MATCH(B286, PointerTest!A:A, 0), 0), 'language&amp;DataTest'!A:A, 0), MATCH(HOME!$A$25, 'language&amp;DataTest'!$A$1:$H$1, 0))))</f>
        <v>Pikachu ex</v>
      </c>
      <c r="D286" s="69" t="str">
        <f t="array" ref="D286">INDEX('language&amp;DataTest'!A:J, MATCH(INDEX( PointerTest!D:D, MATCH(INDEX(PointerTest!B:B, MATCH(B286, PointerTest!A:A, 0)), PointerTest!A:A, 0), 0), 'language&amp;DataTest'!A:A, 0), MATCH(HOME!$A$25, 'language&amp;DataTest'!$A$1:$H$1, 0))</f>
        <v>All</v>
      </c>
      <c r="E286" s="69" t="str">
        <f t="array" ref="E286">INDEX( PointerTest!F:F, MATCH(B286, PointerTest!A:A, 0), 0)</f>
        <v>♛</v>
      </c>
      <c r="F286" s="70" t="str">
        <f t="array" ref="F286">LET(percentage,XLOOKUP($E286,$K$2:$K$10,L$2:L$10,"",0)/(COUNTIFS($E:$E,$E286,$D:$D,RegularFormula!$D$2)+COUNTIFS($E:$E,$E286,$D:$D,IF($D286=RegularFormula!$D$2,$K$15,$D286))),IFERROR(IF(percentage,percentage,""),""))
</f>
        <v/>
      </c>
      <c r="G286" s="71">
        <f t="array" ref="G286">LET(percentage,XLOOKUP($E286,$K$2:$K$10,M$2:M$10,"",0)/(COUNTIFS($E:$E,$E286,$D:$D,RegularFormula!$D$2)+COUNTIFS($E:$E,$E286,$D:$D,IF($D286=RegularFormula!$D$2,$K$15,$D286))),IFERROR(IF(percentage,percentage,""),""))
</f>
        <v>0.0001333333333</v>
      </c>
      <c r="H286" s="71">
        <f t="array" ref="H286">LET(percentage,XLOOKUP($E286,$K$2:$K$10,N$2:N$10,"",0)/(COUNTIFS($E:$E,$E286,$D:$D,RegularFormula!$D$2)+COUNTIFS($E:$E,$E286,$D:$D,IF($D286=RegularFormula!$D$2,$K$15,$D286))),IFERROR(IF(percentage,percentage,""),""))
</f>
        <v>0.0005333333333</v>
      </c>
      <c r="I286" s="72" t="str">
        <f t="shared" si="9"/>
        <v>*Based on Mewtwo pack</v>
      </c>
      <c r="J286" s="73">
        <v>0.0</v>
      </c>
      <c r="K286" s="100" t="s">
        <v>445</v>
      </c>
      <c r="L286" s="210">
        <f>SUMIFS(H2:H287, D2:D287, "Pikachu") + SUMIFS(H2:H287, D2:D287, "All")</f>
        <v>1</v>
      </c>
      <c r="M286" s="100" t="s">
        <v>446</v>
      </c>
      <c r="N286" s="207">
        <f>COUNTIFS(E2:E287, "☆☆☆", D2:D287, "All")</f>
        <v>0</v>
      </c>
      <c r="P286" s="103"/>
      <c r="Q286" s="103"/>
      <c r="R286" s="103"/>
      <c r="S286" s="79" t="str">
        <f t="shared" si="2"/>
        <v/>
      </c>
      <c r="T286" s="80" t="str">
        <f>IFERROR(__xludf.DUMMYFUNCTION("IF(
  Q286="""",
  """",
  IF(
   REGEXMATCH(SUBSTITUTE(Q286, "" ex"", """"), TEXTJOIN(""|"", TRUE, INDEX('language&amp;DataTest'!$A$33:$AB$182, , MATCH(HOME!$A$25, 'language&amp;DataTest'!$A$1:$G$1, 0)))),
   IF($M$26,
     IF(COUNTIFS(ARRAYFORMULA(SUBSTITUTE($C"&amp;"$2:$C287, "" ex"", """")), SUBSTITUTE(Q286, "" ex"", """"), $J$2:$J287, ""&gt;0"")=0, ""Yes"", ""No""),
     IF(COUNTIFS(ARRAYFORMULA(SUBSTITUTE($C$2:$C287, "" ex"", """")), SUBSTITUTE(Q286, "" ex"", """"), $A$2:$A287, TRUE)=0, ""Yes"", ""No"")
   ),
   ""No"&amp;"""
 )
)"),"")</f>
        <v/>
      </c>
    </row>
    <row r="287">
      <c r="A287" s="68" t="b">
        <v>0</v>
      </c>
      <c r="B287" s="69" t="s">
        <v>447</v>
      </c>
      <c r="C287" s="69" t="str">
        <f t="array" ref="C287">TEXTJOIN("", TRUE, IFERROR(INDEX('language&amp;DataTest'!A:J, MATCH(INDEX( PointerTest!C:C, MATCH(B287, PointerTest!A:A, 0), 0), 'language&amp;DataTest'!A:A, 0), MATCH(HOME!$A$25, 'language&amp;DataTest'!$A$1:$H$1, 0))),                      IFERROR(INDEX('language&amp;DataTest'!A:J, MATCH(INDEX( PointerTest!D:D, MATCH(B287, PointerTest!A:A, 0), 0), 'language&amp;DataTest'!A:A, 0), MATCH(HOME!$A$25, 'language&amp;DataTest'!$A$1:$H$1, 0))),                                          
IFERROR(INDEX('language&amp;DataTest'!A:J, MATCH(INDEX( PointerTest!E:E, MATCH(B287, PointerTest!A:A, 0), 0), 'language&amp;DataTest'!A:A, 0), MATCH(HOME!$A$25, 'language&amp;DataTest'!$A$1:$H$1, 0))))</f>
        <v>Mewtwo ex</v>
      </c>
      <c r="D287" s="69" t="str">
        <f t="array" ref="D287">INDEX('language&amp;DataTest'!A:J, MATCH(INDEX( PointerTest!D:D, MATCH(INDEX(PointerTest!B:B, MATCH(B287, PointerTest!A:A, 0)), PointerTest!A:A, 0), 0), 'language&amp;DataTest'!A:A, 0), MATCH(HOME!$A$25, 'language&amp;DataTest'!$A$1:$H$1, 0))</f>
        <v>All</v>
      </c>
      <c r="E287" s="69" t="str">
        <f t="array" ref="E287">INDEX( PointerTest!F:F, MATCH(B287, PointerTest!A:A, 0), 0)</f>
        <v>♛</v>
      </c>
      <c r="F287" s="70" t="str">
        <f t="array" ref="F287">LET(percentage,XLOOKUP($E287,$K$2:$K$10,L$2:L$10,"",0)/(COUNTIFS($E:$E,$E287,$D:$D,RegularFormula!$D$2)+COUNTIFS($E:$E,$E287,$D:$D,IF($D287=RegularFormula!$D$2,$K$15,$D287))),IFERROR(IF(percentage,percentage,""),""))
</f>
        <v/>
      </c>
      <c r="G287" s="71">
        <f t="array" ref="G287">LET(percentage,XLOOKUP($E287,$K$2:$K$10,M$2:M$10,"",0)/(COUNTIFS($E:$E,$E287,$D:$D,RegularFormula!$D$2)+COUNTIFS($E:$E,$E287,$D:$D,IF($D287=RegularFormula!$D$2,$K$15,$D287))),IFERROR(IF(percentage,percentage,""),""))
</f>
        <v>0.0001333333333</v>
      </c>
      <c r="H287" s="71">
        <f t="array" ref="H287">LET(percentage,XLOOKUP($E287,$K$2:$K$10,N$2:N$10,"",0)/(COUNTIFS($E:$E,$E287,$D:$D,RegularFormula!$D$2)+COUNTIFS($E:$E,$E287,$D:$D,IF($D287=RegularFormula!$D$2,$K$15,$D287))),IFERROR(IF(percentage,percentage,""),""))
</f>
        <v>0.0005333333333</v>
      </c>
      <c r="I287" s="72" t="str">
        <f t="shared" si="9"/>
        <v>*Based on Mewtwo pack</v>
      </c>
      <c r="J287" s="73">
        <v>0.0</v>
      </c>
      <c r="K287" s="214" t="s">
        <v>448</v>
      </c>
      <c r="L287" s="215">
        <f>SUMIFS(H2:H287, D2:D287, "Charizard") + SUMIFS(H2:H287, D2:D287, "All")
</f>
        <v>1</v>
      </c>
      <c r="M287" s="214" t="s">
        <v>449</v>
      </c>
      <c r="N287" s="216">
        <f>COUNTIFS(E2:E287, "♛", D2:D287, "All")</f>
        <v>3</v>
      </c>
      <c r="P287" s="103"/>
      <c r="Q287" s="103"/>
      <c r="R287" s="103"/>
      <c r="S287" s="79" t="str">
        <f t="shared" si="2"/>
        <v/>
      </c>
      <c r="T287" s="80" t="str">
        <f>IFERROR(__xludf.DUMMYFUNCTION("IF(
  Q287="""",
  """",
  IF(
   REGEXMATCH(SUBSTITUTE(Q287, "" ex"", """"), TEXTJOIN(""|"", TRUE, INDEX('language&amp;DataTest'!$A$33:$AB$182, , MATCH(HOME!$A$25, 'language&amp;DataTest'!$A$1:$G$1, 0)))),
   IF($M$26,
     IF(COUNTIFS(ARRAYFORMULA(SUBSTITUTE($C"&amp;"$2:$C287, "" ex"", """")), SUBSTITUTE(Q287, "" ex"", """"), $J$2:$J287, ""&gt;0"")=0, ""Yes"", ""No""),
     IF(COUNTIFS(ARRAYFORMULA(SUBSTITUTE($C$2:$C287, "" ex"", """")), SUBSTITUTE(Q287, "" ex"", """"), $A$2:$A287, TRUE)=0, ""Yes"", ""No"")
   ),
   ""No"&amp;"""
 )
)"),"")</f>
        <v/>
      </c>
    </row>
  </sheetData>
  <mergeCells count="55">
    <mergeCell ref="M258:N258"/>
    <mergeCell ref="K278:L278"/>
    <mergeCell ref="O278:O287"/>
    <mergeCell ref="O119:O124"/>
    <mergeCell ref="O125:O126"/>
    <mergeCell ref="O127:O137"/>
    <mergeCell ref="O138:O143"/>
    <mergeCell ref="K254:N255"/>
    <mergeCell ref="O254:O257"/>
    <mergeCell ref="O258:O261"/>
    <mergeCell ref="P1:Q1"/>
    <mergeCell ref="O2:O10"/>
    <mergeCell ref="K11:N12"/>
    <mergeCell ref="O11:O19"/>
    <mergeCell ref="K18:K19"/>
    <mergeCell ref="L18:N19"/>
    <mergeCell ref="O20:O26"/>
    <mergeCell ref="K41:K42"/>
    <mergeCell ref="L41:L42"/>
    <mergeCell ref="K20:N21"/>
    <mergeCell ref="K27:N27"/>
    <mergeCell ref="O27:O35"/>
    <mergeCell ref="K34:K35"/>
    <mergeCell ref="L34:N35"/>
    <mergeCell ref="K36:N36"/>
    <mergeCell ref="O36:O42"/>
    <mergeCell ref="K43:N43"/>
    <mergeCell ref="M41:M42"/>
    <mergeCell ref="N41:N42"/>
    <mergeCell ref="O43:O46"/>
    <mergeCell ref="M44:N44"/>
    <mergeCell ref="M45:N46"/>
    <mergeCell ref="K47:N48"/>
    <mergeCell ref="O47:O56"/>
    <mergeCell ref="K55:K56"/>
    <mergeCell ref="L55:N56"/>
    <mergeCell ref="K57:N57"/>
    <mergeCell ref="O57:O63"/>
    <mergeCell ref="K62:K63"/>
    <mergeCell ref="L62:L63"/>
    <mergeCell ref="M62:M63"/>
    <mergeCell ref="N62:N63"/>
    <mergeCell ref="K64:N64"/>
    <mergeCell ref="O64:O67"/>
    <mergeCell ref="M65:N65"/>
    <mergeCell ref="M66:N67"/>
    <mergeCell ref="O68:O69"/>
    <mergeCell ref="O70:O75"/>
    <mergeCell ref="O76:O79"/>
    <mergeCell ref="O80:O81"/>
    <mergeCell ref="O82:O88"/>
    <mergeCell ref="O89:O90"/>
    <mergeCell ref="O91:O96"/>
    <mergeCell ref="O97:O106"/>
    <mergeCell ref="O107:O118"/>
  </mergeCells>
  <conditionalFormatting sqref="J2:J287">
    <cfRule type="cellIs" dxfId="17" priority="1" operator="greaterThanOrEqual">
      <formula>2</formula>
    </cfRule>
  </conditionalFormatting>
  <conditionalFormatting sqref="J2:J287">
    <cfRule type="cellIs" dxfId="0" priority="2" operator="lessThan">
      <formula>2</formula>
    </cfRule>
  </conditionalFormatting>
  <conditionalFormatting sqref="A2:I287">
    <cfRule type="expression" dxfId="18" priority="3">
      <formula>$D2=$C$129</formula>
    </cfRule>
  </conditionalFormatting>
  <conditionalFormatting sqref="A2:I287">
    <cfRule type="expression" dxfId="19" priority="4">
      <formula>$D2=$C$95</formula>
    </cfRule>
  </conditionalFormatting>
  <conditionalFormatting sqref="A2:I287">
    <cfRule type="expression" dxfId="20" priority="5">
      <formula>$D2=$C$36</formula>
    </cfRule>
  </conditionalFormatting>
  <conditionalFormatting sqref="A2:I287">
    <cfRule type="expression" dxfId="21" priority="6">
      <formula>COUNTIF({"All", "Tous"}, $D2)&gt;0</formula>
    </cfRule>
  </conditionalFormatting>
  <conditionalFormatting sqref="K15:N17 K29:N33 K37:N40 K43:L46 K50:N55 K58:N62 K64:L68">
    <cfRule type="expression" dxfId="18" priority="7">
      <formula>$K15=$C$129</formula>
    </cfRule>
  </conditionalFormatting>
  <conditionalFormatting sqref="K15:N17 K29:N33 K37:N40 K43:L46 K50:N55 K58:N62 K64:L68">
    <cfRule type="expression" dxfId="19" priority="8">
      <formula>$K15=$C$95</formula>
    </cfRule>
  </conditionalFormatting>
  <conditionalFormatting sqref="K15:N17 K29:N33 K37:N40 K43:L46 K50:N55 K58:N62 K64:L68">
    <cfRule type="expression" dxfId="20" priority="9">
      <formula>$K15=$C$36</formula>
    </cfRule>
  </conditionalFormatting>
  <conditionalFormatting sqref="K15:N17 K29:N33 K37:N40 K43:L46 K50:N55 K58:N62 K64:L68">
    <cfRule type="expression" dxfId="21" priority="10">
      <formula>COUNTIF({"All", "Tous"}, $K15)&gt;0</formula>
    </cfRule>
  </conditionalFormatting>
  <conditionalFormatting sqref="L18:N19 L33:N35 L40:N42 M44:N46 L54:N56 L61:L63 M61:N63 M65:N68">
    <cfRule type="expression" dxfId="18" priority="11">
      <formula>L18=$C$129</formula>
    </cfRule>
  </conditionalFormatting>
  <conditionalFormatting sqref="L18:N19 L33:N35 L40:N42 M44:N46 L54:N56 L61:L63 M61:N63 M65:N68">
    <cfRule type="expression" dxfId="19" priority="12">
      <formula>L18=$C$95</formula>
    </cfRule>
  </conditionalFormatting>
  <conditionalFormatting sqref="L18:N19 L33:N35 L40:N42 M44:N46 L54:N56 L61:L63 M61:N63 M65:N68">
    <cfRule type="expression" dxfId="20" priority="13">
      <formula>L18=$C$36</formula>
    </cfRule>
  </conditionalFormatting>
  <hyperlinks>
    <hyperlink r:id="rId2" ref="O57"/>
  </hyperlinks>
  <drawing r:id="rId3"/>
  <legacy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5.63"/>
    <col customWidth="1" min="2" max="2" width="7.63"/>
    <col customWidth="1" min="10" max="10" width="8.25"/>
  </cols>
  <sheetData>
    <row r="1">
      <c r="A1" s="60" t="s">
        <v>53</v>
      </c>
      <c r="B1" s="60" t="s">
        <v>54</v>
      </c>
      <c r="C1" s="60" t="s">
        <v>55</v>
      </c>
      <c r="D1" s="60" t="s">
        <v>56</v>
      </c>
      <c r="E1" s="60" t="s">
        <v>57</v>
      </c>
      <c r="F1" s="60" t="s">
        <v>58</v>
      </c>
      <c r="G1" s="60" t="s">
        <v>59</v>
      </c>
      <c r="H1" s="60" t="s">
        <v>60</v>
      </c>
      <c r="I1" s="60" t="s">
        <v>61</v>
      </c>
      <c r="J1" s="61" t="s">
        <v>62</v>
      </c>
      <c r="K1" s="62" t="s">
        <v>63</v>
      </c>
      <c r="L1" s="63"/>
      <c r="O1" s="65" t="s">
        <v>65</v>
      </c>
      <c r="Q1" s="65" t="s">
        <v>57</v>
      </c>
      <c r="R1" s="66" t="str">
        <f>"Points (" &amp; TEXT(SUM(R2:R87),"##,###") &amp; ")"</f>
        <v>Points (12,500)</v>
      </c>
    </row>
    <row r="2">
      <c r="A2" s="217" t="b">
        <v>1</v>
      </c>
      <c r="B2" s="218" t="s">
        <v>450</v>
      </c>
      <c r="C2" s="69" t="str">
        <f t="array" ref="C2">TEXTJOIN("", TRUE, IFERROR(INDEX('language&amp;DataTest'!A:J, MATCH(INDEX( PointerTest!C:C, MATCH(B2, PointerTest!A:A, 0), 0), 'language&amp;DataTest'!A:A, 0), MATCH(HOME!$A$25, 'language&amp;DataTest'!$A$1:$H$1, 0))),                      IFERROR(INDEX('language&amp;DataTest'!A:J, MATCH(INDEX( PointerTest!D:D, MATCH(B2, PointerTest!A:A, 0), 0), 'language&amp;DataTest'!A:A, 0), MATCH(HOME!$A$25, 'language&amp;DataTest'!$A$1:$H$1, 0))),                                          
IFERROR(INDEX('language&amp;DataTest'!A:J, MATCH(INDEX( PointerTest!E:E, MATCH(B2, PointerTest!A:A, 0), 0), 'language&amp;DataTest'!A:A, 0), MATCH(HOME!$A$25, 'language&amp;DataTest'!$A$1:$H$1, 0))))</f>
        <v>Exeggcute</v>
      </c>
      <c r="D2" s="69" t="str">
        <f t="array" ref="D2">TEXTJOIN("", TRUE, 
IFERROR(INDEX('language&amp;DataTest'!A:J, MATCH(INDEX( PointerTest!C:C, MATCH(INDEX(PointerTest!B:B, MATCH(B2, PointerTest!A:A, 0)), PointerTest!A:A, 0), 0), 'language&amp;DataTest'!A:A, 0), MATCH(HOME!$A$25, 'language&amp;DataTest'!$A$1:$H$1, 0))),                      
IFERROR(INDEX('language&amp;DataTest'!A:J, MATCH(INDEX( PointerTest!D:D, MATCH(INDEX(PointerTest!B:B, MATCH(B2, PointerTest!A:A, 0)), PointerTest!A:A, 0), 0), 'language&amp;DataTest'!A:A, 0), MATCH(HOME!$A$25, 'language&amp;DataTest'!$A$1:$H$1, 0))),                                          
IFERROR(INDEX('language&amp;DataTest'!A:J, MATCH(INDEX( PointerTest!E:E, MATCH(INDEX(PointerTest!B:B, MATCH(B2, PointerTest!A:A, 0)), PointerTest!A:A, 0), 0), 'language&amp;DataTest'!A:A, 0), MATCH(HOME!$A$25, 'language&amp;DataTest'!$A$1:$H$1, 0))))</f>
        <v>Mew</v>
      </c>
      <c r="E2" s="69" t="str">
        <f t="array" ref="E2">INDEX( PointerTest!F:F, MATCH(B2, PointerTest!A:A, 0), 0)</f>
        <v>♢</v>
      </c>
      <c r="F2" s="70">
        <f t="array" ref="F2">LET(percentage,XLOOKUP($E2,$K$2:$K$10,L$2:L$10,"",0)/(COUNTIFS($E:$E,$E2,$D:$D,RegularFormula!$D$2)+COUNTIFS($E:$E,$E2,$D:$D,IF($D2=RegularFormula!$D$2,$K$15,$D2))),IFERROR(IF(percentage,percentage,""),""))</f>
        <v>0.03125</v>
      </c>
      <c r="G2" s="71" t="str">
        <f t="array" ref="G2">LET(percentage,XLOOKUP($E2,$K$2:$K$10,M$2:M$10,"",0)/(COUNTIFS($E:$E,$E2,$D:$D,RegularFormula!$D$2)+COUNTIFS($E:$E,$E2,$D:$D,IF($D2=RegularFormula!$D$2,$K$15,$D2))),IFERROR(IF(percentage,percentage,""),""))</f>
        <v/>
      </c>
      <c r="H2" s="71" t="str">
        <f t="array" ref="H2">LET(percentage,XLOOKUP($E2,$K$2:$K$10,N$2:N$10,"",0)/(COUNTIFS($E:$E,$E2,$D:$D,RegularFormula!$D$2)+COUNTIFS($E:$E,$E2,$D:$D,IF($D2=RegularFormula!$D$2,$K$15,$D2))),IFERROR(IF(percentage,percentage,""),""))</f>
        <v/>
      </c>
      <c r="I2" s="72" t="str">
        <f t="shared" ref="I2:I87" si="1">IF(D2 = "All", "*Based on " &amp; $D$2 &amp; " pack", "")
</f>
        <v/>
      </c>
      <c r="J2" s="73">
        <v>0.0</v>
      </c>
      <c r="K2" s="74" t="s">
        <v>68</v>
      </c>
      <c r="L2" s="75">
        <v>45294.0</v>
      </c>
      <c r="M2" s="76">
        <v>4.0</v>
      </c>
      <c r="N2" s="77">
        <v>5.0</v>
      </c>
      <c r="O2" s="79" t="str">
        <f>IFERROR(__xludf.DUMMYFUNCTION("IFERROR(
IF($K$24,
  FILTER(
    $B$2:$B87,
    (
      (($K$20*($E$2:$E87=""♢"")) +
       ($K$21*($E$2:$E87=""♢♢"")) +
       ($K$22*($E$2:$E87=""♢♢♢"")) +
       ($K$23*($E$2:$E87=""♢♢♢♢"")) +
       ($M$20*($E$2:$E87=""☆"")) +
       ($M$21*($E$2:$E87"&amp;"=""☆☆"")) +
       ($M$22*($E$2:$E87=""☆☆☆"")) +
       ($M$23*($E$2:$E87=""♛""))
      ) &gt; 0
    )
    *
    (
      BYROW($C$2:$C87,
        LAMBDA(card, COUNTIFS($C$2:$C87, card, IF($M$24, $J$2:$J87, $A$2:$A87), TRUE))
      ) = 0
    )
  ),
  FILTER(
"&amp;"    $B$2:$B87,
    (
      (($K$20*($E$2:$E87=""♢"")) +
       ($K$21*($E$2:$E87=""♢♢"")) +
       ($K$22*($E$2:$E87=""♢♢♢"")) +
       ($K$23*($E$2:$E87=""♢♢♢♢"")) +
       ($M$20*($E$2:$E87=""☆"")) +
       ($M$21*($E$2:$E87=""☆☆"")) +
       ($M$22*($E"&amp;"$2:$E87=""☆☆☆"")) +
       ($M$23*($E$2:$E87=""♛""))
      ) &gt; 0
    )
    *
    IF($M$24, ($J$2:$J87 &lt;= 1), ($A$2:$A87 = FALSE))
  )
)
)"),"A1a 076")</f>
        <v>A1a 076</v>
      </c>
      <c r="P2" s="79" t="str">
        <f>IFERROR(__xludf.DUMMYFUNCTION("IFERROR(
IF($K$24,
  FILTER(
    $C$2:$C87,
    (
      (($K$20*($E$2:$E87=""♢"")) +
       ($K$21*($E$2:$E87=""♢♢"")) +
       ($K$22*($E$2:$E87=""♢♢♢"")) +
       ($K$23*($E$2:$E87=""♢♢♢♢"")) +
       ($M$20*($E$2:$E87=""☆"")) +
       ($M$21*($E$2:$E87"&amp;"=""☆☆"")) +
       ($M$22*($E$2:$E87=""☆☆☆"")) +
       ($M$23*($E$2:$E87=""♛""))
      ) &gt; 0
    )
    *
    (
      BYROW($C$2:$C87,
        LAMBDA(card, COUNTIFS($C$2:$C87, card, IF($M$24, $J$2:$J87, $A$2:$A87), TRUE))
      ) = 0
    )
  ),
  FILTER(
"&amp;"    $C$2:$C87,
    (
      (($K$20*($E$2:$E87=""♢"")) +
       ($K$21*($E$2:$E87=""♢♢"")) +
       ($K$22*($E$2:$E87=""♢♢♢"")) +
       ($K$23*($E$2:$E87=""♢♢♢♢"")) +
       ($M$20*($E$2:$E87=""☆"")) +
       ($M$21*($E$2:$E87=""☆☆"")) +
       ($M$22*($E"&amp;"$2:$E87=""☆☆☆"")) +
       ($M$23*($E$2:$E87=""♛""))
      ) &gt; 0
    )
    *
    IF($M$24, ($J$2:$J87 &lt;= 1), ($A$2:$A87 = FALSE))
  )
)
)"),"Gyarados ex")</f>
        <v>Gyarados ex</v>
      </c>
      <c r="Q2" s="79" t="str">
        <f>IFERROR(__xludf.DUMMYFUNCTION("IFERROR(
IF($K$24,
  FILTER(
    $E$2:$E87,
    (
      (($K$20*($E$2:$E87=""♢"")) +
       ($K$21*($E$2:$E87=""♢♢"")) +
       ($K$22*($E$2:$E87=""♢♢♢"")) +
       ($K$23*($E$2:$E87=""♢♢♢♢"")) +
       ($M$20*($E$2:$E87=""☆"")) +
       ($M$21*($E$2:$E87"&amp;"=""☆☆"")) +
       ($M$22*($E$2:$E87=""☆☆☆"")) +
       ($M$23*($E$2:$E87=""♛""))
      ) &gt; 0
    )
    *
    (
      BYROW($C$2:$C87,
        LAMBDA(card, COUNTIFS($C$2:$C87, card, IF($M$24, $J$2:$J87, $A$2:$A87), TRUE))
      ) = 0
    )
  ),
  FILTER(
"&amp;"    $E$2:$E87,
    (
      (($K$20*($E$2:$E87=""♢"")) +
       ($K$21*($E$2:$E87=""♢♢"")) +
       ($K$22*($E$2:$E87=""♢♢♢"")) +
       ($K$23*($E$2:$E87=""♢♢♢♢"")) +
       ($M$20*($E$2:$E87=""☆"")) +
       ($M$21*($E$2:$E87=""☆☆"")) +
       ($M$22*($E"&amp;"$2:$E87=""☆☆☆"")) +
       ($M$23*($E$2:$E87=""♛""))
      ) &gt; 0
    )
    *
    IF($M$24, ($J$2:$J87 &lt;= 1), ($A$2:$A87 = FALSE))
  )
)
)"),"☆☆")</f>
        <v>☆☆</v>
      </c>
      <c r="R2" s="79">
        <f t="shared" ref="R2:R87" si="2">IFERROR(IFS(Q2="♢",35,Q2="♢♢",70,Q2="♢♢♢",150,Q2="♢♢♢♢",500,Q2="☆",400,Q2="☆☆",1250,Q2="☆☆☆",1500,Q2="♛",2500),"")</f>
        <v>1250</v>
      </c>
    </row>
    <row r="3">
      <c r="A3" s="217" t="b">
        <v>1</v>
      </c>
      <c r="B3" s="218" t="s">
        <v>451</v>
      </c>
      <c r="C3" s="69" t="str">
        <f t="array" ref="C3">TEXTJOIN("", TRUE, IFERROR(INDEX('language&amp;DataTest'!A:J, MATCH(INDEX( PointerTest!C:C, MATCH(B3, PointerTest!A:A, 0), 0), 'language&amp;DataTest'!A:A, 0), MATCH(HOME!$A$25, 'language&amp;DataTest'!$A$1:$H$1, 0))),                      IFERROR(INDEX('language&amp;DataTest'!A:J, MATCH(INDEX( PointerTest!D:D, MATCH(B3, PointerTest!A:A, 0), 0), 'language&amp;DataTest'!A:A, 0), MATCH(HOME!$A$25, 'language&amp;DataTest'!$A$1:$H$1, 0))),                                          
IFERROR(INDEX('language&amp;DataTest'!A:J, MATCH(INDEX( PointerTest!E:E, MATCH(B3, PointerTest!A:A, 0), 0), 'language&amp;DataTest'!A:A, 0), MATCH(HOME!$A$25, 'language&amp;DataTest'!$A$1:$H$1, 0))))</f>
        <v>Exeggutor</v>
      </c>
      <c r="D3" s="69" t="str">
        <f t="array" ref="D3">TEXTJOIN("", TRUE, 
IFERROR(INDEX('language&amp;DataTest'!A:J, MATCH(INDEX( PointerTest!C:C, MATCH(INDEX(PointerTest!B:B, MATCH(B3, PointerTest!A:A, 0)), PointerTest!A:A, 0), 0), 'language&amp;DataTest'!A:A, 0), MATCH(HOME!$A$25, 'language&amp;DataTest'!$A$1:$H$1, 0))),                      
IFERROR(INDEX('language&amp;DataTest'!A:J, MATCH(INDEX( PointerTest!D:D, MATCH(INDEX(PointerTest!B:B, MATCH(B3, PointerTest!A:A, 0)), PointerTest!A:A, 0), 0), 'language&amp;DataTest'!A:A, 0), MATCH(HOME!$A$25, 'language&amp;DataTest'!$A$1:$H$1, 0))),                                          
IFERROR(INDEX('language&amp;DataTest'!A:J, MATCH(INDEX( PointerTest!E:E, MATCH(INDEX(PointerTest!B:B, MATCH(B3, PointerTest!A:A, 0)), PointerTest!A:A, 0), 0), 'language&amp;DataTest'!A:A, 0), MATCH(HOME!$A$25, 'language&amp;DataTest'!$A$1:$H$1, 0))))</f>
        <v>Mew</v>
      </c>
      <c r="E3" s="69" t="str">
        <f t="array" ref="E3">INDEX( PointerTest!F:F, MATCH(B3, PointerTest!A:A, 0), 0)</f>
        <v>♢♢</v>
      </c>
      <c r="F3" s="70" t="str">
        <f t="array" ref="F3">LET(percentage,XLOOKUP($E3,$K$2:$K$10,L$2:L$10,"",0)/(COUNTIFS($E:$E,$E3,$D:$D,RegularFormula!$D$2)+COUNTIFS($E:$E,$E3,$D:$D,IF($D3=RegularFormula!$D$2,$K$15,$D3))),IFERROR(IF(percentage,percentage,""),""))</f>
        <v/>
      </c>
      <c r="G3" s="71">
        <f t="array" ref="G3">LET(percentage,XLOOKUP($E3,$K$2:$K$10,M$2:M$10,"",0)/(COUNTIFS($E:$E,$E3,$D:$D,RegularFormula!$D$2)+COUNTIFS($E:$E,$E3,$D:$D,IF($D3=RegularFormula!$D$2,$K$15,$D3))),IFERROR(IF(percentage,percentage,""),""))</f>
        <v>0.03913043478</v>
      </c>
      <c r="H3" s="71">
        <f t="array" ref="H3">LET(percentage,XLOOKUP($E3,$K$2:$K$10,N$2:N$10,"",0)/(COUNTIFS($E:$E,$E3,$D:$D,RegularFormula!$D$2)+COUNTIFS($E:$E,$E3,$D:$D,IF($D3=RegularFormula!$D$2,$K$15,$D3))),IFERROR(IF(percentage,percentage,""),""))</f>
        <v>0.02608695652</v>
      </c>
      <c r="I3" s="72" t="str">
        <f t="shared" si="1"/>
        <v/>
      </c>
      <c r="J3" s="73">
        <v>0.0</v>
      </c>
      <c r="K3" s="81" t="s">
        <v>71</v>
      </c>
      <c r="L3" s="82">
        <v>1.0</v>
      </c>
      <c r="M3" s="83">
        <v>0.0</v>
      </c>
      <c r="N3" s="84">
        <v>0.0</v>
      </c>
      <c r="O3" s="86" t="str">
        <f>IFERROR(__xludf.DUMMYFUNCTION("""COMPUTED_VALUE"""),"A1a 077")</f>
        <v>A1a 077</v>
      </c>
      <c r="P3" s="86" t="str">
        <f>IFERROR(__xludf.DUMMYFUNCTION("""COMPUTED_VALUE"""),"Mew ex")</f>
        <v>Mew ex</v>
      </c>
      <c r="Q3" s="86" t="str">
        <f>IFERROR(__xludf.DUMMYFUNCTION("""COMPUTED_VALUE"""),"☆☆")</f>
        <v>☆☆</v>
      </c>
      <c r="R3" s="79">
        <f t="shared" si="2"/>
        <v>1250</v>
      </c>
    </row>
    <row r="4">
      <c r="A4" s="217" t="b">
        <v>1</v>
      </c>
      <c r="B4" s="218" t="s">
        <v>452</v>
      </c>
      <c r="C4" s="69" t="str">
        <f t="array" ref="C4">TEXTJOIN("", TRUE, IFERROR(INDEX('language&amp;DataTest'!A:J, MATCH(INDEX( PointerTest!C:C, MATCH(B4, PointerTest!A:A, 0), 0), 'language&amp;DataTest'!A:A, 0), MATCH(HOME!$A$25, 'language&amp;DataTest'!$A$1:$H$1, 0))),                      IFERROR(INDEX('language&amp;DataTest'!A:J, MATCH(INDEX( PointerTest!D:D, MATCH(B4, PointerTest!A:A, 0), 0), 'language&amp;DataTest'!A:A, 0), MATCH(HOME!$A$25, 'language&amp;DataTest'!$A$1:$H$1, 0))),                                          
IFERROR(INDEX('language&amp;DataTest'!A:J, MATCH(INDEX( PointerTest!E:E, MATCH(B4, PointerTest!A:A, 0), 0), 'language&amp;DataTest'!A:A, 0), MATCH(HOME!$A$25, 'language&amp;DataTest'!$A$1:$H$1, 0))))</f>
        <v>Celebi ex</v>
      </c>
      <c r="D4" s="69" t="str">
        <f t="array" ref="D4">TEXTJOIN("", TRUE, 
IFERROR(INDEX('language&amp;DataTest'!A:J, MATCH(INDEX( PointerTest!C:C, MATCH(INDEX(PointerTest!B:B, MATCH(B4, PointerTest!A:A, 0)), PointerTest!A:A, 0), 0), 'language&amp;DataTest'!A:A, 0), MATCH(HOME!$A$25, 'language&amp;DataTest'!$A$1:$H$1, 0))),                      
IFERROR(INDEX('language&amp;DataTest'!A:J, MATCH(INDEX( PointerTest!D:D, MATCH(INDEX(PointerTest!B:B, MATCH(B4, PointerTest!A:A, 0)), PointerTest!A:A, 0), 0), 'language&amp;DataTest'!A:A, 0), MATCH(HOME!$A$25, 'language&amp;DataTest'!$A$1:$H$1, 0))),                                          
IFERROR(INDEX('language&amp;DataTest'!A:J, MATCH(INDEX( PointerTest!E:E, MATCH(INDEX(PointerTest!B:B, MATCH(B4, PointerTest!A:A, 0)), PointerTest!A:A, 0), 0), 'language&amp;DataTest'!A:A, 0), MATCH(HOME!$A$25, 'language&amp;DataTest'!$A$1:$H$1, 0))))</f>
        <v>Mew</v>
      </c>
      <c r="E4" s="69" t="str">
        <f t="array" ref="E4">INDEX( PointerTest!F:F, MATCH(B4, PointerTest!A:A, 0), 0)</f>
        <v>♢♢♢♢</v>
      </c>
      <c r="F4" s="70" t="str">
        <f t="array" ref="F4">LET(percentage,XLOOKUP($E4,$K$2:$K$10,L$2:L$10,"",0)/(COUNTIFS($E:$E,$E4,$D:$D,RegularFormula!$D$2)+COUNTIFS($E:$E,$E4,$D:$D,IF($D4=RegularFormula!$D$2,$K$15,$D4))),IFERROR(IF(percentage,percentage,""),""))</f>
        <v/>
      </c>
      <c r="G4" s="71">
        <f t="array" ref="G4">LET(percentage,XLOOKUP($E4,$K$2:$K$10,M$2:M$10,"",0)/(COUNTIFS($E:$E,$E4,$D:$D,RegularFormula!$D$2)+COUNTIFS($E:$E,$E4,$D:$D,IF($D4=RegularFormula!$D$2,$K$15,$D4))),IFERROR(IF(percentage,percentage,""),""))</f>
        <v>0.003332</v>
      </c>
      <c r="H4" s="71">
        <f t="array" ref="H4">LET(percentage,XLOOKUP($E4,$K$2:$K$10,N$2:N$10,"",0)/(COUNTIFS($E:$E,$E4,$D:$D,RegularFormula!$D$2)+COUNTIFS($E:$E,$E4,$D:$D,IF($D4=RegularFormula!$D$2,$K$15,$D4))),IFERROR(IF(percentage,percentage,""),""))</f>
        <v>0.013328</v>
      </c>
      <c r="I4" s="72" t="str">
        <f t="shared" si="1"/>
        <v/>
      </c>
      <c r="J4" s="73">
        <v>0.0</v>
      </c>
      <c r="K4" s="81" t="s">
        <v>73</v>
      </c>
      <c r="L4" s="83">
        <v>0.0</v>
      </c>
      <c r="M4" s="82">
        <v>0.9</v>
      </c>
      <c r="N4" s="87">
        <v>0.6</v>
      </c>
      <c r="O4" s="86" t="str">
        <f>IFERROR(__xludf.DUMMYFUNCTION("""COMPUTED_VALUE"""),"A1a 078")</f>
        <v>A1a 078</v>
      </c>
      <c r="P4" s="86" t="str">
        <f>IFERROR(__xludf.DUMMYFUNCTION("""COMPUTED_VALUE"""),"Aerodactyl ex")</f>
        <v>Aerodactyl ex</v>
      </c>
      <c r="Q4" s="86" t="str">
        <f>IFERROR(__xludf.DUMMYFUNCTION("""COMPUTED_VALUE"""),"☆☆")</f>
        <v>☆☆</v>
      </c>
      <c r="R4" s="79">
        <f t="shared" si="2"/>
        <v>1250</v>
      </c>
    </row>
    <row r="5">
      <c r="A5" s="217" t="b">
        <v>1</v>
      </c>
      <c r="B5" s="218" t="s">
        <v>453</v>
      </c>
      <c r="C5" s="69" t="str">
        <f t="array" ref="C5">TEXTJOIN("", TRUE, IFERROR(INDEX('language&amp;DataTest'!A:J, MATCH(INDEX( PointerTest!C:C, MATCH(B5, PointerTest!A:A, 0), 0), 'language&amp;DataTest'!A:A, 0), MATCH(HOME!$A$25, 'language&amp;DataTest'!$A$1:$H$1, 0))),                      IFERROR(INDEX('language&amp;DataTest'!A:J, MATCH(INDEX( PointerTest!D:D, MATCH(B5, PointerTest!A:A, 0), 0), 'language&amp;DataTest'!A:A, 0), MATCH(HOME!$A$25, 'language&amp;DataTest'!$A$1:$H$1, 0))),                                          
IFERROR(INDEX('language&amp;DataTest'!A:J, MATCH(INDEX( PointerTest!E:E, MATCH(B5, PointerTest!A:A, 0), 0), 'language&amp;DataTest'!A:A, 0), MATCH(HOME!$A$25, 'language&amp;DataTest'!$A$1:$H$1, 0))))</f>
        <v>Snivy</v>
      </c>
      <c r="D5" s="69" t="str">
        <f t="array" ref="D5">TEXTJOIN("", TRUE, 
IFERROR(INDEX('language&amp;DataTest'!A:J, MATCH(INDEX( PointerTest!C:C, MATCH(INDEX(PointerTest!B:B, MATCH(B5, PointerTest!A:A, 0)), PointerTest!A:A, 0), 0), 'language&amp;DataTest'!A:A, 0), MATCH(HOME!$A$25, 'language&amp;DataTest'!$A$1:$H$1, 0))),                      
IFERROR(INDEX('language&amp;DataTest'!A:J, MATCH(INDEX( PointerTest!D:D, MATCH(INDEX(PointerTest!B:B, MATCH(B5, PointerTest!A:A, 0)), PointerTest!A:A, 0), 0), 'language&amp;DataTest'!A:A, 0), MATCH(HOME!$A$25, 'language&amp;DataTest'!$A$1:$H$1, 0))),                                          
IFERROR(INDEX('language&amp;DataTest'!A:J, MATCH(INDEX( PointerTest!E:E, MATCH(INDEX(PointerTest!B:B, MATCH(B5, PointerTest!A:A, 0)), PointerTest!A:A, 0), 0), 'language&amp;DataTest'!A:A, 0), MATCH(HOME!$A$25, 'language&amp;DataTest'!$A$1:$H$1, 0))))</f>
        <v>Mew</v>
      </c>
      <c r="E5" s="69" t="str">
        <f t="array" ref="E5">INDEX( PointerTest!F:F, MATCH(B5, PointerTest!A:A, 0), 0)</f>
        <v>♢</v>
      </c>
      <c r="F5" s="70">
        <f t="array" ref="F5">LET(percentage,XLOOKUP($E5,$K$2:$K$10,L$2:L$10,"",0)/(COUNTIFS($E:$E,$E5,$D:$D,RegularFormula!$D$2)+COUNTIFS($E:$E,$E5,$D:$D,IF($D5=RegularFormula!$D$2,$K$15,$D5))),IFERROR(IF(percentage,percentage,""),""))</f>
        <v>0.03125</v>
      </c>
      <c r="G5" s="71" t="str">
        <f t="array" ref="G5">LET(percentage,XLOOKUP($E5,$K$2:$K$10,M$2:M$10,"",0)/(COUNTIFS($E:$E,$E5,$D:$D,RegularFormula!$D$2)+COUNTIFS($E:$E,$E5,$D:$D,IF($D5=RegularFormula!$D$2,$K$15,$D5))),IFERROR(IF(percentage,percentage,""),""))</f>
        <v/>
      </c>
      <c r="H5" s="71" t="str">
        <f t="array" ref="H5">LET(percentage,XLOOKUP($E5,$K$2:$K$10,N$2:N$10,"",0)/(COUNTIFS($E:$E,$E5,$D:$D,RegularFormula!$D$2)+COUNTIFS($E:$E,$E5,$D:$D,IF($D5=RegularFormula!$D$2,$K$15,$D5))),IFERROR(IF(percentage,percentage,""),""))</f>
        <v/>
      </c>
      <c r="I5" s="72" t="str">
        <f t="shared" si="1"/>
        <v/>
      </c>
      <c r="J5" s="73">
        <v>0.0</v>
      </c>
      <c r="K5" s="81" t="s">
        <v>75</v>
      </c>
      <c r="L5" s="83">
        <v>0.0</v>
      </c>
      <c r="M5" s="82">
        <v>0.05</v>
      </c>
      <c r="N5" s="87">
        <v>0.2</v>
      </c>
      <c r="O5" s="86" t="str">
        <f>IFERROR(__xludf.DUMMYFUNCTION("""COMPUTED_VALUE"""),"A1a 080")</f>
        <v>A1a 080</v>
      </c>
      <c r="P5" s="86" t="str">
        <f>IFERROR(__xludf.DUMMYFUNCTION("""COMPUTED_VALUE"""),"Budding Expeditioner")</f>
        <v>Budding Expeditioner</v>
      </c>
      <c r="Q5" s="86" t="str">
        <f>IFERROR(__xludf.DUMMYFUNCTION("""COMPUTED_VALUE"""),"☆☆")</f>
        <v>☆☆</v>
      </c>
      <c r="R5" s="79">
        <f t="shared" si="2"/>
        <v>1250</v>
      </c>
    </row>
    <row r="6">
      <c r="A6" s="217" t="b">
        <v>1</v>
      </c>
      <c r="B6" s="218" t="s">
        <v>454</v>
      </c>
      <c r="C6" s="69" t="str">
        <f t="array" ref="C6">TEXTJOIN("", TRUE, IFERROR(INDEX('language&amp;DataTest'!A:J, MATCH(INDEX( PointerTest!C:C, MATCH(B6, PointerTest!A:A, 0), 0), 'language&amp;DataTest'!A:A, 0), MATCH(HOME!$A$25, 'language&amp;DataTest'!$A$1:$H$1, 0))),                      IFERROR(INDEX('language&amp;DataTest'!A:J, MATCH(INDEX( PointerTest!D:D, MATCH(B6, PointerTest!A:A, 0), 0), 'language&amp;DataTest'!A:A, 0), MATCH(HOME!$A$25, 'language&amp;DataTest'!$A$1:$H$1, 0))),                                          
IFERROR(INDEX('language&amp;DataTest'!A:J, MATCH(INDEX( PointerTest!E:E, MATCH(B6, PointerTest!A:A, 0), 0), 'language&amp;DataTest'!A:A, 0), MATCH(HOME!$A$25, 'language&amp;DataTest'!$A$1:$H$1, 0))))</f>
        <v>Servine</v>
      </c>
      <c r="D6" s="69" t="str">
        <f t="array" ref="D6">TEXTJOIN("", TRUE, 
IFERROR(INDEX('language&amp;DataTest'!A:J, MATCH(INDEX( PointerTest!C:C, MATCH(INDEX(PointerTest!B:B, MATCH(B6, PointerTest!A:A, 0)), PointerTest!A:A, 0), 0), 'language&amp;DataTest'!A:A, 0), MATCH(HOME!$A$25, 'language&amp;DataTest'!$A$1:$H$1, 0))),                      
IFERROR(INDEX('language&amp;DataTest'!A:J, MATCH(INDEX( PointerTest!D:D, MATCH(INDEX(PointerTest!B:B, MATCH(B6, PointerTest!A:A, 0)), PointerTest!A:A, 0), 0), 'language&amp;DataTest'!A:A, 0), MATCH(HOME!$A$25, 'language&amp;DataTest'!$A$1:$H$1, 0))),                                          
IFERROR(INDEX('language&amp;DataTest'!A:J, MATCH(INDEX( PointerTest!E:E, MATCH(INDEX(PointerTest!B:B, MATCH(B6, PointerTest!A:A, 0)), PointerTest!A:A, 0), 0), 'language&amp;DataTest'!A:A, 0), MATCH(HOME!$A$25, 'language&amp;DataTest'!$A$1:$H$1, 0))))</f>
        <v>Mew</v>
      </c>
      <c r="E6" s="69" t="str">
        <f t="array" ref="E6">INDEX( PointerTest!F:F, MATCH(B6, PointerTest!A:A, 0), 0)</f>
        <v>♢♢</v>
      </c>
      <c r="F6" s="70" t="str">
        <f t="array" ref="F6">LET(percentage,XLOOKUP($E6,$K$2:$K$10,L$2:L$10,"",0)/(COUNTIFS($E:$E,$E6,$D:$D,RegularFormula!$D$2)+COUNTIFS($E:$E,$E6,$D:$D,IF($D6=RegularFormula!$D$2,$K$15,$D6))),IFERROR(IF(percentage,percentage,""),""))</f>
        <v/>
      </c>
      <c r="G6" s="71">
        <f t="array" ref="G6">LET(percentage,XLOOKUP($E6,$K$2:$K$10,M$2:M$10,"",0)/(COUNTIFS($E:$E,$E6,$D:$D,RegularFormula!$D$2)+COUNTIFS($E:$E,$E6,$D:$D,IF($D6=RegularFormula!$D$2,$K$15,$D6))),IFERROR(IF(percentage,percentage,""),""))</f>
        <v>0.03913043478</v>
      </c>
      <c r="H6" s="71">
        <f t="array" ref="H6">LET(percentage,XLOOKUP($E6,$K$2:$K$10,N$2:N$10,"",0)/(COUNTIFS($E:$E,$E6,$D:$D,RegularFormula!$D$2)+COUNTIFS($E:$E,$E6,$D:$D,IF($D6=RegularFormula!$D$2,$K$15,$D6))),IFERROR(IF(percentage,percentage,""),""))</f>
        <v>0.02608695652</v>
      </c>
      <c r="I6" s="72" t="str">
        <f t="shared" si="1"/>
        <v/>
      </c>
      <c r="J6" s="73">
        <v>0.0</v>
      </c>
      <c r="K6" s="81" t="s">
        <v>77</v>
      </c>
      <c r="L6" s="83">
        <v>0.0</v>
      </c>
      <c r="M6" s="82">
        <v>0.01666</v>
      </c>
      <c r="N6" s="87">
        <v>0.06664</v>
      </c>
      <c r="O6" s="86" t="str">
        <f>IFERROR(__xludf.DUMMYFUNCTION("""COMPUTED_VALUE"""),"A1a 081")</f>
        <v>A1a 081</v>
      </c>
      <c r="P6" s="86" t="str">
        <f>IFERROR(__xludf.DUMMYFUNCTION("""COMPUTED_VALUE"""),"Blue")</f>
        <v>Blue</v>
      </c>
      <c r="Q6" s="86" t="str">
        <f>IFERROR(__xludf.DUMMYFUNCTION("""COMPUTED_VALUE"""),"☆☆")</f>
        <v>☆☆</v>
      </c>
      <c r="R6" s="79">
        <f t="shared" si="2"/>
        <v>1250</v>
      </c>
    </row>
    <row r="7">
      <c r="A7" s="217" t="b">
        <v>1</v>
      </c>
      <c r="B7" s="218" t="s">
        <v>455</v>
      </c>
      <c r="C7" s="69" t="str">
        <f t="array" ref="C7">TEXTJOIN("", TRUE, IFERROR(INDEX('language&amp;DataTest'!A:J, MATCH(INDEX( PointerTest!C:C, MATCH(B7, PointerTest!A:A, 0), 0), 'language&amp;DataTest'!A:A, 0), MATCH(HOME!$A$25, 'language&amp;DataTest'!$A$1:$H$1, 0))),                      IFERROR(INDEX('language&amp;DataTest'!A:J, MATCH(INDEX( PointerTest!D:D, MATCH(B7, PointerTest!A:A, 0), 0), 'language&amp;DataTest'!A:A, 0), MATCH(HOME!$A$25, 'language&amp;DataTest'!$A$1:$H$1, 0))),                                          
IFERROR(INDEX('language&amp;DataTest'!A:J, MATCH(INDEX( PointerTest!E:E, MATCH(B7, PointerTest!A:A, 0), 0), 'language&amp;DataTest'!A:A, 0), MATCH(HOME!$A$25, 'language&amp;DataTest'!$A$1:$H$1, 0))))</f>
        <v>Serperior</v>
      </c>
      <c r="D7" s="69" t="str">
        <f t="array" ref="D7">TEXTJOIN("", TRUE, 
IFERROR(INDEX('language&amp;DataTest'!A:J, MATCH(INDEX( PointerTest!C:C, MATCH(INDEX(PointerTest!B:B, MATCH(B7, PointerTest!A:A, 0)), PointerTest!A:A, 0), 0), 'language&amp;DataTest'!A:A, 0), MATCH(HOME!$A$25, 'language&amp;DataTest'!$A$1:$H$1, 0))),                      
IFERROR(INDEX('language&amp;DataTest'!A:J, MATCH(INDEX( PointerTest!D:D, MATCH(INDEX(PointerTest!B:B, MATCH(B7, PointerTest!A:A, 0)), PointerTest!A:A, 0), 0), 'language&amp;DataTest'!A:A, 0), MATCH(HOME!$A$25, 'language&amp;DataTest'!$A$1:$H$1, 0))),                                          
IFERROR(INDEX('language&amp;DataTest'!A:J, MATCH(INDEX( PointerTest!E:E, MATCH(INDEX(PointerTest!B:B, MATCH(B7, PointerTest!A:A, 0)), PointerTest!A:A, 0), 0), 'language&amp;DataTest'!A:A, 0), MATCH(HOME!$A$25, 'language&amp;DataTest'!$A$1:$H$1, 0))))</f>
        <v>Mew</v>
      </c>
      <c r="E7" s="69" t="str">
        <f t="array" ref="E7">INDEX( PointerTest!F:F, MATCH(B7, PointerTest!A:A, 0), 0)</f>
        <v>♢♢♢</v>
      </c>
      <c r="F7" s="70" t="str">
        <f t="array" ref="F7">LET(percentage,XLOOKUP($E7,$K$2:$K$10,L$2:L$10,"",0)/(COUNTIFS($E:$E,$E7,$D:$D,RegularFormula!$D$2)+COUNTIFS($E:$E,$E7,$D:$D,IF($D7=RegularFormula!$D$2,$K$15,$D7))),IFERROR(IF(percentage,percentage,""),""))</f>
        <v/>
      </c>
      <c r="G7" s="71">
        <f t="array" ref="G7">LET(percentage,XLOOKUP($E7,$K$2:$K$10,M$2:M$10,"",0)/(COUNTIFS($E:$E,$E7,$D:$D,RegularFormula!$D$2)+COUNTIFS($E:$E,$E7,$D:$D,IF($D7=RegularFormula!$D$2,$K$15,$D7))),IFERROR(IF(percentage,percentage,""),""))</f>
        <v>0.00625</v>
      </c>
      <c r="H7" s="71">
        <f t="array" ref="H7">LET(percentage,XLOOKUP($E7,$K$2:$K$10,N$2:N$10,"",0)/(COUNTIFS($E:$E,$E7,$D:$D,RegularFormula!$D$2)+COUNTIFS($E:$E,$E7,$D:$D,IF($D7=RegularFormula!$D$2,$K$15,$D7))),IFERROR(IF(percentage,percentage,""),""))</f>
        <v>0.025</v>
      </c>
      <c r="I7" s="72" t="str">
        <f t="shared" si="1"/>
        <v/>
      </c>
      <c r="J7" s="73">
        <v>0.0</v>
      </c>
      <c r="K7" s="81" t="s">
        <v>79</v>
      </c>
      <c r="L7" s="83">
        <v>0.0</v>
      </c>
      <c r="M7" s="82">
        <v>0.02572</v>
      </c>
      <c r="N7" s="87">
        <v>0.10288</v>
      </c>
      <c r="O7" s="86" t="str">
        <f>IFERROR(__xludf.DUMMYFUNCTION("""COMPUTED_VALUE"""),"A1a 082")</f>
        <v>A1a 082</v>
      </c>
      <c r="P7" s="86" t="str">
        <f>IFERROR(__xludf.DUMMYFUNCTION("""COMPUTED_VALUE"""),"Leaf")</f>
        <v>Leaf</v>
      </c>
      <c r="Q7" s="86" t="str">
        <f>IFERROR(__xludf.DUMMYFUNCTION("""COMPUTED_VALUE"""),"☆☆")</f>
        <v>☆☆</v>
      </c>
      <c r="R7" s="79">
        <f t="shared" si="2"/>
        <v>1250</v>
      </c>
    </row>
    <row r="8">
      <c r="A8" s="217" t="b">
        <v>1</v>
      </c>
      <c r="B8" s="218" t="s">
        <v>456</v>
      </c>
      <c r="C8" s="69" t="str">
        <f t="array" ref="C8">TEXTJOIN("", TRUE, IFERROR(INDEX('language&amp;DataTest'!A:J, MATCH(INDEX( PointerTest!C:C, MATCH(B8, PointerTest!A:A, 0), 0), 'language&amp;DataTest'!A:A, 0), MATCH(HOME!$A$25, 'language&amp;DataTest'!$A$1:$H$1, 0))),                      IFERROR(INDEX('language&amp;DataTest'!A:J, MATCH(INDEX( PointerTest!D:D, MATCH(B8, PointerTest!A:A, 0), 0), 'language&amp;DataTest'!A:A, 0), MATCH(HOME!$A$25, 'language&amp;DataTest'!$A$1:$H$1, 0))),                                          
IFERROR(INDEX('language&amp;DataTest'!A:J, MATCH(INDEX( PointerTest!E:E, MATCH(B8, PointerTest!A:A, 0), 0), 'language&amp;DataTest'!A:A, 0), MATCH(HOME!$A$25, 'language&amp;DataTest'!$A$1:$H$1, 0))))</f>
        <v>Morelull</v>
      </c>
      <c r="D8" s="69" t="str">
        <f t="array" ref="D8">TEXTJOIN("", TRUE, 
IFERROR(INDEX('language&amp;DataTest'!A:J, MATCH(INDEX( PointerTest!C:C, MATCH(INDEX(PointerTest!B:B, MATCH(B8, PointerTest!A:A, 0)), PointerTest!A:A, 0), 0), 'language&amp;DataTest'!A:A, 0), MATCH(HOME!$A$25, 'language&amp;DataTest'!$A$1:$H$1, 0))),                      
IFERROR(INDEX('language&amp;DataTest'!A:J, MATCH(INDEX( PointerTest!D:D, MATCH(INDEX(PointerTest!B:B, MATCH(B8, PointerTest!A:A, 0)), PointerTest!A:A, 0), 0), 'language&amp;DataTest'!A:A, 0), MATCH(HOME!$A$25, 'language&amp;DataTest'!$A$1:$H$1, 0))),                                          
IFERROR(INDEX('language&amp;DataTest'!A:J, MATCH(INDEX( PointerTest!E:E, MATCH(INDEX(PointerTest!B:B, MATCH(B8, PointerTest!A:A, 0)), PointerTest!A:A, 0), 0), 'language&amp;DataTest'!A:A, 0), MATCH(HOME!$A$25, 'language&amp;DataTest'!$A$1:$H$1, 0))))</f>
        <v>Mew</v>
      </c>
      <c r="E8" s="69" t="str">
        <f t="array" ref="E8">INDEX( PointerTest!F:F, MATCH(B8, PointerTest!A:A, 0), 0)</f>
        <v>♢</v>
      </c>
      <c r="F8" s="70">
        <f t="array" ref="F8">LET(percentage,XLOOKUP($E8,$K$2:$K$10,L$2:L$10,"",0)/(COUNTIFS($E:$E,$E8,$D:$D,RegularFormula!$D$2)+COUNTIFS($E:$E,$E8,$D:$D,IF($D8=RegularFormula!$D$2,$K$15,$D8))),IFERROR(IF(percentage,percentage,""),""))</f>
        <v>0.03125</v>
      </c>
      <c r="G8" s="71" t="str">
        <f t="array" ref="G8">LET(percentage,XLOOKUP($E8,$K$2:$K$10,M$2:M$10,"",0)/(COUNTIFS($E:$E,$E8,$D:$D,RegularFormula!$D$2)+COUNTIFS($E:$E,$E8,$D:$D,IF($D8=RegularFormula!$D$2,$K$15,$D8))),IFERROR(IF(percentage,percentage,""),""))</f>
        <v/>
      </c>
      <c r="H8" s="71" t="str">
        <f t="array" ref="H8">LET(percentage,XLOOKUP($E8,$K$2:$K$10,N$2:N$10,"",0)/(COUNTIFS($E:$E,$E8,$D:$D,RegularFormula!$D$2)+COUNTIFS($E:$E,$E8,$D:$D,IF($D8=RegularFormula!$D$2,$K$15,$D8))),IFERROR(IF(percentage,percentage,""),""))</f>
        <v/>
      </c>
      <c r="I8" s="72" t="str">
        <f t="shared" si="1"/>
        <v/>
      </c>
      <c r="J8" s="73">
        <v>0.0</v>
      </c>
      <c r="K8" s="81" t="s">
        <v>81</v>
      </c>
      <c r="L8" s="83">
        <v>0.0</v>
      </c>
      <c r="M8" s="82">
        <v>0.005</v>
      </c>
      <c r="N8" s="87">
        <v>0.02</v>
      </c>
      <c r="O8" s="86" t="str">
        <f>IFERROR(__xludf.DUMMYFUNCTION("""COMPUTED_VALUE"""),"A1a 083")</f>
        <v>A1a 083</v>
      </c>
      <c r="P8" s="86" t="str">
        <f>IFERROR(__xludf.DUMMYFUNCTION("""COMPUTED_VALUE"""),"Mew ex")</f>
        <v>Mew ex</v>
      </c>
      <c r="Q8" s="86" t="str">
        <f>IFERROR(__xludf.DUMMYFUNCTION("""COMPUTED_VALUE"""),"☆☆")</f>
        <v>☆☆</v>
      </c>
      <c r="R8" s="79">
        <f t="shared" si="2"/>
        <v>1250</v>
      </c>
    </row>
    <row r="9">
      <c r="A9" s="217" t="b">
        <v>1</v>
      </c>
      <c r="B9" s="218" t="s">
        <v>457</v>
      </c>
      <c r="C9" s="69" t="str">
        <f t="array" ref="C9">TEXTJOIN("", TRUE, IFERROR(INDEX('language&amp;DataTest'!A:J, MATCH(INDEX( PointerTest!C:C, MATCH(B9, PointerTest!A:A, 0), 0), 'language&amp;DataTest'!A:A, 0), MATCH(HOME!$A$25, 'language&amp;DataTest'!$A$1:$H$1, 0))),                      IFERROR(INDEX('language&amp;DataTest'!A:J, MATCH(INDEX( PointerTest!D:D, MATCH(B9, PointerTest!A:A, 0), 0), 'language&amp;DataTest'!A:A, 0), MATCH(HOME!$A$25, 'language&amp;DataTest'!$A$1:$H$1, 0))),                                          
IFERROR(INDEX('language&amp;DataTest'!A:J, MATCH(INDEX( PointerTest!E:E, MATCH(B9, PointerTest!A:A, 0), 0), 'language&amp;DataTest'!A:A, 0), MATCH(HOME!$A$25, 'language&amp;DataTest'!$A$1:$H$1, 0))))</f>
        <v>Shiinotic</v>
      </c>
      <c r="D9" s="69" t="str">
        <f t="array" ref="D9">TEXTJOIN("", TRUE, 
IFERROR(INDEX('language&amp;DataTest'!A:J, MATCH(INDEX( PointerTest!C:C, MATCH(INDEX(PointerTest!B:B, MATCH(B9, PointerTest!A:A, 0)), PointerTest!A:A, 0), 0), 'language&amp;DataTest'!A:A, 0), MATCH(HOME!$A$25, 'language&amp;DataTest'!$A$1:$H$1, 0))),                      
IFERROR(INDEX('language&amp;DataTest'!A:J, MATCH(INDEX( PointerTest!D:D, MATCH(INDEX(PointerTest!B:B, MATCH(B9, PointerTest!A:A, 0)), PointerTest!A:A, 0), 0), 'language&amp;DataTest'!A:A, 0), MATCH(HOME!$A$25, 'language&amp;DataTest'!$A$1:$H$1, 0))),                                          
IFERROR(INDEX('language&amp;DataTest'!A:J, MATCH(INDEX( PointerTest!E:E, MATCH(INDEX(PointerTest!B:B, MATCH(B9, PointerTest!A:A, 0)), PointerTest!A:A, 0), 0), 'language&amp;DataTest'!A:A, 0), MATCH(HOME!$A$25, 'language&amp;DataTest'!$A$1:$H$1, 0))))</f>
        <v>Mew</v>
      </c>
      <c r="E9" s="69" t="str">
        <f t="array" ref="E9">INDEX( PointerTest!F:F, MATCH(B9, PointerTest!A:A, 0), 0)</f>
        <v>♢♢</v>
      </c>
      <c r="F9" s="70" t="str">
        <f t="array" ref="F9">LET(percentage,XLOOKUP($E9,$K$2:$K$10,L$2:L$10,"",0)/(COUNTIFS($E:$E,$E9,$D:$D,RegularFormula!$D$2)+COUNTIFS($E:$E,$E9,$D:$D,IF($D9=RegularFormula!$D$2,$K$15,$D9))),IFERROR(IF(percentage,percentage,""),""))</f>
        <v/>
      </c>
      <c r="G9" s="71">
        <f t="array" ref="G9">LET(percentage,XLOOKUP($E9,$K$2:$K$10,M$2:M$10,"",0)/(COUNTIFS($E:$E,$E9,$D:$D,RegularFormula!$D$2)+COUNTIFS($E:$E,$E9,$D:$D,IF($D9=RegularFormula!$D$2,$K$15,$D9))),IFERROR(IF(percentage,percentage,""),""))</f>
        <v>0.03913043478</v>
      </c>
      <c r="H9" s="71">
        <f t="array" ref="H9">LET(percentage,XLOOKUP($E9,$K$2:$K$10,N$2:N$10,"",0)/(COUNTIFS($E:$E,$E9,$D:$D,RegularFormula!$D$2)+COUNTIFS($E:$E,$E9,$D:$D,IF($D9=RegularFormula!$D$2,$K$15,$D9))),IFERROR(IF(percentage,percentage,""),""))</f>
        <v>0.02608695652</v>
      </c>
      <c r="I9" s="72" t="str">
        <f t="shared" si="1"/>
        <v/>
      </c>
      <c r="J9" s="73">
        <v>0.0</v>
      </c>
      <c r="K9" s="81" t="s">
        <v>83</v>
      </c>
      <c r="L9" s="83">
        <v>0.0</v>
      </c>
      <c r="M9" s="82">
        <v>0.00222</v>
      </c>
      <c r="N9" s="87">
        <v>0.00888</v>
      </c>
      <c r="O9" s="86" t="str">
        <f>IFERROR(__xludf.DUMMYFUNCTION("""COMPUTED_VALUE"""),"A1a 084")</f>
        <v>A1a 084</v>
      </c>
      <c r="P9" s="86" t="str">
        <f>IFERROR(__xludf.DUMMYFUNCTION("""COMPUTED_VALUE"""),"Aerodactyl ex")</f>
        <v>Aerodactyl ex</v>
      </c>
      <c r="Q9" s="86" t="str">
        <f>IFERROR(__xludf.DUMMYFUNCTION("""COMPUTED_VALUE"""),"☆☆")</f>
        <v>☆☆</v>
      </c>
      <c r="R9" s="79">
        <f t="shared" si="2"/>
        <v>1250</v>
      </c>
    </row>
    <row r="10">
      <c r="A10" s="217" t="b">
        <v>1</v>
      </c>
      <c r="B10" s="218" t="s">
        <v>458</v>
      </c>
      <c r="C10" s="69" t="str">
        <f t="array" ref="C10">TEXTJOIN("", TRUE, IFERROR(INDEX('language&amp;DataTest'!A:J, MATCH(INDEX( PointerTest!C:C, MATCH(B10, PointerTest!A:A, 0), 0), 'language&amp;DataTest'!A:A, 0), MATCH(HOME!$A$25, 'language&amp;DataTest'!$A$1:$H$1, 0))),                      IFERROR(INDEX('language&amp;DataTest'!A:J, MATCH(INDEX( PointerTest!D:D, MATCH(B10, PointerTest!A:A, 0), 0), 'language&amp;DataTest'!A:A, 0), MATCH(HOME!$A$25, 'language&amp;DataTest'!$A$1:$H$1, 0))),                                          
IFERROR(INDEX('language&amp;DataTest'!A:J, MATCH(INDEX( PointerTest!E:E, MATCH(B10, PointerTest!A:A, 0), 0), 'language&amp;DataTest'!A:A, 0), MATCH(HOME!$A$25, 'language&amp;DataTest'!$A$1:$H$1, 0))))</f>
        <v>Dhelmise</v>
      </c>
      <c r="D10" s="69" t="str">
        <f t="array" ref="D10">TEXTJOIN("", TRUE, 
IFERROR(INDEX('language&amp;DataTest'!A:J, MATCH(INDEX( PointerTest!C:C, MATCH(INDEX(PointerTest!B:B, MATCH(B10, PointerTest!A:A, 0)), PointerTest!A:A, 0), 0), 'language&amp;DataTest'!A:A, 0), MATCH(HOME!$A$25, 'language&amp;DataTest'!$A$1:$H$1, 0))),                      
IFERROR(INDEX('language&amp;DataTest'!A:J, MATCH(INDEX( PointerTest!D:D, MATCH(INDEX(PointerTest!B:B, MATCH(B10, PointerTest!A:A, 0)), PointerTest!A:A, 0), 0), 'language&amp;DataTest'!A:A, 0), MATCH(HOME!$A$25, 'language&amp;DataTest'!$A$1:$H$1, 0))),                                          
IFERROR(INDEX('language&amp;DataTest'!A:J, MATCH(INDEX( PointerTest!E:E, MATCH(INDEX(PointerTest!B:B, MATCH(B10, PointerTest!A:A, 0)), PointerTest!A:A, 0), 0), 'language&amp;DataTest'!A:A, 0), MATCH(HOME!$A$25, 'language&amp;DataTest'!$A$1:$H$1, 0))))</f>
        <v>Mew</v>
      </c>
      <c r="E10" s="69" t="str">
        <f t="array" ref="E10">INDEX( PointerTest!F:F, MATCH(B10, PointerTest!A:A, 0), 0)</f>
        <v>♢♢</v>
      </c>
      <c r="F10" s="70" t="str">
        <f t="array" ref="F10">LET(percentage,XLOOKUP($E10,$K$2:$K$10,L$2:L$10,"",0)/(COUNTIFS($E:$E,$E10,$D:$D,RegularFormula!$D$2)+COUNTIFS($E:$E,$E10,$D:$D,IF($D10=RegularFormula!$D$2,$K$15,$D10))),IFERROR(IF(percentage,percentage,""),""))</f>
        <v/>
      </c>
      <c r="G10" s="71">
        <f t="array" ref="G10">LET(percentage,XLOOKUP($E10,$K$2:$K$10,M$2:M$10,"",0)/(COUNTIFS($E:$E,$E10,$D:$D,RegularFormula!$D$2)+COUNTIFS($E:$E,$E10,$D:$D,IF($D10=RegularFormula!$D$2,$K$15,$D10))),IFERROR(IF(percentage,percentage,""),""))</f>
        <v>0.03913043478</v>
      </c>
      <c r="H10" s="71">
        <f t="array" ref="H10">LET(percentage,XLOOKUP($E10,$K$2:$K$10,N$2:N$10,"",0)/(COUNTIFS($E:$E,$E10,$D:$D,RegularFormula!$D$2)+COUNTIFS($E:$E,$E10,$D:$D,IF($D10=RegularFormula!$D$2,$K$15,$D10))),IFERROR(IF(percentage,percentage,""),""))</f>
        <v>0.02608695652</v>
      </c>
      <c r="I10" s="72" t="str">
        <f t="shared" si="1"/>
        <v/>
      </c>
      <c r="J10" s="73">
        <v>0.0</v>
      </c>
      <c r="K10" s="88" t="s">
        <v>85</v>
      </c>
      <c r="L10" s="89">
        <v>0.0</v>
      </c>
      <c r="M10" s="90">
        <v>4.0E-4</v>
      </c>
      <c r="N10" s="91">
        <v>0.0016</v>
      </c>
      <c r="O10" s="86" t="str">
        <f>IFERROR(__xludf.DUMMYFUNCTION("""COMPUTED_VALUE"""),"A1a 086")</f>
        <v>A1a 086</v>
      </c>
      <c r="P10" s="86" t="str">
        <f>IFERROR(__xludf.DUMMYFUNCTION("""COMPUTED_VALUE"""),"Mew ex")</f>
        <v>Mew ex</v>
      </c>
      <c r="Q10" s="86" t="str">
        <f>IFERROR(__xludf.DUMMYFUNCTION("""COMPUTED_VALUE"""),"♛")</f>
        <v>♛</v>
      </c>
      <c r="R10" s="79">
        <f t="shared" si="2"/>
        <v>2500</v>
      </c>
    </row>
    <row r="11">
      <c r="A11" s="217" t="b">
        <v>1</v>
      </c>
      <c r="B11" s="218" t="s">
        <v>459</v>
      </c>
      <c r="C11" s="69" t="str">
        <f t="array" ref="C11">TEXTJOIN("", TRUE, IFERROR(INDEX('language&amp;DataTest'!A:J, MATCH(INDEX( PointerTest!C:C, MATCH(B11, PointerTest!A:A, 0), 0), 'language&amp;DataTest'!A:A, 0), MATCH(HOME!$A$25, 'language&amp;DataTest'!$A$1:$H$1, 0))),                      IFERROR(INDEX('language&amp;DataTest'!A:J, MATCH(INDEX( PointerTest!D:D, MATCH(B11, PointerTest!A:A, 0), 0), 'language&amp;DataTest'!A:A, 0), MATCH(HOME!$A$25, 'language&amp;DataTest'!$A$1:$H$1, 0))),                                          
IFERROR(INDEX('language&amp;DataTest'!A:J, MATCH(INDEX( PointerTest!E:E, MATCH(B11, PointerTest!A:A, 0), 0), 'language&amp;DataTest'!A:A, 0), MATCH(HOME!$A$25, 'language&amp;DataTest'!$A$1:$H$1, 0))))</f>
        <v>Ponyta</v>
      </c>
      <c r="D11" s="69" t="str">
        <f t="array" ref="D11">TEXTJOIN("", TRUE, 
IFERROR(INDEX('language&amp;DataTest'!A:J, MATCH(INDEX( PointerTest!C:C, MATCH(INDEX(PointerTest!B:B, MATCH(B11, PointerTest!A:A, 0)), PointerTest!A:A, 0), 0), 'language&amp;DataTest'!A:A, 0), MATCH(HOME!$A$25, 'language&amp;DataTest'!$A$1:$H$1, 0))),                      
IFERROR(INDEX('language&amp;DataTest'!A:J, MATCH(INDEX( PointerTest!D:D, MATCH(INDEX(PointerTest!B:B, MATCH(B11, PointerTest!A:A, 0)), PointerTest!A:A, 0), 0), 'language&amp;DataTest'!A:A, 0), MATCH(HOME!$A$25, 'language&amp;DataTest'!$A$1:$H$1, 0))),                                          
IFERROR(INDEX('language&amp;DataTest'!A:J, MATCH(INDEX( PointerTest!E:E, MATCH(INDEX(PointerTest!B:B, MATCH(B11, PointerTest!A:A, 0)), PointerTest!A:A, 0), 0), 'language&amp;DataTest'!A:A, 0), MATCH(HOME!$A$25, 'language&amp;DataTest'!$A$1:$H$1, 0))))</f>
        <v>Mew</v>
      </c>
      <c r="E11" s="69" t="str">
        <f t="array" ref="E11">INDEX( PointerTest!F:F, MATCH(B11, PointerTest!A:A, 0), 0)</f>
        <v>♢</v>
      </c>
      <c r="F11" s="70">
        <f t="array" ref="F11">LET(percentage,XLOOKUP($E11,$K$2:$K$10,L$2:L$10,"",0)/(COUNTIFS($E:$E,$E11,$D:$D,RegularFormula!$D$2)+COUNTIFS($E:$E,$E11,$D:$D,IF($D11=RegularFormula!$D$2,$K$15,$D11))),IFERROR(IF(percentage,percentage,""),""))</f>
        <v>0.03125</v>
      </c>
      <c r="G11" s="71" t="str">
        <f t="array" ref="G11">LET(percentage,XLOOKUP($E11,$K$2:$K$10,M$2:M$10,"",0)/(COUNTIFS($E:$E,$E11,$D:$D,RegularFormula!$D$2)+COUNTIFS($E:$E,$E11,$D:$D,IF($D11=RegularFormula!$D$2,$K$15,$D11))),IFERROR(IF(percentage,percentage,""),""))</f>
        <v/>
      </c>
      <c r="H11" s="71" t="str">
        <f t="array" ref="H11">LET(percentage,XLOOKUP($E11,$K$2:$K$10,N$2:N$10,"",0)/(COUNTIFS($E:$E,$E11,$D:$D,RegularFormula!$D$2)+COUNTIFS($E:$E,$E11,$D:$D,IF($D11=RegularFormula!$D$2,$K$15,$D11))),IFERROR(IF(percentage,percentage,""),""))</f>
        <v/>
      </c>
      <c r="I11" s="72" t="str">
        <f t="shared" si="1"/>
        <v/>
      </c>
      <c r="J11" s="73">
        <v>0.0</v>
      </c>
      <c r="K11" s="93" t="s">
        <v>87</v>
      </c>
      <c r="N11" s="94"/>
      <c r="O11" s="86"/>
      <c r="P11" s="86"/>
      <c r="Q11" s="86"/>
      <c r="R11" s="79" t="str">
        <f t="shared" si="2"/>
        <v/>
      </c>
    </row>
    <row r="12">
      <c r="A12" s="217" t="b">
        <v>1</v>
      </c>
      <c r="B12" s="218" t="s">
        <v>460</v>
      </c>
      <c r="C12" s="69" t="str">
        <f t="array" ref="C12">TEXTJOIN("", TRUE, IFERROR(INDEX('language&amp;DataTest'!A:J, MATCH(INDEX( PointerTest!C:C, MATCH(B12, PointerTest!A:A, 0), 0), 'language&amp;DataTest'!A:A, 0), MATCH(HOME!$A$25, 'language&amp;DataTest'!$A$1:$H$1, 0))),                      IFERROR(INDEX('language&amp;DataTest'!A:J, MATCH(INDEX( PointerTest!D:D, MATCH(B12, PointerTest!A:A, 0), 0), 'language&amp;DataTest'!A:A, 0), MATCH(HOME!$A$25, 'language&amp;DataTest'!$A$1:$H$1, 0))),                                          
IFERROR(INDEX('language&amp;DataTest'!A:J, MATCH(INDEX( PointerTest!E:E, MATCH(B12, PointerTest!A:A, 0), 0), 'language&amp;DataTest'!A:A, 0), MATCH(HOME!$A$25, 'language&amp;DataTest'!$A$1:$H$1, 0))))</f>
        <v>Rapidash</v>
      </c>
      <c r="D12" s="69" t="str">
        <f t="array" ref="D12">TEXTJOIN("", TRUE, 
IFERROR(INDEX('language&amp;DataTest'!A:J, MATCH(INDEX( PointerTest!C:C, MATCH(INDEX(PointerTest!B:B, MATCH(B12, PointerTest!A:A, 0)), PointerTest!A:A, 0), 0), 'language&amp;DataTest'!A:A, 0), MATCH(HOME!$A$25, 'language&amp;DataTest'!$A$1:$H$1, 0))),                      
IFERROR(INDEX('language&amp;DataTest'!A:J, MATCH(INDEX( PointerTest!D:D, MATCH(INDEX(PointerTest!B:B, MATCH(B12, PointerTest!A:A, 0)), PointerTest!A:A, 0), 0), 'language&amp;DataTest'!A:A, 0), MATCH(HOME!$A$25, 'language&amp;DataTest'!$A$1:$H$1, 0))),                                          
IFERROR(INDEX('language&amp;DataTest'!A:J, MATCH(INDEX( PointerTest!E:E, MATCH(INDEX(PointerTest!B:B, MATCH(B12, PointerTest!A:A, 0)), PointerTest!A:A, 0), 0), 'language&amp;DataTest'!A:A, 0), MATCH(HOME!$A$25, 'language&amp;DataTest'!$A$1:$H$1, 0))))</f>
        <v>Mew</v>
      </c>
      <c r="E12" s="69" t="str">
        <f t="array" ref="E12">INDEX( PointerTest!F:F, MATCH(B12, PointerTest!A:A, 0), 0)</f>
        <v>♢♢</v>
      </c>
      <c r="F12" s="70" t="str">
        <f t="array" ref="F12">LET(percentage,XLOOKUP($E12,$K$2:$K$10,L$2:L$10,"",0)/(COUNTIFS($E:$E,$E12,$D:$D,RegularFormula!$D$2)+COUNTIFS($E:$E,$E12,$D:$D,IF($D12=RegularFormula!$D$2,$K$15,$D12))),IFERROR(IF(percentage,percentage,""),""))</f>
        <v/>
      </c>
      <c r="G12" s="71">
        <f t="array" ref="G12">LET(percentage,XLOOKUP($E12,$K$2:$K$10,M$2:M$10,"",0)/(COUNTIFS($E:$E,$E12,$D:$D,RegularFormula!$D$2)+COUNTIFS($E:$E,$E12,$D:$D,IF($D12=RegularFormula!$D$2,$K$15,$D12))),IFERROR(IF(percentage,percentage,""),""))</f>
        <v>0.03913043478</v>
      </c>
      <c r="H12" s="71">
        <f t="array" ref="H12">LET(percentage,XLOOKUP($E12,$K$2:$K$10,N$2:N$10,"",0)/(COUNTIFS($E:$E,$E12,$D:$D,RegularFormula!$D$2)+COUNTIFS($E:$E,$E12,$D:$D,IF($D12=RegularFormula!$D$2,$K$15,$D12))),IFERROR(IF(percentage,percentage,""),""))</f>
        <v>0.02608695652</v>
      </c>
      <c r="I12" s="72" t="str">
        <f t="shared" si="1"/>
        <v/>
      </c>
      <c r="J12" s="73">
        <v>0.0</v>
      </c>
      <c r="K12" s="96"/>
      <c r="N12" s="94"/>
      <c r="O12" s="86"/>
      <c r="P12" s="86"/>
      <c r="Q12" s="86"/>
      <c r="R12" s="79" t="str">
        <f t="shared" si="2"/>
        <v/>
      </c>
    </row>
    <row r="13">
      <c r="A13" s="217" t="b">
        <v>1</v>
      </c>
      <c r="B13" s="218" t="s">
        <v>461</v>
      </c>
      <c r="C13" s="69" t="str">
        <f t="array" ref="C13">TEXTJOIN("", TRUE, IFERROR(INDEX('language&amp;DataTest'!A:J, MATCH(INDEX( PointerTest!C:C, MATCH(B13, PointerTest!A:A, 0), 0), 'language&amp;DataTest'!A:A, 0), MATCH(HOME!$A$25, 'language&amp;DataTest'!$A$1:$H$1, 0))),                      IFERROR(INDEX('language&amp;DataTest'!A:J, MATCH(INDEX( PointerTest!D:D, MATCH(B13, PointerTest!A:A, 0), 0), 'language&amp;DataTest'!A:A, 0), MATCH(HOME!$A$25, 'language&amp;DataTest'!$A$1:$H$1, 0))),                                          
IFERROR(INDEX('language&amp;DataTest'!A:J, MATCH(INDEX( PointerTest!E:E, MATCH(B13, PointerTest!A:A, 0), 0), 'language&amp;DataTest'!A:A, 0), MATCH(HOME!$A$25, 'language&amp;DataTest'!$A$1:$H$1, 0))))</f>
        <v>Magmar</v>
      </c>
      <c r="D13" s="69" t="str">
        <f t="array" ref="D13">TEXTJOIN("", TRUE, 
IFERROR(INDEX('language&amp;DataTest'!A:J, MATCH(INDEX( PointerTest!C:C, MATCH(INDEX(PointerTest!B:B, MATCH(B13, PointerTest!A:A, 0)), PointerTest!A:A, 0), 0), 'language&amp;DataTest'!A:A, 0), MATCH(HOME!$A$25, 'language&amp;DataTest'!$A$1:$H$1, 0))),                      
IFERROR(INDEX('language&amp;DataTest'!A:J, MATCH(INDEX( PointerTest!D:D, MATCH(INDEX(PointerTest!B:B, MATCH(B13, PointerTest!A:A, 0)), PointerTest!A:A, 0), 0), 'language&amp;DataTest'!A:A, 0), MATCH(HOME!$A$25, 'language&amp;DataTest'!$A$1:$H$1, 0))),                                          
IFERROR(INDEX('language&amp;DataTest'!A:J, MATCH(INDEX( PointerTest!E:E, MATCH(INDEX(PointerTest!B:B, MATCH(B13, PointerTest!A:A, 0)), PointerTest!A:A, 0), 0), 'language&amp;DataTest'!A:A, 0), MATCH(HOME!$A$25, 'language&amp;DataTest'!$A$1:$H$1, 0))))</f>
        <v>Mew</v>
      </c>
      <c r="E13" s="69" t="str">
        <f t="array" ref="E13">INDEX( PointerTest!F:F, MATCH(B13, PointerTest!A:A, 0), 0)</f>
        <v>♢♢</v>
      </c>
      <c r="F13" s="70" t="str">
        <f t="array" ref="F13">LET(percentage,XLOOKUP($E13,$K$2:$K$10,L$2:L$10,"",0)/(COUNTIFS($E:$E,$E13,$D:$D,RegularFormula!$D$2)+COUNTIFS($E:$E,$E13,$D:$D,IF($D13=RegularFormula!$D$2,$K$15,$D13))),IFERROR(IF(percentage,percentage,""),""))</f>
        <v/>
      </c>
      <c r="G13" s="71">
        <f t="array" ref="G13">LET(percentage,XLOOKUP($E13,$K$2:$K$10,M$2:M$10,"",0)/(COUNTIFS($E:$E,$E13,$D:$D,RegularFormula!$D$2)+COUNTIFS($E:$E,$E13,$D:$D,IF($D13=RegularFormula!$D$2,$K$15,$D13))),IFERROR(IF(percentage,percentage,""),""))</f>
        <v>0.03913043478</v>
      </c>
      <c r="H13" s="71">
        <f t="array" ref="H13">LET(percentage,XLOOKUP($E13,$K$2:$K$10,N$2:N$10,"",0)/(COUNTIFS($E:$E,$E13,$D:$D,RegularFormula!$D$2)+COUNTIFS($E:$E,$E13,$D:$D,IF($D13=RegularFormula!$D$2,$K$15,$D13))),IFERROR(IF(percentage,percentage,""),""))</f>
        <v>0.02608695652</v>
      </c>
      <c r="I13" s="72" t="str">
        <f t="shared" si="1"/>
        <v/>
      </c>
      <c r="J13" s="73">
        <v>0.0</v>
      </c>
      <c r="K13" s="97" t="s">
        <v>91</v>
      </c>
      <c r="L13" s="98" t="s">
        <v>92</v>
      </c>
      <c r="M13" s="98" t="s">
        <v>93</v>
      </c>
      <c r="N13" s="99" t="s">
        <v>94</v>
      </c>
      <c r="O13" s="86"/>
      <c r="P13" s="86"/>
      <c r="Q13" s="86"/>
      <c r="R13" s="79" t="str">
        <f t="shared" si="2"/>
        <v/>
      </c>
    </row>
    <row r="14">
      <c r="A14" s="217" t="b">
        <v>1</v>
      </c>
      <c r="B14" s="218" t="s">
        <v>462</v>
      </c>
      <c r="C14" s="69" t="str">
        <f t="array" ref="C14">TEXTJOIN("", TRUE, IFERROR(INDEX('language&amp;DataTest'!A:J, MATCH(INDEX( PointerTest!C:C, MATCH(B14, PointerTest!A:A, 0), 0), 'language&amp;DataTest'!A:A, 0), MATCH(HOME!$A$25, 'language&amp;DataTest'!$A$1:$H$1, 0))),                      IFERROR(INDEX('language&amp;DataTest'!A:J, MATCH(INDEX( PointerTest!D:D, MATCH(B14, PointerTest!A:A, 0), 0), 'language&amp;DataTest'!A:A, 0), MATCH(HOME!$A$25, 'language&amp;DataTest'!$A$1:$H$1, 0))),                                          
IFERROR(INDEX('language&amp;DataTest'!A:J, MATCH(INDEX( PointerTest!E:E, MATCH(B14, PointerTest!A:A, 0), 0), 'language&amp;DataTest'!A:A, 0), MATCH(HOME!$A$25, 'language&amp;DataTest'!$A$1:$H$1, 0))))</f>
        <v>Larvesta</v>
      </c>
      <c r="D14" s="69" t="str">
        <f t="array" ref="D14">TEXTJOIN("", TRUE, 
IFERROR(INDEX('language&amp;DataTest'!A:J, MATCH(INDEX( PointerTest!C:C, MATCH(INDEX(PointerTest!B:B, MATCH(B14, PointerTest!A:A, 0)), PointerTest!A:A, 0), 0), 'language&amp;DataTest'!A:A, 0), MATCH(HOME!$A$25, 'language&amp;DataTest'!$A$1:$H$1, 0))),                      
IFERROR(INDEX('language&amp;DataTest'!A:J, MATCH(INDEX( PointerTest!D:D, MATCH(INDEX(PointerTest!B:B, MATCH(B14, PointerTest!A:A, 0)), PointerTest!A:A, 0), 0), 'language&amp;DataTest'!A:A, 0), MATCH(HOME!$A$25, 'language&amp;DataTest'!$A$1:$H$1, 0))),                                          
IFERROR(INDEX('language&amp;DataTest'!A:J, MATCH(INDEX( PointerTest!E:E, MATCH(INDEX(PointerTest!B:B, MATCH(B14, PointerTest!A:A, 0)), PointerTest!A:A, 0), 0), 'language&amp;DataTest'!A:A, 0), MATCH(HOME!$A$25, 'language&amp;DataTest'!$A$1:$H$1, 0))))</f>
        <v>Mew</v>
      </c>
      <c r="E14" s="69" t="str">
        <f t="array" ref="E14">INDEX( PointerTest!F:F, MATCH(B14, PointerTest!A:A, 0), 0)</f>
        <v>♢</v>
      </c>
      <c r="F14" s="70">
        <f t="array" ref="F14">LET(percentage,XLOOKUP($E14,$K$2:$K$10,L$2:L$10,"",0)/(COUNTIFS($E:$E,$E14,$D:$D,RegularFormula!$D$2)+COUNTIFS($E:$E,$E14,$D:$D,IF($D14=RegularFormula!$D$2,$K$15,$D14))),IFERROR(IF(percentage,percentage,""),""))</f>
        <v>0.03125</v>
      </c>
      <c r="G14" s="71" t="str">
        <f t="array" ref="G14">LET(percentage,XLOOKUP($E14,$K$2:$K$10,M$2:M$10,"",0)/(COUNTIFS($E:$E,$E14,$D:$D,RegularFormula!$D$2)+COUNTIFS($E:$E,$E14,$D:$D,IF($D14=RegularFormula!$D$2,$K$15,$D14))),IFERROR(IF(percentage,percentage,""),""))</f>
        <v/>
      </c>
      <c r="H14" s="71" t="str">
        <f t="array" ref="H14">LET(percentage,XLOOKUP($E14,$K$2:$K$10,N$2:N$10,"",0)/(COUNTIFS($E:$E,$E14,$D:$D,RegularFormula!$D$2)+COUNTIFS($E:$E,$E14,$D:$D,IF($D14=RegularFormula!$D$2,$K$15,$D14))),IFERROR(IF(percentage,percentage,""),""))</f>
        <v/>
      </c>
      <c r="I14" s="72" t="str">
        <f t="shared" si="1"/>
        <v/>
      </c>
      <c r="J14" s="73">
        <v>0.0</v>
      </c>
      <c r="K14" s="100" t="s">
        <v>96</v>
      </c>
      <c r="L14" s="101">
        <f t="shared" ref="L14:L15" si="3">IFERROR(LEFT($N14,SEARCH("/",$N14)-1)/RIGHT($N14,LEN($N14)-SEARCH("/",$N14)),0)</f>
        <v>0.8953488372</v>
      </c>
      <c r="M14" s="101">
        <f>COUNTIF(A2:A87, FALSE) / COUNTA(A2:A87)</f>
        <v>0.1046511628</v>
      </c>
      <c r="N14" s="102" t="str">
        <f>COUNTIF($A2:$A87, TRUE) &amp; "/" &amp; COUNTA($A2:$A87)</f>
        <v>77/86</v>
      </c>
      <c r="O14" s="103"/>
      <c r="P14" s="103"/>
      <c r="Q14" s="103"/>
      <c r="R14" s="79" t="str">
        <f t="shared" si="2"/>
        <v/>
      </c>
    </row>
    <row r="15">
      <c r="A15" s="217" t="b">
        <v>1</v>
      </c>
      <c r="B15" s="218" t="s">
        <v>463</v>
      </c>
      <c r="C15" s="69" t="str">
        <f t="array" ref="C15">TEXTJOIN("", TRUE, IFERROR(INDEX('language&amp;DataTest'!A:J, MATCH(INDEX( PointerTest!C:C, MATCH(B15, PointerTest!A:A, 0), 0), 'language&amp;DataTest'!A:A, 0), MATCH(HOME!$A$25, 'language&amp;DataTest'!$A$1:$H$1, 0))),                      IFERROR(INDEX('language&amp;DataTest'!A:J, MATCH(INDEX( PointerTest!D:D, MATCH(B15, PointerTest!A:A, 0), 0), 'language&amp;DataTest'!A:A, 0), MATCH(HOME!$A$25, 'language&amp;DataTest'!$A$1:$H$1, 0))),                                          
IFERROR(INDEX('language&amp;DataTest'!A:J, MATCH(INDEX( PointerTest!E:E, MATCH(B15, PointerTest!A:A, 0), 0), 'language&amp;DataTest'!A:A, 0), MATCH(HOME!$A$25, 'language&amp;DataTest'!$A$1:$H$1, 0))))</f>
        <v>Volcarona</v>
      </c>
      <c r="D15" s="69" t="str">
        <f t="array" ref="D15">TEXTJOIN("", TRUE, 
IFERROR(INDEX('language&amp;DataTest'!A:J, MATCH(INDEX( PointerTest!C:C, MATCH(INDEX(PointerTest!B:B, MATCH(B15, PointerTest!A:A, 0)), PointerTest!A:A, 0), 0), 'language&amp;DataTest'!A:A, 0), MATCH(HOME!$A$25, 'language&amp;DataTest'!$A$1:$H$1, 0))),                      
IFERROR(INDEX('language&amp;DataTest'!A:J, MATCH(INDEX( PointerTest!D:D, MATCH(INDEX(PointerTest!B:B, MATCH(B15, PointerTest!A:A, 0)), PointerTest!A:A, 0), 0), 'language&amp;DataTest'!A:A, 0), MATCH(HOME!$A$25, 'language&amp;DataTest'!$A$1:$H$1, 0))),                                          
IFERROR(INDEX('language&amp;DataTest'!A:J, MATCH(INDEX( PointerTest!E:E, MATCH(INDEX(PointerTest!B:B, MATCH(B15, PointerTest!A:A, 0)), PointerTest!A:A, 0), 0), 'language&amp;DataTest'!A:A, 0), MATCH(HOME!$A$25, 'language&amp;DataTest'!$A$1:$H$1, 0))))</f>
        <v>Mew</v>
      </c>
      <c r="E15" s="69" t="str">
        <f t="array" ref="E15">INDEX( PointerTest!F:F, MATCH(B15, PointerTest!A:A, 0), 0)</f>
        <v>♢♢♢</v>
      </c>
      <c r="F15" s="70" t="str">
        <f t="array" ref="F15">LET(percentage,XLOOKUP($E15,$K$2:$K$10,L$2:L$10,"",0)/(COUNTIFS($E:$E,$E15,$D:$D,RegularFormula!$D$2)+COUNTIFS($E:$E,$E15,$D:$D,IF($D15=RegularFormula!$D$2,$K$15,$D15))),IFERROR(IF(percentage,percentage,""),""))</f>
        <v/>
      </c>
      <c r="G15" s="71">
        <f t="array" ref="G15">LET(percentage,XLOOKUP($E15,$K$2:$K$10,M$2:M$10,"",0)/(COUNTIFS($E:$E,$E15,$D:$D,RegularFormula!$D$2)+COUNTIFS($E:$E,$E15,$D:$D,IF($D15=RegularFormula!$D$2,$K$15,$D15))),IFERROR(IF(percentage,percentage,""),""))</f>
        <v>0.00625</v>
      </c>
      <c r="H15" s="71">
        <f t="array" ref="H15">LET(percentage,XLOOKUP($E15,$K$2:$K$10,N$2:N$10,"",0)/(COUNTIFS($E:$E,$E15,$D:$D,RegularFormula!$D$2)+COUNTIFS($E:$E,$E15,$D:$D,IF($D15=RegularFormula!$D$2,$K$15,$D15))),IFERROR(IF(percentage,percentage,""),""))</f>
        <v>0.025</v>
      </c>
      <c r="I15" s="72" t="str">
        <f t="shared" si="1"/>
        <v/>
      </c>
      <c r="J15" s="73">
        <v>0.0</v>
      </c>
      <c r="K15" s="104" t="str">
        <f>C32</f>
        <v>Mew</v>
      </c>
      <c r="L15" s="105">
        <f t="shared" si="3"/>
        <v>0.8953488372</v>
      </c>
      <c r="M15" s="105">
        <f>1-$L15</f>
        <v>0.1046511628</v>
      </c>
      <c r="N15" s="106" t="str">
        <f>(COUNTIFS($A$2:$A87,TRUE,$D$2:$D87,$K15)+COUNTIFS($A$2:$A87,TRUE,$D$2:$D87,RegularFormula!$D$2)&amp; "/" &amp; (COUNTIFS($D$2:$D87,$K15)+COUNTIFS($D$2:$D87,RegularFormula!$D$2)))</f>
        <v>77/86</v>
      </c>
      <c r="O15" s="103"/>
      <c r="P15" s="103"/>
      <c r="Q15" s="103"/>
      <c r="R15" s="79" t="str">
        <f t="shared" si="2"/>
        <v/>
      </c>
    </row>
    <row r="16">
      <c r="A16" s="217" t="b">
        <v>1</v>
      </c>
      <c r="B16" s="218" t="s">
        <v>464</v>
      </c>
      <c r="C16" s="69" t="str">
        <f t="array" ref="C16">TEXTJOIN("", TRUE, IFERROR(INDEX('language&amp;DataTest'!A:J, MATCH(INDEX( PointerTest!C:C, MATCH(B16, PointerTest!A:A, 0), 0), 'language&amp;DataTest'!A:A, 0), MATCH(HOME!$A$25, 'language&amp;DataTest'!$A$1:$H$1, 0))),                      IFERROR(INDEX('language&amp;DataTest'!A:J, MATCH(INDEX( PointerTest!D:D, MATCH(B16, PointerTest!A:A, 0), 0), 'language&amp;DataTest'!A:A, 0), MATCH(HOME!$A$25, 'language&amp;DataTest'!$A$1:$H$1, 0))),                                          
IFERROR(INDEX('language&amp;DataTest'!A:J, MATCH(INDEX( PointerTest!E:E, MATCH(B16, PointerTest!A:A, 0), 0), 'language&amp;DataTest'!A:A, 0), MATCH(HOME!$A$25, 'language&amp;DataTest'!$A$1:$H$1, 0))))</f>
        <v>Salandit</v>
      </c>
      <c r="D16" s="69" t="str">
        <f t="array" ref="D16">TEXTJOIN("", TRUE, 
IFERROR(INDEX('language&amp;DataTest'!A:J, MATCH(INDEX( PointerTest!C:C, MATCH(INDEX(PointerTest!B:B, MATCH(B16, PointerTest!A:A, 0)), PointerTest!A:A, 0), 0), 'language&amp;DataTest'!A:A, 0), MATCH(HOME!$A$25, 'language&amp;DataTest'!$A$1:$H$1, 0))),                      
IFERROR(INDEX('language&amp;DataTest'!A:J, MATCH(INDEX( PointerTest!D:D, MATCH(INDEX(PointerTest!B:B, MATCH(B16, PointerTest!A:A, 0)), PointerTest!A:A, 0), 0), 'language&amp;DataTest'!A:A, 0), MATCH(HOME!$A$25, 'language&amp;DataTest'!$A$1:$H$1, 0))),                                          
IFERROR(INDEX('language&amp;DataTest'!A:J, MATCH(INDEX( PointerTest!E:E, MATCH(INDEX(PointerTest!B:B, MATCH(B16, PointerTest!A:A, 0)), PointerTest!A:A, 0), 0), 'language&amp;DataTest'!A:A, 0), MATCH(HOME!$A$25, 'language&amp;DataTest'!$A$1:$H$1, 0))))</f>
        <v>Mew</v>
      </c>
      <c r="E16" s="69" t="str">
        <f t="array" ref="E16">INDEX( PointerTest!F:F, MATCH(B16, PointerTest!A:A, 0), 0)</f>
        <v>♢</v>
      </c>
      <c r="F16" s="70">
        <f t="array" ref="F16">LET(percentage,XLOOKUP($E16,$K$2:$K$10,L$2:L$10,"",0)/(COUNTIFS($E:$E,$E16,$D:$D,RegularFormula!$D$2)+COUNTIFS($E:$E,$E16,$D:$D,IF($D16=RegularFormula!$D$2,$K$15,$D16))),IFERROR(IF(percentage,percentage,""),""))</f>
        <v>0.03125</v>
      </c>
      <c r="G16" s="71" t="str">
        <f t="array" ref="G16">LET(percentage,XLOOKUP($E16,$K$2:$K$10,M$2:M$10,"",0)/(COUNTIFS($E:$E,$E16,$D:$D,RegularFormula!$D$2)+COUNTIFS($E:$E,$E16,$D:$D,IF($D16=RegularFormula!$D$2,$K$15,$D16))),IFERROR(IF(percentage,percentage,""),""))</f>
        <v/>
      </c>
      <c r="H16" s="71" t="str">
        <f t="array" ref="H16">LET(percentage,XLOOKUP($E16,$K$2:$K$10,N$2:N$10,"",0)/(COUNTIFS($E:$E,$E16,$D:$D,RegularFormula!$D$2)+COUNTIFS($E:$E,$E16,$D:$D,IF($D16=RegularFormula!$D$2,$K$15,$D16))),IFERROR(IF(percentage,percentage,""),""))</f>
        <v/>
      </c>
      <c r="I16" s="72" t="str">
        <f t="shared" si="1"/>
        <v/>
      </c>
      <c r="J16" s="73">
        <v>0.0</v>
      </c>
      <c r="K16" s="219" t="s">
        <v>101</v>
      </c>
      <c r="L16" s="220" t="str">
        <f>IF(M15 = MAX(M15), K15, IF(#REF! = MAX(M15), #REF!, #REF!))</f>
        <v>Mew</v>
      </c>
      <c r="M16" s="127"/>
      <c r="N16" s="221"/>
      <c r="O16" s="103"/>
      <c r="P16" s="103"/>
      <c r="Q16" s="103"/>
      <c r="R16" s="79" t="str">
        <f t="shared" si="2"/>
        <v/>
      </c>
    </row>
    <row r="17">
      <c r="A17" s="217" t="b">
        <v>1</v>
      </c>
      <c r="B17" s="218" t="s">
        <v>465</v>
      </c>
      <c r="C17" s="69" t="str">
        <f t="array" ref="C17">TEXTJOIN("", TRUE, IFERROR(INDEX('language&amp;DataTest'!A:J, MATCH(INDEX( PointerTest!C:C, MATCH(B17, PointerTest!A:A, 0), 0), 'language&amp;DataTest'!A:A, 0), MATCH(HOME!$A$25, 'language&amp;DataTest'!$A$1:$H$1, 0))),                      IFERROR(INDEX('language&amp;DataTest'!A:J, MATCH(INDEX( PointerTest!D:D, MATCH(B17, PointerTest!A:A, 0), 0), 'language&amp;DataTest'!A:A, 0), MATCH(HOME!$A$25, 'language&amp;DataTest'!$A$1:$H$1, 0))),                                          
IFERROR(INDEX('language&amp;DataTest'!A:J, MATCH(INDEX( PointerTest!E:E, MATCH(B17, PointerTest!A:A, 0), 0), 'language&amp;DataTest'!A:A, 0), MATCH(HOME!$A$25, 'language&amp;DataTest'!$A$1:$H$1, 0))))</f>
        <v>Salazzle</v>
      </c>
      <c r="D17" s="69" t="str">
        <f t="array" ref="D17">TEXTJOIN("", TRUE, 
IFERROR(INDEX('language&amp;DataTest'!A:J, MATCH(INDEX( PointerTest!C:C, MATCH(INDEX(PointerTest!B:B, MATCH(B17, PointerTest!A:A, 0)), PointerTest!A:A, 0), 0), 'language&amp;DataTest'!A:A, 0), MATCH(HOME!$A$25, 'language&amp;DataTest'!$A$1:$H$1, 0))),                      
IFERROR(INDEX('language&amp;DataTest'!A:J, MATCH(INDEX( PointerTest!D:D, MATCH(INDEX(PointerTest!B:B, MATCH(B17, PointerTest!A:A, 0)), PointerTest!A:A, 0), 0), 'language&amp;DataTest'!A:A, 0), MATCH(HOME!$A$25, 'language&amp;DataTest'!$A$1:$H$1, 0))),                                          
IFERROR(INDEX('language&amp;DataTest'!A:J, MATCH(INDEX( PointerTest!E:E, MATCH(INDEX(PointerTest!B:B, MATCH(B17, PointerTest!A:A, 0)), PointerTest!A:A, 0), 0), 'language&amp;DataTest'!A:A, 0), MATCH(HOME!$A$25, 'language&amp;DataTest'!$A$1:$H$1, 0))))</f>
        <v>Mew</v>
      </c>
      <c r="E17" s="69" t="str">
        <f t="array" ref="E17">INDEX( PointerTest!F:F, MATCH(B17, PointerTest!A:A, 0), 0)</f>
        <v>♢</v>
      </c>
      <c r="F17" s="70">
        <f t="array" ref="F17">LET(percentage,XLOOKUP($E17,$K$2:$K$10,L$2:L$10,"",0)/(COUNTIFS($E:$E,$E17,$D:$D,RegularFormula!$D$2)+COUNTIFS($E:$E,$E17,$D:$D,IF($D17=RegularFormula!$D$2,$K$15,$D17))),IFERROR(IF(percentage,percentage,""),""))</f>
        <v>0.03125</v>
      </c>
      <c r="G17" s="71" t="str">
        <f t="array" ref="G17">LET(percentage,XLOOKUP($E17,$K$2:$K$10,M$2:M$10,"",0)/(COUNTIFS($E:$E,$E17,$D:$D,RegularFormula!$D$2)+COUNTIFS($E:$E,$E17,$D:$D,IF($D17=RegularFormula!$D$2,$K$15,$D17))),IFERROR(IF(percentage,percentage,""),""))</f>
        <v/>
      </c>
      <c r="H17" s="71" t="str">
        <f t="array" ref="H17">LET(percentage,XLOOKUP($E17,$K$2:$K$10,N$2:N$10,"",0)/(COUNTIFS($E:$E,$E17,$D:$D,RegularFormula!$D$2)+COUNTIFS($E:$E,$E17,$D:$D,IF($D17=RegularFormula!$D$2,$K$15,$D17))),IFERROR(IF(percentage,percentage,""),""))</f>
        <v/>
      </c>
      <c r="I17" s="72" t="str">
        <f t="shared" si="1"/>
        <v/>
      </c>
      <c r="J17" s="73">
        <v>0.0</v>
      </c>
      <c r="K17" s="96"/>
      <c r="N17" s="94"/>
      <c r="O17" s="103"/>
      <c r="P17" s="103"/>
      <c r="Q17" s="103"/>
      <c r="R17" s="79" t="str">
        <f t="shared" si="2"/>
        <v/>
      </c>
    </row>
    <row r="18">
      <c r="A18" s="217" t="b">
        <v>1</v>
      </c>
      <c r="B18" s="218" t="s">
        <v>466</v>
      </c>
      <c r="C18" s="69" t="str">
        <f t="array" ref="C18">TEXTJOIN("", TRUE, IFERROR(INDEX('language&amp;DataTest'!A:J, MATCH(INDEX( PointerTest!C:C, MATCH(B18, PointerTest!A:A, 0), 0), 'language&amp;DataTest'!A:A, 0), MATCH(HOME!$A$25, 'language&amp;DataTest'!$A$1:$H$1, 0))),                      IFERROR(INDEX('language&amp;DataTest'!A:J, MATCH(INDEX( PointerTest!D:D, MATCH(B18, PointerTest!A:A, 0), 0), 'language&amp;DataTest'!A:A, 0), MATCH(HOME!$A$25, 'language&amp;DataTest'!$A$1:$H$1, 0))),                                          
IFERROR(INDEX('language&amp;DataTest'!A:J, MATCH(INDEX( PointerTest!E:E, MATCH(B18, PointerTest!A:A, 0), 0), 'language&amp;DataTest'!A:A, 0), MATCH(HOME!$A$25, 'language&amp;DataTest'!$A$1:$H$1, 0))))</f>
        <v>Magikarp</v>
      </c>
      <c r="D18" s="69" t="str">
        <f t="array" ref="D18">TEXTJOIN("", TRUE, 
IFERROR(INDEX('language&amp;DataTest'!A:J, MATCH(INDEX( PointerTest!C:C, MATCH(INDEX(PointerTest!B:B, MATCH(B18, PointerTest!A:A, 0)), PointerTest!A:A, 0), 0), 'language&amp;DataTest'!A:A, 0), MATCH(HOME!$A$25, 'language&amp;DataTest'!$A$1:$H$1, 0))),                      
IFERROR(INDEX('language&amp;DataTest'!A:J, MATCH(INDEX( PointerTest!D:D, MATCH(INDEX(PointerTest!B:B, MATCH(B18, PointerTest!A:A, 0)), PointerTest!A:A, 0), 0), 'language&amp;DataTest'!A:A, 0), MATCH(HOME!$A$25, 'language&amp;DataTest'!$A$1:$H$1, 0))),                                          
IFERROR(INDEX('language&amp;DataTest'!A:J, MATCH(INDEX( PointerTest!E:E, MATCH(INDEX(PointerTest!B:B, MATCH(B18, PointerTest!A:A, 0)), PointerTest!A:A, 0), 0), 'language&amp;DataTest'!A:A, 0), MATCH(HOME!$A$25, 'language&amp;DataTest'!$A$1:$H$1, 0))))</f>
        <v>Mew</v>
      </c>
      <c r="E18" s="69" t="str">
        <f t="array" ref="E18">INDEX( PointerTest!F:F, MATCH(B18, PointerTest!A:A, 0), 0)</f>
        <v>♢</v>
      </c>
      <c r="F18" s="70">
        <f t="array" ref="F18">LET(percentage,XLOOKUP($E18,$K$2:$K$10,L$2:L$10,"",0)/(COUNTIFS($E:$E,$E18,$D:$D,RegularFormula!$D$2)+COUNTIFS($E:$E,$E18,$D:$D,IF($D18=RegularFormula!$D$2,$K$15,$D18))),IFERROR(IF(percentage,percentage,""),""))</f>
        <v>0.03125</v>
      </c>
      <c r="G18" s="71" t="str">
        <f t="array" ref="G18">LET(percentage,XLOOKUP($E18,$K$2:$K$10,M$2:M$10,"",0)/(COUNTIFS($E:$E,$E18,$D:$D,RegularFormula!$D$2)+COUNTIFS($E:$E,$E18,$D:$D,IF($D18=RegularFormula!$D$2,$K$15,$D18))),IFERROR(IF(percentage,percentage,""),""))</f>
        <v/>
      </c>
      <c r="H18" s="71" t="str">
        <f t="array" ref="H18">LET(percentage,XLOOKUP($E18,$K$2:$K$10,N$2:N$10,"",0)/(COUNTIFS($E:$E,$E18,$D:$D,RegularFormula!$D$2)+COUNTIFS($E:$E,$E18,$D:$D,IF($D18=RegularFormula!$D$2,$K$15,$D18))),IFERROR(IF(percentage,percentage,""),""))</f>
        <v/>
      </c>
      <c r="I18" s="72" t="str">
        <f t="shared" si="1"/>
        <v/>
      </c>
      <c r="J18" s="73">
        <v>0.0</v>
      </c>
      <c r="K18" s="114" t="s">
        <v>104</v>
      </c>
      <c r="L18" s="115"/>
      <c r="M18" s="115"/>
      <c r="N18" s="116"/>
      <c r="O18" s="103"/>
      <c r="P18" s="103"/>
      <c r="Q18" s="103"/>
      <c r="R18" s="79" t="str">
        <f t="shared" si="2"/>
        <v/>
      </c>
    </row>
    <row r="19">
      <c r="A19" s="217" t="b">
        <v>1</v>
      </c>
      <c r="B19" s="218" t="s">
        <v>467</v>
      </c>
      <c r="C19" s="69" t="str">
        <f t="array" ref="C19">TEXTJOIN("", TRUE, IFERROR(INDEX('language&amp;DataTest'!A:J, MATCH(INDEX( PointerTest!C:C, MATCH(B19, PointerTest!A:A, 0), 0), 'language&amp;DataTest'!A:A, 0), MATCH(HOME!$A$25, 'language&amp;DataTest'!$A$1:$H$1, 0))),                      IFERROR(INDEX('language&amp;DataTest'!A:J, MATCH(INDEX( PointerTest!D:D, MATCH(B19, PointerTest!A:A, 0), 0), 'language&amp;DataTest'!A:A, 0), MATCH(HOME!$A$25, 'language&amp;DataTest'!$A$1:$H$1, 0))),                                          
IFERROR(INDEX('language&amp;DataTest'!A:J, MATCH(INDEX( PointerTest!E:E, MATCH(B19, PointerTest!A:A, 0), 0), 'language&amp;DataTest'!A:A, 0), MATCH(HOME!$A$25, 'language&amp;DataTest'!$A$1:$H$1, 0))))</f>
        <v>Gyarados ex</v>
      </c>
      <c r="D19" s="69" t="str">
        <f t="array" ref="D19">TEXTJOIN("", TRUE, 
IFERROR(INDEX('language&amp;DataTest'!A:J, MATCH(INDEX( PointerTest!C:C, MATCH(INDEX(PointerTest!B:B, MATCH(B19, PointerTest!A:A, 0)), PointerTest!A:A, 0), 0), 'language&amp;DataTest'!A:A, 0), MATCH(HOME!$A$25, 'language&amp;DataTest'!$A$1:$H$1, 0))),                      
IFERROR(INDEX('language&amp;DataTest'!A:J, MATCH(INDEX( PointerTest!D:D, MATCH(INDEX(PointerTest!B:B, MATCH(B19, PointerTest!A:A, 0)), PointerTest!A:A, 0), 0), 'language&amp;DataTest'!A:A, 0), MATCH(HOME!$A$25, 'language&amp;DataTest'!$A$1:$H$1, 0))),                                          
IFERROR(INDEX('language&amp;DataTest'!A:J, MATCH(INDEX( PointerTest!E:E, MATCH(INDEX(PointerTest!B:B, MATCH(B19, PointerTest!A:A, 0)), PointerTest!A:A, 0), 0), 'language&amp;DataTest'!A:A, 0), MATCH(HOME!$A$25, 'language&amp;DataTest'!$A$1:$H$1, 0))))</f>
        <v>Mew</v>
      </c>
      <c r="E19" s="69" t="str">
        <f t="array" ref="E19">INDEX( PointerTest!F:F, MATCH(B19, PointerTest!A:A, 0), 0)</f>
        <v>♢♢♢♢</v>
      </c>
      <c r="F19" s="70" t="str">
        <f t="array" ref="F19">LET(percentage,XLOOKUP($E19,$K$2:$K$10,L$2:L$10,"",0)/(COUNTIFS($E:$E,$E19,$D:$D,RegularFormula!$D$2)+COUNTIFS($E:$E,$E19,$D:$D,IF($D19=RegularFormula!$D$2,$K$15,$D19))),IFERROR(IF(percentage,percentage,""),""))</f>
        <v/>
      </c>
      <c r="G19" s="71">
        <f t="array" ref="G19">LET(percentage,XLOOKUP($E19,$K$2:$K$10,M$2:M$10,"",0)/(COUNTIFS($E:$E,$E19,$D:$D,RegularFormula!$D$2)+COUNTIFS($E:$E,$E19,$D:$D,IF($D19=RegularFormula!$D$2,$K$15,$D19))),IFERROR(IF(percentage,percentage,""),""))</f>
        <v>0.003332</v>
      </c>
      <c r="H19" s="71">
        <f t="array" ref="H19">LET(percentage,XLOOKUP($E19,$K$2:$K$10,N$2:N$10,"",0)/(COUNTIFS($E:$E,$E19,$D:$D,RegularFormula!$D$2)+COUNTIFS($E:$E,$E19,$D:$D,IF($D19=RegularFormula!$D$2,$K$15,$D19))),IFERROR(IF(percentage,percentage,""),""))</f>
        <v>0.013328</v>
      </c>
      <c r="I19" s="72" t="str">
        <f t="shared" si="1"/>
        <v/>
      </c>
      <c r="J19" s="73">
        <v>0.0</v>
      </c>
      <c r="K19" s="118"/>
      <c r="N19" s="119"/>
      <c r="O19" s="103"/>
      <c r="P19" s="103"/>
      <c r="Q19" s="103"/>
      <c r="R19" s="79" t="str">
        <f t="shared" si="2"/>
        <v/>
      </c>
    </row>
    <row r="20">
      <c r="A20" s="217" t="b">
        <v>1</v>
      </c>
      <c r="B20" s="218" t="s">
        <v>468</v>
      </c>
      <c r="C20" s="69" t="str">
        <f t="array" ref="C20">TEXTJOIN("", TRUE, IFERROR(INDEX('language&amp;DataTest'!A:J, MATCH(INDEX( PointerTest!C:C, MATCH(B20, PointerTest!A:A, 0), 0), 'language&amp;DataTest'!A:A, 0), MATCH(HOME!$A$25, 'language&amp;DataTest'!$A$1:$H$1, 0))),                      IFERROR(INDEX('language&amp;DataTest'!A:J, MATCH(INDEX( PointerTest!D:D, MATCH(B20, PointerTest!A:A, 0), 0), 'language&amp;DataTest'!A:A, 0), MATCH(HOME!$A$25, 'language&amp;DataTest'!$A$1:$H$1, 0))),                                          
IFERROR(INDEX('language&amp;DataTest'!A:J, MATCH(INDEX( PointerTest!E:E, MATCH(B20, PointerTest!A:A, 0), 0), 'language&amp;DataTest'!A:A, 0), MATCH(HOME!$A$25, 'language&amp;DataTest'!$A$1:$H$1, 0))))</f>
        <v>Vaporeon</v>
      </c>
      <c r="D20" s="69" t="str">
        <f t="array" ref="D20">TEXTJOIN("", TRUE, 
IFERROR(INDEX('language&amp;DataTest'!A:J, MATCH(INDEX( PointerTest!C:C, MATCH(INDEX(PointerTest!B:B, MATCH(B20, PointerTest!A:A, 0)), PointerTest!A:A, 0), 0), 'language&amp;DataTest'!A:A, 0), MATCH(HOME!$A$25, 'language&amp;DataTest'!$A$1:$H$1, 0))),                      
IFERROR(INDEX('language&amp;DataTest'!A:J, MATCH(INDEX( PointerTest!D:D, MATCH(INDEX(PointerTest!B:B, MATCH(B20, PointerTest!A:A, 0)), PointerTest!A:A, 0), 0), 'language&amp;DataTest'!A:A, 0), MATCH(HOME!$A$25, 'language&amp;DataTest'!$A$1:$H$1, 0))),                                          
IFERROR(INDEX('language&amp;DataTest'!A:J, MATCH(INDEX( PointerTest!E:E, MATCH(INDEX(PointerTest!B:B, MATCH(B20, PointerTest!A:A, 0)), PointerTest!A:A, 0), 0), 'language&amp;DataTest'!A:A, 0), MATCH(HOME!$A$25, 'language&amp;DataTest'!$A$1:$H$1, 0))))</f>
        <v>Mew</v>
      </c>
      <c r="E20" s="69" t="str">
        <f t="array" ref="E20">INDEX( PointerTest!F:F, MATCH(B20, PointerTest!A:A, 0), 0)</f>
        <v>♢♢♢</v>
      </c>
      <c r="F20" s="70" t="str">
        <f t="array" ref="F20">LET(percentage,XLOOKUP($E20,$K$2:$K$10,L$2:L$10,"",0)/(COUNTIFS($E:$E,$E20,$D:$D,RegularFormula!$D$2)+COUNTIFS($E:$E,$E20,$D:$D,IF($D20=RegularFormula!$D$2,$K$15,$D20))),IFERROR(IF(percentage,percentage,""),""))</f>
        <v/>
      </c>
      <c r="G20" s="71">
        <f t="array" ref="G20">LET(percentage,XLOOKUP($E20,$K$2:$K$10,M$2:M$10,"",0)/(COUNTIFS($E:$E,$E20,$D:$D,RegularFormula!$D$2)+COUNTIFS($E:$E,$E20,$D:$D,IF($D20=RegularFormula!$D$2,$K$15,$D20))),IFERROR(IF(percentage,percentage,""),""))</f>
        <v>0.00625</v>
      </c>
      <c r="H20" s="71">
        <f t="array" ref="H20">LET(percentage,XLOOKUP($E20,$K$2:$K$10,N$2:N$10,"",0)/(COUNTIFS($E:$E,$E20,$D:$D,RegularFormula!$D$2)+COUNTIFS($E:$E,$E20,$D:$D,IF($D20=RegularFormula!$D$2,$K$15,$D20))),IFERROR(IF(percentage,percentage,""),""))</f>
        <v>0.025</v>
      </c>
      <c r="I20" s="72" t="str">
        <f t="shared" si="1"/>
        <v/>
      </c>
      <c r="J20" s="73">
        <v>0.0</v>
      </c>
      <c r="K20" s="121" t="b">
        <v>1</v>
      </c>
      <c r="L20" s="69" t="s">
        <v>71</v>
      </c>
      <c r="M20" s="122" t="b">
        <v>1</v>
      </c>
      <c r="N20" s="222" t="s">
        <v>79</v>
      </c>
      <c r="O20" s="86"/>
      <c r="P20" s="86"/>
      <c r="Q20" s="86"/>
      <c r="R20" s="79" t="str">
        <f t="shared" si="2"/>
        <v/>
      </c>
    </row>
    <row r="21">
      <c r="A21" s="217" t="b">
        <v>1</v>
      </c>
      <c r="B21" s="218" t="s">
        <v>469</v>
      </c>
      <c r="C21" s="69" t="str">
        <f t="array" ref="C21">TEXTJOIN("", TRUE, IFERROR(INDEX('language&amp;DataTest'!A:J, MATCH(INDEX( PointerTest!C:C, MATCH(B21, PointerTest!A:A, 0), 0), 'language&amp;DataTest'!A:A, 0), MATCH(HOME!$A$25, 'language&amp;DataTest'!$A$1:$H$1, 0))),                      IFERROR(INDEX('language&amp;DataTest'!A:J, MATCH(INDEX( PointerTest!D:D, MATCH(B21, PointerTest!A:A, 0), 0), 'language&amp;DataTest'!A:A, 0), MATCH(HOME!$A$25, 'language&amp;DataTest'!$A$1:$H$1, 0))),                                          
IFERROR(INDEX('language&amp;DataTest'!A:J, MATCH(INDEX( PointerTest!E:E, MATCH(B21, PointerTest!A:A, 0), 0), 'language&amp;DataTest'!A:A, 0), MATCH(HOME!$A$25, 'language&amp;DataTest'!$A$1:$H$1, 0))))</f>
        <v>Finneon</v>
      </c>
      <c r="D21" s="69" t="str">
        <f t="array" ref="D21">TEXTJOIN("", TRUE, 
IFERROR(INDEX('language&amp;DataTest'!A:J, MATCH(INDEX( PointerTest!C:C, MATCH(INDEX(PointerTest!B:B, MATCH(B21, PointerTest!A:A, 0)), PointerTest!A:A, 0), 0), 'language&amp;DataTest'!A:A, 0), MATCH(HOME!$A$25, 'language&amp;DataTest'!$A$1:$H$1, 0))),                      
IFERROR(INDEX('language&amp;DataTest'!A:J, MATCH(INDEX( PointerTest!D:D, MATCH(INDEX(PointerTest!B:B, MATCH(B21, PointerTest!A:A, 0)), PointerTest!A:A, 0), 0), 'language&amp;DataTest'!A:A, 0), MATCH(HOME!$A$25, 'language&amp;DataTest'!$A$1:$H$1, 0))),                                          
IFERROR(INDEX('language&amp;DataTest'!A:J, MATCH(INDEX( PointerTest!E:E, MATCH(INDEX(PointerTest!B:B, MATCH(B21, PointerTest!A:A, 0)), PointerTest!A:A, 0), 0), 'language&amp;DataTest'!A:A, 0), MATCH(HOME!$A$25, 'language&amp;DataTest'!$A$1:$H$1, 0))))</f>
        <v>Mew</v>
      </c>
      <c r="E21" s="69" t="str">
        <f t="array" ref="E21">INDEX( PointerTest!F:F, MATCH(B21, PointerTest!A:A, 0), 0)</f>
        <v>♢</v>
      </c>
      <c r="F21" s="70">
        <f t="array" ref="F21">LET(percentage,XLOOKUP($E21,$K$2:$K$10,L$2:L$10,"",0)/(COUNTIFS($E:$E,$E21,$D:$D,RegularFormula!$D$2)+COUNTIFS($E:$E,$E21,$D:$D,IF($D21=RegularFormula!$D$2,$K$15,$D21))),IFERROR(IF(percentage,percentage,""),""))</f>
        <v>0.03125</v>
      </c>
      <c r="G21" s="71" t="str">
        <f t="array" ref="G21">LET(percentage,XLOOKUP($E21,$K$2:$K$10,M$2:M$10,"",0)/(COUNTIFS($E:$E,$E21,$D:$D,RegularFormula!$D$2)+COUNTIFS($E:$E,$E21,$D:$D,IF($D21=RegularFormula!$D$2,$K$15,$D21))),IFERROR(IF(percentage,percentage,""),""))</f>
        <v/>
      </c>
      <c r="H21" s="71" t="str">
        <f t="array" ref="H21">LET(percentage,XLOOKUP($E21,$K$2:$K$10,N$2:N$10,"",0)/(COUNTIFS($E:$E,$E21,$D:$D,RegularFormula!$D$2)+COUNTIFS($E:$E,$E21,$D:$D,IF($D21=RegularFormula!$D$2,$K$15,$D21))),IFERROR(IF(percentage,percentage,""),""))</f>
        <v/>
      </c>
      <c r="I21" s="72" t="str">
        <f t="shared" si="1"/>
        <v/>
      </c>
      <c r="J21" s="73">
        <v>0.0</v>
      </c>
      <c r="K21" s="121" t="b">
        <v>1</v>
      </c>
      <c r="L21" s="69" t="s">
        <v>73</v>
      </c>
      <c r="M21" s="122" t="b">
        <v>1</v>
      </c>
      <c r="N21" s="222" t="s">
        <v>81</v>
      </c>
      <c r="O21" s="86"/>
      <c r="P21" s="86"/>
      <c r="Q21" s="86"/>
      <c r="R21" s="79" t="str">
        <f t="shared" si="2"/>
        <v/>
      </c>
    </row>
    <row r="22">
      <c r="A22" s="217" t="b">
        <v>1</v>
      </c>
      <c r="B22" s="218" t="s">
        <v>470</v>
      </c>
      <c r="C22" s="69" t="str">
        <f t="array" ref="C22">TEXTJOIN("", TRUE, IFERROR(INDEX('language&amp;DataTest'!A:J, MATCH(INDEX( PointerTest!C:C, MATCH(B22, PointerTest!A:A, 0), 0), 'language&amp;DataTest'!A:A, 0), MATCH(HOME!$A$25, 'language&amp;DataTest'!$A$1:$H$1, 0))),                      IFERROR(INDEX('language&amp;DataTest'!A:J, MATCH(INDEX( PointerTest!D:D, MATCH(B22, PointerTest!A:A, 0), 0), 'language&amp;DataTest'!A:A, 0), MATCH(HOME!$A$25, 'language&amp;DataTest'!$A$1:$H$1, 0))),                                          
IFERROR(INDEX('language&amp;DataTest'!A:J, MATCH(INDEX( PointerTest!E:E, MATCH(B22, PointerTest!A:A, 0), 0), 'language&amp;DataTest'!A:A, 0), MATCH(HOME!$A$25, 'language&amp;DataTest'!$A$1:$H$1, 0))))</f>
        <v>Lumineon</v>
      </c>
      <c r="D22" s="69" t="str">
        <f t="array" ref="D22">TEXTJOIN("", TRUE, 
IFERROR(INDEX('language&amp;DataTest'!A:J, MATCH(INDEX( PointerTest!C:C, MATCH(INDEX(PointerTest!B:B, MATCH(B22, PointerTest!A:A, 0)), PointerTest!A:A, 0), 0), 'language&amp;DataTest'!A:A, 0), MATCH(HOME!$A$25, 'language&amp;DataTest'!$A$1:$H$1, 0))),                      
IFERROR(INDEX('language&amp;DataTest'!A:J, MATCH(INDEX( PointerTest!D:D, MATCH(INDEX(PointerTest!B:B, MATCH(B22, PointerTest!A:A, 0)), PointerTest!A:A, 0), 0), 'language&amp;DataTest'!A:A, 0), MATCH(HOME!$A$25, 'language&amp;DataTest'!$A$1:$H$1, 0))),                                          
IFERROR(INDEX('language&amp;DataTest'!A:J, MATCH(INDEX( PointerTest!E:E, MATCH(INDEX(PointerTest!B:B, MATCH(B22, PointerTest!A:A, 0)), PointerTest!A:A, 0), 0), 'language&amp;DataTest'!A:A, 0), MATCH(HOME!$A$25, 'language&amp;DataTest'!$A$1:$H$1, 0))))</f>
        <v>Mew</v>
      </c>
      <c r="E22" s="69" t="str">
        <f t="array" ref="E22">INDEX( PointerTest!F:F, MATCH(B22, PointerTest!A:A, 0), 0)</f>
        <v>♢♢</v>
      </c>
      <c r="F22" s="70" t="str">
        <f t="array" ref="F22">LET(percentage,XLOOKUP($E22,$K$2:$K$10,L$2:L$10,"",0)/(COUNTIFS($E:$E,$E22,$D:$D,RegularFormula!$D$2)+COUNTIFS($E:$E,$E22,$D:$D,IF($D22=RegularFormula!$D$2,$K$15,$D22))),IFERROR(IF(percentage,percentage,""),""))</f>
        <v/>
      </c>
      <c r="G22" s="71">
        <f t="array" ref="G22">LET(percentage,XLOOKUP($E22,$K$2:$K$10,M$2:M$10,"",0)/(COUNTIFS($E:$E,$E22,$D:$D,RegularFormula!$D$2)+COUNTIFS($E:$E,$E22,$D:$D,IF($D22=RegularFormula!$D$2,$K$15,$D22))),IFERROR(IF(percentage,percentage,""),""))</f>
        <v>0.03913043478</v>
      </c>
      <c r="H22" s="71">
        <f t="array" ref="H22">LET(percentage,XLOOKUP($E22,$K$2:$K$10,N$2:N$10,"",0)/(COUNTIFS($E:$E,$E22,$D:$D,RegularFormula!$D$2)+COUNTIFS($E:$E,$E22,$D:$D,IF($D22=RegularFormula!$D$2,$K$15,$D22))),IFERROR(IF(percentage,percentage,""),""))</f>
        <v>0.02608695652</v>
      </c>
      <c r="I22" s="72" t="str">
        <f t="shared" si="1"/>
        <v/>
      </c>
      <c r="J22" s="73">
        <v>0.0</v>
      </c>
      <c r="K22" s="121" t="b">
        <v>1</v>
      </c>
      <c r="L22" s="69" t="s">
        <v>75</v>
      </c>
      <c r="M22" s="122" t="b">
        <v>1</v>
      </c>
      <c r="N22" s="222" t="s">
        <v>83</v>
      </c>
      <c r="O22" s="86"/>
      <c r="P22" s="86"/>
      <c r="Q22" s="86"/>
      <c r="R22" s="79" t="str">
        <f t="shared" si="2"/>
        <v/>
      </c>
    </row>
    <row r="23">
      <c r="A23" s="217" t="b">
        <v>1</v>
      </c>
      <c r="B23" s="218" t="s">
        <v>471</v>
      </c>
      <c r="C23" s="69" t="str">
        <f t="array" ref="C23">TEXTJOIN("", TRUE, IFERROR(INDEX('language&amp;DataTest'!A:J, MATCH(INDEX( PointerTest!C:C, MATCH(B23, PointerTest!A:A, 0), 0), 'language&amp;DataTest'!A:A, 0), MATCH(HOME!$A$25, 'language&amp;DataTest'!$A$1:$H$1, 0))),                      IFERROR(INDEX('language&amp;DataTest'!A:J, MATCH(INDEX( PointerTest!D:D, MATCH(B23, PointerTest!A:A, 0), 0), 'language&amp;DataTest'!A:A, 0), MATCH(HOME!$A$25, 'language&amp;DataTest'!$A$1:$H$1, 0))),                                          
IFERROR(INDEX('language&amp;DataTest'!A:J, MATCH(INDEX( PointerTest!E:E, MATCH(B23, PointerTest!A:A, 0), 0), 'language&amp;DataTest'!A:A, 0), MATCH(HOME!$A$25, 'language&amp;DataTest'!$A$1:$H$1, 0))))</f>
        <v>Chewtle</v>
      </c>
      <c r="D23" s="69" t="str">
        <f t="array" ref="D23">TEXTJOIN("", TRUE, 
IFERROR(INDEX('language&amp;DataTest'!A:J, MATCH(INDEX( PointerTest!C:C, MATCH(INDEX(PointerTest!B:B, MATCH(B23, PointerTest!A:A, 0)), PointerTest!A:A, 0), 0), 'language&amp;DataTest'!A:A, 0), MATCH(HOME!$A$25, 'language&amp;DataTest'!$A$1:$H$1, 0))),                      
IFERROR(INDEX('language&amp;DataTest'!A:J, MATCH(INDEX( PointerTest!D:D, MATCH(INDEX(PointerTest!B:B, MATCH(B23, PointerTest!A:A, 0)), PointerTest!A:A, 0), 0), 'language&amp;DataTest'!A:A, 0), MATCH(HOME!$A$25, 'language&amp;DataTest'!$A$1:$H$1, 0))),                                          
IFERROR(INDEX('language&amp;DataTest'!A:J, MATCH(INDEX( PointerTest!E:E, MATCH(INDEX(PointerTest!B:B, MATCH(B23, PointerTest!A:A, 0)), PointerTest!A:A, 0), 0), 'language&amp;DataTest'!A:A, 0), MATCH(HOME!$A$25, 'language&amp;DataTest'!$A$1:$H$1, 0))))</f>
        <v>Mew</v>
      </c>
      <c r="E23" s="69" t="str">
        <f t="array" ref="E23">INDEX( PointerTest!F:F, MATCH(B23, PointerTest!A:A, 0), 0)</f>
        <v>♢</v>
      </c>
      <c r="F23" s="70">
        <f t="array" ref="F23">LET(percentage,XLOOKUP($E23,$K$2:$K$10,L$2:L$10,"",0)/(COUNTIFS($E:$E,$E23,$D:$D,RegularFormula!$D$2)+COUNTIFS($E:$E,$E23,$D:$D,IF($D23=RegularFormula!$D$2,$K$15,$D23))),IFERROR(IF(percentage,percentage,""),""))</f>
        <v>0.03125</v>
      </c>
      <c r="G23" s="71" t="str">
        <f t="array" ref="G23">LET(percentage,XLOOKUP($E23,$K$2:$K$10,M$2:M$10,"",0)/(COUNTIFS($E:$E,$E23,$D:$D,RegularFormula!$D$2)+COUNTIFS($E:$E,$E23,$D:$D,IF($D23=RegularFormula!$D$2,$K$15,$D23))),IFERROR(IF(percentage,percentage,""),""))</f>
        <v/>
      </c>
      <c r="H23" s="71" t="str">
        <f t="array" ref="H23">LET(percentage,XLOOKUP($E23,$K$2:$K$10,N$2:N$10,"",0)/(COUNTIFS($E:$E,$E23,$D:$D,RegularFormula!$D$2)+COUNTIFS($E:$E,$E23,$D:$D,IF($D23=RegularFormula!$D$2,$K$15,$D23))),IFERROR(IF(percentage,percentage,""),""))</f>
        <v/>
      </c>
      <c r="I23" s="72" t="str">
        <f t="shared" si="1"/>
        <v/>
      </c>
      <c r="J23" s="73">
        <v>0.0</v>
      </c>
      <c r="K23" s="121" t="b">
        <v>1</v>
      </c>
      <c r="L23" s="69" t="s">
        <v>77</v>
      </c>
      <c r="M23" s="122" t="b">
        <v>1</v>
      </c>
      <c r="N23" s="222" t="s">
        <v>85</v>
      </c>
      <c r="O23" s="86"/>
      <c r="P23" s="86"/>
      <c r="Q23" s="86"/>
      <c r="R23" s="79" t="str">
        <f t="shared" si="2"/>
        <v/>
      </c>
    </row>
    <row r="24">
      <c r="A24" s="217" t="b">
        <v>1</v>
      </c>
      <c r="B24" s="218" t="s">
        <v>472</v>
      </c>
      <c r="C24" s="69" t="str">
        <f t="array" ref="C24">TEXTJOIN("", TRUE, IFERROR(INDEX('language&amp;DataTest'!A:J, MATCH(INDEX( PointerTest!C:C, MATCH(B24, PointerTest!A:A, 0), 0), 'language&amp;DataTest'!A:A, 0), MATCH(HOME!$A$25, 'language&amp;DataTest'!$A$1:$H$1, 0))),                      IFERROR(INDEX('language&amp;DataTest'!A:J, MATCH(INDEX( PointerTest!D:D, MATCH(B24, PointerTest!A:A, 0), 0), 'language&amp;DataTest'!A:A, 0), MATCH(HOME!$A$25, 'language&amp;DataTest'!$A$1:$H$1, 0))),                                          
IFERROR(INDEX('language&amp;DataTest'!A:J, MATCH(INDEX( PointerTest!E:E, MATCH(B24, PointerTest!A:A, 0), 0), 'language&amp;DataTest'!A:A, 0), MATCH(HOME!$A$25, 'language&amp;DataTest'!$A$1:$H$1, 0))))</f>
        <v>Drednaw</v>
      </c>
      <c r="D24" s="69" t="str">
        <f t="array" ref="D24">TEXTJOIN("", TRUE, 
IFERROR(INDEX('language&amp;DataTest'!A:J, MATCH(INDEX( PointerTest!C:C, MATCH(INDEX(PointerTest!B:B, MATCH(B24, PointerTest!A:A, 0)), PointerTest!A:A, 0), 0), 'language&amp;DataTest'!A:A, 0), MATCH(HOME!$A$25, 'language&amp;DataTest'!$A$1:$H$1, 0))),                      
IFERROR(INDEX('language&amp;DataTest'!A:J, MATCH(INDEX( PointerTest!D:D, MATCH(INDEX(PointerTest!B:B, MATCH(B24, PointerTest!A:A, 0)), PointerTest!A:A, 0), 0), 'language&amp;DataTest'!A:A, 0), MATCH(HOME!$A$25, 'language&amp;DataTest'!$A$1:$H$1, 0))),                                          
IFERROR(INDEX('language&amp;DataTest'!A:J, MATCH(INDEX( PointerTest!E:E, MATCH(INDEX(PointerTest!B:B, MATCH(B24, PointerTest!A:A, 0)), PointerTest!A:A, 0), 0), 'language&amp;DataTest'!A:A, 0), MATCH(HOME!$A$25, 'language&amp;DataTest'!$A$1:$H$1, 0))))</f>
        <v>Mew</v>
      </c>
      <c r="E24" s="69" t="str">
        <f t="array" ref="E24">INDEX( PointerTest!F:F, MATCH(B24, PointerTest!A:A, 0), 0)</f>
        <v>♢♢</v>
      </c>
      <c r="F24" s="70" t="str">
        <f t="array" ref="F24">LET(percentage,XLOOKUP($E24,$K$2:$K$10,L$2:L$10,"",0)/(COUNTIFS($E:$E,$E24,$D:$D,RegularFormula!$D$2)+COUNTIFS($E:$E,$E24,$D:$D,IF($D24=RegularFormula!$D$2,$K$15,$D24))),IFERROR(IF(percentage,percentage,""),""))</f>
        <v/>
      </c>
      <c r="G24" s="71">
        <f t="array" ref="G24">LET(percentage,XLOOKUP($E24,$K$2:$K$10,M$2:M$10,"",0)/(COUNTIFS($E:$E,$E24,$D:$D,RegularFormula!$D$2)+COUNTIFS($E:$E,$E24,$D:$D,IF($D24=RegularFormula!$D$2,$K$15,$D24))),IFERROR(IF(percentage,percentage,""),""))</f>
        <v>0.03913043478</v>
      </c>
      <c r="H24" s="71">
        <f t="array" ref="H24">LET(percentage,XLOOKUP($E24,$K$2:$K$10,N$2:N$10,"",0)/(COUNTIFS($E:$E,$E24,$D:$D,RegularFormula!$D$2)+COUNTIFS($E:$E,$E24,$D:$D,IF($D24=RegularFormula!$D$2,$K$15,$D24))),IFERROR(IF(percentage,percentage,""),""))</f>
        <v>0.02608695652</v>
      </c>
      <c r="I24" s="72" t="str">
        <f t="shared" si="1"/>
        <v/>
      </c>
      <c r="J24" s="73">
        <v>0.0</v>
      </c>
      <c r="K24" s="123" t="b">
        <v>0</v>
      </c>
      <c r="L24" s="124" t="s">
        <v>112</v>
      </c>
      <c r="M24" s="124" t="b">
        <f>HOME!A27</f>
        <v>0</v>
      </c>
      <c r="N24" s="223" t="s">
        <v>113</v>
      </c>
      <c r="O24" s="86"/>
      <c r="P24" s="86"/>
      <c r="Q24" s="86"/>
      <c r="R24" s="79" t="str">
        <f t="shared" si="2"/>
        <v/>
      </c>
    </row>
    <row r="25">
      <c r="A25" s="217" t="b">
        <v>1</v>
      </c>
      <c r="B25" s="218" t="s">
        <v>473</v>
      </c>
      <c r="C25" s="69" t="str">
        <f t="array" ref="C25">TEXTJOIN("", TRUE, IFERROR(INDEX('language&amp;DataTest'!A:J, MATCH(INDEX( PointerTest!C:C, MATCH(B25, PointerTest!A:A, 0), 0), 'language&amp;DataTest'!A:A, 0), MATCH(HOME!$A$25, 'language&amp;DataTest'!$A$1:$H$1, 0))),                      IFERROR(INDEX('language&amp;DataTest'!A:J, MATCH(INDEX( PointerTest!D:D, MATCH(B25, PointerTest!A:A, 0), 0), 'language&amp;DataTest'!A:A, 0), MATCH(HOME!$A$25, 'language&amp;DataTest'!$A$1:$H$1, 0))),                                          
IFERROR(INDEX('language&amp;DataTest'!A:J, MATCH(INDEX( PointerTest!E:E, MATCH(B25, PointerTest!A:A, 0), 0), 'language&amp;DataTest'!A:A, 0), MATCH(HOME!$A$25, 'language&amp;DataTest'!$A$1:$H$1, 0))))</f>
        <v>Cramorant</v>
      </c>
      <c r="D25" s="69" t="str">
        <f t="array" ref="D25">TEXTJOIN("", TRUE, 
IFERROR(INDEX('language&amp;DataTest'!A:J, MATCH(INDEX( PointerTest!C:C, MATCH(INDEX(PointerTest!B:B, MATCH(B25, PointerTest!A:A, 0)), PointerTest!A:A, 0), 0), 'language&amp;DataTest'!A:A, 0), MATCH(HOME!$A$25, 'language&amp;DataTest'!$A$1:$H$1, 0))),                      
IFERROR(INDEX('language&amp;DataTest'!A:J, MATCH(INDEX( PointerTest!D:D, MATCH(INDEX(PointerTest!B:B, MATCH(B25, PointerTest!A:A, 0)), PointerTest!A:A, 0), 0), 'language&amp;DataTest'!A:A, 0), MATCH(HOME!$A$25, 'language&amp;DataTest'!$A$1:$H$1, 0))),                                          
IFERROR(INDEX('language&amp;DataTest'!A:J, MATCH(INDEX( PointerTest!E:E, MATCH(INDEX(PointerTest!B:B, MATCH(B25, PointerTest!A:A, 0)), PointerTest!A:A, 0), 0), 'language&amp;DataTest'!A:A, 0), MATCH(HOME!$A$25, 'language&amp;DataTest'!$A$1:$H$1, 0))))</f>
        <v>Mew</v>
      </c>
      <c r="E25" s="69" t="str">
        <f t="array" ref="E25">INDEX( PointerTest!F:F, MATCH(B25, PointerTest!A:A, 0), 0)</f>
        <v>♢</v>
      </c>
      <c r="F25" s="70">
        <f t="array" ref="F25">LET(percentage,XLOOKUP($E25,$K$2:$K$10,L$2:L$10,"",0)/(COUNTIFS($E:$E,$E25,$D:$D,RegularFormula!$D$2)+COUNTIFS($E:$E,$E25,$D:$D,IF($D25=RegularFormula!$D$2,$K$15,$D25))),IFERROR(IF(percentage,percentage,""),""))</f>
        <v>0.03125</v>
      </c>
      <c r="G25" s="71" t="str">
        <f t="array" ref="G25">LET(percentage,XLOOKUP($E25,$K$2:$K$10,M$2:M$10,"",0)/(COUNTIFS($E:$E,$E25,$D:$D,RegularFormula!$D$2)+COUNTIFS($E:$E,$E25,$D:$D,IF($D25=RegularFormula!$D$2,$K$15,$D25))),IFERROR(IF(percentage,percentage,""),""))</f>
        <v/>
      </c>
      <c r="H25" s="71" t="str">
        <f t="array" ref="H25">LET(percentage,XLOOKUP($E25,$K$2:$K$10,N$2:N$10,"",0)/(COUNTIFS($E:$E,$E25,$D:$D,RegularFormula!$D$2)+COUNTIFS($E:$E,$E25,$D:$D,IF($D25=RegularFormula!$D$2,$K$15,$D25))),IFERROR(IF(percentage,percentage,""),""))</f>
        <v/>
      </c>
      <c r="I25" s="72" t="str">
        <f t="shared" si="1"/>
        <v/>
      </c>
      <c r="J25" s="73">
        <v>0.0</v>
      </c>
      <c r="K25" s="126" t="s">
        <v>115</v>
      </c>
      <c r="L25" s="127"/>
      <c r="M25" s="127"/>
      <c r="N25" s="128"/>
      <c r="O25" s="86"/>
      <c r="P25" s="86"/>
      <c r="Q25" s="86"/>
      <c r="R25" s="79" t="str">
        <f t="shared" si="2"/>
        <v/>
      </c>
    </row>
    <row r="26">
      <c r="A26" s="217" t="b">
        <v>1</v>
      </c>
      <c r="B26" s="218" t="s">
        <v>474</v>
      </c>
      <c r="C26" s="69" t="str">
        <f t="array" ref="C26">TEXTJOIN("", TRUE, IFERROR(INDEX('language&amp;DataTest'!A:J, MATCH(INDEX( PointerTest!C:C, MATCH(B26, PointerTest!A:A, 0), 0), 'language&amp;DataTest'!A:A, 0), MATCH(HOME!$A$25, 'language&amp;DataTest'!$A$1:$H$1, 0))),                      IFERROR(INDEX('language&amp;DataTest'!A:J, MATCH(INDEX( PointerTest!D:D, MATCH(B26, PointerTest!A:A, 0), 0), 'language&amp;DataTest'!A:A, 0), MATCH(HOME!$A$25, 'language&amp;DataTest'!$A$1:$H$1, 0))),                                          
IFERROR(INDEX('language&amp;DataTest'!A:J, MATCH(INDEX( PointerTest!E:E, MATCH(B26, PointerTest!A:A, 0), 0), 'language&amp;DataTest'!A:A, 0), MATCH(HOME!$A$25, 'language&amp;DataTest'!$A$1:$H$1, 0))))</f>
        <v>Pikachu</v>
      </c>
      <c r="D26" s="69" t="str">
        <f t="array" ref="D26">TEXTJOIN("", TRUE, 
IFERROR(INDEX('language&amp;DataTest'!A:J, MATCH(INDEX( PointerTest!C:C, MATCH(INDEX(PointerTest!B:B, MATCH(B26, PointerTest!A:A, 0)), PointerTest!A:A, 0), 0), 'language&amp;DataTest'!A:A, 0), MATCH(HOME!$A$25, 'language&amp;DataTest'!$A$1:$H$1, 0))),                      
IFERROR(INDEX('language&amp;DataTest'!A:J, MATCH(INDEX( PointerTest!D:D, MATCH(INDEX(PointerTest!B:B, MATCH(B26, PointerTest!A:A, 0)), PointerTest!A:A, 0), 0), 'language&amp;DataTest'!A:A, 0), MATCH(HOME!$A$25, 'language&amp;DataTest'!$A$1:$H$1, 0))),                                          
IFERROR(INDEX('language&amp;DataTest'!A:J, MATCH(INDEX( PointerTest!E:E, MATCH(INDEX(PointerTest!B:B, MATCH(B26, PointerTest!A:A, 0)), PointerTest!A:A, 0), 0), 'language&amp;DataTest'!A:A, 0), MATCH(HOME!$A$25, 'language&amp;DataTest'!$A$1:$H$1, 0))))</f>
        <v>Mew</v>
      </c>
      <c r="E26" s="69" t="str">
        <f t="array" ref="E26">INDEX( PointerTest!F:F, MATCH(B26, PointerTest!A:A, 0), 0)</f>
        <v>♢</v>
      </c>
      <c r="F26" s="70">
        <f t="array" ref="F26">LET(percentage,XLOOKUP($E26,$K$2:$K$10,L$2:L$10,"",0)/(COUNTIFS($E:$E,$E26,$D:$D,RegularFormula!$D$2)+COUNTIFS($E:$E,$E26,$D:$D,IF($D26=RegularFormula!$D$2,$K$15,$D26))),IFERROR(IF(percentage,percentage,""),""))</f>
        <v>0.03125</v>
      </c>
      <c r="G26" s="71" t="str">
        <f t="array" ref="G26">LET(percentage,XLOOKUP($E26,$K$2:$K$10,M$2:M$10,"",0)/(COUNTIFS($E:$E,$E26,$D:$D,RegularFormula!$D$2)+COUNTIFS($E:$E,$E26,$D:$D,IF($D26=RegularFormula!$D$2,$K$15,$D26))),IFERROR(IF(percentage,percentage,""),""))</f>
        <v/>
      </c>
      <c r="H26" s="71" t="str">
        <f t="array" ref="H26">LET(percentage,XLOOKUP($E26,$K$2:$K$10,N$2:N$10,"",0)/(COUNTIFS($E:$E,$E26,$D:$D,RegularFormula!$D$2)+COUNTIFS($E:$E,$E26,$D:$D,IF($D26=RegularFormula!$D$2,$K$15,$D26))),IFERROR(IF(percentage,percentage,""),""))</f>
        <v/>
      </c>
      <c r="I26" s="72" t="str">
        <f t="shared" si="1"/>
        <v/>
      </c>
      <c r="J26" s="73">
        <v>0.0</v>
      </c>
      <c r="K26" s="129" t="s">
        <v>475</v>
      </c>
      <c r="L26" s="130" t="s">
        <v>92</v>
      </c>
      <c r="M26" s="130" t="s">
        <v>93</v>
      </c>
      <c r="N26" s="133" t="s">
        <v>94</v>
      </c>
      <c r="O26" s="86"/>
      <c r="P26" s="86"/>
      <c r="Q26" s="86"/>
      <c r="R26" s="79" t="str">
        <f t="shared" si="2"/>
        <v/>
      </c>
    </row>
    <row r="27">
      <c r="A27" s="217" t="b">
        <v>1</v>
      </c>
      <c r="B27" s="218" t="s">
        <v>476</v>
      </c>
      <c r="C27" s="69" t="str">
        <f t="array" ref="C27">TEXTJOIN("", TRUE, IFERROR(INDEX('language&amp;DataTest'!A:J, MATCH(INDEX( PointerTest!C:C, MATCH(B27, PointerTest!A:A, 0), 0), 'language&amp;DataTest'!A:A, 0), MATCH(HOME!$A$25, 'language&amp;DataTest'!$A$1:$H$1, 0))),                      IFERROR(INDEX('language&amp;DataTest'!A:J, MATCH(INDEX( PointerTest!D:D, MATCH(B27, PointerTest!A:A, 0), 0), 'language&amp;DataTest'!A:A, 0), MATCH(HOME!$A$25, 'language&amp;DataTest'!$A$1:$H$1, 0))),                                          
IFERROR(INDEX('language&amp;DataTest'!A:J, MATCH(INDEX( PointerTest!E:E, MATCH(B27, PointerTest!A:A, 0), 0), 'language&amp;DataTest'!A:A, 0), MATCH(HOME!$A$25, 'language&amp;DataTest'!$A$1:$H$1, 0))))</f>
        <v>Raichu</v>
      </c>
      <c r="D27" s="69" t="str">
        <f t="array" ref="D27">TEXTJOIN("", TRUE, 
IFERROR(INDEX('language&amp;DataTest'!A:J, MATCH(INDEX( PointerTest!C:C, MATCH(INDEX(PointerTest!B:B, MATCH(B27, PointerTest!A:A, 0)), PointerTest!A:A, 0), 0), 'language&amp;DataTest'!A:A, 0), MATCH(HOME!$A$25, 'language&amp;DataTest'!$A$1:$H$1, 0))),                      
IFERROR(INDEX('language&amp;DataTest'!A:J, MATCH(INDEX( PointerTest!D:D, MATCH(INDEX(PointerTest!B:B, MATCH(B27, PointerTest!A:A, 0)), PointerTest!A:A, 0), 0), 'language&amp;DataTest'!A:A, 0), MATCH(HOME!$A$25, 'language&amp;DataTest'!$A$1:$H$1, 0))),                                          
IFERROR(INDEX('language&amp;DataTest'!A:J, MATCH(INDEX( PointerTest!E:E, MATCH(INDEX(PointerTest!B:B, MATCH(B27, PointerTest!A:A, 0)), PointerTest!A:A, 0), 0), 'language&amp;DataTest'!A:A, 0), MATCH(HOME!$A$25, 'language&amp;DataTest'!$A$1:$H$1, 0))))</f>
        <v>Mew</v>
      </c>
      <c r="E27" s="69" t="str">
        <f t="array" ref="E27">INDEX( PointerTest!F:F, MATCH(B27, PointerTest!A:A, 0), 0)</f>
        <v>♢♢♢</v>
      </c>
      <c r="F27" s="70" t="str">
        <f t="array" ref="F27">LET(percentage,XLOOKUP($E27,$K$2:$K$10,L$2:L$10,"",0)/(COUNTIFS($E:$E,$E27,$D:$D,RegularFormula!$D$2)+COUNTIFS($E:$E,$E27,$D:$D,IF($D27=RegularFormula!$D$2,$K$15,$D27))),IFERROR(IF(percentage,percentage,""),""))</f>
        <v/>
      </c>
      <c r="G27" s="71">
        <f t="array" ref="G27">LET(percentage,XLOOKUP($E27,$K$2:$K$10,M$2:M$10,"",0)/(COUNTIFS($E:$E,$E27,$D:$D,RegularFormula!$D$2)+COUNTIFS($E:$E,$E27,$D:$D,IF($D27=RegularFormula!$D$2,$K$15,$D27))),IFERROR(IF(percentage,percentage,""),""))</f>
        <v>0.00625</v>
      </c>
      <c r="H27" s="71">
        <f t="array" ref="H27">LET(percentage,XLOOKUP($E27,$K$2:$K$10,N$2:N$10,"",0)/(COUNTIFS($E:$E,$E27,$D:$D,RegularFormula!$D$2)+COUNTIFS($E:$E,$E27,$D:$D,IF($D27=RegularFormula!$D$2,$K$15,$D27))),IFERROR(IF(percentage,percentage,""),""))</f>
        <v>0.025</v>
      </c>
      <c r="I27" s="72" t="str">
        <f t="shared" si="1"/>
        <v/>
      </c>
      <c r="J27" s="73">
        <v>0.0</v>
      </c>
      <c r="K27" s="131" t="s">
        <v>96</v>
      </c>
      <c r="L27" s="132">
        <f t="shared" ref="L27:L28" si="4">IFERROR(LEFT($N27,SEARCH("/",$N27)-1)/RIGHT($N27,LEN($N27)-SEARCH("/",$N27)),0)</f>
        <v>0.8953488372</v>
      </c>
      <c r="M27" s="132">
        <f t="shared" ref="M27:M28" si="5">1-$L27</f>
        <v>0.1046511628</v>
      </c>
      <c r="N27" s="133" t="str">
        <f t="array" ref="N27">SUMPRODUCT(COUNTIFS($A$2:$A87,TRUE,$E$2:$E87,CardCategories),{$K$20:$K$23;$M$20:$M$23}) &amp; "/" &amp; SUMPRODUCT(COUNTIFS($E$2:$E87,CardCategories),{$K$20:$K$23;$M$20:$M$23})</f>
        <v>77/86</v>
      </c>
      <c r="O27" s="103"/>
      <c r="P27" s="103"/>
      <c r="Q27" s="103"/>
      <c r="R27" s="79" t="str">
        <f t="shared" si="2"/>
        <v/>
      </c>
    </row>
    <row r="28">
      <c r="A28" s="217" t="b">
        <v>1</v>
      </c>
      <c r="B28" s="218" t="s">
        <v>477</v>
      </c>
      <c r="C28" s="69" t="str">
        <f t="array" ref="C28">TEXTJOIN("", TRUE, IFERROR(INDEX('language&amp;DataTest'!A:J, MATCH(INDEX( PointerTest!C:C, MATCH(B28, PointerTest!A:A, 0), 0), 'language&amp;DataTest'!A:A, 0), MATCH(HOME!$A$25, 'language&amp;DataTest'!$A$1:$H$1, 0))),                      IFERROR(INDEX('language&amp;DataTest'!A:J, MATCH(INDEX( PointerTest!D:D, MATCH(B28, PointerTest!A:A, 0), 0), 'language&amp;DataTest'!A:A, 0), MATCH(HOME!$A$25, 'language&amp;DataTest'!$A$1:$H$1, 0))),                                          
IFERROR(INDEX('language&amp;DataTest'!A:J, MATCH(INDEX( PointerTest!E:E, MATCH(B28, PointerTest!A:A, 0), 0), 'language&amp;DataTest'!A:A, 0), MATCH(HOME!$A$25, 'language&amp;DataTest'!$A$1:$H$1, 0))))</f>
        <v>Electabuzz</v>
      </c>
      <c r="D28" s="69" t="str">
        <f t="array" ref="D28">TEXTJOIN("", TRUE, 
IFERROR(INDEX('language&amp;DataTest'!A:J, MATCH(INDEX( PointerTest!C:C, MATCH(INDEX(PointerTest!B:B, MATCH(B28, PointerTest!A:A, 0)), PointerTest!A:A, 0), 0), 'language&amp;DataTest'!A:A, 0), MATCH(HOME!$A$25, 'language&amp;DataTest'!$A$1:$H$1, 0))),                      
IFERROR(INDEX('language&amp;DataTest'!A:J, MATCH(INDEX( PointerTest!D:D, MATCH(INDEX(PointerTest!B:B, MATCH(B28, PointerTest!A:A, 0)), PointerTest!A:A, 0), 0), 'language&amp;DataTest'!A:A, 0), MATCH(HOME!$A$25, 'language&amp;DataTest'!$A$1:$H$1, 0))),                                          
IFERROR(INDEX('language&amp;DataTest'!A:J, MATCH(INDEX( PointerTest!E:E, MATCH(INDEX(PointerTest!B:B, MATCH(B28, PointerTest!A:A, 0)), PointerTest!A:A, 0), 0), 'language&amp;DataTest'!A:A, 0), MATCH(HOME!$A$25, 'language&amp;DataTest'!$A$1:$H$1, 0))))</f>
        <v>Mew</v>
      </c>
      <c r="E28" s="69" t="str">
        <f t="array" ref="E28">INDEX( PointerTest!F:F, MATCH(B28, PointerTest!A:A, 0), 0)</f>
        <v>♢♢</v>
      </c>
      <c r="F28" s="70" t="str">
        <f t="array" ref="F28">LET(percentage,XLOOKUP($E28,$K$2:$K$10,L$2:L$10,"",0)/(COUNTIFS($E:$E,$E28,$D:$D,RegularFormula!$D$2)+COUNTIFS($E:$E,$E28,$D:$D,IF($D28=RegularFormula!$D$2,$K$15,$D28))),IFERROR(IF(percentage,percentage,""),""))</f>
        <v/>
      </c>
      <c r="G28" s="71">
        <f t="array" ref="G28">LET(percentage,XLOOKUP($E28,$K$2:$K$10,M$2:M$10,"",0)/(COUNTIFS($E:$E,$E28,$D:$D,RegularFormula!$D$2)+COUNTIFS($E:$E,$E28,$D:$D,IF($D28=RegularFormula!$D$2,$K$15,$D28))),IFERROR(IF(percentage,percentage,""),""))</f>
        <v>0.03913043478</v>
      </c>
      <c r="H28" s="71">
        <f t="array" ref="H28">LET(percentage,XLOOKUP($E28,$K$2:$K$10,N$2:N$10,"",0)/(COUNTIFS($E:$E,$E28,$D:$D,RegularFormula!$D$2)+COUNTIFS($E:$E,$E28,$D:$D,IF($D28=RegularFormula!$D$2,$K$15,$D28))),IFERROR(IF(percentage,percentage,""),""))</f>
        <v>0.02608695652</v>
      </c>
      <c r="I28" s="72" t="str">
        <f t="shared" si="1"/>
        <v/>
      </c>
      <c r="J28" s="73">
        <v>0.0</v>
      </c>
      <c r="K28" s="134" t="str">
        <f>C32</f>
        <v>Mew</v>
      </c>
      <c r="L28" s="132">
        <f t="shared" si="4"/>
        <v>0.8953488372</v>
      </c>
      <c r="M28" s="132">
        <f t="shared" si="5"/>
        <v>0.1046511628</v>
      </c>
      <c r="N28" s="135" t="str">
        <f t="array" ref="N28">SUMPRODUCT(COUNTIFS($A$2:$A87,TRUE,$E$2:$E87,CardCategories,$D$2:$D87,$K28),{$K$20:$K$23;$M$20:$M$23}) &amp; "/" &amp; SUMPRODUCT(COUNTIFS($E$2:$E87,CardCategories,$D$2:$D87,$K28),{$K$20:$K$23;$M$20:$M$23})</f>
        <v>77/86</v>
      </c>
      <c r="O28" s="103"/>
      <c r="P28" s="103"/>
      <c r="Q28" s="103"/>
      <c r="R28" s="79" t="str">
        <f t="shared" si="2"/>
        <v/>
      </c>
    </row>
    <row r="29">
      <c r="A29" s="217" t="b">
        <v>1</v>
      </c>
      <c r="B29" s="218" t="s">
        <v>478</v>
      </c>
      <c r="C29" s="69" t="str">
        <f t="array" ref="C29">TEXTJOIN("", TRUE, IFERROR(INDEX('language&amp;DataTest'!A:J, MATCH(INDEX( PointerTest!C:C, MATCH(B29, PointerTest!A:A, 0), 0), 'language&amp;DataTest'!A:A, 0), MATCH(HOME!$A$25, 'language&amp;DataTest'!$A$1:$H$1, 0))),                      IFERROR(INDEX('language&amp;DataTest'!A:J, MATCH(INDEX( PointerTest!D:D, MATCH(B29, PointerTest!A:A, 0), 0), 'language&amp;DataTest'!A:A, 0), MATCH(HOME!$A$25, 'language&amp;DataTest'!$A$1:$H$1, 0))),                                          
IFERROR(INDEX('language&amp;DataTest'!A:J, MATCH(INDEX( PointerTest!E:E, MATCH(B29, PointerTest!A:A, 0), 0), 'language&amp;DataTest'!A:A, 0), MATCH(HOME!$A$25, 'language&amp;DataTest'!$A$1:$H$1, 0))))</f>
        <v>Joltik</v>
      </c>
      <c r="D29" s="69" t="str">
        <f t="array" ref="D29">TEXTJOIN("", TRUE, 
IFERROR(INDEX('language&amp;DataTest'!A:J, MATCH(INDEX( PointerTest!C:C, MATCH(INDEX(PointerTest!B:B, MATCH(B29, PointerTest!A:A, 0)), PointerTest!A:A, 0), 0), 'language&amp;DataTest'!A:A, 0), MATCH(HOME!$A$25, 'language&amp;DataTest'!$A$1:$H$1, 0))),                      
IFERROR(INDEX('language&amp;DataTest'!A:J, MATCH(INDEX( PointerTest!D:D, MATCH(INDEX(PointerTest!B:B, MATCH(B29, PointerTest!A:A, 0)), PointerTest!A:A, 0), 0), 'language&amp;DataTest'!A:A, 0), MATCH(HOME!$A$25, 'language&amp;DataTest'!$A$1:$H$1, 0))),                                          
IFERROR(INDEX('language&amp;DataTest'!A:J, MATCH(INDEX( PointerTest!E:E, MATCH(INDEX(PointerTest!B:B, MATCH(B29, PointerTest!A:A, 0)), PointerTest!A:A, 0), 0), 'language&amp;DataTest'!A:A, 0), MATCH(HOME!$A$25, 'language&amp;DataTest'!$A$1:$H$1, 0))))</f>
        <v>Mew</v>
      </c>
      <c r="E29" s="69" t="str">
        <f t="array" ref="E29">INDEX( PointerTest!F:F, MATCH(B29, PointerTest!A:A, 0), 0)</f>
        <v>♢</v>
      </c>
      <c r="F29" s="70">
        <f t="array" ref="F29">LET(percentage,XLOOKUP($E29,$K$2:$K$10,L$2:L$10,"",0)/(COUNTIFS($E:$E,$E29,$D:$D,RegularFormula!$D$2)+COUNTIFS($E:$E,$E29,$D:$D,IF($D29=RegularFormula!$D$2,$K$15,$D29))),IFERROR(IF(percentage,percentage,""),""))</f>
        <v>0.03125</v>
      </c>
      <c r="G29" s="71" t="str">
        <f t="array" ref="G29">LET(percentage,XLOOKUP($E29,$K$2:$K$10,M$2:M$10,"",0)/(COUNTIFS($E:$E,$E29,$D:$D,RegularFormula!$D$2)+COUNTIFS($E:$E,$E29,$D:$D,IF($D29=RegularFormula!$D$2,$K$15,$D29))),IFERROR(IF(percentage,percentage,""),""))</f>
        <v/>
      </c>
      <c r="H29" s="71" t="str">
        <f t="array" ref="H29">LET(percentage,XLOOKUP($E29,$K$2:$K$10,N$2:N$10,"",0)/(COUNTIFS($E:$E,$E29,$D:$D,RegularFormula!$D$2)+COUNTIFS($E:$E,$E29,$D:$D,IF($D29=RegularFormula!$D$2,$K$15,$D29))),IFERROR(IF(percentage,percentage,""),""))</f>
        <v/>
      </c>
      <c r="I29" s="72" t="str">
        <f t="shared" si="1"/>
        <v/>
      </c>
      <c r="J29" s="73">
        <v>0.0</v>
      </c>
      <c r="K29" s="139" t="s">
        <v>101</v>
      </c>
      <c r="L29" s="140" t="str">
        <f>IF(M28 = MAX(M28), K28, IF(#REF! = MAX(M28), #REF!, #REF!))</f>
        <v>Mew</v>
      </c>
      <c r="N29" s="119"/>
      <c r="O29" s="103"/>
      <c r="P29" s="103"/>
      <c r="Q29" s="103"/>
      <c r="R29" s="79" t="str">
        <f t="shared" si="2"/>
        <v/>
      </c>
    </row>
    <row r="30">
      <c r="A30" s="217" t="b">
        <v>1</v>
      </c>
      <c r="B30" s="218" t="s">
        <v>479</v>
      </c>
      <c r="C30" s="69" t="str">
        <f t="array" ref="C30">TEXTJOIN("", TRUE, IFERROR(INDEX('language&amp;DataTest'!A:J, MATCH(INDEX( PointerTest!C:C, MATCH(B30, PointerTest!A:A, 0), 0), 'language&amp;DataTest'!A:A, 0), MATCH(HOME!$A$25, 'language&amp;DataTest'!$A$1:$H$1, 0))),                      IFERROR(INDEX('language&amp;DataTest'!A:J, MATCH(INDEX( PointerTest!D:D, MATCH(B30, PointerTest!A:A, 0), 0), 'language&amp;DataTest'!A:A, 0), MATCH(HOME!$A$25, 'language&amp;DataTest'!$A$1:$H$1, 0))),                                          
IFERROR(INDEX('language&amp;DataTest'!A:J, MATCH(INDEX( PointerTest!E:E, MATCH(B30, PointerTest!A:A, 0), 0), 'language&amp;DataTest'!A:A, 0), MATCH(HOME!$A$25, 'language&amp;DataTest'!$A$1:$H$1, 0))))</f>
        <v>Galvantula</v>
      </c>
      <c r="D30" s="69" t="str">
        <f t="array" ref="D30">TEXTJOIN("", TRUE, 
IFERROR(INDEX('language&amp;DataTest'!A:J, MATCH(INDEX( PointerTest!C:C, MATCH(INDEX(PointerTest!B:B, MATCH(B30, PointerTest!A:A, 0)), PointerTest!A:A, 0), 0), 'language&amp;DataTest'!A:A, 0), MATCH(HOME!$A$25, 'language&amp;DataTest'!$A$1:$H$1, 0))),                      
IFERROR(INDEX('language&amp;DataTest'!A:J, MATCH(INDEX( PointerTest!D:D, MATCH(INDEX(PointerTest!B:B, MATCH(B30, PointerTest!A:A, 0)), PointerTest!A:A, 0), 0), 'language&amp;DataTest'!A:A, 0), MATCH(HOME!$A$25, 'language&amp;DataTest'!$A$1:$H$1, 0))),                                          
IFERROR(INDEX('language&amp;DataTest'!A:J, MATCH(INDEX( PointerTest!E:E, MATCH(INDEX(PointerTest!B:B, MATCH(B30, PointerTest!A:A, 0)), PointerTest!A:A, 0), 0), 'language&amp;DataTest'!A:A, 0), MATCH(HOME!$A$25, 'language&amp;DataTest'!$A$1:$H$1, 0))))</f>
        <v>Mew</v>
      </c>
      <c r="E30" s="69" t="str">
        <f t="array" ref="E30">INDEX( PointerTest!F:F, MATCH(B30, PointerTest!A:A, 0), 0)</f>
        <v>♢♢</v>
      </c>
      <c r="F30" s="70" t="str">
        <f t="array" ref="F30">LET(percentage,XLOOKUP($E30,$K$2:$K$10,L$2:L$10,"",0)/(COUNTIFS($E:$E,$E30,$D:$D,RegularFormula!$D$2)+COUNTIFS($E:$E,$E30,$D:$D,IF($D30=RegularFormula!$D$2,$K$15,$D30))),IFERROR(IF(percentage,percentage,""),""))</f>
        <v/>
      </c>
      <c r="G30" s="71">
        <f t="array" ref="G30">LET(percentage,XLOOKUP($E30,$K$2:$K$10,M$2:M$10,"",0)/(COUNTIFS($E:$E,$E30,$D:$D,RegularFormula!$D$2)+COUNTIFS($E:$E,$E30,$D:$D,IF($D30=RegularFormula!$D$2,$K$15,$D30))),IFERROR(IF(percentage,percentage,""),""))</f>
        <v>0.03913043478</v>
      </c>
      <c r="H30" s="71">
        <f t="array" ref="H30">LET(percentage,XLOOKUP($E30,$K$2:$K$10,N$2:N$10,"",0)/(COUNTIFS($E:$E,$E30,$D:$D,RegularFormula!$D$2)+COUNTIFS($E:$E,$E30,$D:$D,IF($D30=RegularFormula!$D$2,$K$15,$D30))),IFERROR(IF(percentage,percentage,""),""))</f>
        <v>0.02608695652</v>
      </c>
      <c r="I30" s="72" t="str">
        <f t="shared" si="1"/>
        <v/>
      </c>
      <c r="J30" s="73">
        <v>0.0</v>
      </c>
      <c r="K30" s="118"/>
      <c r="N30" s="119"/>
      <c r="O30" s="103"/>
      <c r="P30" s="103"/>
      <c r="Q30" s="103"/>
      <c r="R30" s="79" t="str">
        <f t="shared" si="2"/>
        <v/>
      </c>
    </row>
    <row r="31">
      <c r="A31" s="217" t="b">
        <v>1</v>
      </c>
      <c r="B31" s="218" t="s">
        <v>480</v>
      </c>
      <c r="C31" s="69" t="str">
        <f t="array" ref="C31">TEXTJOIN("", TRUE, IFERROR(INDEX('language&amp;DataTest'!A:J, MATCH(INDEX( PointerTest!C:C, MATCH(B31, PointerTest!A:A, 0), 0), 'language&amp;DataTest'!A:A, 0), MATCH(HOME!$A$25, 'language&amp;DataTest'!$A$1:$H$1, 0))),                      IFERROR(INDEX('language&amp;DataTest'!A:J, MATCH(INDEX( PointerTest!D:D, MATCH(B31, PointerTest!A:A, 0), 0), 'language&amp;DataTest'!A:A, 0), MATCH(HOME!$A$25, 'language&amp;DataTest'!$A$1:$H$1, 0))),                                          
IFERROR(INDEX('language&amp;DataTest'!A:J, MATCH(INDEX( PointerTest!E:E, MATCH(B31, PointerTest!A:A, 0), 0), 'language&amp;DataTest'!A:A, 0), MATCH(HOME!$A$25, 'language&amp;DataTest'!$A$1:$H$1, 0))))</f>
        <v>Dedenne</v>
      </c>
      <c r="D31" s="69" t="str">
        <f t="array" ref="D31">TEXTJOIN("", TRUE, 
IFERROR(INDEX('language&amp;DataTest'!A:J, MATCH(INDEX( PointerTest!C:C, MATCH(INDEX(PointerTest!B:B, MATCH(B31, PointerTest!A:A, 0)), PointerTest!A:A, 0), 0), 'language&amp;DataTest'!A:A, 0), MATCH(HOME!$A$25, 'language&amp;DataTest'!$A$1:$H$1, 0))),                      
IFERROR(INDEX('language&amp;DataTest'!A:J, MATCH(INDEX( PointerTest!D:D, MATCH(INDEX(PointerTest!B:B, MATCH(B31, PointerTest!A:A, 0)), PointerTest!A:A, 0), 0), 'language&amp;DataTest'!A:A, 0), MATCH(HOME!$A$25, 'language&amp;DataTest'!$A$1:$H$1, 0))),                                          
IFERROR(INDEX('language&amp;DataTest'!A:J, MATCH(INDEX( PointerTest!E:E, MATCH(INDEX(PointerTest!B:B, MATCH(B31, PointerTest!A:A, 0)), PointerTest!A:A, 0), 0), 'language&amp;DataTest'!A:A, 0), MATCH(HOME!$A$25, 'language&amp;DataTest'!$A$1:$H$1, 0))))</f>
        <v>Mew</v>
      </c>
      <c r="E31" s="69" t="str">
        <f t="array" ref="E31">INDEX( PointerTest!F:F, MATCH(B31, PointerTest!A:A, 0), 0)</f>
        <v>♢</v>
      </c>
      <c r="F31" s="70">
        <f t="array" ref="F31">LET(percentage,XLOOKUP($E31,$K$2:$K$10,L$2:L$10,"",0)/(COUNTIFS($E:$E,$E31,$D:$D,RegularFormula!$D$2)+COUNTIFS($E:$E,$E31,$D:$D,IF($D31=RegularFormula!$D$2,$K$15,$D31))),IFERROR(IF(percentage,percentage,""),""))</f>
        <v>0.03125</v>
      </c>
      <c r="G31" s="71" t="str">
        <f t="array" ref="G31">LET(percentage,XLOOKUP($E31,$K$2:$K$10,M$2:M$10,"",0)/(COUNTIFS($E:$E,$E31,$D:$D,RegularFormula!$D$2)+COUNTIFS($E:$E,$E31,$D:$D,IF($D31=RegularFormula!$D$2,$K$15,$D31))),IFERROR(IF(percentage,percentage,""),""))</f>
        <v/>
      </c>
      <c r="H31" s="71" t="str">
        <f t="array" ref="H31">LET(percentage,XLOOKUP($E31,$K$2:$K$10,N$2:N$10,"",0)/(COUNTIFS($E:$E,$E31,$D:$D,RegularFormula!$D$2)+COUNTIFS($E:$E,$E31,$D:$D,IF($D31=RegularFormula!$D$2,$K$15,$D31))),IFERROR(IF(percentage,percentage,""),""))</f>
        <v/>
      </c>
      <c r="I31" s="72" t="str">
        <f t="shared" si="1"/>
        <v/>
      </c>
      <c r="J31" s="73">
        <v>0.0</v>
      </c>
      <c r="K31" s="144" t="s">
        <v>127</v>
      </c>
      <c r="N31" s="119"/>
      <c r="O31" s="103"/>
      <c r="P31" s="103"/>
      <c r="Q31" s="103"/>
      <c r="R31" s="79" t="str">
        <f t="shared" si="2"/>
        <v/>
      </c>
    </row>
    <row r="32">
      <c r="A32" s="217" t="b">
        <v>1</v>
      </c>
      <c r="B32" s="218" t="s">
        <v>22</v>
      </c>
      <c r="C32" s="69" t="str">
        <f t="array" ref="C32">TEXTJOIN("", TRUE, IFERROR(INDEX('language&amp;DataTest'!A:J, MATCH(INDEX( PointerTest!C:C, MATCH(B32, PointerTest!A:A, 0), 0), 'language&amp;DataTest'!A:A, 0), MATCH(HOME!$A$25, 'language&amp;DataTest'!$A$1:$H$1, 0))),                      IFERROR(INDEX('language&amp;DataTest'!A:J, MATCH(INDEX( PointerTest!D:D, MATCH(B32, PointerTest!A:A, 0), 0), 'language&amp;DataTest'!A:A, 0), MATCH(HOME!$A$25, 'language&amp;DataTest'!$A$1:$H$1, 0))),                                          
IFERROR(INDEX('language&amp;DataTest'!A:J, MATCH(INDEX( PointerTest!E:E, MATCH(B32, PointerTest!A:A, 0), 0), 'language&amp;DataTest'!A:A, 0), MATCH(HOME!$A$25, 'language&amp;DataTest'!$A$1:$H$1, 0))))</f>
        <v>Mew</v>
      </c>
      <c r="D32" s="69" t="str">
        <f t="array" ref="D32">TEXTJOIN("", TRUE, 
IFERROR(INDEX('language&amp;DataTest'!A:J, MATCH(INDEX( PointerTest!C:C, MATCH(INDEX(PointerTest!B:B, MATCH(B32, PointerTest!A:A, 0)), PointerTest!A:A, 0), 0), 'language&amp;DataTest'!A:A, 0), MATCH(HOME!$A$25, 'language&amp;DataTest'!$A$1:$H$1, 0))),                      
IFERROR(INDEX('language&amp;DataTest'!A:J, MATCH(INDEX( PointerTest!D:D, MATCH(INDEX(PointerTest!B:B, MATCH(B32, PointerTest!A:A, 0)), PointerTest!A:A, 0), 0), 'language&amp;DataTest'!A:A, 0), MATCH(HOME!$A$25, 'language&amp;DataTest'!$A$1:$H$1, 0))),                                          
IFERROR(INDEX('language&amp;DataTest'!A:J, MATCH(INDEX( PointerTest!E:E, MATCH(INDEX(PointerTest!B:B, MATCH(B32, PointerTest!A:A, 0)), PointerTest!A:A, 0), 0), 'language&amp;DataTest'!A:A, 0), MATCH(HOME!$A$25, 'language&amp;DataTest'!$A$1:$H$1, 0))))</f>
        <v>Mew</v>
      </c>
      <c r="E32" s="69" t="str">
        <f t="array" ref="E32">INDEX( PointerTest!F:F, MATCH(B32, PointerTest!A:A, 0), 0)</f>
        <v>♢♢♢</v>
      </c>
      <c r="F32" s="70" t="str">
        <f t="array" ref="F32">LET(percentage,XLOOKUP($E32,$K$2:$K$10,L$2:L$10,"",0)/(COUNTIFS($E:$E,$E32,$D:$D,RegularFormula!$D$2)+COUNTIFS($E:$E,$E32,$D:$D,IF($D32=RegularFormula!$D$2,$K$15,$D32))),IFERROR(IF(percentage,percentage,""),""))</f>
        <v/>
      </c>
      <c r="G32" s="71">
        <f t="array" ref="G32">LET(percentage,XLOOKUP($E32,$K$2:$K$10,M$2:M$10,"",0)/(COUNTIFS($E:$E,$E32,$D:$D,RegularFormula!$D$2)+COUNTIFS($E:$E,$E32,$D:$D,IF($D32=RegularFormula!$D$2,$K$15,$D32))),IFERROR(IF(percentage,percentage,""),""))</f>
        <v>0.00625</v>
      </c>
      <c r="H32" s="71">
        <f t="array" ref="H32">LET(percentage,XLOOKUP($E32,$K$2:$K$10,N$2:N$10,"",0)/(COUNTIFS($E:$E,$E32,$D:$D,RegularFormula!$D$2)+COUNTIFS($E:$E,$E32,$D:$D,IF($D32=RegularFormula!$D$2,$K$15,$D32))),IFERROR(IF(percentage,percentage,""),""))</f>
        <v>0.025</v>
      </c>
      <c r="I32" s="72" t="str">
        <f t="shared" si="1"/>
        <v/>
      </c>
      <c r="J32" s="73">
        <v>0.0</v>
      </c>
      <c r="K32" s="145" t="s">
        <v>91</v>
      </c>
      <c r="L32" s="69" t="s">
        <v>58</v>
      </c>
      <c r="M32" s="69" t="s">
        <v>59</v>
      </c>
      <c r="N32" s="222" t="s">
        <v>60</v>
      </c>
      <c r="O32" s="103"/>
      <c r="P32" s="103"/>
      <c r="Q32" s="103"/>
      <c r="R32" s="79" t="str">
        <f t="shared" si="2"/>
        <v/>
      </c>
    </row>
    <row r="33">
      <c r="A33" s="217" t="b">
        <v>1</v>
      </c>
      <c r="B33" s="218" t="s">
        <v>481</v>
      </c>
      <c r="C33" s="69" t="str">
        <f t="array" ref="C33">TEXTJOIN("", TRUE, IFERROR(INDEX('language&amp;DataTest'!A:J, MATCH(INDEX( PointerTest!C:C, MATCH(B33, PointerTest!A:A, 0), 0), 'language&amp;DataTest'!A:A, 0), MATCH(HOME!$A$25, 'language&amp;DataTest'!$A$1:$H$1, 0))),                      IFERROR(INDEX('language&amp;DataTest'!A:J, MATCH(INDEX( PointerTest!D:D, MATCH(B33, PointerTest!A:A, 0), 0), 'language&amp;DataTest'!A:A, 0), MATCH(HOME!$A$25, 'language&amp;DataTest'!$A$1:$H$1, 0))),                                          
IFERROR(INDEX('language&amp;DataTest'!A:J, MATCH(INDEX( PointerTest!E:E, MATCH(B33, PointerTest!A:A, 0), 0), 'language&amp;DataTest'!A:A, 0), MATCH(HOME!$A$25, 'language&amp;DataTest'!$A$1:$H$1, 0))))</f>
        <v>Mew ex</v>
      </c>
      <c r="D33" s="69" t="str">
        <f t="array" ref="D33">TEXTJOIN("", TRUE, 
IFERROR(INDEX('language&amp;DataTest'!A:J, MATCH(INDEX( PointerTest!C:C, MATCH(INDEX(PointerTest!B:B, MATCH(B33, PointerTest!A:A, 0)), PointerTest!A:A, 0), 0), 'language&amp;DataTest'!A:A, 0), MATCH(HOME!$A$25, 'language&amp;DataTest'!$A$1:$H$1, 0))),                      
IFERROR(INDEX('language&amp;DataTest'!A:J, MATCH(INDEX( PointerTest!D:D, MATCH(INDEX(PointerTest!B:B, MATCH(B33, PointerTest!A:A, 0)), PointerTest!A:A, 0), 0), 'language&amp;DataTest'!A:A, 0), MATCH(HOME!$A$25, 'language&amp;DataTest'!$A$1:$H$1, 0))),                                          
IFERROR(INDEX('language&amp;DataTest'!A:J, MATCH(INDEX( PointerTest!E:E, MATCH(INDEX(PointerTest!B:B, MATCH(B33, PointerTest!A:A, 0)), PointerTest!A:A, 0), 0), 'language&amp;DataTest'!A:A, 0), MATCH(HOME!$A$25, 'language&amp;DataTest'!$A$1:$H$1, 0))))</f>
        <v>Mew</v>
      </c>
      <c r="E33" s="69" t="str">
        <f t="array" ref="E33">INDEX( PointerTest!F:F, MATCH(B33, PointerTest!A:A, 0), 0)</f>
        <v>♢♢♢♢</v>
      </c>
      <c r="F33" s="70" t="str">
        <f t="array" ref="F33">LET(percentage,XLOOKUP($E33,$K$2:$K$10,L$2:L$10,"",0)/(COUNTIFS($E:$E,$E33,$D:$D,RegularFormula!$D$2)+COUNTIFS($E:$E,$E33,$D:$D,IF($D33=RegularFormula!$D$2,$K$15,$D33))),IFERROR(IF(percentage,percentage,""),""))</f>
        <v/>
      </c>
      <c r="G33" s="71">
        <f t="array" ref="G33">LET(percentage,XLOOKUP($E33,$K$2:$K$10,M$2:M$10,"",0)/(COUNTIFS($E:$E,$E33,$D:$D,RegularFormula!$D$2)+COUNTIFS($E:$E,$E33,$D:$D,IF($D33=RegularFormula!$D$2,$K$15,$D33))),IFERROR(IF(percentage,percentage,""),""))</f>
        <v>0.003332</v>
      </c>
      <c r="H33" s="71">
        <f t="array" ref="H33">LET(percentage,XLOOKUP($E33,$K$2:$K$10,N$2:N$10,"",0)/(COUNTIFS($E:$E,$E33,$D:$D,RegularFormula!$D$2)+COUNTIFS($E:$E,$E33,$D:$D,IF($D33=RegularFormula!$D$2,$K$15,$D33))),IFERROR(IF(percentage,percentage,""),""))</f>
        <v>0.013328</v>
      </c>
      <c r="I33" s="72" t="str">
        <f t="shared" si="1"/>
        <v/>
      </c>
      <c r="J33" s="73">
        <v>0.0</v>
      </c>
      <c r="K33" s="134" t="str">
        <f>C32</f>
        <v>Mew</v>
      </c>
      <c r="L33" s="70">
        <f t="array" ref="L33">SUMPRODUCT((COUNTIFS($A$2:$A87,FALSE,$D$2:$D87,$K33,$E$2:$E87,CardCategories)+COUNTIFS($A$2:$A87,FALSE,$D$2:$D87,RegularFormula!$D$2,$E$2:$E87,CardCategories))/(COUNTIFS($D$2:$D87,$K33,$E$2:$E87,CardCategories)+COUNTIFS($D$2:$D87,RegularFormula!$D$2,$E$2:$E87,CardCategories)),{$K$20:$K$23;$M$20:$M$23}*Probabilities13)</f>
        <v>0.000203842</v>
      </c>
      <c r="M33" s="70">
        <f t="array" ref="M33">SUMPRODUCT((COUNTIFS($A$2:$A87,FALSE,$D$2:$D87,$K33,$E$2:$E87,CardCategories)+COUNTIFS($A$2:$A87,FALSE,$D$2:$D87,RegularFormula!$D$2,$E$2:$E87,CardCategories))/(COUNTIFS($D$2:$D87,$K33,$E$2:$E87,CardCategories)+COUNTIFS($D$2:$D87,RegularFormula!$D$2,$E$2:$E87,CardCategories)),{$K$20:$K$23;$M$20:$M$23}*Probabilities4)</f>
        <v>0.004601642</v>
      </c>
      <c r="N33" s="224">
        <f t="array" ref="N33">SUMPRODUCT((COUNTIFS($A$2:$A87,FALSE,$D$2:$D87,$K33,$E$2:$E87,CardCategories)+COUNTIFS($A$2:$A87,FALSE,$D$2:$D87,RegularFormula!$D$2,$E$2:$E87,CardCategories))/(COUNTIFS($D$2:$D87,$K33,$E$2:$E87,CardCategories)+COUNTIFS($D$2:$D87,RegularFormula!$D$2,$E$2:$E87,CardCategories)),{$K$20:$K$23;$M$20:$M$23}*Probabilities5)</f>
        <v>0.017795042</v>
      </c>
      <c r="O33" s="103"/>
      <c r="P33" s="103"/>
      <c r="Q33" s="103"/>
      <c r="R33" s="79" t="str">
        <f t="shared" si="2"/>
        <v/>
      </c>
    </row>
    <row r="34">
      <c r="A34" s="217" t="b">
        <v>1</v>
      </c>
      <c r="B34" s="218" t="s">
        <v>482</v>
      </c>
      <c r="C34" s="69" t="str">
        <f t="array" ref="C34">TEXTJOIN("", TRUE, IFERROR(INDEX('language&amp;DataTest'!A:J, MATCH(INDEX( PointerTest!C:C, MATCH(B34, PointerTest!A:A, 0), 0), 'language&amp;DataTest'!A:A, 0), MATCH(HOME!$A$25, 'language&amp;DataTest'!$A$1:$H$1, 0))),                      IFERROR(INDEX('language&amp;DataTest'!A:J, MATCH(INDEX( PointerTest!D:D, MATCH(B34, PointerTest!A:A, 0), 0), 'language&amp;DataTest'!A:A, 0), MATCH(HOME!$A$25, 'language&amp;DataTest'!$A$1:$H$1, 0))),                                          
IFERROR(INDEX('language&amp;DataTest'!A:J, MATCH(INDEX( PointerTest!E:E, MATCH(B34, PointerTest!A:A, 0), 0), 'language&amp;DataTest'!A:A, 0), MATCH(HOME!$A$25, 'language&amp;DataTest'!$A$1:$H$1, 0))))</f>
        <v>Sigilyph</v>
      </c>
      <c r="D34" s="69" t="str">
        <f t="array" ref="D34">TEXTJOIN("", TRUE, 
IFERROR(INDEX('language&amp;DataTest'!A:J, MATCH(INDEX( PointerTest!C:C, MATCH(INDEX(PointerTest!B:B, MATCH(B34, PointerTest!A:A, 0)), PointerTest!A:A, 0), 0), 'language&amp;DataTest'!A:A, 0), MATCH(HOME!$A$25, 'language&amp;DataTest'!$A$1:$H$1, 0))),                      
IFERROR(INDEX('language&amp;DataTest'!A:J, MATCH(INDEX( PointerTest!D:D, MATCH(INDEX(PointerTest!B:B, MATCH(B34, PointerTest!A:A, 0)), PointerTest!A:A, 0), 0), 'language&amp;DataTest'!A:A, 0), MATCH(HOME!$A$25, 'language&amp;DataTest'!$A$1:$H$1, 0))),                                          
IFERROR(INDEX('language&amp;DataTest'!A:J, MATCH(INDEX( PointerTest!E:E, MATCH(INDEX(PointerTest!B:B, MATCH(B34, PointerTest!A:A, 0)), PointerTest!A:A, 0), 0), 'language&amp;DataTest'!A:A, 0), MATCH(HOME!$A$25, 'language&amp;DataTest'!$A$1:$H$1, 0))))</f>
        <v>Mew</v>
      </c>
      <c r="E34" s="69" t="str">
        <f t="array" ref="E34">INDEX( PointerTest!F:F, MATCH(B34, PointerTest!A:A, 0), 0)</f>
        <v>♢♢</v>
      </c>
      <c r="F34" s="70" t="str">
        <f t="array" ref="F34">LET(percentage,XLOOKUP($E34,$K$2:$K$10,L$2:L$10,"",0)/(COUNTIFS($E:$E,$E34,$D:$D,RegularFormula!$D$2)+COUNTIFS($E:$E,$E34,$D:$D,IF($D34=RegularFormula!$D$2,$K$15,$D34))),IFERROR(IF(percentage,percentage,""),""))</f>
        <v/>
      </c>
      <c r="G34" s="71">
        <f t="array" ref="G34">LET(percentage,XLOOKUP($E34,$K$2:$K$10,M$2:M$10,"",0)/(COUNTIFS($E:$E,$E34,$D:$D,RegularFormula!$D$2)+COUNTIFS($E:$E,$E34,$D:$D,IF($D34=RegularFormula!$D$2,$K$15,$D34))),IFERROR(IF(percentage,percentage,""),""))</f>
        <v>0.03913043478</v>
      </c>
      <c r="H34" s="71">
        <f t="array" ref="H34">LET(percentage,XLOOKUP($E34,$K$2:$K$10,N$2:N$10,"",0)/(COUNTIFS($E:$E,$E34,$D:$D,RegularFormula!$D$2)+COUNTIFS($E:$E,$E34,$D:$D,IF($D34=RegularFormula!$D$2,$K$15,$D34))),IFERROR(IF(percentage,percentage,""),""))</f>
        <v>0.02608695652</v>
      </c>
      <c r="I34" s="72" t="str">
        <f t="shared" si="1"/>
        <v/>
      </c>
      <c r="J34" s="73">
        <v>0.0</v>
      </c>
      <c r="K34" s="147" t="s">
        <v>134</v>
      </c>
      <c r="L34" s="140" t="str">
        <f>IF(L33 = MAX(L33), K33, IF(#REF! = MAX(L33), #REF!, #REF!))</f>
        <v>Mew</v>
      </c>
      <c r="M34" s="140" t="str">
        <f>IF(M33 = MAX(M33), K33, IF(#REF! = MAX(M33), #REF!, #REF!))</f>
        <v>Mew</v>
      </c>
      <c r="N34" s="225" t="str">
        <f>IF(N33 = MAX(N33), K33, IF(#REF! = MAX(N33), #REF!, #REF!))</f>
        <v>Mew</v>
      </c>
      <c r="O34" s="103"/>
      <c r="P34" s="103"/>
      <c r="Q34" s="103"/>
      <c r="R34" s="79" t="str">
        <f t="shared" si="2"/>
        <v/>
      </c>
    </row>
    <row r="35">
      <c r="A35" s="217" t="b">
        <v>1</v>
      </c>
      <c r="B35" s="218" t="s">
        <v>483</v>
      </c>
      <c r="C35" s="69" t="str">
        <f t="array" ref="C35">TEXTJOIN("", TRUE, IFERROR(INDEX('language&amp;DataTest'!A:J, MATCH(INDEX( PointerTest!C:C, MATCH(B35, PointerTest!A:A, 0), 0), 'language&amp;DataTest'!A:A, 0), MATCH(HOME!$A$25, 'language&amp;DataTest'!$A$1:$H$1, 0))),                      IFERROR(INDEX('language&amp;DataTest'!A:J, MATCH(INDEX( PointerTest!D:D, MATCH(B35, PointerTest!A:A, 0), 0), 'language&amp;DataTest'!A:A, 0), MATCH(HOME!$A$25, 'language&amp;DataTest'!$A$1:$H$1, 0))),                                          
IFERROR(INDEX('language&amp;DataTest'!A:J, MATCH(INDEX( PointerTest!E:E, MATCH(B35, PointerTest!A:A, 0), 0), 'language&amp;DataTest'!A:A, 0), MATCH(HOME!$A$25, 'language&amp;DataTest'!$A$1:$H$1, 0))))</f>
        <v>Elgyem</v>
      </c>
      <c r="D35" s="69" t="str">
        <f t="array" ref="D35">TEXTJOIN("", TRUE, 
IFERROR(INDEX('language&amp;DataTest'!A:J, MATCH(INDEX( PointerTest!C:C, MATCH(INDEX(PointerTest!B:B, MATCH(B35, PointerTest!A:A, 0)), PointerTest!A:A, 0), 0), 'language&amp;DataTest'!A:A, 0), MATCH(HOME!$A$25, 'language&amp;DataTest'!$A$1:$H$1, 0))),                      
IFERROR(INDEX('language&amp;DataTest'!A:J, MATCH(INDEX( PointerTest!D:D, MATCH(INDEX(PointerTest!B:B, MATCH(B35, PointerTest!A:A, 0)), PointerTest!A:A, 0), 0), 'language&amp;DataTest'!A:A, 0), MATCH(HOME!$A$25, 'language&amp;DataTest'!$A$1:$H$1, 0))),                                          
IFERROR(INDEX('language&amp;DataTest'!A:J, MATCH(INDEX( PointerTest!E:E, MATCH(INDEX(PointerTest!B:B, MATCH(B35, PointerTest!A:A, 0)), PointerTest!A:A, 0), 0), 'language&amp;DataTest'!A:A, 0), MATCH(HOME!$A$25, 'language&amp;DataTest'!$A$1:$H$1, 0))))</f>
        <v>Mew</v>
      </c>
      <c r="E35" s="69" t="str">
        <f t="array" ref="E35">INDEX( PointerTest!F:F, MATCH(B35, PointerTest!A:A, 0), 0)</f>
        <v>♢</v>
      </c>
      <c r="F35" s="70">
        <f t="array" ref="F35">LET(percentage,XLOOKUP($E35,$K$2:$K$10,L$2:L$10,"",0)/(COUNTIFS($E:$E,$E35,$D:$D,RegularFormula!$D$2)+COUNTIFS($E:$E,$E35,$D:$D,IF($D35=RegularFormula!$D$2,$K$15,$D35))),IFERROR(IF(percentage,percentage,""),""))</f>
        <v>0.03125</v>
      </c>
      <c r="G35" s="71" t="str">
        <f t="array" ref="G35">LET(percentage,XLOOKUP($E35,$K$2:$K$10,M$2:M$10,"",0)/(COUNTIFS($E:$E,$E35,$D:$D,RegularFormula!$D$2)+COUNTIFS($E:$E,$E35,$D:$D,IF($D35=RegularFormula!$D$2,$K$15,$D35))),IFERROR(IF(percentage,percentage,""),""))</f>
        <v/>
      </c>
      <c r="H35" s="71" t="str">
        <f t="array" ref="H35">LET(percentage,XLOOKUP($E35,$K$2:$K$10,N$2:N$10,"",0)/(COUNTIFS($E:$E,$E35,$D:$D,RegularFormula!$D$2)+COUNTIFS($E:$E,$E35,$D:$D,IF($D35=RegularFormula!$D$2,$K$15,$D35))),IFERROR(IF(percentage,percentage,""),""))</f>
        <v/>
      </c>
      <c r="I35" s="72" t="str">
        <f t="shared" si="1"/>
        <v/>
      </c>
      <c r="J35" s="73">
        <v>0.0</v>
      </c>
      <c r="K35" s="118"/>
      <c r="N35" s="119"/>
      <c r="O35" s="86"/>
      <c r="P35" s="86"/>
      <c r="Q35" s="86"/>
      <c r="R35" s="79" t="str">
        <f t="shared" si="2"/>
        <v/>
      </c>
    </row>
    <row r="36">
      <c r="A36" s="217" t="b">
        <v>1</v>
      </c>
      <c r="B36" s="218" t="s">
        <v>484</v>
      </c>
      <c r="C36" s="69" t="str">
        <f t="array" ref="C36">TEXTJOIN("", TRUE, IFERROR(INDEX('language&amp;DataTest'!A:J, MATCH(INDEX( PointerTest!C:C, MATCH(B36, PointerTest!A:A, 0), 0), 'language&amp;DataTest'!A:A, 0), MATCH(HOME!$A$25, 'language&amp;DataTest'!$A$1:$H$1, 0))),                      IFERROR(INDEX('language&amp;DataTest'!A:J, MATCH(INDEX( PointerTest!D:D, MATCH(B36, PointerTest!A:A, 0), 0), 'language&amp;DataTest'!A:A, 0), MATCH(HOME!$A$25, 'language&amp;DataTest'!$A$1:$H$1, 0))),                                          
IFERROR(INDEX('language&amp;DataTest'!A:J, MATCH(INDEX( PointerTest!E:E, MATCH(B36, PointerTest!A:A, 0), 0), 'language&amp;DataTest'!A:A, 0), MATCH(HOME!$A$25, 'language&amp;DataTest'!$A$1:$H$1, 0))))</f>
        <v>Beheeyem</v>
      </c>
      <c r="D36" s="69" t="str">
        <f t="array" ref="D36">TEXTJOIN("", TRUE, 
IFERROR(INDEX('language&amp;DataTest'!A:J, MATCH(INDEX( PointerTest!C:C, MATCH(INDEX(PointerTest!B:B, MATCH(B36, PointerTest!A:A, 0)), PointerTest!A:A, 0), 0), 'language&amp;DataTest'!A:A, 0), MATCH(HOME!$A$25, 'language&amp;DataTest'!$A$1:$H$1, 0))),                      
IFERROR(INDEX('language&amp;DataTest'!A:J, MATCH(INDEX( PointerTest!D:D, MATCH(INDEX(PointerTest!B:B, MATCH(B36, PointerTest!A:A, 0)), PointerTest!A:A, 0), 0), 'language&amp;DataTest'!A:A, 0), MATCH(HOME!$A$25, 'language&amp;DataTest'!$A$1:$H$1, 0))),                                          
IFERROR(INDEX('language&amp;DataTest'!A:J, MATCH(INDEX( PointerTest!E:E, MATCH(INDEX(PointerTest!B:B, MATCH(B36, PointerTest!A:A, 0)), PointerTest!A:A, 0), 0), 'language&amp;DataTest'!A:A, 0), MATCH(HOME!$A$25, 'language&amp;DataTest'!$A$1:$H$1, 0))))</f>
        <v>Mew</v>
      </c>
      <c r="E36" s="69" t="str">
        <f t="array" ref="E36">INDEX( PointerTest!F:F, MATCH(B36, PointerTest!A:A, 0), 0)</f>
        <v>♢♢</v>
      </c>
      <c r="F36" s="70" t="str">
        <f t="array" ref="F36">LET(percentage,XLOOKUP($E36,$K$2:$K$10,L$2:L$10,"",0)/(COUNTIFS($E:$E,$E36,$D:$D,RegularFormula!$D$2)+COUNTIFS($E:$E,$E36,$D:$D,IF($D36=RegularFormula!$D$2,$K$15,$D36))),IFERROR(IF(percentage,percentage,""),""))</f>
        <v/>
      </c>
      <c r="G36" s="71">
        <f t="array" ref="G36">LET(percentage,XLOOKUP($E36,$K$2:$K$10,M$2:M$10,"",0)/(COUNTIFS($E:$E,$E36,$D:$D,RegularFormula!$D$2)+COUNTIFS($E:$E,$E36,$D:$D,IF($D36=RegularFormula!$D$2,$K$15,$D36))),IFERROR(IF(percentage,percentage,""),""))</f>
        <v>0.03913043478</v>
      </c>
      <c r="H36" s="71">
        <f t="array" ref="H36">LET(percentage,XLOOKUP($E36,$K$2:$K$10,N$2:N$10,"",0)/(COUNTIFS($E:$E,$E36,$D:$D,RegularFormula!$D$2)+COUNTIFS($E:$E,$E36,$D:$D,IF($D36=RegularFormula!$D$2,$K$15,$D36))),IFERROR(IF(percentage,percentage,""),""))</f>
        <v>0.02608695652</v>
      </c>
      <c r="I36" s="72" t="str">
        <f t="shared" si="1"/>
        <v/>
      </c>
      <c r="J36" s="73">
        <v>0.0</v>
      </c>
      <c r="K36" s="149" t="s">
        <v>137</v>
      </c>
      <c r="N36" s="119"/>
      <c r="O36" s="86"/>
      <c r="P36" s="86"/>
      <c r="Q36" s="86"/>
      <c r="R36" s="79" t="str">
        <f t="shared" si="2"/>
        <v/>
      </c>
    </row>
    <row r="37">
      <c r="A37" s="217" t="b">
        <v>1</v>
      </c>
      <c r="B37" s="218" t="s">
        <v>485</v>
      </c>
      <c r="C37" s="69" t="str">
        <f t="array" ref="C37">TEXTJOIN("", TRUE, IFERROR(INDEX('language&amp;DataTest'!A:J, MATCH(INDEX( PointerTest!C:C, MATCH(B37, PointerTest!A:A, 0), 0), 'language&amp;DataTest'!A:A, 0), MATCH(HOME!$A$25, 'language&amp;DataTest'!$A$1:$H$1, 0))),                      IFERROR(INDEX('language&amp;DataTest'!A:J, MATCH(INDEX( PointerTest!D:D, MATCH(B37, PointerTest!A:A, 0), 0), 'language&amp;DataTest'!A:A, 0), MATCH(HOME!$A$25, 'language&amp;DataTest'!$A$1:$H$1, 0))),                                          
IFERROR(INDEX('language&amp;DataTest'!A:J, MATCH(INDEX( PointerTest!E:E, MATCH(B37, PointerTest!A:A, 0), 0), 'language&amp;DataTest'!A:A, 0), MATCH(HOME!$A$25, 'language&amp;DataTest'!$A$1:$H$1, 0))))</f>
        <v>Flabébé</v>
      </c>
      <c r="D37" s="69" t="str">
        <f t="array" ref="D37">TEXTJOIN("", TRUE, 
IFERROR(INDEX('language&amp;DataTest'!A:J, MATCH(INDEX( PointerTest!C:C, MATCH(INDEX(PointerTest!B:B, MATCH(B37, PointerTest!A:A, 0)), PointerTest!A:A, 0), 0), 'language&amp;DataTest'!A:A, 0), MATCH(HOME!$A$25, 'language&amp;DataTest'!$A$1:$H$1, 0))),                      
IFERROR(INDEX('language&amp;DataTest'!A:J, MATCH(INDEX( PointerTest!D:D, MATCH(INDEX(PointerTest!B:B, MATCH(B37, PointerTest!A:A, 0)), PointerTest!A:A, 0), 0), 'language&amp;DataTest'!A:A, 0), MATCH(HOME!$A$25, 'language&amp;DataTest'!$A$1:$H$1, 0))),                                          
IFERROR(INDEX('language&amp;DataTest'!A:J, MATCH(INDEX( PointerTest!E:E, MATCH(INDEX(PointerTest!B:B, MATCH(B37, PointerTest!A:A, 0)), PointerTest!A:A, 0), 0), 'language&amp;DataTest'!A:A, 0), MATCH(HOME!$A$25, 'language&amp;DataTest'!$A$1:$H$1, 0))))</f>
        <v>Mew</v>
      </c>
      <c r="E37" s="69" t="str">
        <f t="array" ref="E37">INDEX( PointerTest!F:F, MATCH(B37, PointerTest!A:A, 0), 0)</f>
        <v>♢</v>
      </c>
      <c r="F37" s="70">
        <f t="array" ref="F37">LET(percentage,XLOOKUP($E37,$K$2:$K$10,L$2:L$10,"",0)/(COUNTIFS($E:$E,$E37,$D:$D,RegularFormula!$D$2)+COUNTIFS($E:$E,$E37,$D:$D,IF($D37=RegularFormula!$D$2,$K$15,$D37))),IFERROR(IF(percentage,percentage,""),""))</f>
        <v>0.03125</v>
      </c>
      <c r="G37" s="71" t="str">
        <f t="array" ref="G37">LET(percentage,XLOOKUP($E37,$K$2:$K$10,M$2:M$10,"",0)/(COUNTIFS($E:$E,$E37,$D:$D,RegularFormula!$D$2)+COUNTIFS($E:$E,$E37,$D:$D,IF($D37=RegularFormula!$D$2,$K$15,$D37))),IFERROR(IF(percentage,percentage,""),""))</f>
        <v/>
      </c>
      <c r="H37" s="71" t="str">
        <f t="array" ref="H37">LET(percentage,XLOOKUP($E37,$K$2:$K$10,N$2:N$10,"",0)/(COUNTIFS($E:$E,$E37,$D:$D,RegularFormula!$D$2)+COUNTIFS($E:$E,$E37,$D:$D,IF($D37=RegularFormula!$D$2,$K$15,$D37))),IFERROR(IF(percentage,percentage,""),""))</f>
        <v/>
      </c>
      <c r="I37" s="72" t="str">
        <f t="shared" si="1"/>
        <v/>
      </c>
      <c r="J37" s="73">
        <v>0.0</v>
      </c>
      <c r="K37" s="226"/>
      <c r="M37" s="150" t="s">
        <v>140</v>
      </c>
      <c r="N37" s="119"/>
      <c r="O37" s="146"/>
      <c r="P37" s="146"/>
      <c r="Q37" s="146"/>
      <c r="R37" s="79" t="str">
        <f t="shared" si="2"/>
        <v/>
      </c>
    </row>
    <row r="38">
      <c r="A38" s="217" t="b">
        <v>1</v>
      </c>
      <c r="B38" s="218" t="s">
        <v>486</v>
      </c>
      <c r="C38" s="69" t="str">
        <f t="array" ref="C38">TEXTJOIN("", TRUE, IFERROR(INDEX('language&amp;DataTest'!A:J, MATCH(INDEX( PointerTest!C:C, MATCH(B38, PointerTest!A:A, 0), 0), 'language&amp;DataTest'!A:A, 0), MATCH(HOME!$A$25, 'language&amp;DataTest'!$A$1:$H$1, 0))),                      IFERROR(INDEX('language&amp;DataTest'!A:J, MATCH(INDEX( PointerTest!D:D, MATCH(B38, PointerTest!A:A, 0), 0), 'language&amp;DataTest'!A:A, 0), MATCH(HOME!$A$25, 'language&amp;DataTest'!$A$1:$H$1, 0))),                                          
IFERROR(INDEX('language&amp;DataTest'!A:J, MATCH(INDEX( PointerTest!E:E, MATCH(B38, PointerTest!A:A, 0), 0), 'language&amp;DataTest'!A:A, 0), MATCH(HOME!$A$25, 'language&amp;DataTest'!$A$1:$H$1, 0))))</f>
        <v>Floette</v>
      </c>
      <c r="D38" s="69" t="str">
        <f t="array" ref="D38">TEXTJOIN("", TRUE, 
IFERROR(INDEX('language&amp;DataTest'!A:J, MATCH(INDEX( PointerTest!C:C, MATCH(INDEX(PointerTest!B:B, MATCH(B38, PointerTest!A:A, 0)), PointerTest!A:A, 0), 0), 'language&amp;DataTest'!A:A, 0), MATCH(HOME!$A$25, 'language&amp;DataTest'!$A$1:$H$1, 0))),                      
IFERROR(INDEX('language&amp;DataTest'!A:J, MATCH(INDEX( PointerTest!D:D, MATCH(INDEX(PointerTest!B:B, MATCH(B38, PointerTest!A:A, 0)), PointerTest!A:A, 0), 0), 'language&amp;DataTest'!A:A, 0), MATCH(HOME!$A$25, 'language&amp;DataTest'!$A$1:$H$1, 0))),                                          
IFERROR(INDEX('language&amp;DataTest'!A:J, MATCH(INDEX( PointerTest!E:E, MATCH(INDEX(PointerTest!B:B, MATCH(B38, PointerTest!A:A, 0)), PointerTest!A:A, 0), 0), 'language&amp;DataTest'!A:A, 0), MATCH(HOME!$A$25, 'language&amp;DataTest'!$A$1:$H$1, 0))))</f>
        <v>Mew</v>
      </c>
      <c r="E38" s="69" t="str">
        <f t="array" ref="E38">INDEX( PointerTest!F:F, MATCH(B38, PointerTest!A:A, 0), 0)</f>
        <v>♢</v>
      </c>
      <c r="F38" s="70">
        <f t="array" ref="F38">LET(percentage,XLOOKUP($E38,$K$2:$K$10,L$2:L$10,"",0)/(COUNTIFS($E:$E,$E38,$D:$D,RegularFormula!$D$2)+COUNTIFS($E:$E,$E38,$D:$D,IF($D38=RegularFormula!$D$2,$K$15,$D38))),IFERROR(IF(percentage,percentage,""),""))</f>
        <v>0.03125</v>
      </c>
      <c r="G38" s="71" t="str">
        <f t="array" ref="G38">LET(percentage,XLOOKUP($E38,$K$2:$K$10,M$2:M$10,"",0)/(COUNTIFS($E:$E,$E38,$D:$D,RegularFormula!$D$2)+COUNTIFS($E:$E,$E38,$D:$D,IF($D38=RegularFormula!$D$2,$K$15,$D38))),IFERROR(IF(percentage,percentage,""),""))</f>
        <v/>
      </c>
      <c r="H38" s="71" t="str">
        <f t="array" ref="H38">LET(percentage,XLOOKUP($E38,$K$2:$K$10,N$2:N$10,"",0)/(COUNTIFS($E:$E,$E38,$D:$D,RegularFormula!$D$2)+COUNTIFS($E:$E,$E38,$D:$D,IF($D38=RegularFormula!$D$2,$K$15,$D38))),IFERROR(IF(percentage,percentage,""),""))</f>
        <v/>
      </c>
      <c r="I38" s="72" t="str">
        <f t="shared" si="1"/>
        <v/>
      </c>
      <c r="J38" s="73">
        <v>0.0</v>
      </c>
      <c r="K38" s="134" t="str">
        <f>C32</f>
        <v>Mew</v>
      </c>
      <c r="L38" s="71">
        <f>1-((1-L33)^3*(1-M33)*(1-N33))</f>
        <v>0.02291255564</v>
      </c>
      <c r="M38" s="140" t="str">
        <f>K38</f>
        <v>Mew</v>
      </c>
      <c r="N38" s="119"/>
      <c r="O38" s="146"/>
      <c r="P38" s="146"/>
      <c r="Q38" s="146"/>
      <c r="R38" s="79" t="str">
        <f t="shared" si="2"/>
        <v/>
      </c>
    </row>
    <row r="39">
      <c r="A39" s="217" t="b">
        <v>1</v>
      </c>
      <c r="B39" s="218" t="s">
        <v>487</v>
      </c>
      <c r="C39" s="69" t="str">
        <f t="array" ref="C39">TEXTJOIN("", TRUE, IFERROR(INDEX('language&amp;DataTest'!A:J, MATCH(INDEX( PointerTest!C:C, MATCH(B39, PointerTest!A:A, 0), 0), 'language&amp;DataTest'!A:A, 0), MATCH(HOME!$A$25, 'language&amp;DataTest'!$A$1:$H$1, 0))),                      IFERROR(INDEX('language&amp;DataTest'!A:J, MATCH(INDEX( PointerTest!D:D, MATCH(B39, PointerTest!A:A, 0), 0), 'language&amp;DataTest'!A:A, 0), MATCH(HOME!$A$25, 'language&amp;DataTest'!$A$1:$H$1, 0))),                                          
IFERROR(INDEX('language&amp;DataTest'!A:J, MATCH(INDEX( PointerTest!E:E, MATCH(B39, PointerTest!A:A, 0), 0), 'language&amp;DataTest'!A:A, 0), MATCH(HOME!$A$25, 'language&amp;DataTest'!$A$1:$H$1, 0))))</f>
        <v>Florges</v>
      </c>
      <c r="D39" s="69" t="str">
        <f t="array" ref="D39">TEXTJOIN("", TRUE, 
IFERROR(INDEX('language&amp;DataTest'!A:J, MATCH(INDEX( PointerTest!C:C, MATCH(INDEX(PointerTest!B:B, MATCH(B39, PointerTest!A:A, 0)), PointerTest!A:A, 0), 0), 'language&amp;DataTest'!A:A, 0), MATCH(HOME!$A$25, 'language&amp;DataTest'!$A$1:$H$1, 0))),                      
IFERROR(INDEX('language&amp;DataTest'!A:J, MATCH(INDEX( PointerTest!D:D, MATCH(INDEX(PointerTest!B:B, MATCH(B39, PointerTest!A:A, 0)), PointerTest!A:A, 0), 0), 'language&amp;DataTest'!A:A, 0), MATCH(HOME!$A$25, 'language&amp;DataTest'!$A$1:$H$1, 0))),                                          
IFERROR(INDEX('language&amp;DataTest'!A:J, MATCH(INDEX( PointerTest!E:E, MATCH(INDEX(PointerTest!B:B, MATCH(B39, PointerTest!A:A, 0)), PointerTest!A:A, 0), 0), 'language&amp;DataTest'!A:A, 0), MATCH(HOME!$A$25, 'language&amp;DataTest'!$A$1:$H$1, 0))))</f>
        <v>Mew</v>
      </c>
      <c r="E39" s="69" t="str">
        <f t="array" ref="E39">INDEX( PointerTest!F:F, MATCH(B39, PointerTest!A:A, 0), 0)</f>
        <v>♢♢</v>
      </c>
      <c r="F39" s="70" t="str">
        <f t="array" ref="F39">LET(percentage,XLOOKUP($E39,$K$2:$K$10,L$2:L$10,"",0)/(COUNTIFS($E:$E,$E39,$D:$D,RegularFormula!$D$2)+COUNTIFS($E:$E,$E39,$D:$D,IF($D39=RegularFormula!$D$2,$K$15,$D39))),IFERROR(IF(percentage,percentage,""),""))</f>
        <v/>
      </c>
      <c r="G39" s="71">
        <f t="array" ref="G39">LET(percentage,XLOOKUP($E39,$K$2:$K$10,M$2:M$10,"",0)/(COUNTIFS($E:$E,$E39,$D:$D,RegularFormula!$D$2)+COUNTIFS($E:$E,$E39,$D:$D,IF($D39=RegularFormula!$D$2,$K$15,$D39))),IFERROR(IF(percentage,percentage,""),""))</f>
        <v>0.03913043478</v>
      </c>
      <c r="H39" s="71">
        <f t="array" ref="H39">LET(percentage,XLOOKUP($E39,$K$2:$K$10,N$2:N$10,"",0)/(COUNTIFS($E:$E,$E39,$D:$D,RegularFormula!$D$2)+COUNTIFS($E:$E,$E39,$D:$D,IF($D39=RegularFormula!$D$2,$K$15,$D39))),IFERROR(IF(percentage,percentage,""),""))</f>
        <v>0.02608695652</v>
      </c>
      <c r="I39" s="72" t="str">
        <f t="shared" si="1"/>
        <v/>
      </c>
      <c r="J39" s="73">
        <v>0.0</v>
      </c>
      <c r="K39" s="227"/>
      <c r="L39" s="228"/>
      <c r="M39" s="112"/>
      <c r="N39" s="154"/>
      <c r="O39" s="146"/>
      <c r="P39" s="146"/>
      <c r="Q39" s="146"/>
      <c r="R39" s="79" t="str">
        <f t="shared" si="2"/>
        <v/>
      </c>
    </row>
    <row r="40">
      <c r="A40" s="217" t="b">
        <v>1</v>
      </c>
      <c r="B40" s="218" t="s">
        <v>488</v>
      </c>
      <c r="C40" s="69" t="str">
        <f t="array" ref="C40">TEXTJOIN("", TRUE, IFERROR(INDEX('language&amp;DataTest'!A:J, MATCH(INDEX( PointerTest!C:C, MATCH(B40, PointerTest!A:A, 0), 0), 'language&amp;DataTest'!A:A, 0), MATCH(HOME!$A$25, 'language&amp;DataTest'!$A$1:$H$1, 0))),                      IFERROR(INDEX('language&amp;DataTest'!A:J, MATCH(INDEX( PointerTest!D:D, MATCH(B40, PointerTest!A:A, 0), 0), 'language&amp;DataTest'!A:A, 0), MATCH(HOME!$A$25, 'language&amp;DataTest'!$A$1:$H$1, 0))),                                          
IFERROR(INDEX('language&amp;DataTest'!A:J, MATCH(INDEX( PointerTest!E:E, MATCH(B40, PointerTest!A:A, 0), 0), 'language&amp;DataTest'!A:A, 0), MATCH(HOME!$A$25, 'language&amp;DataTest'!$A$1:$H$1, 0))))</f>
        <v>Swirlix</v>
      </c>
      <c r="D40" s="69" t="str">
        <f t="array" ref="D40">TEXTJOIN("", TRUE, 
IFERROR(INDEX('language&amp;DataTest'!A:J, MATCH(INDEX( PointerTest!C:C, MATCH(INDEX(PointerTest!B:B, MATCH(B40, PointerTest!A:A, 0)), PointerTest!A:A, 0), 0), 'language&amp;DataTest'!A:A, 0), MATCH(HOME!$A$25, 'language&amp;DataTest'!$A$1:$H$1, 0))),                      
IFERROR(INDEX('language&amp;DataTest'!A:J, MATCH(INDEX( PointerTest!D:D, MATCH(INDEX(PointerTest!B:B, MATCH(B40, PointerTest!A:A, 0)), PointerTest!A:A, 0), 0), 'language&amp;DataTest'!A:A, 0), MATCH(HOME!$A$25, 'language&amp;DataTest'!$A$1:$H$1, 0))),                                          
IFERROR(INDEX('language&amp;DataTest'!A:J, MATCH(INDEX( PointerTest!E:E, MATCH(INDEX(PointerTest!B:B, MATCH(B40, PointerTest!A:A, 0)), PointerTest!A:A, 0), 0), 'language&amp;DataTest'!A:A, 0), MATCH(HOME!$A$25, 'language&amp;DataTest'!$A$1:$H$1, 0))))</f>
        <v>Mew</v>
      </c>
      <c r="E40" s="69" t="str">
        <f t="array" ref="E40">INDEX( PointerTest!F:F, MATCH(B40, PointerTest!A:A, 0), 0)</f>
        <v>♢</v>
      </c>
      <c r="F40" s="70">
        <f t="array" ref="F40">LET(percentage,XLOOKUP($E40,$K$2:$K$10,L$2:L$10,"",0)/(COUNTIFS($E:$E,$E40,$D:$D,RegularFormula!$D$2)+COUNTIFS($E:$E,$E40,$D:$D,IF($D40=RegularFormula!$D$2,$K$15,$D40))),IFERROR(IF(percentage,percentage,""),""))</f>
        <v>0.03125</v>
      </c>
      <c r="G40" s="71" t="str">
        <f t="array" ref="G40">LET(percentage,XLOOKUP($E40,$K$2:$K$10,M$2:M$10,"",0)/(COUNTIFS($E:$E,$E40,$D:$D,RegularFormula!$D$2)+COUNTIFS($E:$E,$E40,$D:$D,IF($D40=RegularFormula!$D$2,$K$15,$D40))),IFERROR(IF(percentage,percentage,""),""))</f>
        <v/>
      </c>
      <c r="H40" s="71" t="str">
        <f t="array" ref="H40">LET(percentage,XLOOKUP($E40,$K$2:$K$10,N$2:N$10,"",0)/(COUNTIFS($E:$E,$E40,$D:$D,RegularFormula!$D$2)+COUNTIFS($E:$E,$E40,$D:$D,IF($D40=RegularFormula!$D$2,$K$15,$D40))),IFERROR(IF(percentage,percentage,""),""))</f>
        <v/>
      </c>
      <c r="I40" s="72" t="str">
        <f t="shared" si="1"/>
        <v/>
      </c>
      <c r="J40" s="73">
        <v>0.0</v>
      </c>
      <c r="O40" s="103"/>
      <c r="P40" s="103"/>
      <c r="Q40" s="103"/>
      <c r="R40" s="79" t="str">
        <f t="shared" si="2"/>
        <v/>
      </c>
    </row>
    <row r="41">
      <c r="A41" s="217" t="b">
        <v>1</v>
      </c>
      <c r="B41" s="218" t="s">
        <v>489</v>
      </c>
      <c r="C41" s="69" t="str">
        <f t="array" ref="C41">TEXTJOIN("", TRUE, IFERROR(INDEX('language&amp;DataTest'!A:J, MATCH(INDEX( PointerTest!C:C, MATCH(B41, PointerTest!A:A, 0), 0), 'language&amp;DataTest'!A:A, 0), MATCH(HOME!$A$25, 'language&amp;DataTest'!$A$1:$H$1, 0))),                      IFERROR(INDEX('language&amp;DataTest'!A:J, MATCH(INDEX( PointerTest!D:D, MATCH(B41, PointerTest!A:A, 0), 0), 'language&amp;DataTest'!A:A, 0), MATCH(HOME!$A$25, 'language&amp;DataTest'!$A$1:$H$1, 0))),                                          
IFERROR(INDEX('language&amp;DataTest'!A:J, MATCH(INDEX( PointerTest!E:E, MATCH(B41, PointerTest!A:A, 0), 0), 'language&amp;DataTest'!A:A, 0), MATCH(HOME!$A$25, 'language&amp;DataTest'!$A$1:$H$1, 0))))</f>
        <v>Slurpuff</v>
      </c>
      <c r="D41" s="69" t="str">
        <f t="array" ref="D41">TEXTJOIN("", TRUE, 
IFERROR(INDEX('language&amp;DataTest'!A:J, MATCH(INDEX( PointerTest!C:C, MATCH(INDEX(PointerTest!B:B, MATCH(B41, PointerTest!A:A, 0)), PointerTest!A:A, 0), 0), 'language&amp;DataTest'!A:A, 0), MATCH(HOME!$A$25, 'language&amp;DataTest'!$A$1:$H$1, 0))),                      
IFERROR(INDEX('language&amp;DataTest'!A:J, MATCH(INDEX( PointerTest!D:D, MATCH(INDEX(PointerTest!B:B, MATCH(B41, PointerTest!A:A, 0)), PointerTest!A:A, 0), 0), 'language&amp;DataTest'!A:A, 0), MATCH(HOME!$A$25, 'language&amp;DataTest'!$A$1:$H$1, 0))),                                          
IFERROR(INDEX('language&amp;DataTest'!A:J, MATCH(INDEX( PointerTest!E:E, MATCH(INDEX(PointerTest!B:B, MATCH(B41, PointerTest!A:A, 0)), PointerTest!A:A, 0), 0), 'language&amp;DataTest'!A:A, 0), MATCH(HOME!$A$25, 'language&amp;DataTest'!$A$1:$H$1, 0))))</f>
        <v>Mew</v>
      </c>
      <c r="E41" s="69" t="str">
        <f t="array" ref="E41">INDEX( PointerTest!F:F, MATCH(B41, PointerTest!A:A, 0), 0)</f>
        <v>♢</v>
      </c>
      <c r="F41" s="70">
        <f t="array" ref="F41">LET(percentage,XLOOKUP($E41,$K$2:$K$10,L$2:L$10,"",0)/(COUNTIFS($E:$E,$E41,$D:$D,RegularFormula!$D$2)+COUNTIFS($E:$E,$E41,$D:$D,IF($D41=RegularFormula!$D$2,$K$15,$D41))),IFERROR(IF(percentage,percentage,""),""))</f>
        <v>0.03125</v>
      </c>
      <c r="G41" s="71" t="str">
        <f t="array" ref="G41">LET(percentage,XLOOKUP($E41,$K$2:$K$10,M$2:M$10,"",0)/(COUNTIFS($E:$E,$E41,$D:$D,RegularFormula!$D$2)+COUNTIFS($E:$E,$E41,$D:$D,IF($D41=RegularFormula!$D$2,$K$15,$D41))),IFERROR(IF(percentage,percentage,""),""))</f>
        <v/>
      </c>
      <c r="H41" s="71" t="str">
        <f t="array" ref="H41">LET(percentage,XLOOKUP($E41,$K$2:$K$10,N$2:N$10,"",0)/(COUNTIFS($E:$E,$E41,$D:$D,RegularFormula!$D$2)+COUNTIFS($E:$E,$E41,$D:$D,IF($D41=RegularFormula!$D$2,$K$15,$D41))),IFERROR(IF(percentage,percentage,""),""))</f>
        <v/>
      </c>
      <c r="I41" s="72" t="str">
        <f t="shared" si="1"/>
        <v/>
      </c>
      <c r="J41" s="73">
        <v>0.0</v>
      </c>
      <c r="O41" s="103"/>
      <c r="P41" s="103"/>
      <c r="Q41" s="103"/>
      <c r="R41" s="79" t="str">
        <f t="shared" si="2"/>
        <v/>
      </c>
    </row>
    <row r="42">
      <c r="A42" s="217" t="b">
        <v>1</v>
      </c>
      <c r="B42" s="218" t="s">
        <v>490</v>
      </c>
      <c r="C42" s="69" t="str">
        <f t="array" ref="C42">TEXTJOIN("", TRUE, IFERROR(INDEX('language&amp;DataTest'!A:J, MATCH(INDEX( PointerTest!C:C, MATCH(B42, PointerTest!A:A, 0), 0), 'language&amp;DataTest'!A:A, 0), MATCH(HOME!$A$25, 'language&amp;DataTest'!$A$1:$H$1, 0))),                      IFERROR(INDEX('language&amp;DataTest'!A:J, MATCH(INDEX( PointerTest!D:D, MATCH(B42, PointerTest!A:A, 0), 0), 'language&amp;DataTest'!A:A, 0), MATCH(HOME!$A$25, 'language&amp;DataTest'!$A$1:$H$1, 0))),                                          
IFERROR(INDEX('language&amp;DataTest'!A:J, MATCH(INDEX( PointerTest!E:E, MATCH(B42, PointerTest!A:A, 0), 0), 'language&amp;DataTest'!A:A, 0), MATCH(HOME!$A$25, 'language&amp;DataTest'!$A$1:$H$1, 0))))</f>
        <v>Mankey</v>
      </c>
      <c r="D42" s="69" t="str">
        <f t="array" ref="D42">TEXTJOIN("", TRUE, 
IFERROR(INDEX('language&amp;DataTest'!A:J, MATCH(INDEX( PointerTest!C:C, MATCH(INDEX(PointerTest!B:B, MATCH(B42, PointerTest!A:A, 0)), PointerTest!A:A, 0), 0), 'language&amp;DataTest'!A:A, 0), MATCH(HOME!$A$25, 'language&amp;DataTest'!$A$1:$H$1, 0))),                      
IFERROR(INDEX('language&amp;DataTest'!A:J, MATCH(INDEX( PointerTest!D:D, MATCH(INDEX(PointerTest!B:B, MATCH(B42, PointerTest!A:A, 0)), PointerTest!A:A, 0), 0), 'language&amp;DataTest'!A:A, 0), MATCH(HOME!$A$25, 'language&amp;DataTest'!$A$1:$H$1, 0))),                                          
IFERROR(INDEX('language&amp;DataTest'!A:J, MATCH(INDEX( PointerTest!E:E, MATCH(INDEX(PointerTest!B:B, MATCH(B42, PointerTest!A:A, 0)), PointerTest!A:A, 0), 0), 'language&amp;DataTest'!A:A, 0), MATCH(HOME!$A$25, 'language&amp;DataTest'!$A$1:$H$1, 0))))</f>
        <v>Mew</v>
      </c>
      <c r="E42" s="69" t="str">
        <f t="array" ref="E42">INDEX( PointerTest!F:F, MATCH(B42, PointerTest!A:A, 0), 0)</f>
        <v>♢</v>
      </c>
      <c r="F42" s="70">
        <f t="array" ref="F42">LET(percentage,XLOOKUP($E42,$K$2:$K$10,L$2:L$10,"",0)/(COUNTIFS($E:$E,$E42,$D:$D,RegularFormula!$D$2)+COUNTIFS($E:$E,$E42,$D:$D,IF($D42=RegularFormula!$D$2,$K$15,$D42))),IFERROR(IF(percentage,percentage,""),""))</f>
        <v>0.03125</v>
      </c>
      <c r="G42" s="71" t="str">
        <f t="array" ref="G42">LET(percentage,XLOOKUP($E42,$K$2:$K$10,M$2:M$10,"",0)/(COUNTIFS($E:$E,$E42,$D:$D,RegularFormula!$D$2)+COUNTIFS($E:$E,$E42,$D:$D,IF($D42=RegularFormula!$D$2,$K$15,$D42))),IFERROR(IF(percentage,percentage,""),""))</f>
        <v/>
      </c>
      <c r="H42" s="71" t="str">
        <f t="array" ref="H42">LET(percentage,XLOOKUP($E42,$K$2:$K$10,N$2:N$10,"",0)/(COUNTIFS($E:$E,$E42,$D:$D,RegularFormula!$D$2)+COUNTIFS($E:$E,$E42,$D:$D,IF($D42=RegularFormula!$D$2,$K$15,$D42))),IFERROR(IF(percentage,percentage,""),""))</f>
        <v/>
      </c>
      <c r="I42" s="72" t="str">
        <f t="shared" si="1"/>
        <v/>
      </c>
      <c r="J42" s="73">
        <v>0.0</v>
      </c>
      <c r="O42" s="148"/>
      <c r="P42" s="148"/>
      <c r="Q42" s="148"/>
      <c r="R42" s="79" t="str">
        <f t="shared" si="2"/>
        <v/>
      </c>
    </row>
    <row r="43">
      <c r="A43" s="217" t="b">
        <v>1</v>
      </c>
      <c r="B43" s="218" t="s">
        <v>491</v>
      </c>
      <c r="C43" s="69" t="str">
        <f t="array" ref="C43">TEXTJOIN("", TRUE, IFERROR(INDEX('language&amp;DataTest'!A:J, MATCH(INDEX( PointerTest!C:C, MATCH(B43, PointerTest!A:A, 0), 0), 'language&amp;DataTest'!A:A, 0), MATCH(HOME!$A$25, 'language&amp;DataTest'!$A$1:$H$1, 0))),                      IFERROR(INDEX('language&amp;DataTest'!A:J, MATCH(INDEX( PointerTest!D:D, MATCH(B43, PointerTest!A:A, 0), 0), 'language&amp;DataTest'!A:A, 0), MATCH(HOME!$A$25, 'language&amp;DataTest'!$A$1:$H$1, 0))),                                          
IFERROR(INDEX('language&amp;DataTest'!A:J, MATCH(INDEX( PointerTest!E:E, MATCH(B43, PointerTest!A:A, 0), 0), 'language&amp;DataTest'!A:A, 0), MATCH(HOME!$A$25, 'language&amp;DataTest'!$A$1:$H$1, 0))))</f>
        <v>Primeape</v>
      </c>
      <c r="D43" s="69" t="str">
        <f t="array" ref="D43">TEXTJOIN("", TRUE, 
IFERROR(INDEX('language&amp;DataTest'!A:J, MATCH(INDEX( PointerTest!C:C, MATCH(INDEX(PointerTest!B:B, MATCH(B43, PointerTest!A:A, 0)), PointerTest!A:A, 0), 0), 'language&amp;DataTest'!A:A, 0), MATCH(HOME!$A$25, 'language&amp;DataTest'!$A$1:$H$1, 0))),                      
IFERROR(INDEX('language&amp;DataTest'!A:J, MATCH(INDEX( PointerTest!D:D, MATCH(INDEX(PointerTest!B:B, MATCH(B43, PointerTest!A:A, 0)), PointerTest!A:A, 0), 0), 'language&amp;DataTest'!A:A, 0), MATCH(HOME!$A$25, 'language&amp;DataTest'!$A$1:$H$1, 0))),                                          
IFERROR(INDEX('language&amp;DataTest'!A:J, MATCH(INDEX( PointerTest!E:E, MATCH(INDEX(PointerTest!B:B, MATCH(B43, PointerTest!A:A, 0)), PointerTest!A:A, 0), 0), 'language&amp;DataTest'!A:A, 0), MATCH(HOME!$A$25, 'language&amp;DataTest'!$A$1:$H$1, 0))))</f>
        <v>Mew</v>
      </c>
      <c r="E43" s="69" t="str">
        <f t="array" ref="E43">INDEX( PointerTest!F:F, MATCH(B43, PointerTest!A:A, 0), 0)</f>
        <v>♢</v>
      </c>
      <c r="F43" s="70">
        <f t="array" ref="F43">LET(percentage,XLOOKUP($E43,$K$2:$K$10,L$2:L$10,"",0)/(COUNTIFS($E:$E,$E43,$D:$D,RegularFormula!$D$2)+COUNTIFS($E:$E,$E43,$D:$D,IF($D43=RegularFormula!$D$2,$K$15,$D43))),IFERROR(IF(percentage,percentage,""),""))</f>
        <v>0.03125</v>
      </c>
      <c r="G43" s="71" t="str">
        <f t="array" ref="G43">LET(percentage,XLOOKUP($E43,$K$2:$K$10,M$2:M$10,"",0)/(COUNTIFS($E:$E,$E43,$D:$D,RegularFormula!$D$2)+COUNTIFS($E:$E,$E43,$D:$D,IF($D43=RegularFormula!$D$2,$K$15,$D43))),IFERROR(IF(percentage,percentage,""),""))</f>
        <v/>
      </c>
      <c r="H43" s="71" t="str">
        <f t="array" ref="H43">LET(percentage,XLOOKUP($E43,$K$2:$K$10,N$2:N$10,"",0)/(COUNTIFS($E:$E,$E43,$D:$D,RegularFormula!$D$2)+COUNTIFS($E:$E,$E43,$D:$D,IF($D43=RegularFormula!$D$2,$K$15,$D43))),IFERROR(IF(percentage,percentage,""),""))</f>
        <v/>
      </c>
      <c r="I43" s="72" t="str">
        <f t="shared" si="1"/>
        <v/>
      </c>
      <c r="J43" s="73">
        <v>0.0</v>
      </c>
      <c r="O43" s="148"/>
      <c r="P43" s="148"/>
      <c r="Q43" s="148"/>
      <c r="R43" s="79" t="str">
        <f t="shared" si="2"/>
        <v/>
      </c>
    </row>
    <row r="44">
      <c r="A44" s="217" t="b">
        <v>1</v>
      </c>
      <c r="B44" s="218" t="s">
        <v>492</v>
      </c>
      <c r="C44" s="69" t="str">
        <f t="array" ref="C44">TEXTJOIN("", TRUE, IFERROR(INDEX('language&amp;DataTest'!A:J, MATCH(INDEX( PointerTest!C:C, MATCH(B44, PointerTest!A:A, 0), 0), 'language&amp;DataTest'!A:A, 0), MATCH(HOME!$A$25, 'language&amp;DataTest'!$A$1:$H$1, 0))),                      IFERROR(INDEX('language&amp;DataTest'!A:J, MATCH(INDEX( PointerTest!D:D, MATCH(B44, PointerTest!A:A, 0), 0), 'language&amp;DataTest'!A:A, 0), MATCH(HOME!$A$25, 'language&amp;DataTest'!$A$1:$H$1, 0))),                                          
IFERROR(INDEX('language&amp;DataTest'!A:J, MATCH(INDEX( PointerTest!E:E, MATCH(B44, PointerTest!A:A, 0), 0), 'language&amp;DataTest'!A:A, 0), MATCH(HOME!$A$25, 'language&amp;DataTest'!$A$1:$H$1, 0))))</f>
        <v>Geodude</v>
      </c>
      <c r="D44" s="69" t="str">
        <f t="array" ref="D44">TEXTJOIN("", TRUE, 
IFERROR(INDEX('language&amp;DataTest'!A:J, MATCH(INDEX( PointerTest!C:C, MATCH(INDEX(PointerTest!B:B, MATCH(B44, PointerTest!A:A, 0)), PointerTest!A:A, 0), 0), 'language&amp;DataTest'!A:A, 0), MATCH(HOME!$A$25, 'language&amp;DataTest'!$A$1:$H$1, 0))),                      
IFERROR(INDEX('language&amp;DataTest'!A:J, MATCH(INDEX( PointerTest!D:D, MATCH(INDEX(PointerTest!B:B, MATCH(B44, PointerTest!A:A, 0)), PointerTest!A:A, 0), 0), 'language&amp;DataTest'!A:A, 0), MATCH(HOME!$A$25, 'language&amp;DataTest'!$A$1:$H$1, 0))),                                          
IFERROR(INDEX('language&amp;DataTest'!A:J, MATCH(INDEX( PointerTest!E:E, MATCH(INDEX(PointerTest!B:B, MATCH(B44, PointerTest!A:A, 0)), PointerTest!A:A, 0), 0), 'language&amp;DataTest'!A:A, 0), MATCH(HOME!$A$25, 'language&amp;DataTest'!$A$1:$H$1, 0))))</f>
        <v>Mew</v>
      </c>
      <c r="E44" s="69" t="str">
        <f t="array" ref="E44">INDEX( PointerTest!F:F, MATCH(B44, PointerTest!A:A, 0), 0)</f>
        <v>♢</v>
      </c>
      <c r="F44" s="70">
        <f t="array" ref="F44">LET(percentage,XLOOKUP($E44,$K$2:$K$10,L$2:L$10,"",0)/(COUNTIFS($E:$E,$E44,$D:$D,RegularFormula!$D$2)+COUNTIFS($E:$E,$E44,$D:$D,IF($D44=RegularFormula!$D$2,$K$15,$D44))),IFERROR(IF(percentage,percentage,""),""))</f>
        <v>0.03125</v>
      </c>
      <c r="G44" s="71" t="str">
        <f t="array" ref="G44">LET(percentage,XLOOKUP($E44,$K$2:$K$10,M$2:M$10,"",0)/(COUNTIFS($E:$E,$E44,$D:$D,RegularFormula!$D$2)+COUNTIFS($E:$E,$E44,$D:$D,IF($D44=RegularFormula!$D$2,$K$15,$D44))),IFERROR(IF(percentage,percentage,""),""))</f>
        <v/>
      </c>
      <c r="H44" s="71" t="str">
        <f t="array" ref="H44">LET(percentage,XLOOKUP($E44,$K$2:$K$10,N$2:N$10,"",0)/(COUNTIFS($E:$E,$E44,$D:$D,RegularFormula!$D$2)+COUNTIFS($E:$E,$E44,$D:$D,IF($D44=RegularFormula!$D$2,$K$15,$D44))),IFERROR(IF(percentage,percentage,""),""))</f>
        <v/>
      </c>
      <c r="I44" s="72" t="str">
        <f t="shared" si="1"/>
        <v/>
      </c>
      <c r="J44" s="73">
        <v>0.0</v>
      </c>
      <c r="O44" s="103"/>
      <c r="P44" s="103"/>
      <c r="Q44" s="103"/>
      <c r="R44" s="79" t="str">
        <f t="shared" si="2"/>
        <v/>
      </c>
    </row>
    <row r="45">
      <c r="A45" s="217" t="b">
        <v>1</v>
      </c>
      <c r="B45" s="218" t="s">
        <v>493</v>
      </c>
      <c r="C45" s="69" t="str">
        <f t="array" ref="C45">TEXTJOIN("", TRUE, IFERROR(INDEX('language&amp;DataTest'!A:J, MATCH(INDEX( PointerTest!C:C, MATCH(B45, PointerTest!A:A, 0), 0), 'language&amp;DataTest'!A:A, 0), MATCH(HOME!$A$25, 'language&amp;DataTest'!$A$1:$H$1, 0))),                      IFERROR(INDEX('language&amp;DataTest'!A:J, MATCH(INDEX( PointerTest!D:D, MATCH(B45, PointerTest!A:A, 0), 0), 'language&amp;DataTest'!A:A, 0), MATCH(HOME!$A$25, 'language&amp;DataTest'!$A$1:$H$1, 0))),                                          
IFERROR(INDEX('language&amp;DataTest'!A:J, MATCH(INDEX( PointerTest!E:E, MATCH(B45, PointerTest!A:A, 0), 0), 'language&amp;DataTest'!A:A, 0), MATCH(HOME!$A$25, 'language&amp;DataTest'!$A$1:$H$1, 0))))</f>
        <v>Graveler</v>
      </c>
      <c r="D45" s="69" t="str">
        <f t="array" ref="D45">TEXTJOIN("", TRUE, 
IFERROR(INDEX('language&amp;DataTest'!A:J, MATCH(INDEX( PointerTest!C:C, MATCH(INDEX(PointerTest!B:B, MATCH(B45, PointerTest!A:A, 0)), PointerTest!A:A, 0), 0), 'language&amp;DataTest'!A:A, 0), MATCH(HOME!$A$25, 'language&amp;DataTest'!$A$1:$H$1, 0))),                      
IFERROR(INDEX('language&amp;DataTest'!A:J, MATCH(INDEX( PointerTest!D:D, MATCH(INDEX(PointerTest!B:B, MATCH(B45, PointerTest!A:A, 0)), PointerTest!A:A, 0), 0), 'language&amp;DataTest'!A:A, 0), MATCH(HOME!$A$25, 'language&amp;DataTest'!$A$1:$H$1, 0))),                                          
IFERROR(INDEX('language&amp;DataTest'!A:J, MATCH(INDEX( PointerTest!E:E, MATCH(INDEX(PointerTest!B:B, MATCH(B45, PointerTest!A:A, 0)), PointerTest!A:A, 0), 0), 'language&amp;DataTest'!A:A, 0), MATCH(HOME!$A$25, 'language&amp;DataTest'!$A$1:$H$1, 0))))</f>
        <v>Mew</v>
      </c>
      <c r="E45" s="69" t="str">
        <f t="array" ref="E45">INDEX( PointerTest!F:F, MATCH(B45, PointerTest!A:A, 0), 0)</f>
        <v>♢♢</v>
      </c>
      <c r="F45" s="70" t="str">
        <f t="array" ref="F45">LET(percentage,XLOOKUP($E45,$K$2:$K$10,L$2:L$10,"",0)/(COUNTIFS($E:$E,$E45,$D:$D,RegularFormula!$D$2)+COUNTIFS($E:$E,$E45,$D:$D,IF($D45=RegularFormula!$D$2,$K$15,$D45))),IFERROR(IF(percentage,percentage,""),""))</f>
        <v/>
      </c>
      <c r="G45" s="71">
        <f t="array" ref="G45">LET(percentage,XLOOKUP($E45,$K$2:$K$10,M$2:M$10,"",0)/(COUNTIFS($E:$E,$E45,$D:$D,RegularFormula!$D$2)+COUNTIFS($E:$E,$E45,$D:$D,IF($D45=RegularFormula!$D$2,$K$15,$D45))),IFERROR(IF(percentage,percentage,""),""))</f>
        <v>0.03913043478</v>
      </c>
      <c r="H45" s="71">
        <f t="array" ref="H45">LET(percentage,XLOOKUP($E45,$K$2:$K$10,N$2:N$10,"",0)/(COUNTIFS($E:$E,$E45,$D:$D,RegularFormula!$D$2)+COUNTIFS($E:$E,$E45,$D:$D,IF($D45=RegularFormula!$D$2,$K$15,$D45))),IFERROR(IF(percentage,percentage,""),""))</f>
        <v>0.02608695652</v>
      </c>
      <c r="I45" s="72" t="str">
        <f t="shared" si="1"/>
        <v/>
      </c>
      <c r="J45" s="73">
        <v>0.0</v>
      </c>
      <c r="O45" s="103"/>
      <c r="P45" s="103"/>
      <c r="Q45" s="103"/>
      <c r="R45" s="79" t="str">
        <f t="shared" si="2"/>
        <v/>
      </c>
    </row>
    <row r="46">
      <c r="A46" s="217" t="b">
        <v>1</v>
      </c>
      <c r="B46" s="218" t="s">
        <v>494</v>
      </c>
      <c r="C46" s="69" t="str">
        <f t="array" ref="C46">TEXTJOIN("", TRUE, IFERROR(INDEX('language&amp;DataTest'!A:J, MATCH(INDEX( PointerTest!C:C, MATCH(B46, PointerTest!A:A, 0), 0), 'language&amp;DataTest'!A:A, 0), MATCH(HOME!$A$25, 'language&amp;DataTest'!$A$1:$H$1, 0))),                      IFERROR(INDEX('language&amp;DataTest'!A:J, MATCH(INDEX( PointerTest!D:D, MATCH(B46, PointerTest!A:A, 0), 0), 'language&amp;DataTest'!A:A, 0), MATCH(HOME!$A$25, 'language&amp;DataTest'!$A$1:$H$1, 0))),                                          
IFERROR(INDEX('language&amp;DataTest'!A:J, MATCH(INDEX( PointerTest!E:E, MATCH(B46, PointerTest!A:A, 0), 0), 'language&amp;DataTest'!A:A, 0), MATCH(HOME!$A$25, 'language&amp;DataTest'!$A$1:$H$1, 0))))</f>
        <v>Golem</v>
      </c>
      <c r="D46" s="69" t="str">
        <f t="array" ref="D46">TEXTJOIN("", TRUE, 
IFERROR(INDEX('language&amp;DataTest'!A:J, MATCH(INDEX( PointerTest!C:C, MATCH(INDEX(PointerTest!B:B, MATCH(B46, PointerTest!A:A, 0)), PointerTest!A:A, 0), 0), 'language&amp;DataTest'!A:A, 0), MATCH(HOME!$A$25, 'language&amp;DataTest'!$A$1:$H$1, 0))),                      
IFERROR(INDEX('language&amp;DataTest'!A:J, MATCH(INDEX( PointerTest!D:D, MATCH(INDEX(PointerTest!B:B, MATCH(B46, PointerTest!A:A, 0)), PointerTest!A:A, 0), 0), 'language&amp;DataTest'!A:A, 0), MATCH(HOME!$A$25, 'language&amp;DataTest'!$A$1:$H$1, 0))),                                          
IFERROR(INDEX('language&amp;DataTest'!A:J, MATCH(INDEX( PointerTest!E:E, MATCH(INDEX(PointerTest!B:B, MATCH(B46, PointerTest!A:A, 0)), PointerTest!A:A, 0), 0), 'language&amp;DataTest'!A:A, 0), MATCH(HOME!$A$25, 'language&amp;DataTest'!$A$1:$H$1, 0))))</f>
        <v>Mew</v>
      </c>
      <c r="E46" s="69" t="str">
        <f t="array" ref="E46">INDEX( PointerTest!F:F, MATCH(B46, PointerTest!A:A, 0), 0)</f>
        <v>♢♢♢</v>
      </c>
      <c r="F46" s="70" t="str">
        <f t="array" ref="F46">LET(percentage,XLOOKUP($E46,$K$2:$K$10,L$2:L$10,"",0)/(COUNTIFS($E:$E,$E46,$D:$D,RegularFormula!$D$2)+COUNTIFS($E:$E,$E46,$D:$D,IF($D46=RegularFormula!$D$2,$K$15,$D46))),IFERROR(IF(percentage,percentage,""),""))</f>
        <v/>
      </c>
      <c r="G46" s="71">
        <f t="array" ref="G46">LET(percentage,XLOOKUP($E46,$K$2:$K$10,M$2:M$10,"",0)/(COUNTIFS($E:$E,$E46,$D:$D,RegularFormula!$D$2)+COUNTIFS($E:$E,$E46,$D:$D,IF($D46=RegularFormula!$D$2,$K$15,$D46))),IFERROR(IF(percentage,percentage,""),""))</f>
        <v>0.00625</v>
      </c>
      <c r="H46" s="71">
        <f t="array" ref="H46">LET(percentage,XLOOKUP($E46,$K$2:$K$10,N$2:N$10,"",0)/(COUNTIFS($E:$E,$E46,$D:$D,RegularFormula!$D$2)+COUNTIFS($E:$E,$E46,$D:$D,IF($D46=RegularFormula!$D$2,$K$15,$D46))),IFERROR(IF(percentage,percentage,""),""))</f>
        <v>0.025</v>
      </c>
      <c r="I46" s="72" t="str">
        <f t="shared" si="1"/>
        <v/>
      </c>
      <c r="J46" s="73">
        <v>0.0</v>
      </c>
      <c r="O46" s="148"/>
      <c r="P46" s="148"/>
      <c r="Q46" s="148"/>
      <c r="R46" s="79" t="str">
        <f t="shared" si="2"/>
        <v/>
      </c>
    </row>
    <row r="47">
      <c r="A47" s="217" t="b">
        <v>1</v>
      </c>
      <c r="B47" s="218" t="s">
        <v>495</v>
      </c>
      <c r="C47" s="69" t="str">
        <f t="array" ref="C47">TEXTJOIN("", TRUE, IFERROR(INDEX('language&amp;DataTest'!A:J, MATCH(INDEX( PointerTest!C:C, MATCH(B47, PointerTest!A:A, 0), 0), 'language&amp;DataTest'!A:A, 0), MATCH(HOME!$A$25, 'language&amp;DataTest'!$A$1:$H$1, 0))),                      IFERROR(INDEX('language&amp;DataTest'!A:J, MATCH(INDEX( PointerTest!D:D, MATCH(B47, PointerTest!A:A, 0), 0), 'language&amp;DataTest'!A:A, 0), MATCH(HOME!$A$25, 'language&amp;DataTest'!$A$1:$H$1, 0))),                                          
IFERROR(INDEX('language&amp;DataTest'!A:J, MATCH(INDEX( PointerTest!E:E, MATCH(B47, PointerTest!A:A, 0), 0), 'language&amp;DataTest'!A:A, 0), MATCH(HOME!$A$25, 'language&amp;DataTest'!$A$1:$H$1, 0))))</f>
        <v>Aerodactyl ex</v>
      </c>
      <c r="D47" s="69" t="str">
        <f t="array" ref="D47">TEXTJOIN("", TRUE, 
IFERROR(INDEX('language&amp;DataTest'!A:J, MATCH(INDEX( PointerTest!C:C, MATCH(INDEX(PointerTest!B:B, MATCH(B47, PointerTest!A:A, 0)), PointerTest!A:A, 0), 0), 'language&amp;DataTest'!A:A, 0), MATCH(HOME!$A$25, 'language&amp;DataTest'!$A$1:$H$1, 0))),                      
IFERROR(INDEX('language&amp;DataTest'!A:J, MATCH(INDEX( PointerTest!D:D, MATCH(INDEX(PointerTest!B:B, MATCH(B47, PointerTest!A:A, 0)), PointerTest!A:A, 0), 0), 'language&amp;DataTest'!A:A, 0), MATCH(HOME!$A$25, 'language&amp;DataTest'!$A$1:$H$1, 0))),                                          
IFERROR(INDEX('language&amp;DataTest'!A:J, MATCH(INDEX( PointerTest!E:E, MATCH(INDEX(PointerTest!B:B, MATCH(B47, PointerTest!A:A, 0)), PointerTest!A:A, 0), 0), 'language&amp;DataTest'!A:A, 0), MATCH(HOME!$A$25, 'language&amp;DataTest'!$A$1:$H$1, 0))))</f>
        <v>Mew</v>
      </c>
      <c r="E47" s="69" t="str">
        <f t="array" ref="E47">INDEX( PointerTest!F:F, MATCH(B47, PointerTest!A:A, 0), 0)</f>
        <v>♢♢♢♢</v>
      </c>
      <c r="F47" s="70" t="str">
        <f t="array" ref="F47">LET(percentage,XLOOKUP($E47,$K$2:$K$10,L$2:L$10,"",0)/(COUNTIFS($E:$E,$E47,$D:$D,RegularFormula!$D$2)+COUNTIFS($E:$E,$E47,$D:$D,IF($D47=RegularFormula!$D$2,$K$15,$D47))),IFERROR(IF(percentage,percentage,""),""))</f>
        <v/>
      </c>
      <c r="G47" s="71">
        <f t="array" ref="G47">LET(percentage,XLOOKUP($E47,$K$2:$K$10,M$2:M$10,"",0)/(COUNTIFS($E:$E,$E47,$D:$D,RegularFormula!$D$2)+COUNTIFS($E:$E,$E47,$D:$D,IF($D47=RegularFormula!$D$2,$K$15,$D47))),IFERROR(IF(percentage,percentage,""),""))</f>
        <v>0.003332</v>
      </c>
      <c r="H47" s="71">
        <f t="array" ref="H47">LET(percentage,XLOOKUP($E47,$K$2:$K$10,N$2:N$10,"",0)/(COUNTIFS($E:$E,$E47,$D:$D,RegularFormula!$D$2)+COUNTIFS($E:$E,$E47,$D:$D,IF($D47=RegularFormula!$D$2,$K$15,$D47))),IFERROR(IF(percentage,percentage,""),""))</f>
        <v>0.013328</v>
      </c>
      <c r="I47" s="72" t="str">
        <f t="shared" si="1"/>
        <v/>
      </c>
      <c r="J47" s="73">
        <v>0.0</v>
      </c>
      <c r="K47" s="100"/>
      <c r="O47" s="148"/>
      <c r="P47" s="148"/>
      <c r="Q47" s="148"/>
      <c r="R47" s="79" t="str">
        <f t="shared" si="2"/>
        <v/>
      </c>
    </row>
    <row r="48">
      <c r="A48" s="217" t="b">
        <v>1</v>
      </c>
      <c r="B48" s="218" t="s">
        <v>496</v>
      </c>
      <c r="C48" s="69" t="str">
        <f t="array" ref="C48">TEXTJOIN("", TRUE, IFERROR(INDEX('language&amp;DataTest'!A:J, MATCH(INDEX( PointerTest!C:C, MATCH(B48, PointerTest!A:A, 0), 0), 'language&amp;DataTest'!A:A, 0), MATCH(HOME!$A$25, 'language&amp;DataTest'!$A$1:$H$1, 0))),                      IFERROR(INDEX('language&amp;DataTest'!A:J, MATCH(INDEX( PointerTest!D:D, MATCH(B48, PointerTest!A:A, 0), 0), 'language&amp;DataTest'!A:A, 0), MATCH(HOME!$A$25, 'language&amp;DataTest'!$A$1:$H$1, 0))),                                          
IFERROR(INDEX('language&amp;DataTest'!A:J, MATCH(INDEX( PointerTest!E:E, MATCH(B48, PointerTest!A:A, 0), 0), 'language&amp;DataTest'!A:A, 0), MATCH(HOME!$A$25, 'language&amp;DataTest'!$A$1:$H$1, 0))))</f>
        <v>Marshadow</v>
      </c>
      <c r="D48" s="69" t="str">
        <f t="array" ref="D48">TEXTJOIN("", TRUE, 
IFERROR(INDEX('language&amp;DataTest'!A:J, MATCH(INDEX( PointerTest!C:C, MATCH(INDEX(PointerTest!B:B, MATCH(B48, PointerTest!A:A, 0)), PointerTest!A:A, 0), 0), 'language&amp;DataTest'!A:A, 0), MATCH(HOME!$A$25, 'language&amp;DataTest'!$A$1:$H$1, 0))),                      
IFERROR(INDEX('language&amp;DataTest'!A:J, MATCH(INDEX( PointerTest!D:D, MATCH(INDEX(PointerTest!B:B, MATCH(B48, PointerTest!A:A, 0)), PointerTest!A:A, 0), 0), 'language&amp;DataTest'!A:A, 0), MATCH(HOME!$A$25, 'language&amp;DataTest'!$A$1:$H$1, 0))),                                          
IFERROR(INDEX('language&amp;DataTest'!A:J, MATCH(INDEX( PointerTest!E:E, MATCH(INDEX(PointerTest!B:B, MATCH(B48, PointerTest!A:A, 0)), PointerTest!A:A, 0), 0), 'language&amp;DataTest'!A:A, 0), MATCH(HOME!$A$25, 'language&amp;DataTest'!$A$1:$H$1, 0))))</f>
        <v>Mew</v>
      </c>
      <c r="E48" s="69" t="str">
        <f t="array" ref="E48">INDEX( PointerTest!F:F, MATCH(B48, PointerTest!A:A, 0), 0)</f>
        <v>♢♢♢</v>
      </c>
      <c r="F48" s="70" t="str">
        <f t="array" ref="F48">LET(percentage,XLOOKUP($E48,$K$2:$K$10,L$2:L$10,"",0)/(COUNTIFS($E:$E,$E48,$D:$D,RegularFormula!$D$2)+COUNTIFS($E:$E,$E48,$D:$D,IF($D48=RegularFormula!$D$2,$K$15,$D48))),IFERROR(IF(percentage,percentage,""),""))</f>
        <v/>
      </c>
      <c r="G48" s="71">
        <f t="array" ref="G48">LET(percentage,XLOOKUP($E48,$K$2:$K$10,M$2:M$10,"",0)/(COUNTIFS($E:$E,$E48,$D:$D,RegularFormula!$D$2)+COUNTIFS($E:$E,$E48,$D:$D,IF($D48=RegularFormula!$D$2,$K$15,$D48))),IFERROR(IF(percentage,percentage,""),""))</f>
        <v>0.00625</v>
      </c>
      <c r="H48" s="71">
        <f t="array" ref="H48">LET(percentage,XLOOKUP($E48,$K$2:$K$10,N$2:N$10,"",0)/(COUNTIFS($E:$E,$E48,$D:$D,RegularFormula!$D$2)+COUNTIFS($E:$E,$E48,$D:$D,IF($D48=RegularFormula!$D$2,$K$15,$D48))),IFERROR(IF(percentage,percentage,""),""))</f>
        <v>0.025</v>
      </c>
      <c r="I48" s="72" t="str">
        <f t="shared" si="1"/>
        <v/>
      </c>
      <c r="J48" s="73">
        <v>0.0</v>
      </c>
      <c r="K48" s="100"/>
      <c r="O48" s="148"/>
      <c r="P48" s="148"/>
      <c r="Q48" s="148"/>
      <c r="R48" s="79" t="str">
        <f t="shared" si="2"/>
        <v/>
      </c>
    </row>
    <row r="49">
      <c r="A49" s="217" t="b">
        <v>1</v>
      </c>
      <c r="B49" s="218" t="s">
        <v>497</v>
      </c>
      <c r="C49" s="69" t="str">
        <f t="array" ref="C49">TEXTJOIN("", TRUE, IFERROR(INDEX('language&amp;DataTest'!A:J, MATCH(INDEX( PointerTest!C:C, MATCH(B49, PointerTest!A:A, 0), 0), 'language&amp;DataTest'!A:A, 0), MATCH(HOME!$A$25, 'language&amp;DataTest'!$A$1:$H$1, 0))),                      IFERROR(INDEX('language&amp;DataTest'!A:J, MATCH(INDEX( PointerTest!D:D, MATCH(B49, PointerTest!A:A, 0), 0), 'language&amp;DataTest'!A:A, 0), MATCH(HOME!$A$25, 'language&amp;DataTest'!$A$1:$H$1, 0))),                                          
IFERROR(INDEX('language&amp;DataTest'!A:J, MATCH(INDEX( PointerTest!E:E, MATCH(B49, PointerTest!A:A, 0), 0), 'language&amp;DataTest'!A:A, 0), MATCH(HOME!$A$25, 'language&amp;DataTest'!$A$1:$H$1, 0))))</f>
        <v>Stonjourner</v>
      </c>
      <c r="D49" s="69" t="str">
        <f t="array" ref="D49">TEXTJOIN("", TRUE, 
IFERROR(INDEX('language&amp;DataTest'!A:J, MATCH(INDEX( PointerTest!C:C, MATCH(INDEX(PointerTest!B:B, MATCH(B49, PointerTest!A:A, 0)), PointerTest!A:A, 0), 0), 'language&amp;DataTest'!A:A, 0), MATCH(HOME!$A$25, 'language&amp;DataTest'!$A$1:$H$1, 0))),                      
IFERROR(INDEX('language&amp;DataTest'!A:J, MATCH(INDEX( PointerTest!D:D, MATCH(INDEX(PointerTest!B:B, MATCH(B49, PointerTest!A:A, 0)), PointerTest!A:A, 0), 0), 'language&amp;DataTest'!A:A, 0), MATCH(HOME!$A$25, 'language&amp;DataTest'!$A$1:$H$1, 0))),                                          
IFERROR(INDEX('language&amp;DataTest'!A:J, MATCH(INDEX( PointerTest!E:E, MATCH(INDEX(PointerTest!B:B, MATCH(B49, PointerTest!A:A, 0)), PointerTest!A:A, 0), 0), 'language&amp;DataTest'!A:A, 0), MATCH(HOME!$A$25, 'language&amp;DataTest'!$A$1:$H$1, 0))))</f>
        <v>Mew</v>
      </c>
      <c r="E49" s="69" t="str">
        <f t="array" ref="E49">INDEX( PointerTest!F:F, MATCH(B49, PointerTest!A:A, 0), 0)</f>
        <v>♢♢</v>
      </c>
      <c r="F49" s="70" t="str">
        <f t="array" ref="F49">LET(percentage,XLOOKUP($E49,$K$2:$K$10,L$2:L$10,"",0)/(COUNTIFS($E:$E,$E49,$D:$D,RegularFormula!$D$2)+COUNTIFS($E:$E,$E49,$D:$D,IF($D49=RegularFormula!$D$2,$K$15,$D49))),IFERROR(IF(percentage,percentage,""),""))</f>
        <v/>
      </c>
      <c r="G49" s="71">
        <f t="array" ref="G49">LET(percentage,XLOOKUP($E49,$K$2:$K$10,M$2:M$10,"",0)/(COUNTIFS($E:$E,$E49,$D:$D,RegularFormula!$D$2)+COUNTIFS($E:$E,$E49,$D:$D,IF($D49=RegularFormula!$D$2,$K$15,$D49))),IFERROR(IF(percentage,percentage,""),""))</f>
        <v>0.03913043478</v>
      </c>
      <c r="H49" s="71">
        <f t="array" ref="H49">LET(percentage,XLOOKUP($E49,$K$2:$K$10,N$2:N$10,"",0)/(COUNTIFS($E:$E,$E49,$D:$D,RegularFormula!$D$2)+COUNTIFS($E:$E,$E49,$D:$D,IF($D49=RegularFormula!$D$2,$K$15,$D49))),IFERROR(IF(percentage,percentage,""),""))</f>
        <v>0.02608695652</v>
      </c>
      <c r="I49" s="72" t="str">
        <f t="shared" si="1"/>
        <v/>
      </c>
      <c r="J49" s="73">
        <v>0.0</v>
      </c>
      <c r="K49" s="100"/>
      <c r="O49" s="103"/>
      <c r="P49" s="103"/>
      <c r="Q49" s="103"/>
      <c r="R49" s="79" t="str">
        <f t="shared" si="2"/>
        <v/>
      </c>
    </row>
    <row r="50">
      <c r="A50" s="217" t="b">
        <v>1</v>
      </c>
      <c r="B50" s="218" t="s">
        <v>498</v>
      </c>
      <c r="C50" s="69" t="str">
        <f t="array" ref="C50">TEXTJOIN("", TRUE, IFERROR(INDEX('language&amp;DataTest'!A:J, MATCH(INDEX( PointerTest!C:C, MATCH(B50, PointerTest!A:A, 0), 0), 'language&amp;DataTest'!A:A, 0), MATCH(HOME!$A$25, 'language&amp;DataTest'!$A$1:$H$1, 0))),                      IFERROR(INDEX('language&amp;DataTest'!A:J, MATCH(INDEX( PointerTest!D:D, MATCH(B50, PointerTest!A:A, 0), 0), 'language&amp;DataTest'!A:A, 0), MATCH(HOME!$A$25, 'language&amp;DataTest'!$A$1:$H$1, 0))),                                          
IFERROR(INDEX('language&amp;DataTest'!A:J, MATCH(INDEX( PointerTest!E:E, MATCH(B50, PointerTest!A:A, 0), 0), 'language&amp;DataTest'!A:A, 0), MATCH(HOME!$A$25, 'language&amp;DataTest'!$A$1:$H$1, 0))))</f>
        <v>Koffing</v>
      </c>
      <c r="D50" s="69" t="str">
        <f t="array" ref="D50">TEXTJOIN("", TRUE, 
IFERROR(INDEX('language&amp;DataTest'!A:J, MATCH(INDEX( PointerTest!C:C, MATCH(INDEX(PointerTest!B:B, MATCH(B50, PointerTest!A:A, 0)), PointerTest!A:A, 0), 0), 'language&amp;DataTest'!A:A, 0), MATCH(HOME!$A$25, 'language&amp;DataTest'!$A$1:$H$1, 0))),                      
IFERROR(INDEX('language&amp;DataTest'!A:J, MATCH(INDEX( PointerTest!D:D, MATCH(INDEX(PointerTest!B:B, MATCH(B50, PointerTest!A:A, 0)), PointerTest!A:A, 0), 0), 'language&amp;DataTest'!A:A, 0), MATCH(HOME!$A$25, 'language&amp;DataTest'!$A$1:$H$1, 0))),                                          
IFERROR(INDEX('language&amp;DataTest'!A:J, MATCH(INDEX( PointerTest!E:E, MATCH(INDEX(PointerTest!B:B, MATCH(B50, PointerTest!A:A, 0)), PointerTest!A:A, 0), 0), 'language&amp;DataTest'!A:A, 0), MATCH(HOME!$A$25, 'language&amp;DataTest'!$A$1:$H$1, 0))))</f>
        <v>Mew</v>
      </c>
      <c r="E50" s="69" t="str">
        <f t="array" ref="E50">INDEX( PointerTest!F:F, MATCH(B50, PointerTest!A:A, 0), 0)</f>
        <v>♢</v>
      </c>
      <c r="F50" s="70">
        <f t="array" ref="F50">LET(percentage,XLOOKUP($E50,$K$2:$K$10,L$2:L$10,"",0)/(COUNTIFS($E:$E,$E50,$D:$D,RegularFormula!$D$2)+COUNTIFS($E:$E,$E50,$D:$D,IF($D50=RegularFormula!$D$2,$K$15,$D50))),IFERROR(IF(percentage,percentage,""),""))</f>
        <v>0.03125</v>
      </c>
      <c r="G50" s="71" t="str">
        <f t="array" ref="G50">LET(percentage,XLOOKUP($E50,$K$2:$K$10,M$2:M$10,"",0)/(COUNTIFS($E:$E,$E50,$D:$D,RegularFormula!$D$2)+COUNTIFS($E:$E,$E50,$D:$D,IF($D50=RegularFormula!$D$2,$K$15,$D50))),IFERROR(IF(percentage,percentage,""),""))</f>
        <v/>
      </c>
      <c r="H50" s="71" t="str">
        <f t="array" ref="H50">LET(percentage,XLOOKUP($E50,$K$2:$K$10,N$2:N$10,"",0)/(COUNTIFS($E:$E,$E50,$D:$D,RegularFormula!$D$2)+COUNTIFS($E:$E,$E50,$D:$D,IF($D50=RegularFormula!$D$2,$K$15,$D50))),IFERROR(IF(percentage,percentage,""),""))</f>
        <v/>
      </c>
      <c r="I50" s="72" t="str">
        <f t="shared" si="1"/>
        <v/>
      </c>
      <c r="J50" s="73">
        <v>0.0</v>
      </c>
      <c r="K50" s="100"/>
      <c r="O50" s="163"/>
      <c r="P50" s="163"/>
      <c r="Q50" s="163"/>
      <c r="R50" s="79" t="str">
        <f t="shared" si="2"/>
        <v/>
      </c>
    </row>
    <row r="51">
      <c r="A51" s="217" t="b">
        <v>1</v>
      </c>
      <c r="B51" s="218" t="s">
        <v>499</v>
      </c>
      <c r="C51" s="69" t="str">
        <f t="array" ref="C51">TEXTJOIN("", TRUE, IFERROR(INDEX('language&amp;DataTest'!A:J, MATCH(INDEX( PointerTest!C:C, MATCH(B51, PointerTest!A:A, 0), 0), 'language&amp;DataTest'!A:A, 0), MATCH(HOME!$A$25, 'language&amp;DataTest'!$A$1:$H$1, 0))),                      IFERROR(INDEX('language&amp;DataTest'!A:J, MATCH(INDEX( PointerTest!D:D, MATCH(B51, PointerTest!A:A, 0), 0), 'language&amp;DataTest'!A:A, 0), MATCH(HOME!$A$25, 'language&amp;DataTest'!$A$1:$H$1, 0))),                                          
IFERROR(INDEX('language&amp;DataTest'!A:J, MATCH(INDEX( PointerTest!E:E, MATCH(B51, PointerTest!A:A, 0), 0), 'language&amp;DataTest'!A:A, 0), MATCH(HOME!$A$25, 'language&amp;DataTest'!$A$1:$H$1, 0))))</f>
        <v>Weezing</v>
      </c>
      <c r="D51" s="69" t="str">
        <f t="array" ref="D51">TEXTJOIN("", TRUE, 
IFERROR(INDEX('language&amp;DataTest'!A:J, MATCH(INDEX( PointerTest!C:C, MATCH(INDEX(PointerTest!B:B, MATCH(B51, PointerTest!A:A, 0)), PointerTest!A:A, 0), 0), 'language&amp;DataTest'!A:A, 0), MATCH(HOME!$A$25, 'language&amp;DataTest'!$A$1:$H$1, 0))),                      
IFERROR(INDEX('language&amp;DataTest'!A:J, MATCH(INDEX( PointerTest!D:D, MATCH(INDEX(PointerTest!B:B, MATCH(B51, PointerTest!A:A, 0)), PointerTest!A:A, 0), 0), 'language&amp;DataTest'!A:A, 0), MATCH(HOME!$A$25, 'language&amp;DataTest'!$A$1:$H$1, 0))),                                          
IFERROR(INDEX('language&amp;DataTest'!A:J, MATCH(INDEX( PointerTest!E:E, MATCH(INDEX(PointerTest!B:B, MATCH(B51, PointerTest!A:A, 0)), PointerTest!A:A, 0), 0), 'language&amp;DataTest'!A:A, 0), MATCH(HOME!$A$25, 'language&amp;DataTest'!$A$1:$H$1, 0))))</f>
        <v>Mew</v>
      </c>
      <c r="E51" s="69" t="str">
        <f t="array" ref="E51">INDEX( PointerTest!F:F, MATCH(B51, PointerTest!A:A, 0), 0)</f>
        <v>♢♢</v>
      </c>
      <c r="F51" s="70" t="str">
        <f t="array" ref="F51">LET(percentage,XLOOKUP($E51,$K$2:$K$10,L$2:L$10,"",0)/(COUNTIFS($E:$E,$E51,$D:$D,RegularFormula!$D$2)+COUNTIFS($E:$E,$E51,$D:$D,IF($D51=RegularFormula!$D$2,$K$15,$D51))),IFERROR(IF(percentage,percentage,""),""))</f>
        <v/>
      </c>
      <c r="G51" s="71">
        <f t="array" ref="G51">LET(percentage,XLOOKUP($E51,$K$2:$K$10,M$2:M$10,"",0)/(COUNTIFS($E:$E,$E51,$D:$D,RegularFormula!$D$2)+COUNTIFS($E:$E,$E51,$D:$D,IF($D51=RegularFormula!$D$2,$K$15,$D51))),IFERROR(IF(percentage,percentage,""),""))</f>
        <v>0.03913043478</v>
      </c>
      <c r="H51" s="71">
        <f t="array" ref="H51">LET(percentage,XLOOKUP($E51,$K$2:$K$10,N$2:N$10,"",0)/(COUNTIFS($E:$E,$E51,$D:$D,RegularFormula!$D$2)+COUNTIFS($E:$E,$E51,$D:$D,IF($D51=RegularFormula!$D$2,$K$15,$D51))),IFERROR(IF(percentage,percentage,""),""))</f>
        <v>0.02608695652</v>
      </c>
      <c r="I51" s="72" t="str">
        <f t="shared" si="1"/>
        <v/>
      </c>
      <c r="J51" s="73">
        <v>0.0</v>
      </c>
      <c r="K51" s="100"/>
      <c r="O51" s="163"/>
      <c r="P51" s="163"/>
      <c r="Q51" s="163"/>
      <c r="R51" s="79" t="str">
        <f t="shared" si="2"/>
        <v/>
      </c>
    </row>
    <row r="52">
      <c r="A52" s="217" t="b">
        <v>1</v>
      </c>
      <c r="B52" s="218" t="s">
        <v>500</v>
      </c>
      <c r="C52" s="69" t="str">
        <f t="array" ref="C52">TEXTJOIN("", TRUE, IFERROR(INDEX('language&amp;DataTest'!A:J, MATCH(INDEX( PointerTest!C:C, MATCH(B52, PointerTest!A:A, 0), 0), 'language&amp;DataTest'!A:A, 0), MATCH(HOME!$A$25, 'language&amp;DataTest'!$A$1:$H$1, 0))),                      IFERROR(INDEX('language&amp;DataTest'!A:J, MATCH(INDEX( PointerTest!D:D, MATCH(B52, PointerTest!A:A, 0), 0), 'language&amp;DataTest'!A:A, 0), MATCH(HOME!$A$25, 'language&amp;DataTest'!$A$1:$H$1, 0))),                                          
IFERROR(INDEX('language&amp;DataTest'!A:J, MATCH(INDEX( PointerTest!E:E, MATCH(B52, PointerTest!A:A, 0), 0), 'language&amp;DataTest'!A:A, 0), MATCH(HOME!$A$25, 'language&amp;DataTest'!$A$1:$H$1, 0))))</f>
        <v>Purrloin</v>
      </c>
      <c r="D52" s="69" t="str">
        <f t="array" ref="D52">TEXTJOIN("", TRUE, 
IFERROR(INDEX('language&amp;DataTest'!A:J, MATCH(INDEX( PointerTest!C:C, MATCH(INDEX(PointerTest!B:B, MATCH(B52, PointerTest!A:A, 0)), PointerTest!A:A, 0), 0), 'language&amp;DataTest'!A:A, 0), MATCH(HOME!$A$25, 'language&amp;DataTest'!$A$1:$H$1, 0))),                      
IFERROR(INDEX('language&amp;DataTest'!A:J, MATCH(INDEX( PointerTest!D:D, MATCH(INDEX(PointerTest!B:B, MATCH(B52, PointerTest!A:A, 0)), PointerTest!A:A, 0), 0), 'language&amp;DataTest'!A:A, 0), MATCH(HOME!$A$25, 'language&amp;DataTest'!$A$1:$H$1, 0))),                                          
IFERROR(INDEX('language&amp;DataTest'!A:J, MATCH(INDEX( PointerTest!E:E, MATCH(INDEX(PointerTest!B:B, MATCH(B52, PointerTest!A:A, 0)), PointerTest!A:A, 0), 0), 'language&amp;DataTest'!A:A, 0), MATCH(HOME!$A$25, 'language&amp;DataTest'!$A$1:$H$1, 0))))</f>
        <v>Mew</v>
      </c>
      <c r="E52" s="69" t="str">
        <f t="array" ref="E52">INDEX( PointerTest!F:F, MATCH(B52, PointerTest!A:A, 0), 0)</f>
        <v>♢</v>
      </c>
      <c r="F52" s="70">
        <f t="array" ref="F52">LET(percentage,XLOOKUP($E52,$K$2:$K$10,L$2:L$10,"",0)/(COUNTIFS($E:$E,$E52,$D:$D,RegularFormula!$D$2)+COUNTIFS($E:$E,$E52,$D:$D,IF($D52=RegularFormula!$D$2,$K$15,$D52))),IFERROR(IF(percentage,percentage,""),""))</f>
        <v>0.03125</v>
      </c>
      <c r="G52" s="71" t="str">
        <f t="array" ref="G52">LET(percentage,XLOOKUP($E52,$K$2:$K$10,M$2:M$10,"",0)/(COUNTIFS($E:$E,$E52,$D:$D,RegularFormula!$D$2)+COUNTIFS($E:$E,$E52,$D:$D,IF($D52=RegularFormula!$D$2,$K$15,$D52))),IFERROR(IF(percentage,percentage,""),""))</f>
        <v/>
      </c>
      <c r="H52" s="71" t="str">
        <f t="array" ref="H52">LET(percentage,XLOOKUP($E52,$K$2:$K$10,N$2:N$10,"",0)/(COUNTIFS($E:$E,$E52,$D:$D,RegularFormula!$D$2)+COUNTIFS($E:$E,$E52,$D:$D,IF($D52=RegularFormula!$D$2,$K$15,$D52))),IFERROR(IF(percentage,percentage,""),""))</f>
        <v/>
      </c>
      <c r="I52" s="72" t="str">
        <f t="shared" si="1"/>
        <v/>
      </c>
      <c r="J52" s="73">
        <v>0.0</v>
      </c>
      <c r="K52" s="100"/>
      <c r="O52" s="163"/>
      <c r="P52" s="163"/>
      <c r="Q52" s="163"/>
      <c r="R52" s="79" t="str">
        <f t="shared" si="2"/>
        <v/>
      </c>
    </row>
    <row r="53">
      <c r="A53" s="217" t="b">
        <v>1</v>
      </c>
      <c r="B53" s="218" t="s">
        <v>501</v>
      </c>
      <c r="C53" s="69" t="str">
        <f t="array" ref="C53">TEXTJOIN("", TRUE, IFERROR(INDEX('language&amp;DataTest'!A:J, MATCH(INDEX( PointerTest!C:C, MATCH(B53, PointerTest!A:A, 0), 0), 'language&amp;DataTest'!A:A, 0), MATCH(HOME!$A$25, 'language&amp;DataTest'!$A$1:$H$1, 0))),                      IFERROR(INDEX('language&amp;DataTest'!A:J, MATCH(INDEX( PointerTest!D:D, MATCH(B53, PointerTest!A:A, 0), 0), 'language&amp;DataTest'!A:A, 0), MATCH(HOME!$A$25, 'language&amp;DataTest'!$A$1:$H$1, 0))),                                          
IFERROR(INDEX('language&amp;DataTest'!A:J, MATCH(INDEX( PointerTest!E:E, MATCH(B53, PointerTest!A:A, 0), 0), 'language&amp;DataTest'!A:A, 0), MATCH(HOME!$A$25, 'language&amp;DataTest'!$A$1:$H$1, 0))))</f>
        <v>Liepard</v>
      </c>
      <c r="D53" s="69" t="str">
        <f t="array" ref="D53">TEXTJOIN("", TRUE, 
IFERROR(INDEX('language&amp;DataTest'!A:J, MATCH(INDEX( PointerTest!C:C, MATCH(INDEX(PointerTest!B:B, MATCH(B53, PointerTest!A:A, 0)), PointerTest!A:A, 0), 0), 'language&amp;DataTest'!A:A, 0), MATCH(HOME!$A$25, 'language&amp;DataTest'!$A$1:$H$1, 0))),                      
IFERROR(INDEX('language&amp;DataTest'!A:J, MATCH(INDEX( PointerTest!D:D, MATCH(INDEX(PointerTest!B:B, MATCH(B53, PointerTest!A:A, 0)), PointerTest!A:A, 0), 0), 'language&amp;DataTest'!A:A, 0), MATCH(HOME!$A$25, 'language&amp;DataTest'!$A$1:$H$1, 0))),                                          
IFERROR(INDEX('language&amp;DataTest'!A:J, MATCH(INDEX( PointerTest!E:E, MATCH(INDEX(PointerTest!B:B, MATCH(B53, PointerTest!A:A, 0)), PointerTest!A:A, 0), 0), 'language&amp;DataTest'!A:A, 0), MATCH(HOME!$A$25, 'language&amp;DataTest'!$A$1:$H$1, 0))))</f>
        <v>Mew</v>
      </c>
      <c r="E53" s="69" t="str">
        <f t="array" ref="E53">INDEX( PointerTest!F:F, MATCH(B53, PointerTest!A:A, 0), 0)</f>
        <v>♢</v>
      </c>
      <c r="F53" s="70">
        <f t="array" ref="F53">LET(percentage,XLOOKUP($E53,$K$2:$K$10,L$2:L$10,"",0)/(COUNTIFS($E:$E,$E53,$D:$D,RegularFormula!$D$2)+COUNTIFS($E:$E,$E53,$D:$D,IF($D53=RegularFormula!$D$2,$K$15,$D53))),IFERROR(IF(percentage,percentage,""),""))</f>
        <v>0.03125</v>
      </c>
      <c r="G53" s="71" t="str">
        <f t="array" ref="G53">LET(percentage,XLOOKUP($E53,$K$2:$K$10,M$2:M$10,"",0)/(COUNTIFS($E:$E,$E53,$D:$D,RegularFormula!$D$2)+COUNTIFS($E:$E,$E53,$D:$D,IF($D53=RegularFormula!$D$2,$K$15,$D53))),IFERROR(IF(percentage,percentage,""),""))</f>
        <v/>
      </c>
      <c r="H53" s="71" t="str">
        <f t="array" ref="H53">LET(percentage,XLOOKUP($E53,$K$2:$K$10,N$2:N$10,"",0)/(COUNTIFS($E:$E,$E53,$D:$D,RegularFormula!$D$2)+COUNTIFS($E:$E,$E53,$D:$D,IF($D53=RegularFormula!$D$2,$K$15,$D53))),IFERROR(IF(percentage,percentage,""),""))</f>
        <v/>
      </c>
      <c r="I53" s="72" t="str">
        <f t="shared" si="1"/>
        <v/>
      </c>
      <c r="J53" s="73">
        <v>0.0</v>
      </c>
      <c r="K53" s="100"/>
      <c r="O53" s="163"/>
      <c r="P53" s="163"/>
      <c r="Q53" s="163"/>
      <c r="R53" s="79" t="str">
        <f t="shared" si="2"/>
        <v/>
      </c>
    </row>
    <row r="54">
      <c r="A54" s="217" t="b">
        <v>1</v>
      </c>
      <c r="B54" s="218" t="s">
        <v>502</v>
      </c>
      <c r="C54" s="69" t="str">
        <f t="array" ref="C54">TEXTJOIN("", TRUE, IFERROR(INDEX('language&amp;DataTest'!A:J, MATCH(INDEX( PointerTest!C:C, MATCH(B54, PointerTest!A:A, 0), 0), 'language&amp;DataTest'!A:A, 0), MATCH(HOME!$A$25, 'language&amp;DataTest'!$A$1:$H$1, 0))),                      IFERROR(INDEX('language&amp;DataTest'!A:J, MATCH(INDEX( PointerTest!D:D, MATCH(B54, PointerTest!A:A, 0), 0), 'language&amp;DataTest'!A:A, 0), MATCH(HOME!$A$25, 'language&amp;DataTest'!$A$1:$H$1, 0))),                                          
IFERROR(INDEX('language&amp;DataTest'!A:J, MATCH(INDEX( PointerTest!E:E, MATCH(B54, PointerTest!A:A, 0), 0), 'language&amp;DataTest'!A:A, 0), MATCH(HOME!$A$25, 'language&amp;DataTest'!$A$1:$H$1, 0))))</f>
        <v>Venipede</v>
      </c>
      <c r="D54" s="69" t="str">
        <f t="array" ref="D54">TEXTJOIN("", TRUE, 
IFERROR(INDEX('language&amp;DataTest'!A:J, MATCH(INDEX( PointerTest!C:C, MATCH(INDEX(PointerTest!B:B, MATCH(B54, PointerTest!A:A, 0)), PointerTest!A:A, 0), 0), 'language&amp;DataTest'!A:A, 0), MATCH(HOME!$A$25, 'language&amp;DataTest'!$A$1:$H$1, 0))),                      
IFERROR(INDEX('language&amp;DataTest'!A:J, MATCH(INDEX( PointerTest!D:D, MATCH(INDEX(PointerTest!B:B, MATCH(B54, PointerTest!A:A, 0)), PointerTest!A:A, 0), 0), 'language&amp;DataTest'!A:A, 0), MATCH(HOME!$A$25, 'language&amp;DataTest'!$A$1:$H$1, 0))),                                          
IFERROR(INDEX('language&amp;DataTest'!A:J, MATCH(INDEX( PointerTest!E:E, MATCH(INDEX(PointerTest!B:B, MATCH(B54, PointerTest!A:A, 0)), PointerTest!A:A, 0), 0), 'language&amp;DataTest'!A:A, 0), MATCH(HOME!$A$25, 'language&amp;DataTest'!$A$1:$H$1, 0))))</f>
        <v>Mew</v>
      </c>
      <c r="E54" s="69" t="str">
        <f t="array" ref="E54">INDEX( PointerTest!F:F, MATCH(B54, PointerTest!A:A, 0), 0)</f>
        <v>♢</v>
      </c>
      <c r="F54" s="70">
        <f t="array" ref="F54">LET(percentage,XLOOKUP($E54,$K$2:$K$10,L$2:L$10,"",0)/(COUNTIFS($E:$E,$E54,$D:$D,RegularFormula!$D$2)+COUNTIFS($E:$E,$E54,$D:$D,IF($D54=RegularFormula!$D$2,$K$15,$D54))),IFERROR(IF(percentage,percentage,""),""))</f>
        <v>0.03125</v>
      </c>
      <c r="G54" s="71" t="str">
        <f t="array" ref="G54">LET(percentage,XLOOKUP($E54,$K$2:$K$10,M$2:M$10,"",0)/(COUNTIFS($E:$E,$E54,$D:$D,RegularFormula!$D$2)+COUNTIFS($E:$E,$E54,$D:$D,IF($D54=RegularFormula!$D$2,$K$15,$D54))),IFERROR(IF(percentage,percentage,""),""))</f>
        <v/>
      </c>
      <c r="H54" s="71" t="str">
        <f t="array" ref="H54">LET(percentage,XLOOKUP($E54,$K$2:$K$10,N$2:N$10,"",0)/(COUNTIFS($E:$E,$E54,$D:$D,RegularFormula!$D$2)+COUNTIFS($E:$E,$E54,$D:$D,IF($D54=RegularFormula!$D$2,$K$15,$D54))),IFERROR(IF(percentage,percentage,""),""))</f>
        <v/>
      </c>
      <c r="I54" s="72" t="str">
        <f t="shared" si="1"/>
        <v/>
      </c>
      <c r="J54" s="73">
        <v>0.0</v>
      </c>
      <c r="K54" s="100"/>
      <c r="O54" s="163"/>
      <c r="P54" s="163"/>
      <c r="Q54" s="163"/>
      <c r="R54" s="79" t="str">
        <f t="shared" si="2"/>
        <v/>
      </c>
    </row>
    <row r="55">
      <c r="A55" s="217" t="b">
        <v>1</v>
      </c>
      <c r="B55" s="218" t="s">
        <v>503</v>
      </c>
      <c r="C55" s="69" t="str">
        <f t="array" ref="C55">TEXTJOIN("", TRUE, IFERROR(INDEX('language&amp;DataTest'!A:J, MATCH(INDEX( PointerTest!C:C, MATCH(B55, PointerTest!A:A, 0), 0), 'language&amp;DataTest'!A:A, 0), MATCH(HOME!$A$25, 'language&amp;DataTest'!$A$1:$H$1, 0))),                      IFERROR(INDEX('language&amp;DataTest'!A:J, MATCH(INDEX( PointerTest!D:D, MATCH(B55, PointerTest!A:A, 0), 0), 'language&amp;DataTest'!A:A, 0), MATCH(HOME!$A$25, 'language&amp;DataTest'!$A$1:$H$1, 0))),                                          
IFERROR(INDEX('language&amp;DataTest'!A:J, MATCH(INDEX( PointerTest!E:E, MATCH(B55, PointerTest!A:A, 0), 0), 'language&amp;DataTest'!A:A, 0), MATCH(HOME!$A$25, 'language&amp;DataTest'!$A$1:$H$1, 0))))</f>
        <v>Whirlipede</v>
      </c>
      <c r="D55" s="69" t="str">
        <f t="array" ref="D55">TEXTJOIN("", TRUE, 
IFERROR(INDEX('language&amp;DataTest'!A:J, MATCH(INDEX( PointerTest!C:C, MATCH(INDEX(PointerTest!B:B, MATCH(B55, PointerTest!A:A, 0)), PointerTest!A:A, 0), 0), 'language&amp;DataTest'!A:A, 0), MATCH(HOME!$A$25, 'language&amp;DataTest'!$A$1:$H$1, 0))),                      
IFERROR(INDEX('language&amp;DataTest'!A:J, MATCH(INDEX( PointerTest!D:D, MATCH(INDEX(PointerTest!B:B, MATCH(B55, PointerTest!A:A, 0)), PointerTest!A:A, 0), 0), 'language&amp;DataTest'!A:A, 0), MATCH(HOME!$A$25, 'language&amp;DataTest'!$A$1:$H$1, 0))),                                          
IFERROR(INDEX('language&amp;DataTest'!A:J, MATCH(INDEX( PointerTest!E:E, MATCH(INDEX(PointerTest!B:B, MATCH(B55, PointerTest!A:A, 0)), PointerTest!A:A, 0), 0), 'language&amp;DataTest'!A:A, 0), MATCH(HOME!$A$25, 'language&amp;DataTest'!$A$1:$H$1, 0))))</f>
        <v>Mew</v>
      </c>
      <c r="E55" s="69" t="str">
        <f t="array" ref="E55">INDEX( PointerTest!F:F, MATCH(B55, PointerTest!A:A, 0), 0)</f>
        <v>♢</v>
      </c>
      <c r="F55" s="70">
        <f t="array" ref="F55">LET(percentage,XLOOKUP($E55,$K$2:$K$10,L$2:L$10,"",0)/(COUNTIFS($E:$E,$E55,$D:$D,RegularFormula!$D$2)+COUNTIFS($E:$E,$E55,$D:$D,IF($D55=RegularFormula!$D$2,$K$15,$D55))),IFERROR(IF(percentage,percentage,""),""))</f>
        <v>0.03125</v>
      </c>
      <c r="G55" s="71" t="str">
        <f t="array" ref="G55">LET(percentage,XLOOKUP($E55,$K$2:$K$10,M$2:M$10,"",0)/(COUNTIFS($E:$E,$E55,$D:$D,RegularFormula!$D$2)+COUNTIFS($E:$E,$E55,$D:$D,IF($D55=RegularFormula!$D$2,$K$15,$D55))),IFERROR(IF(percentage,percentage,""),""))</f>
        <v/>
      </c>
      <c r="H55" s="71" t="str">
        <f t="array" ref="H55">LET(percentage,XLOOKUP($E55,$K$2:$K$10,N$2:N$10,"",0)/(COUNTIFS($E:$E,$E55,$D:$D,RegularFormula!$D$2)+COUNTIFS($E:$E,$E55,$D:$D,IF($D55=RegularFormula!$D$2,$K$15,$D55))),IFERROR(IF(percentage,percentage,""),""))</f>
        <v/>
      </c>
      <c r="I55" s="72" t="str">
        <f t="shared" si="1"/>
        <v/>
      </c>
      <c r="J55" s="73">
        <v>0.0</v>
      </c>
      <c r="K55" s="100"/>
      <c r="O55" s="163"/>
      <c r="P55" s="163"/>
      <c r="Q55" s="163"/>
      <c r="R55" s="79" t="str">
        <f t="shared" si="2"/>
        <v/>
      </c>
    </row>
    <row r="56">
      <c r="A56" s="217" t="b">
        <v>1</v>
      </c>
      <c r="B56" s="218" t="s">
        <v>504</v>
      </c>
      <c r="C56" s="69" t="str">
        <f t="array" ref="C56">TEXTJOIN("", TRUE, IFERROR(INDEX('language&amp;DataTest'!A:J, MATCH(INDEX( PointerTest!C:C, MATCH(B56, PointerTest!A:A, 0), 0), 'language&amp;DataTest'!A:A, 0), MATCH(HOME!$A$25, 'language&amp;DataTest'!$A$1:$H$1, 0))),                      IFERROR(INDEX('language&amp;DataTest'!A:J, MATCH(INDEX( PointerTest!D:D, MATCH(B56, PointerTest!A:A, 0), 0), 'language&amp;DataTest'!A:A, 0), MATCH(HOME!$A$25, 'language&amp;DataTest'!$A$1:$H$1, 0))),                                          
IFERROR(INDEX('language&amp;DataTest'!A:J, MATCH(INDEX( PointerTest!E:E, MATCH(B56, PointerTest!A:A, 0), 0), 'language&amp;DataTest'!A:A, 0), MATCH(HOME!$A$25, 'language&amp;DataTest'!$A$1:$H$1, 0))))</f>
        <v>Scolipede</v>
      </c>
      <c r="D56" s="69" t="str">
        <f t="array" ref="D56">TEXTJOIN("", TRUE, 
IFERROR(INDEX('language&amp;DataTest'!A:J, MATCH(INDEX( PointerTest!C:C, MATCH(INDEX(PointerTest!B:B, MATCH(B56, PointerTest!A:A, 0)), PointerTest!A:A, 0), 0), 'language&amp;DataTest'!A:A, 0), MATCH(HOME!$A$25, 'language&amp;DataTest'!$A$1:$H$1, 0))),                      
IFERROR(INDEX('language&amp;DataTest'!A:J, MATCH(INDEX( PointerTest!D:D, MATCH(INDEX(PointerTest!B:B, MATCH(B56, PointerTest!A:A, 0)), PointerTest!A:A, 0), 0), 'language&amp;DataTest'!A:A, 0), MATCH(HOME!$A$25, 'language&amp;DataTest'!$A$1:$H$1, 0))),                                          
IFERROR(INDEX('language&amp;DataTest'!A:J, MATCH(INDEX( PointerTest!E:E, MATCH(INDEX(PointerTest!B:B, MATCH(B56, PointerTest!A:A, 0)), PointerTest!A:A, 0), 0), 'language&amp;DataTest'!A:A, 0), MATCH(HOME!$A$25, 'language&amp;DataTest'!$A$1:$H$1, 0))))</f>
        <v>Mew</v>
      </c>
      <c r="E56" s="69" t="str">
        <f t="array" ref="E56">INDEX( PointerTest!F:F, MATCH(B56, PointerTest!A:A, 0), 0)</f>
        <v>♢♢</v>
      </c>
      <c r="F56" s="70" t="str">
        <f t="array" ref="F56">LET(percentage,XLOOKUP($E56,$K$2:$K$10,L$2:L$10,"",0)/(COUNTIFS($E:$E,$E56,$D:$D,RegularFormula!$D$2)+COUNTIFS($E:$E,$E56,$D:$D,IF($D56=RegularFormula!$D$2,$K$15,$D56))),IFERROR(IF(percentage,percentage,""),""))</f>
        <v/>
      </c>
      <c r="G56" s="71">
        <f t="array" ref="G56">LET(percentage,XLOOKUP($E56,$K$2:$K$10,M$2:M$10,"",0)/(COUNTIFS($E:$E,$E56,$D:$D,RegularFormula!$D$2)+COUNTIFS($E:$E,$E56,$D:$D,IF($D56=RegularFormula!$D$2,$K$15,$D56))),IFERROR(IF(percentage,percentage,""),""))</f>
        <v>0.03913043478</v>
      </c>
      <c r="H56" s="71">
        <f t="array" ref="H56">LET(percentage,XLOOKUP($E56,$K$2:$K$10,N$2:N$10,"",0)/(COUNTIFS($E:$E,$E56,$D:$D,RegularFormula!$D$2)+COUNTIFS($E:$E,$E56,$D:$D,IF($D56=RegularFormula!$D$2,$K$15,$D56))),IFERROR(IF(percentage,percentage,""),""))</f>
        <v>0.02608695652</v>
      </c>
      <c r="I56" s="72" t="str">
        <f t="shared" si="1"/>
        <v/>
      </c>
      <c r="J56" s="73">
        <v>0.0</v>
      </c>
      <c r="K56" s="100"/>
      <c r="O56" s="163"/>
      <c r="P56" s="163"/>
      <c r="Q56" s="163"/>
      <c r="R56" s="79" t="str">
        <f t="shared" si="2"/>
        <v/>
      </c>
    </row>
    <row r="57">
      <c r="A57" s="217" t="b">
        <v>1</v>
      </c>
      <c r="B57" s="218" t="s">
        <v>505</v>
      </c>
      <c r="C57" s="69" t="str">
        <f t="array" ref="C57">TEXTJOIN("", TRUE, IFERROR(INDEX('language&amp;DataTest'!A:J, MATCH(INDEX( PointerTest!C:C, MATCH(B57, PointerTest!A:A, 0), 0), 'language&amp;DataTest'!A:A, 0), MATCH(HOME!$A$25, 'language&amp;DataTest'!$A$1:$H$1, 0))),                      IFERROR(INDEX('language&amp;DataTest'!A:J, MATCH(INDEX( PointerTest!D:D, MATCH(B57, PointerTest!A:A, 0), 0), 'language&amp;DataTest'!A:A, 0), MATCH(HOME!$A$25, 'language&amp;DataTest'!$A$1:$H$1, 0))),                                          
IFERROR(INDEX('language&amp;DataTest'!A:J, MATCH(INDEX( PointerTest!E:E, MATCH(B57, PointerTest!A:A, 0), 0), 'language&amp;DataTest'!A:A, 0), MATCH(HOME!$A$25, 'language&amp;DataTest'!$A$1:$H$1, 0))))</f>
        <v>Druddigon</v>
      </c>
      <c r="D57" s="69" t="str">
        <f t="array" ref="D57">TEXTJOIN("", TRUE, 
IFERROR(INDEX('language&amp;DataTest'!A:J, MATCH(INDEX( PointerTest!C:C, MATCH(INDEX(PointerTest!B:B, MATCH(B57, PointerTest!A:A, 0)), PointerTest!A:A, 0), 0), 'language&amp;DataTest'!A:A, 0), MATCH(HOME!$A$25, 'language&amp;DataTest'!$A$1:$H$1, 0))),                      
IFERROR(INDEX('language&amp;DataTest'!A:J, MATCH(INDEX( PointerTest!D:D, MATCH(INDEX(PointerTest!B:B, MATCH(B57, PointerTest!A:A, 0)), PointerTest!A:A, 0), 0), 'language&amp;DataTest'!A:A, 0), MATCH(HOME!$A$25, 'language&amp;DataTest'!$A$1:$H$1, 0))),                                          
IFERROR(INDEX('language&amp;DataTest'!A:J, MATCH(INDEX( PointerTest!E:E, MATCH(INDEX(PointerTest!B:B, MATCH(B57, PointerTest!A:A, 0)), PointerTest!A:A, 0), 0), 'language&amp;DataTest'!A:A, 0), MATCH(HOME!$A$25, 'language&amp;DataTest'!$A$1:$H$1, 0))))</f>
        <v>Mew</v>
      </c>
      <c r="E57" s="69" t="str">
        <f t="array" ref="E57">INDEX( PointerTest!F:F, MATCH(B57, PointerTest!A:A, 0), 0)</f>
        <v>♢♢</v>
      </c>
      <c r="F57" s="70" t="str">
        <f t="array" ref="F57">LET(percentage,XLOOKUP($E57,$K$2:$K$10,L$2:L$10,"",0)/(COUNTIFS($E:$E,$E57,$D:$D,RegularFormula!$D$2)+COUNTIFS($E:$E,$E57,$D:$D,IF($D57=RegularFormula!$D$2,$K$15,$D57))),IFERROR(IF(percentage,percentage,""),""))</f>
        <v/>
      </c>
      <c r="G57" s="71">
        <f t="array" ref="G57">LET(percentage,XLOOKUP($E57,$K$2:$K$10,M$2:M$10,"",0)/(COUNTIFS($E:$E,$E57,$D:$D,RegularFormula!$D$2)+COUNTIFS($E:$E,$E57,$D:$D,IF($D57=RegularFormula!$D$2,$K$15,$D57))),IFERROR(IF(percentage,percentage,""),""))</f>
        <v>0.03913043478</v>
      </c>
      <c r="H57" s="71">
        <f t="array" ref="H57">LET(percentage,XLOOKUP($E57,$K$2:$K$10,N$2:N$10,"",0)/(COUNTIFS($E:$E,$E57,$D:$D,RegularFormula!$D$2)+COUNTIFS($E:$E,$E57,$D:$D,IF($D57=RegularFormula!$D$2,$K$15,$D57))),IFERROR(IF(percentage,percentage,""),""))</f>
        <v>0.02608695652</v>
      </c>
      <c r="I57" s="72" t="str">
        <f t="shared" si="1"/>
        <v/>
      </c>
      <c r="J57" s="73">
        <v>0.0</v>
      </c>
      <c r="K57" s="100"/>
      <c r="O57" s="163"/>
      <c r="P57" s="163"/>
      <c r="Q57" s="163"/>
      <c r="R57" s="79" t="str">
        <f t="shared" si="2"/>
        <v/>
      </c>
    </row>
    <row r="58">
      <c r="A58" s="217" t="b">
        <v>1</v>
      </c>
      <c r="B58" s="218" t="s">
        <v>506</v>
      </c>
      <c r="C58" s="69" t="str">
        <f t="array" ref="C58">TEXTJOIN("", TRUE, IFERROR(INDEX('language&amp;DataTest'!A:J, MATCH(INDEX( PointerTest!C:C, MATCH(B58, PointerTest!A:A, 0), 0), 'language&amp;DataTest'!A:A, 0), MATCH(HOME!$A$25, 'language&amp;DataTest'!$A$1:$H$1, 0))),                      IFERROR(INDEX('language&amp;DataTest'!A:J, MATCH(INDEX( PointerTest!D:D, MATCH(B58, PointerTest!A:A, 0), 0), 'language&amp;DataTest'!A:A, 0), MATCH(HOME!$A$25, 'language&amp;DataTest'!$A$1:$H$1, 0))),                                          
IFERROR(INDEX('language&amp;DataTest'!A:J, MATCH(INDEX( PointerTest!E:E, MATCH(B58, PointerTest!A:A, 0), 0), 'language&amp;DataTest'!A:A, 0), MATCH(HOME!$A$25, 'language&amp;DataTest'!$A$1:$H$1, 0))))</f>
        <v>Pidgey</v>
      </c>
      <c r="D58" s="69" t="str">
        <f t="array" ref="D58">TEXTJOIN("", TRUE, 
IFERROR(INDEX('language&amp;DataTest'!A:J, MATCH(INDEX( PointerTest!C:C, MATCH(INDEX(PointerTest!B:B, MATCH(B58, PointerTest!A:A, 0)), PointerTest!A:A, 0), 0), 'language&amp;DataTest'!A:A, 0), MATCH(HOME!$A$25, 'language&amp;DataTest'!$A$1:$H$1, 0))),                      
IFERROR(INDEX('language&amp;DataTest'!A:J, MATCH(INDEX( PointerTest!D:D, MATCH(INDEX(PointerTest!B:B, MATCH(B58, PointerTest!A:A, 0)), PointerTest!A:A, 0), 0), 'language&amp;DataTest'!A:A, 0), MATCH(HOME!$A$25, 'language&amp;DataTest'!$A$1:$H$1, 0))),                                          
IFERROR(INDEX('language&amp;DataTest'!A:J, MATCH(INDEX( PointerTest!E:E, MATCH(INDEX(PointerTest!B:B, MATCH(B58, PointerTest!A:A, 0)), PointerTest!A:A, 0), 0), 'language&amp;DataTest'!A:A, 0), MATCH(HOME!$A$25, 'language&amp;DataTest'!$A$1:$H$1, 0))))</f>
        <v>Mew</v>
      </c>
      <c r="E58" s="69" t="str">
        <f t="array" ref="E58">INDEX( PointerTest!F:F, MATCH(B58, PointerTest!A:A, 0), 0)</f>
        <v>♢</v>
      </c>
      <c r="F58" s="70">
        <f t="array" ref="F58">LET(percentage,XLOOKUP($E58,$K$2:$K$10,L$2:L$10,"",0)/(COUNTIFS($E:$E,$E58,$D:$D,RegularFormula!$D$2)+COUNTIFS($E:$E,$E58,$D:$D,IF($D58=RegularFormula!$D$2,$K$15,$D58))),IFERROR(IF(percentage,percentage,""),""))</f>
        <v>0.03125</v>
      </c>
      <c r="G58" s="71" t="str">
        <f t="array" ref="G58">LET(percentage,XLOOKUP($E58,$K$2:$K$10,M$2:M$10,"",0)/(COUNTIFS($E:$E,$E58,$D:$D,RegularFormula!$D$2)+COUNTIFS($E:$E,$E58,$D:$D,IF($D58=RegularFormula!$D$2,$K$15,$D58))),IFERROR(IF(percentage,percentage,""),""))</f>
        <v/>
      </c>
      <c r="H58" s="71" t="str">
        <f t="array" ref="H58">LET(percentage,XLOOKUP($E58,$K$2:$K$10,N$2:N$10,"",0)/(COUNTIFS($E:$E,$E58,$D:$D,RegularFormula!$D$2)+COUNTIFS($E:$E,$E58,$D:$D,IF($D58=RegularFormula!$D$2,$K$15,$D58))),IFERROR(IF(percentage,percentage,""),""))</f>
        <v/>
      </c>
      <c r="I58" s="72" t="str">
        <f t="shared" si="1"/>
        <v/>
      </c>
      <c r="J58" s="73">
        <v>0.0</v>
      </c>
      <c r="K58" s="100"/>
      <c r="O58" s="163"/>
      <c r="P58" s="163"/>
      <c r="Q58" s="163"/>
      <c r="R58" s="79" t="str">
        <f t="shared" si="2"/>
        <v/>
      </c>
    </row>
    <row r="59">
      <c r="A59" s="217" t="b">
        <v>1</v>
      </c>
      <c r="B59" s="218" t="s">
        <v>507</v>
      </c>
      <c r="C59" s="69" t="str">
        <f t="array" ref="C59">TEXTJOIN("", TRUE, IFERROR(INDEX('language&amp;DataTest'!A:J, MATCH(INDEX( PointerTest!C:C, MATCH(B59, PointerTest!A:A, 0), 0), 'language&amp;DataTest'!A:A, 0), MATCH(HOME!$A$25, 'language&amp;DataTest'!$A$1:$H$1, 0))),                      IFERROR(INDEX('language&amp;DataTest'!A:J, MATCH(INDEX( PointerTest!D:D, MATCH(B59, PointerTest!A:A, 0), 0), 'language&amp;DataTest'!A:A, 0), MATCH(HOME!$A$25, 'language&amp;DataTest'!$A$1:$H$1, 0))),                                          
IFERROR(INDEX('language&amp;DataTest'!A:J, MATCH(INDEX( PointerTest!E:E, MATCH(B59, PointerTest!A:A, 0), 0), 'language&amp;DataTest'!A:A, 0), MATCH(HOME!$A$25, 'language&amp;DataTest'!$A$1:$H$1, 0))))</f>
        <v>Pidgeotto</v>
      </c>
      <c r="D59" s="69" t="str">
        <f t="array" ref="D59">TEXTJOIN("", TRUE, 
IFERROR(INDEX('language&amp;DataTest'!A:J, MATCH(INDEX( PointerTest!C:C, MATCH(INDEX(PointerTest!B:B, MATCH(B59, PointerTest!A:A, 0)), PointerTest!A:A, 0), 0), 'language&amp;DataTest'!A:A, 0), MATCH(HOME!$A$25, 'language&amp;DataTest'!$A$1:$H$1, 0))),                      
IFERROR(INDEX('language&amp;DataTest'!A:J, MATCH(INDEX( PointerTest!D:D, MATCH(INDEX(PointerTest!B:B, MATCH(B59, PointerTest!A:A, 0)), PointerTest!A:A, 0), 0), 'language&amp;DataTest'!A:A, 0), MATCH(HOME!$A$25, 'language&amp;DataTest'!$A$1:$H$1, 0))),                                          
IFERROR(INDEX('language&amp;DataTest'!A:J, MATCH(INDEX( PointerTest!E:E, MATCH(INDEX(PointerTest!B:B, MATCH(B59, PointerTest!A:A, 0)), PointerTest!A:A, 0), 0), 'language&amp;DataTest'!A:A, 0), MATCH(HOME!$A$25, 'language&amp;DataTest'!$A$1:$H$1, 0))))</f>
        <v>Mew</v>
      </c>
      <c r="E59" s="69" t="str">
        <f t="array" ref="E59">INDEX( PointerTest!F:F, MATCH(B59, PointerTest!A:A, 0), 0)</f>
        <v>♢</v>
      </c>
      <c r="F59" s="70">
        <f t="array" ref="F59">LET(percentage,XLOOKUP($E59,$K$2:$K$10,L$2:L$10,"",0)/(COUNTIFS($E:$E,$E59,$D:$D,RegularFormula!$D$2)+COUNTIFS($E:$E,$E59,$D:$D,IF($D59=RegularFormula!$D$2,$K$15,$D59))),IFERROR(IF(percentage,percentage,""),""))</f>
        <v>0.03125</v>
      </c>
      <c r="G59" s="71" t="str">
        <f t="array" ref="G59">LET(percentage,XLOOKUP($E59,$K$2:$K$10,M$2:M$10,"",0)/(COUNTIFS($E:$E,$E59,$D:$D,RegularFormula!$D$2)+COUNTIFS($E:$E,$E59,$D:$D,IF($D59=RegularFormula!$D$2,$K$15,$D59))),IFERROR(IF(percentage,percentage,""),""))</f>
        <v/>
      </c>
      <c r="H59" s="71" t="str">
        <f t="array" ref="H59">LET(percentage,XLOOKUP($E59,$K$2:$K$10,N$2:N$10,"",0)/(COUNTIFS($E:$E,$E59,$D:$D,RegularFormula!$D$2)+COUNTIFS($E:$E,$E59,$D:$D,IF($D59=RegularFormula!$D$2,$K$15,$D59))),IFERROR(IF(percentage,percentage,""),""))</f>
        <v/>
      </c>
      <c r="I59" s="72" t="str">
        <f t="shared" si="1"/>
        <v/>
      </c>
      <c r="J59" s="73">
        <v>0.0</v>
      </c>
      <c r="K59" s="100"/>
      <c r="O59" s="163"/>
      <c r="P59" s="163"/>
      <c r="Q59" s="163"/>
      <c r="R59" s="79" t="str">
        <f t="shared" si="2"/>
        <v/>
      </c>
    </row>
    <row r="60">
      <c r="A60" s="217" t="b">
        <v>1</v>
      </c>
      <c r="B60" s="218" t="s">
        <v>508</v>
      </c>
      <c r="C60" s="69" t="str">
        <f t="array" ref="C60">TEXTJOIN("", TRUE, IFERROR(INDEX('language&amp;DataTest'!A:J, MATCH(INDEX( PointerTest!C:C, MATCH(B60, PointerTest!A:A, 0), 0), 'language&amp;DataTest'!A:A, 0), MATCH(HOME!$A$25, 'language&amp;DataTest'!$A$1:$H$1, 0))),                      IFERROR(INDEX('language&amp;DataTest'!A:J, MATCH(INDEX( PointerTest!D:D, MATCH(B60, PointerTest!A:A, 0), 0), 'language&amp;DataTest'!A:A, 0), MATCH(HOME!$A$25, 'language&amp;DataTest'!$A$1:$H$1, 0))),                                          
IFERROR(INDEX('language&amp;DataTest'!A:J, MATCH(INDEX( PointerTest!E:E, MATCH(B60, PointerTest!A:A, 0), 0), 'language&amp;DataTest'!A:A, 0), MATCH(HOME!$A$25, 'language&amp;DataTest'!$A$1:$H$1, 0))))</f>
        <v>Pidgeot ex</v>
      </c>
      <c r="D60" s="69" t="str">
        <f t="array" ref="D60">TEXTJOIN("", TRUE, 
IFERROR(INDEX('language&amp;DataTest'!A:J, MATCH(INDEX( PointerTest!C:C, MATCH(INDEX(PointerTest!B:B, MATCH(B60, PointerTest!A:A, 0)), PointerTest!A:A, 0), 0), 'language&amp;DataTest'!A:A, 0), MATCH(HOME!$A$25, 'language&amp;DataTest'!$A$1:$H$1, 0))),                      
IFERROR(INDEX('language&amp;DataTest'!A:J, MATCH(INDEX( PointerTest!D:D, MATCH(INDEX(PointerTest!B:B, MATCH(B60, PointerTest!A:A, 0)), PointerTest!A:A, 0), 0), 'language&amp;DataTest'!A:A, 0), MATCH(HOME!$A$25, 'language&amp;DataTest'!$A$1:$H$1, 0))),                                          
IFERROR(INDEX('language&amp;DataTest'!A:J, MATCH(INDEX( PointerTest!E:E, MATCH(INDEX(PointerTest!B:B, MATCH(B60, PointerTest!A:A, 0)), PointerTest!A:A, 0), 0), 'language&amp;DataTest'!A:A, 0), MATCH(HOME!$A$25, 'language&amp;DataTest'!$A$1:$H$1, 0))))</f>
        <v>Mew</v>
      </c>
      <c r="E60" s="69" t="str">
        <f t="array" ref="E60">INDEX( PointerTest!F:F, MATCH(B60, PointerTest!A:A, 0), 0)</f>
        <v>♢♢♢♢</v>
      </c>
      <c r="F60" s="70" t="str">
        <f t="array" ref="F60">LET(percentage,XLOOKUP($E60,$K$2:$K$10,L$2:L$10,"",0)/(COUNTIFS($E:$E,$E60,$D:$D,RegularFormula!$D$2)+COUNTIFS($E:$E,$E60,$D:$D,IF($D60=RegularFormula!$D$2,$K$15,$D60))),IFERROR(IF(percentage,percentage,""),""))</f>
        <v/>
      </c>
      <c r="G60" s="71">
        <f t="array" ref="G60">LET(percentage,XLOOKUP($E60,$K$2:$K$10,M$2:M$10,"",0)/(COUNTIFS($E:$E,$E60,$D:$D,RegularFormula!$D$2)+COUNTIFS($E:$E,$E60,$D:$D,IF($D60=RegularFormula!$D$2,$K$15,$D60))),IFERROR(IF(percentage,percentage,""),""))</f>
        <v>0.003332</v>
      </c>
      <c r="H60" s="71">
        <f t="array" ref="H60">LET(percentage,XLOOKUP($E60,$K$2:$K$10,N$2:N$10,"",0)/(COUNTIFS($E:$E,$E60,$D:$D,RegularFormula!$D$2)+COUNTIFS($E:$E,$E60,$D:$D,IF($D60=RegularFormula!$D$2,$K$15,$D60))),IFERROR(IF(percentage,percentage,""),""))</f>
        <v>0.013328</v>
      </c>
      <c r="I60" s="72" t="str">
        <f t="shared" si="1"/>
        <v/>
      </c>
      <c r="J60" s="73">
        <v>0.0</v>
      </c>
      <c r="K60" s="100"/>
      <c r="O60" s="163"/>
      <c r="P60" s="163"/>
      <c r="Q60" s="163"/>
      <c r="R60" s="79" t="str">
        <f t="shared" si="2"/>
        <v/>
      </c>
    </row>
    <row r="61">
      <c r="A61" s="217" t="b">
        <v>1</v>
      </c>
      <c r="B61" s="218" t="s">
        <v>509</v>
      </c>
      <c r="C61" s="69" t="str">
        <f t="array" ref="C61">TEXTJOIN("", TRUE, IFERROR(INDEX('language&amp;DataTest'!A:J, MATCH(INDEX( PointerTest!C:C, MATCH(B61, PointerTest!A:A, 0), 0), 'language&amp;DataTest'!A:A, 0), MATCH(HOME!$A$25, 'language&amp;DataTest'!$A$1:$H$1, 0))),                      IFERROR(INDEX('language&amp;DataTest'!A:J, MATCH(INDEX( PointerTest!D:D, MATCH(B61, PointerTest!A:A, 0), 0), 'language&amp;DataTest'!A:A, 0), MATCH(HOME!$A$25, 'language&amp;DataTest'!$A$1:$H$1, 0))),                                          
IFERROR(INDEX('language&amp;DataTest'!A:J, MATCH(INDEX( PointerTest!E:E, MATCH(B61, PointerTest!A:A, 0), 0), 'language&amp;DataTest'!A:A, 0), MATCH(HOME!$A$25, 'language&amp;DataTest'!$A$1:$H$1, 0))))</f>
        <v>Tauros</v>
      </c>
      <c r="D61" s="69" t="str">
        <f t="array" ref="D61">TEXTJOIN("", TRUE, 
IFERROR(INDEX('language&amp;DataTest'!A:J, MATCH(INDEX( PointerTest!C:C, MATCH(INDEX(PointerTest!B:B, MATCH(B61, PointerTest!A:A, 0)), PointerTest!A:A, 0), 0), 'language&amp;DataTest'!A:A, 0), MATCH(HOME!$A$25, 'language&amp;DataTest'!$A$1:$H$1, 0))),                      
IFERROR(INDEX('language&amp;DataTest'!A:J, MATCH(INDEX( PointerTest!D:D, MATCH(INDEX(PointerTest!B:B, MATCH(B61, PointerTest!A:A, 0)), PointerTest!A:A, 0), 0), 'language&amp;DataTest'!A:A, 0), MATCH(HOME!$A$25, 'language&amp;DataTest'!$A$1:$H$1, 0))),                                          
IFERROR(INDEX('language&amp;DataTest'!A:J, MATCH(INDEX( PointerTest!E:E, MATCH(INDEX(PointerTest!B:B, MATCH(B61, PointerTest!A:A, 0)), PointerTest!A:A, 0), 0), 'language&amp;DataTest'!A:A, 0), MATCH(HOME!$A$25, 'language&amp;DataTest'!$A$1:$H$1, 0))))</f>
        <v>Mew</v>
      </c>
      <c r="E61" s="69" t="str">
        <f t="array" ref="E61">INDEX( PointerTest!F:F, MATCH(B61, PointerTest!A:A, 0), 0)</f>
        <v>♢♢♢</v>
      </c>
      <c r="F61" s="70" t="str">
        <f t="array" ref="F61">LET(percentage,XLOOKUP($E61,$K$2:$K$10,L$2:L$10,"",0)/(COUNTIFS($E:$E,$E61,$D:$D,RegularFormula!$D$2)+COUNTIFS($E:$E,$E61,$D:$D,IF($D61=RegularFormula!$D$2,$K$15,$D61))),IFERROR(IF(percentage,percentage,""),""))</f>
        <v/>
      </c>
      <c r="G61" s="71">
        <f t="array" ref="G61">LET(percentage,XLOOKUP($E61,$K$2:$K$10,M$2:M$10,"",0)/(COUNTIFS($E:$E,$E61,$D:$D,RegularFormula!$D$2)+COUNTIFS($E:$E,$E61,$D:$D,IF($D61=RegularFormula!$D$2,$K$15,$D61))),IFERROR(IF(percentage,percentage,""),""))</f>
        <v>0.00625</v>
      </c>
      <c r="H61" s="71">
        <f t="array" ref="H61">LET(percentage,XLOOKUP($E61,$K$2:$K$10,N$2:N$10,"",0)/(COUNTIFS($E:$E,$E61,$D:$D,RegularFormula!$D$2)+COUNTIFS($E:$E,$E61,$D:$D,IF($D61=RegularFormula!$D$2,$K$15,$D61))),IFERROR(IF(percentage,percentage,""),""))</f>
        <v>0.025</v>
      </c>
      <c r="I61" s="72" t="str">
        <f t="shared" si="1"/>
        <v/>
      </c>
      <c r="J61" s="73">
        <v>0.0</v>
      </c>
      <c r="K61" s="100"/>
      <c r="O61" s="163"/>
      <c r="P61" s="163"/>
      <c r="Q61" s="163"/>
      <c r="R61" s="79" t="str">
        <f t="shared" si="2"/>
        <v/>
      </c>
    </row>
    <row r="62">
      <c r="A62" s="217" t="b">
        <v>1</v>
      </c>
      <c r="B62" s="218" t="s">
        <v>510</v>
      </c>
      <c r="C62" s="69" t="str">
        <f t="array" ref="C62">TEXTJOIN("", TRUE, IFERROR(INDEX('language&amp;DataTest'!A:J, MATCH(INDEX( PointerTest!C:C, MATCH(B62, PointerTest!A:A, 0), 0), 'language&amp;DataTest'!A:A, 0), MATCH(HOME!$A$25, 'language&amp;DataTest'!$A$1:$H$1, 0))),                      IFERROR(INDEX('language&amp;DataTest'!A:J, MATCH(INDEX( PointerTest!D:D, MATCH(B62, PointerTest!A:A, 0), 0), 'language&amp;DataTest'!A:A, 0), MATCH(HOME!$A$25, 'language&amp;DataTest'!$A$1:$H$1, 0))),                                          
IFERROR(INDEX('language&amp;DataTest'!A:J, MATCH(INDEX( PointerTest!E:E, MATCH(B62, PointerTest!A:A, 0), 0), 'language&amp;DataTest'!A:A, 0), MATCH(HOME!$A$25, 'language&amp;DataTest'!$A$1:$H$1, 0))))</f>
        <v>Eevee</v>
      </c>
      <c r="D62" s="69" t="str">
        <f t="array" ref="D62">TEXTJOIN("", TRUE, 
IFERROR(INDEX('language&amp;DataTest'!A:J, MATCH(INDEX( PointerTest!C:C, MATCH(INDEX(PointerTest!B:B, MATCH(B62, PointerTest!A:A, 0)), PointerTest!A:A, 0), 0), 'language&amp;DataTest'!A:A, 0), MATCH(HOME!$A$25, 'language&amp;DataTest'!$A$1:$H$1, 0))),                      
IFERROR(INDEX('language&amp;DataTest'!A:J, MATCH(INDEX( PointerTest!D:D, MATCH(INDEX(PointerTest!B:B, MATCH(B62, PointerTest!A:A, 0)), PointerTest!A:A, 0), 0), 'language&amp;DataTest'!A:A, 0), MATCH(HOME!$A$25, 'language&amp;DataTest'!$A$1:$H$1, 0))),                                          
IFERROR(INDEX('language&amp;DataTest'!A:J, MATCH(INDEX( PointerTest!E:E, MATCH(INDEX(PointerTest!B:B, MATCH(B62, PointerTest!A:A, 0)), PointerTest!A:A, 0), 0), 'language&amp;DataTest'!A:A, 0), MATCH(HOME!$A$25, 'language&amp;DataTest'!$A$1:$H$1, 0))))</f>
        <v>Mew</v>
      </c>
      <c r="E62" s="69" t="str">
        <f t="array" ref="E62">INDEX( PointerTest!F:F, MATCH(B62, PointerTest!A:A, 0), 0)</f>
        <v>♢</v>
      </c>
      <c r="F62" s="70">
        <f t="array" ref="F62">LET(percentage,XLOOKUP($E62,$K$2:$K$10,L$2:L$10,"",0)/(COUNTIFS($E:$E,$E62,$D:$D,RegularFormula!$D$2)+COUNTIFS($E:$E,$E62,$D:$D,IF($D62=RegularFormula!$D$2,$K$15,$D62))),IFERROR(IF(percentage,percentage,""),""))</f>
        <v>0.03125</v>
      </c>
      <c r="G62" s="71" t="str">
        <f t="array" ref="G62">LET(percentage,XLOOKUP($E62,$K$2:$K$10,M$2:M$10,"",0)/(COUNTIFS($E:$E,$E62,$D:$D,RegularFormula!$D$2)+COUNTIFS($E:$E,$E62,$D:$D,IF($D62=RegularFormula!$D$2,$K$15,$D62))),IFERROR(IF(percentage,percentage,""),""))</f>
        <v/>
      </c>
      <c r="H62" s="71" t="str">
        <f t="array" ref="H62">LET(percentage,XLOOKUP($E62,$K$2:$K$10,N$2:N$10,"",0)/(COUNTIFS($E:$E,$E62,$D:$D,RegularFormula!$D$2)+COUNTIFS($E:$E,$E62,$D:$D,IF($D62=RegularFormula!$D$2,$K$15,$D62))),IFERROR(IF(percentage,percentage,""),""))</f>
        <v/>
      </c>
      <c r="I62" s="72" t="str">
        <f t="shared" si="1"/>
        <v/>
      </c>
      <c r="J62" s="73">
        <v>0.0</v>
      </c>
      <c r="K62" s="100"/>
      <c r="O62" s="163"/>
      <c r="P62" s="163"/>
      <c r="Q62" s="163"/>
      <c r="R62" s="79" t="str">
        <f t="shared" si="2"/>
        <v/>
      </c>
    </row>
    <row r="63">
      <c r="A63" s="217" t="b">
        <v>1</v>
      </c>
      <c r="B63" s="218" t="s">
        <v>511</v>
      </c>
      <c r="C63" s="69" t="str">
        <f t="array" ref="C63">TEXTJOIN("", TRUE, IFERROR(INDEX('language&amp;DataTest'!A:J, MATCH(INDEX( PointerTest!C:C, MATCH(B63, PointerTest!A:A, 0), 0), 'language&amp;DataTest'!A:A, 0), MATCH(HOME!$A$25, 'language&amp;DataTest'!$A$1:$H$1, 0))),                      IFERROR(INDEX('language&amp;DataTest'!A:J, MATCH(INDEX( PointerTest!D:D, MATCH(B63, PointerTest!A:A, 0), 0), 'language&amp;DataTest'!A:A, 0), MATCH(HOME!$A$25, 'language&amp;DataTest'!$A$1:$H$1, 0))),                                          
IFERROR(INDEX('language&amp;DataTest'!A:J, MATCH(INDEX( PointerTest!E:E, MATCH(B63, PointerTest!A:A, 0), 0), 'language&amp;DataTest'!A:A, 0), MATCH(HOME!$A$25, 'language&amp;DataTest'!$A$1:$H$1, 0))))</f>
        <v>Chatot</v>
      </c>
      <c r="D63" s="69" t="str">
        <f t="array" ref="D63">TEXTJOIN("", TRUE, 
IFERROR(INDEX('language&amp;DataTest'!A:J, MATCH(INDEX( PointerTest!C:C, MATCH(INDEX(PointerTest!B:B, MATCH(B63, PointerTest!A:A, 0)), PointerTest!A:A, 0), 0), 'language&amp;DataTest'!A:A, 0), MATCH(HOME!$A$25, 'language&amp;DataTest'!$A$1:$H$1, 0))),                      
IFERROR(INDEX('language&amp;DataTest'!A:J, MATCH(INDEX( PointerTest!D:D, MATCH(INDEX(PointerTest!B:B, MATCH(B63, PointerTest!A:A, 0)), PointerTest!A:A, 0), 0), 'language&amp;DataTest'!A:A, 0), MATCH(HOME!$A$25, 'language&amp;DataTest'!$A$1:$H$1, 0))),                                          
IFERROR(INDEX('language&amp;DataTest'!A:J, MATCH(INDEX( PointerTest!E:E, MATCH(INDEX(PointerTest!B:B, MATCH(B63, PointerTest!A:A, 0)), PointerTest!A:A, 0), 0), 'language&amp;DataTest'!A:A, 0), MATCH(HOME!$A$25, 'language&amp;DataTest'!$A$1:$H$1, 0))))</f>
        <v>Mew</v>
      </c>
      <c r="E63" s="69" t="str">
        <f t="array" ref="E63">INDEX( PointerTest!F:F, MATCH(B63, PointerTest!A:A, 0), 0)</f>
        <v>♢</v>
      </c>
      <c r="F63" s="70">
        <f t="array" ref="F63">LET(percentage,XLOOKUP($E63,$K$2:$K$10,L$2:L$10,"",0)/(COUNTIFS($E:$E,$E63,$D:$D,RegularFormula!$D$2)+COUNTIFS($E:$E,$E63,$D:$D,IF($D63=RegularFormula!$D$2,$K$15,$D63))),IFERROR(IF(percentage,percentage,""),""))</f>
        <v>0.03125</v>
      </c>
      <c r="G63" s="71" t="str">
        <f t="array" ref="G63">LET(percentage,XLOOKUP($E63,$K$2:$K$10,M$2:M$10,"",0)/(COUNTIFS($E:$E,$E63,$D:$D,RegularFormula!$D$2)+COUNTIFS($E:$E,$E63,$D:$D,IF($D63=RegularFormula!$D$2,$K$15,$D63))),IFERROR(IF(percentage,percentage,""),""))</f>
        <v/>
      </c>
      <c r="H63" s="71" t="str">
        <f t="array" ref="H63">LET(percentage,XLOOKUP($E63,$K$2:$K$10,N$2:N$10,"",0)/(COUNTIFS($E:$E,$E63,$D:$D,RegularFormula!$D$2)+COUNTIFS($E:$E,$E63,$D:$D,IF($D63=RegularFormula!$D$2,$K$15,$D63))),IFERROR(IF(percentage,percentage,""),""))</f>
        <v/>
      </c>
      <c r="I63" s="72" t="str">
        <f t="shared" si="1"/>
        <v/>
      </c>
      <c r="J63" s="73">
        <v>0.0</v>
      </c>
      <c r="K63" s="100"/>
      <c r="O63" s="163"/>
      <c r="P63" s="163"/>
      <c r="Q63" s="163"/>
      <c r="R63" s="79" t="str">
        <f t="shared" si="2"/>
        <v/>
      </c>
    </row>
    <row r="64">
      <c r="A64" s="217" t="b">
        <v>1</v>
      </c>
      <c r="B64" s="218" t="s">
        <v>512</v>
      </c>
      <c r="C64" s="69" t="str">
        <f t="array" ref="C64">TEXTJOIN("", TRUE, IFERROR(INDEX('language&amp;DataTest'!A:J, MATCH(INDEX( PointerTest!C:C, MATCH(B64, PointerTest!A:A, 0), 0), 'language&amp;DataTest'!A:A, 0), MATCH(HOME!$A$25, 'language&amp;DataTest'!$A$1:$H$1, 0))),                      IFERROR(INDEX('language&amp;DataTest'!A:J, MATCH(INDEX( PointerTest!D:D, MATCH(B64, PointerTest!A:A, 0), 0), 'language&amp;DataTest'!A:A, 0), MATCH(HOME!$A$25, 'language&amp;DataTest'!$A$1:$H$1, 0))),                                          
IFERROR(INDEX('language&amp;DataTest'!A:J, MATCH(INDEX( PointerTest!E:E, MATCH(B64, PointerTest!A:A, 0), 0), 'language&amp;DataTest'!A:A, 0), MATCH(HOME!$A$25, 'language&amp;DataTest'!$A$1:$H$1, 0))))</f>
        <v>Old Amber</v>
      </c>
      <c r="D64" s="69" t="str">
        <f t="array" ref="D64">TEXTJOIN("", TRUE, 
IFERROR(INDEX('language&amp;DataTest'!A:J, MATCH(INDEX( PointerTest!C:C, MATCH(INDEX(PointerTest!B:B, MATCH(B64, PointerTest!A:A, 0)), PointerTest!A:A, 0), 0), 'language&amp;DataTest'!A:A, 0), MATCH(HOME!$A$25, 'language&amp;DataTest'!$A$1:$H$1, 0))),                      
IFERROR(INDEX('language&amp;DataTest'!A:J, MATCH(INDEX( PointerTest!D:D, MATCH(INDEX(PointerTest!B:B, MATCH(B64, PointerTest!A:A, 0)), PointerTest!A:A, 0), 0), 'language&amp;DataTest'!A:A, 0), MATCH(HOME!$A$25, 'language&amp;DataTest'!$A$1:$H$1, 0))),                                          
IFERROR(INDEX('language&amp;DataTest'!A:J, MATCH(INDEX( PointerTest!E:E, MATCH(INDEX(PointerTest!B:B, MATCH(B64, PointerTest!A:A, 0)), PointerTest!A:A, 0), 0), 'language&amp;DataTest'!A:A, 0), MATCH(HOME!$A$25, 'language&amp;DataTest'!$A$1:$H$1, 0))))</f>
        <v>Mew</v>
      </c>
      <c r="E64" s="69" t="str">
        <f t="array" ref="E64">INDEX( PointerTest!F:F, MATCH(B64, PointerTest!A:A, 0), 0)</f>
        <v>♢</v>
      </c>
      <c r="F64" s="70">
        <f t="array" ref="F64">LET(percentage,XLOOKUP($E64,$K$2:$K$10,L$2:L$10,"",0)/(COUNTIFS($E:$E,$E64,$D:$D,RegularFormula!$D$2)+COUNTIFS($E:$E,$E64,$D:$D,IF($D64=RegularFormula!$D$2,$K$15,$D64))),IFERROR(IF(percentage,percentage,""),""))</f>
        <v>0.03125</v>
      </c>
      <c r="G64" s="71" t="str">
        <f t="array" ref="G64">LET(percentage,XLOOKUP($E64,$K$2:$K$10,M$2:M$10,"",0)/(COUNTIFS($E:$E,$E64,$D:$D,RegularFormula!$D$2)+COUNTIFS($E:$E,$E64,$D:$D,IF($D64=RegularFormula!$D$2,$K$15,$D64))),IFERROR(IF(percentage,percentage,""),""))</f>
        <v/>
      </c>
      <c r="H64" s="71" t="str">
        <f t="array" ref="H64">LET(percentage,XLOOKUP($E64,$K$2:$K$10,N$2:N$10,"",0)/(COUNTIFS($E:$E,$E64,$D:$D,RegularFormula!$D$2)+COUNTIFS($E:$E,$E64,$D:$D,IF($D64=RegularFormula!$D$2,$K$15,$D64))),IFERROR(IF(percentage,percentage,""),""))</f>
        <v/>
      </c>
      <c r="I64" s="72" t="str">
        <f t="shared" si="1"/>
        <v/>
      </c>
      <c r="J64" s="73">
        <v>0.0</v>
      </c>
      <c r="K64" s="100"/>
      <c r="O64" s="163"/>
      <c r="P64" s="163"/>
      <c r="Q64" s="163"/>
      <c r="R64" s="79" t="str">
        <f t="shared" si="2"/>
        <v/>
      </c>
    </row>
    <row r="65">
      <c r="A65" s="217" t="b">
        <v>1</v>
      </c>
      <c r="B65" s="218" t="s">
        <v>513</v>
      </c>
      <c r="C65" s="69" t="str">
        <f t="array" ref="C65">TEXTJOIN("", TRUE, IFERROR(INDEX('language&amp;DataTest'!A:J, MATCH(INDEX( PointerTest!C:C, MATCH(B65, PointerTest!A:A, 0), 0), 'language&amp;DataTest'!A:A, 0), MATCH(HOME!$A$25, 'language&amp;DataTest'!$A$1:$H$1, 0))),                      IFERROR(INDEX('language&amp;DataTest'!A:J, MATCH(INDEX( PointerTest!D:D, MATCH(B65, PointerTest!A:A, 0), 0), 'language&amp;DataTest'!A:A, 0), MATCH(HOME!$A$25, 'language&amp;DataTest'!$A$1:$H$1, 0))),                                          
IFERROR(INDEX('language&amp;DataTest'!A:J, MATCH(INDEX( PointerTest!E:E, MATCH(B65, PointerTest!A:A, 0), 0), 'language&amp;DataTest'!A:A, 0), MATCH(HOME!$A$25, 'language&amp;DataTest'!$A$1:$H$1, 0))))</f>
        <v>Pokemon Flute</v>
      </c>
      <c r="D65" s="69" t="str">
        <f t="array" ref="D65">TEXTJOIN("", TRUE, 
IFERROR(INDEX('language&amp;DataTest'!A:J, MATCH(INDEX( PointerTest!C:C, MATCH(INDEX(PointerTest!B:B, MATCH(B65, PointerTest!A:A, 0)), PointerTest!A:A, 0), 0), 'language&amp;DataTest'!A:A, 0), MATCH(HOME!$A$25, 'language&amp;DataTest'!$A$1:$H$1, 0))),                      
IFERROR(INDEX('language&amp;DataTest'!A:J, MATCH(INDEX( PointerTest!D:D, MATCH(INDEX(PointerTest!B:B, MATCH(B65, PointerTest!A:A, 0)), PointerTest!A:A, 0), 0), 'language&amp;DataTest'!A:A, 0), MATCH(HOME!$A$25, 'language&amp;DataTest'!$A$1:$H$1, 0))),                                          
IFERROR(INDEX('language&amp;DataTest'!A:J, MATCH(INDEX( PointerTest!E:E, MATCH(INDEX(PointerTest!B:B, MATCH(B65, PointerTest!A:A, 0)), PointerTest!A:A, 0), 0), 'language&amp;DataTest'!A:A, 0), MATCH(HOME!$A$25, 'language&amp;DataTest'!$A$1:$H$1, 0))))</f>
        <v>Mew</v>
      </c>
      <c r="E65" s="69" t="str">
        <f t="array" ref="E65">INDEX( PointerTest!F:F, MATCH(B65, PointerTest!A:A, 0), 0)</f>
        <v>♢♢</v>
      </c>
      <c r="F65" s="70" t="str">
        <f t="array" ref="F65">LET(percentage,XLOOKUP($E65,$K$2:$K$10,L$2:L$10,"",0)/(COUNTIFS($E:$E,$E65,$D:$D,RegularFormula!$D$2)+COUNTIFS($E:$E,$E65,$D:$D,IF($D65=RegularFormula!$D$2,$K$15,$D65))),IFERROR(IF(percentage,percentage,""),""))</f>
        <v/>
      </c>
      <c r="G65" s="71">
        <f t="array" ref="G65">LET(percentage,XLOOKUP($E65,$K$2:$K$10,M$2:M$10,"",0)/(COUNTIFS($E:$E,$E65,$D:$D,RegularFormula!$D$2)+COUNTIFS($E:$E,$E65,$D:$D,IF($D65=RegularFormula!$D$2,$K$15,$D65))),IFERROR(IF(percentage,percentage,""),""))</f>
        <v>0.03913043478</v>
      </c>
      <c r="H65" s="71">
        <f t="array" ref="H65">LET(percentage,XLOOKUP($E65,$K$2:$K$10,N$2:N$10,"",0)/(COUNTIFS($E:$E,$E65,$D:$D,RegularFormula!$D$2)+COUNTIFS($E:$E,$E65,$D:$D,IF($D65=RegularFormula!$D$2,$K$15,$D65))),IFERROR(IF(percentage,percentage,""),""))</f>
        <v>0.02608695652</v>
      </c>
      <c r="I65" s="72" t="str">
        <f t="shared" si="1"/>
        <v/>
      </c>
      <c r="J65" s="73">
        <v>0.0</v>
      </c>
      <c r="K65" s="100"/>
      <c r="O65" s="163"/>
      <c r="P65" s="163"/>
      <c r="Q65" s="163"/>
      <c r="R65" s="79" t="str">
        <f t="shared" si="2"/>
        <v/>
      </c>
    </row>
    <row r="66">
      <c r="A66" s="217" t="b">
        <v>1</v>
      </c>
      <c r="B66" s="218" t="s">
        <v>514</v>
      </c>
      <c r="C66" s="69" t="str">
        <f t="array" ref="C66">TEXTJOIN("", TRUE, IFERROR(INDEX('language&amp;DataTest'!A:J, MATCH(INDEX( PointerTest!C:C, MATCH(B66, PointerTest!A:A, 0), 0), 'language&amp;DataTest'!A:A, 0), MATCH(HOME!$A$25, 'language&amp;DataTest'!$A$1:$H$1, 0))),                      IFERROR(INDEX('language&amp;DataTest'!A:J, MATCH(INDEX( PointerTest!D:D, MATCH(B66, PointerTest!A:A, 0), 0), 'language&amp;DataTest'!A:A, 0), MATCH(HOME!$A$25, 'language&amp;DataTest'!$A$1:$H$1, 0))),                                          
IFERROR(INDEX('language&amp;DataTest'!A:J, MATCH(INDEX( PointerTest!E:E, MATCH(B66, PointerTest!A:A, 0), 0), 'language&amp;DataTest'!A:A, 0), MATCH(HOME!$A$25, 'language&amp;DataTest'!$A$1:$H$1, 0))))</f>
        <v>Mythical Slab</v>
      </c>
      <c r="D66" s="69" t="str">
        <f t="array" ref="D66">TEXTJOIN("", TRUE, 
IFERROR(INDEX('language&amp;DataTest'!A:J, MATCH(INDEX( PointerTest!C:C, MATCH(INDEX(PointerTest!B:B, MATCH(B66, PointerTest!A:A, 0)), PointerTest!A:A, 0), 0), 'language&amp;DataTest'!A:A, 0), MATCH(HOME!$A$25, 'language&amp;DataTest'!$A$1:$H$1, 0))),                      
IFERROR(INDEX('language&amp;DataTest'!A:J, MATCH(INDEX( PointerTest!D:D, MATCH(INDEX(PointerTest!B:B, MATCH(B66, PointerTest!A:A, 0)), PointerTest!A:A, 0), 0), 'language&amp;DataTest'!A:A, 0), MATCH(HOME!$A$25, 'language&amp;DataTest'!$A$1:$H$1, 0))),                                          
IFERROR(INDEX('language&amp;DataTest'!A:J, MATCH(INDEX( PointerTest!E:E, MATCH(INDEX(PointerTest!B:B, MATCH(B66, PointerTest!A:A, 0)), PointerTest!A:A, 0), 0), 'language&amp;DataTest'!A:A, 0), MATCH(HOME!$A$25, 'language&amp;DataTest'!$A$1:$H$1, 0))))</f>
        <v>Mew</v>
      </c>
      <c r="E66" s="69" t="str">
        <f t="array" ref="E66">INDEX( PointerTest!F:F, MATCH(B66, PointerTest!A:A, 0), 0)</f>
        <v>♢♢</v>
      </c>
      <c r="F66" s="70" t="str">
        <f t="array" ref="F66">LET(percentage,XLOOKUP($E66,$K$2:$K$10,L$2:L$10,"",0)/(COUNTIFS($E:$E,$E66,$D:$D,RegularFormula!$D$2)+COUNTIFS($E:$E,$E66,$D:$D,IF($D66=RegularFormula!$D$2,$K$15,$D66))),IFERROR(IF(percentage,percentage,""),""))</f>
        <v/>
      </c>
      <c r="G66" s="71">
        <f t="array" ref="G66">LET(percentage,XLOOKUP($E66,$K$2:$K$10,M$2:M$10,"",0)/(COUNTIFS($E:$E,$E66,$D:$D,RegularFormula!$D$2)+COUNTIFS($E:$E,$E66,$D:$D,IF($D66=RegularFormula!$D$2,$K$15,$D66))),IFERROR(IF(percentage,percentage,""),""))</f>
        <v>0.03913043478</v>
      </c>
      <c r="H66" s="71">
        <f t="array" ref="H66">LET(percentage,XLOOKUP($E66,$K$2:$K$10,N$2:N$10,"",0)/(COUNTIFS($E:$E,$E66,$D:$D,RegularFormula!$D$2)+COUNTIFS($E:$E,$E66,$D:$D,IF($D66=RegularFormula!$D$2,$K$15,$D66))),IFERROR(IF(percentage,percentage,""),""))</f>
        <v>0.02608695652</v>
      </c>
      <c r="I66" s="72" t="str">
        <f t="shared" si="1"/>
        <v/>
      </c>
      <c r="J66" s="73">
        <v>0.0</v>
      </c>
      <c r="K66" s="100"/>
      <c r="O66" s="163"/>
      <c r="P66" s="163"/>
      <c r="Q66" s="163"/>
      <c r="R66" s="79" t="str">
        <f t="shared" si="2"/>
        <v/>
      </c>
    </row>
    <row r="67">
      <c r="A67" s="217" t="b">
        <v>1</v>
      </c>
      <c r="B67" s="218" t="s">
        <v>515</v>
      </c>
      <c r="C67" s="69" t="str">
        <f t="array" ref="C67">TEXTJOIN("", TRUE, IFERROR(INDEX('language&amp;DataTest'!A:J, MATCH(INDEX( PointerTest!C:C, MATCH(B67, PointerTest!A:A, 0), 0), 'language&amp;DataTest'!A:A, 0), MATCH(HOME!$A$25, 'language&amp;DataTest'!$A$1:$H$1, 0))),                      IFERROR(INDEX('language&amp;DataTest'!A:J, MATCH(INDEX( PointerTest!D:D, MATCH(B67, PointerTest!A:A, 0), 0), 'language&amp;DataTest'!A:A, 0), MATCH(HOME!$A$25, 'language&amp;DataTest'!$A$1:$H$1, 0))),                                          
IFERROR(INDEX('language&amp;DataTest'!A:J, MATCH(INDEX( PointerTest!E:E, MATCH(B67, PointerTest!A:A, 0), 0), 'language&amp;DataTest'!A:A, 0), MATCH(HOME!$A$25, 'language&amp;DataTest'!$A$1:$H$1, 0))))</f>
        <v>Budding Expeditioner</v>
      </c>
      <c r="D67" s="69" t="str">
        <f t="array" ref="D67">TEXTJOIN("", TRUE, 
IFERROR(INDEX('language&amp;DataTest'!A:J, MATCH(INDEX( PointerTest!C:C, MATCH(INDEX(PointerTest!B:B, MATCH(B67, PointerTest!A:A, 0)), PointerTest!A:A, 0), 0), 'language&amp;DataTest'!A:A, 0), MATCH(HOME!$A$25, 'language&amp;DataTest'!$A$1:$H$1, 0))),                      
IFERROR(INDEX('language&amp;DataTest'!A:J, MATCH(INDEX( PointerTest!D:D, MATCH(INDEX(PointerTest!B:B, MATCH(B67, PointerTest!A:A, 0)), PointerTest!A:A, 0), 0), 'language&amp;DataTest'!A:A, 0), MATCH(HOME!$A$25, 'language&amp;DataTest'!$A$1:$H$1, 0))),                                          
IFERROR(INDEX('language&amp;DataTest'!A:J, MATCH(INDEX( PointerTest!E:E, MATCH(INDEX(PointerTest!B:B, MATCH(B67, PointerTest!A:A, 0)), PointerTest!A:A, 0), 0), 'language&amp;DataTest'!A:A, 0), MATCH(HOME!$A$25, 'language&amp;DataTest'!$A$1:$H$1, 0))))</f>
        <v>Mew</v>
      </c>
      <c r="E67" s="69" t="str">
        <f t="array" ref="E67">INDEX( PointerTest!F:F, MATCH(B67, PointerTest!A:A, 0), 0)</f>
        <v>♢♢</v>
      </c>
      <c r="F67" s="70" t="str">
        <f t="array" ref="F67">LET(percentage,XLOOKUP($E67,$K$2:$K$10,L$2:L$10,"",0)/(COUNTIFS($E:$E,$E67,$D:$D,RegularFormula!$D$2)+COUNTIFS($E:$E,$E67,$D:$D,IF($D67=RegularFormula!$D$2,$K$15,$D67))),IFERROR(IF(percentage,percentage,""),""))</f>
        <v/>
      </c>
      <c r="G67" s="71">
        <f t="array" ref="G67">LET(percentage,XLOOKUP($E67,$K$2:$K$10,M$2:M$10,"",0)/(COUNTIFS($E:$E,$E67,$D:$D,RegularFormula!$D$2)+COUNTIFS($E:$E,$E67,$D:$D,IF($D67=RegularFormula!$D$2,$K$15,$D67))),IFERROR(IF(percentage,percentage,""),""))</f>
        <v>0.03913043478</v>
      </c>
      <c r="H67" s="71">
        <f t="array" ref="H67">LET(percentage,XLOOKUP($E67,$K$2:$K$10,N$2:N$10,"",0)/(COUNTIFS($E:$E,$E67,$D:$D,RegularFormula!$D$2)+COUNTIFS($E:$E,$E67,$D:$D,IF($D67=RegularFormula!$D$2,$K$15,$D67))),IFERROR(IF(percentage,percentage,""),""))</f>
        <v>0.02608695652</v>
      </c>
      <c r="I67" s="72" t="str">
        <f t="shared" si="1"/>
        <v/>
      </c>
      <c r="J67" s="73">
        <v>0.0</v>
      </c>
      <c r="K67" s="100"/>
      <c r="O67" s="163"/>
      <c r="P67" s="163"/>
      <c r="Q67" s="163"/>
      <c r="R67" s="79" t="str">
        <f t="shared" si="2"/>
        <v/>
      </c>
    </row>
    <row r="68">
      <c r="A68" s="217" t="b">
        <v>1</v>
      </c>
      <c r="B68" s="218" t="s">
        <v>516</v>
      </c>
      <c r="C68" s="69" t="str">
        <f t="array" ref="C68">TEXTJOIN("", TRUE, IFERROR(INDEX('language&amp;DataTest'!A:J, MATCH(INDEX( PointerTest!C:C, MATCH(B68, PointerTest!A:A, 0), 0), 'language&amp;DataTest'!A:A, 0), MATCH(HOME!$A$25, 'language&amp;DataTest'!$A$1:$H$1, 0))),                      IFERROR(INDEX('language&amp;DataTest'!A:J, MATCH(INDEX( PointerTest!D:D, MATCH(B68, PointerTest!A:A, 0), 0), 'language&amp;DataTest'!A:A, 0), MATCH(HOME!$A$25, 'language&amp;DataTest'!$A$1:$H$1, 0))),                                          
IFERROR(INDEX('language&amp;DataTest'!A:J, MATCH(INDEX( PointerTest!E:E, MATCH(B68, PointerTest!A:A, 0), 0), 'language&amp;DataTest'!A:A, 0), MATCH(HOME!$A$25, 'language&amp;DataTest'!$A$1:$H$1, 0))))</f>
        <v>Blue</v>
      </c>
      <c r="D68" s="69" t="str">
        <f t="array" ref="D68">TEXTJOIN("", TRUE, 
IFERROR(INDEX('language&amp;DataTest'!A:J, MATCH(INDEX( PointerTest!C:C, MATCH(INDEX(PointerTest!B:B, MATCH(B68, PointerTest!A:A, 0)), PointerTest!A:A, 0), 0), 'language&amp;DataTest'!A:A, 0), MATCH(HOME!$A$25, 'language&amp;DataTest'!$A$1:$H$1, 0))),                      
IFERROR(INDEX('language&amp;DataTest'!A:J, MATCH(INDEX( PointerTest!D:D, MATCH(INDEX(PointerTest!B:B, MATCH(B68, PointerTest!A:A, 0)), PointerTest!A:A, 0), 0), 'language&amp;DataTest'!A:A, 0), MATCH(HOME!$A$25, 'language&amp;DataTest'!$A$1:$H$1, 0))),                                          
IFERROR(INDEX('language&amp;DataTest'!A:J, MATCH(INDEX( PointerTest!E:E, MATCH(INDEX(PointerTest!B:B, MATCH(B68, PointerTest!A:A, 0)), PointerTest!A:A, 0), 0), 'language&amp;DataTest'!A:A, 0), MATCH(HOME!$A$25, 'language&amp;DataTest'!$A$1:$H$1, 0))))</f>
        <v>Mew</v>
      </c>
      <c r="E68" s="69" t="str">
        <f t="array" ref="E68">INDEX( PointerTest!F:F, MATCH(B68, PointerTest!A:A, 0), 0)</f>
        <v>♢♢</v>
      </c>
      <c r="F68" s="70" t="str">
        <f t="array" ref="F68">LET(percentage,XLOOKUP($E68,$K$2:$K$10,L$2:L$10,"",0)/(COUNTIFS($E:$E,$E68,$D:$D,RegularFormula!$D$2)+COUNTIFS($E:$E,$E68,$D:$D,IF($D68=RegularFormula!$D$2,$K$15,$D68))),IFERROR(IF(percentage,percentage,""),""))</f>
        <v/>
      </c>
      <c r="G68" s="71">
        <f t="array" ref="G68">LET(percentage,XLOOKUP($E68,$K$2:$K$10,M$2:M$10,"",0)/(COUNTIFS($E:$E,$E68,$D:$D,RegularFormula!$D$2)+COUNTIFS($E:$E,$E68,$D:$D,IF($D68=RegularFormula!$D$2,$K$15,$D68))),IFERROR(IF(percentage,percentage,""),""))</f>
        <v>0.03913043478</v>
      </c>
      <c r="H68" s="71">
        <f t="array" ref="H68">LET(percentage,XLOOKUP($E68,$K$2:$K$10,N$2:N$10,"",0)/(COUNTIFS($E:$E,$E68,$D:$D,RegularFormula!$D$2)+COUNTIFS($E:$E,$E68,$D:$D,IF($D68=RegularFormula!$D$2,$K$15,$D68))),IFERROR(IF(percentage,percentage,""),""))</f>
        <v>0.02608695652</v>
      </c>
      <c r="I68" s="72" t="str">
        <f t="shared" si="1"/>
        <v/>
      </c>
      <c r="J68" s="73">
        <v>0.0</v>
      </c>
      <c r="K68" s="100"/>
      <c r="O68" s="163"/>
      <c r="P68" s="163"/>
      <c r="Q68" s="163"/>
      <c r="R68" s="79" t="str">
        <f t="shared" si="2"/>
        <v/>
      </c>
    </row>
    <row r="69">
      <c r="A69" s="217" t="b">
        <v>1</v>
      </c>
      <c r="B69" s="218" t="s">
        <v>517</v>
      </c>
      <c r="C69" s="69" t="str">
        <f t="array" ref="C69">TEXTJOIN("", TRUE, IFERROR(INDEX('language&amp;DataTest'!A:J, MATCH(INDEX( PointerTest!C:C, MATCH(B69, PointerTest!A:A, 0), 0), 'language&amp;DataTest'!A:A, 0), MATCH(HOME!$A$25, 'language&amp;DataTest'!$A$1:$H$1, 0))),                      IFERROR(INDEX('language&amp;DataTest'!A:J, MATCH(INDEX( PointerTest!D:D, MATCH(B69, PointerTest!A:A, 0), 0), 'language&amp;DataTest'!A:A, 0), MATCH(HOME!$A$25, 'language&amp;DataTest'!$A$1:$H$1, 0))),                                          
IFERROR(INDEX('language&amp;DataTest'!A:J, MATCH(INDEX( PointerTest!E:E, MATCH(B69, PointerTest!A:A, 0), 0), 'language&amp;DataTest'!A:A, 0), MATCH(HOME!$A$25, 'language&amp;DataTest'!$A$1:$H$1, 0))))</f>
        <v>Leaf</v>
      </c>
      <c r="D69" s="69" t="str">
        <f t="array" ref="D69">TEXTJOIN("", TRUE, 
IFERROR(INDEX('language&amp;DataTest'!A:J, MATCH(INDEX( PointerTest!C:C, MATCH(INDEX(PointerTest!B:B, MATCH(B69, PointerTest!A:A, 0)), PointerTest!A:A, 0), 0), 'language&amp;DataTest'!A:A, 0), MATCH(HOME!$A$25, 'language&amp;DataTest'!$A$1:$H$1, 0))),                      
IFERROR(INDEX('language&amp;DataTest'!A:J, MATCH(INDEX( PointerTest!D:D, MATCH(INDEX(PointerTest!B:B, MATCH(B69, PointerTest!A:A, 0)), PointerTest!A:A, 0), 0), 'language&amp;DataTest'!A:A, 0), MATCH(HOME!$A$25, 'language&amp;DataTest'!$A$1:$H$1, 0))),                                          
IFERROR(INDEX('language&amp;DataTest'!A:J, MATCH(INDEX( PointerTest!E:E, MATCH(INDEX(PointerTest!B:B, MATCH(B69, PointerTest!A:A, 0)), PointerTest!A:A, 0), 0), 'language&amp;DataTest'!A:A, 0), MATCH(HOME!$A$25, 'language&amp;DataTest'!$A$1:$H$1, 0))))</f>
        <v>Mew</v>
      </c>
      <c r="E69" s="69" t="str">
        <f t="array" ref="E69">INDEX( PointerTest!F:F, MATCH(B69, PointerTest!A:A, 0), 0)</f>
        <v>♢♢</v>
      </c>
      <c r="F69" s="70" t="str">
        <f t="array" ref="F69">LET(percentage,XLOOKUP($E69,$K$2:$K$10,L$2:L$10,"",0)/(COUNTIFS($E:$E,$E69,$D:$D,RegularFormula!$D$2)+COUNTIFS($E:$E,$E69,$D:$D,IF($D69=RegularFormula!$D$2,$K$15,$D69))),IFERROR(IF(percentage,percentage,""),""))</f>
        <v/>
      </c>
      <c r="G69" s="71">
        <f t="array" ref="G69">LET(percentage,XLOOKUP($E69,$K$2:$K$10,M$2:M$10,"",0)/(COUNTIFS($E:$E,$E69,$D:$D,RegularFormula!$D$2)+COUNTIFS($E:$E,$E69,$D:$D,IF($D69=RegularFormula!$D$2,$K$15,$D69))),IFERROR(IF(percentage,percentage,""),""))</f>
        <v>0.03913043478</v>
      </c>
      <c r="H69" s="71">
        <f t="array" ref="H69">LET(percentage,XLOOKUP($E69,$K$2:$K$10,N$2:N$10,"",0)/(COUNTIFS($E:$E,$E69,$D:$D,RegularFormula!$D$2)+COUNTIFS($E:$E,$E69,$D:$D,IF($D69=RegularFormula!$D$2,$K$15,$D69))),IFERROR(IF(percentage,percentage,""),""))</f>
        <v>0.02608695652</v>
      </c>
      <c r="I69" s="72" t="str">
        <f t="shared" si="1"/>
        <v/>
      </c>
      <c r="J69" s="73">
        <v>0.0</v>
      </c>
      <c r="K69" s="100"/>
      <c r="O69" s="163"/>
      <c r="P69" s="163"/>
      <c r="Q69" s="163"/>
      <c r="R69" s="79" t="str">
        <f t="shared" si="2"/>
        <v/>
      </c>
    </row>
    <row r="70">
      <c r="A70" s="217" t="b">
        <v>1</v>
      </c>
      <c r="B70" s="218" t="s">
        <v>518</v>
      </c>
      <c r="C70" s="69" t="str">
        <f t="array" ref="C70">TEXTJOIN("", TRUE, IFERROR(INDEX('language&amp;DataTest'!A:J, MATCH(INDEX( PointerTest!C:C, MATCH(B70, PointerTest!A:A, 0), 0), 'language&amp;DataTest'!A:A, 0), MATCH(HOME!$A$25, 'language&amp;DataTest'!$A$1:$H$1, 0))),                      IFERROR(INDEX('language&amp;DataTest'!A:J, MATCH(INDEX( PointerTest!D:D, MATCH(B70, PointerTest!A:A, 0), 0), 'language&amp;DataTest'!A:A, 0), MATCH(HOME!$A$25, 'language&amp;DataTest'!$A$1:$H$1, 0))),                                          
IFERROR(INDEX('language&amp;DataTest'!A:J, MATCH(INDEX( PointerTest!E:E, MATCH(B70, PointerTest!A:A, 0), 0), 'language&amp;DataTest'!A:A, 0), MATCH(HOME!$A$25, 'language&amp;DataTest'!$A$1:$H$1, 0))))</f>
        <v>Exeggutor</v>
      </c>
      <c r="D70" s="69" t="str">
        <f t="array" ref="D70">TEXTJOIN("", TRUE, 
IFERROR(INDEX('language&amp;DataTest'!A:J, MATCH(INDEX( PointerTest!C:C, MATCH(INDEX(PointerTest!B:B, MATCH(B70, PointerTest!A:A, 0)), PointerTest!A:A, 0), 0), 'language&amp;DataTest'!A:A, 0), MATCH(HOME!$A$25, 'language&amp;DataTest'!$A$1:$H$1, 0))),                      
IFERROR(INDEX('language&amp;DataTest'!A:J, MATCH(INDEX( PointerTest!D:D, MATCH(INDEX(PointerTest!B:B, MATCH(B70, PointerTest!A:A, 0)), PointerTest!A:A, 0), 0), 'language&amp;DataTest'!A:A, 0), MATCH(HOME!$A$25, 'language&amp;DataTest'!$A$1:$H$1, 0))),                                          
IFERROR(INDEX('language&amp;DataTest'!A:J, MATCH(INDEX( PointerTest!E:E, MATCH(INDEX(PointerTest!B:B, MATCH(B70, PointerTest!A:A, 0)), PointerTest!A:A, 0), 0), 'language&amp;DataTest'!A:A, 0), MATCH(HOME!$A$25, 'language&amp;DataTest'!$A$1:$H$1, 0))))</f>
        <v>Mew</v>
      </c>
      <c r="E70" s="69" t="str">
        <f t="array" ref="E70">INDEX( PointerTest!F:F, MATCH(B70, PointerTest!A:A, 0), 0)</f>
        <v>☆</v>
      </c>
      <c r="F70" s="70" t="str">
        <f t="array" ref="F70">LET(percentage,XLOOKUP($E70,$K$2:$K$10,L$2:L$10,"",0)/(COUNTIFS($E:$E,$E70,$D:$D,RegularFormula!$D$2)+COUNTIFS($E:$E,$E70,$D:$D,IF($D70=RegularFormula!$D$2,$K$15,$D70))),IFERROR(IF(percentage,percentage,""),""))</f>
        <v/>
      </c>
      <c r="G70" s="71">
        <f t="array" ref="G70">LET(percentage,XLOOKUP($E70,$K$2:$K$10,M$2:M$10,"",0)/(COUNTIFS($E:$E,$E70,$D:$D,RegularFormula!$D$2)+COUNTIFS($E:$E,$E70,$D:$D,IF($D70=RegularFormula!$D$2,$K$15,$D70))),IFERROR(IF(percentage,percentage,""),""))</f>
        <v>0.004286666667</v>
      </c>
      <c r="H70" s="71">
        <f t="array" ref="H70">LET(percentage,XLOOKUP($E70,$K$2:$K$10,N$2:N$10,"",0)/(COUNTIFS($E:$E,$E70,$D:$D,RegularFormula!$D$2)+COUNTIFS($E:$E,$E70,$D:$D,IF($D70=RegularFormula!$D$2,$K$15,$D70))),IFERROR(IF(percentage,percentage,""),""))</f>
        <v>0.01714666667</v>
      </c>
      <c r="I70" s="72" t="str">
        <f t="shared" si="1"/>
        <v/>
      </c>
      <c r="J70" s="73">
        <v>0.0</v>
      </c>
      <c r="K70" s="100"/>
      <c r="L70" s="192"/>
      <c r="M70" s="192"/>
      <c r="N70" s="55"/>
      <c r="O70" s="103"/>
      <c r="P70" s="103"/>
      <c r="Q70" s="103"/>
      <c r="R70" s="79" t="str">
        <f t="shared" si="2"/>
        <v/>
      </c>
    </row>
    <row r="71">
      <c r="A71" s="217" t="b">
        <v>1</v>
      </c>
      <c r="B71" s="218" t="s">
        <v>519</v>
      </c>
      <c r="C71" s="69" t="str">
        <f t="array" ref="C71">TEXTJOIN("", TRUE, IFERROR(INDEX('language&amp;DataTest'!A:J, MATCH(INDEX( PointerTest!C:C, MATCH(B71, PointerTest!A:A, 0), 0), 'language&amp;DataTest'!A:A, 0), MATCH(HOME!$A$25, 'language&amp;DataTest'!$A$1:$H$1, 0))),                      IFERROR(INDEX('language&amp;DataTest'!A:J, MATCH(INDEX( PointerTest!D:D, MATCH(B71, PointerTest!A:A, 0), 0), 'language&amp;DataTest'!A:A, 0), MATCH(HOME!$A$25, 'language&amp;DataTest'!$A$1:$H$1, 0))),                                          
IFERROR(INDEX('language&amp;DataTest'!A:J, MATCH(INDEX( PointerTest!E:E, MATCH(B71, PointerTest!A:A, 0), 0), 'language&amp;DataTest'!A:A, 0), MATCH(HOME!$A$25, 'language&amp;DataTest'!$A$1:$H$1, 0))))</f>
        <v>Serperior</v>
      </c>
      <c r="D71" s="69" t="str">
        <f t="array" ref="D71">TEXTJOIN("", TRUE, 
IFERROR(INDEX('language&amp;DataTest'!A:J, MATCH(INDEX( PointerTest!C:C, MATCH(INDEX(PointerTest!B:B, MATCH(B71, PointerTest!A:A, 0)), PointerTest!A:A, 0), 0), 'language&amp;DataTest'!A:A, 0), MATCH(HOME!$A$25, 'language&amp;DataTest'!$A$1:$H$1, 0))),                      
IFERROR(INDEX('language&amp;DataTest'!A:J, MATCH(INDEX( PointerTest!D:D, MATCH(INDEX(PointerTest!B:B, MATCH(B71, PointerTest!A:A, 0)), PointerTest!A:A, 0), 0), 'language&amp;DataTest'!A:A, 0), MATCH(HOME!$A$25, 'language&amp;DataTest'!$A$1:$H$1, 0))),                                          
IFERROR(INDEX('language&amp;DataTest'!A:J, MATCH(INDEX( PointerTest!E:E, MATCH(INDEX(PointerTest!B:B, MATCH(B71, PointerTest!A:A, 0)), PointerTest!A:A, 0), 0), 'language&amp;DataTest'!A:A, 0), MATCH(HOME!$A$25, 'language&amp;DataTest'!$A$1:$H$1, 0))))</f>
        <v>Mew</v>
      </c>
      <c r="E71" s="69" t="str">
        <f t="array" ref="E71">INDEX( PointerTest!F:F, MATCH(B71, PointerTest!A:A, 0), 0)</f>
        <v>☆</v>
      </c>
      <c r="F71" s="70" t="str">
        <f t="array" ref="F71">LET(percentage,XLOOKUP($E71,$K$2:$K$10,L$2:L$10,"",0)/(COUNTIFS($E:$E,$E71,$D:$D,RegularFormula!$D$2)+COUNTIFS($E:$E,$E71,$D:$D,IF($D71=RegularFormula!$D$2,$K$15,$D71))),IFERROR(IF(percentage,percentage,""),""))</f>
        <v/>
      </c>
      <c r="G71" s="71">
        <f t="array" ref="G71">LET(percentage,XLOOKUP($E71,$K$2:$K$10,M$2:M$10,"",0)/(COUNTIFS($E:$E,$E71,$D:$D,RegularFormula!$D$2)+COUNTIFS($E:$E,$E71,$D:$D,IF($D71=RegularFormula!$D$2,$K$15,$D71))),IFERROR(IF(percentage,percentage,""),""))</f>
        <v>0.004286666667</v>
      </c>
      <c r="H71" s="71">
        <f t="array" ref="H71">LET(percentage,XLOOKUP($E71,$K$2:$K$10,N$2:N$10,"",0)/(COUNTIFS($E:$E,$E71,$D:$D,RegularFormula!$D$2)+COUNTIFS($E:$E,$E71,$D:$D,IF($D71=RegularFormula!$D$2,$K$15,$D71))),IFERROR(IF(percentage,percentage,""),""))</f>
        <v>0.01714666667</v>
      </c>
      <c r="I71" s="72" t="str">
        <f t="shared" si="1"/>
        <v/>
      </c>
      <c r="J71" s="73">
        <v>0.0</v>
      </c>
      <c r="K71" s="193"/>
      <c r="L71" s="192"/>
      <c r="M71" s="192"/>
      <c r="N71" s="55"/>
      <c r="O71" s="103"/>
      <c r="P71" s="103"/>
      <c r="Q71" s="103"/>
      <c r="R71" s="79" t="str">
        <f t="shared" si="2"/>
        <v/>
      </c>
    </row>
    <row r="72">
      <c r="A72" s="217" t="b">
        <v>1</v>
      </c>
      <c r="B72" s="218" t="s">
        <v>520</v>
      </c>
      <c r="C72" s="69" t="str">
        <f t="array" ref="C72">TEXTJOIN("", TRUE, IFERROR(INDEX('language&amp;DataTest'!A:J, MATCH(INDEX( PointerTest!C:C, MATCH(B72, PointerTest!A:A, 0), 0), 'language&amp;DataTest'!A:A, 0), MATCH(HOME!$A$25, 'language&amp;DataTest'!$A$1:$H$1, 0))),                      IFERROR(INDEX('language&amp;DataTest'!A:J, MATCH(INDEX( PointerTest!D:D, MATCH(B72, PointerTest!A:A, 0), 0), 'language&amp;DataTest'!A:A, 0), MATCH(HOME!$A$25, 'language&amp;DataTest'!$A$1:$H$1, 0))),                                          
IFERROR(INDEX('language&amp;DataTest'!A:J, MATCH(INDEX( PointerTest!E:E, MATCH(B72, PointerTest!A:A, 0), 0), 'language&amp;DataTest'!A:A, 0), MATCH(HOME!$A$25, 'language&amp;DataTest'!$A$1:$H$1, 0))))</f>
        <v>Salandit</v>
      </c>
      <c r="D72" s="69" t="str">
        <f t="array" ref="D72">TEXTJOIN("", TRUE, 
IFERROR(INDEX('language&amp;DataTest'!A:J, MATCH(INDEX( PointerTest!C:C, MATCH(INDEX(PointerTest!B:B, MATCH(B72, PointerTest!A:A, 0)), PointerTest!A:A, 0), 0), 'language&amp;DataTest'!A:A, 0), MATCH(HOME!$A$25, 'language&amp;DataTest'!$A$1:$H$1, 0))),                      
IFERROR(INDEX('language&amp;DataTest'!A:J, MATCH(INDEX( PointerTest!D:D, MATCH(INDEX(PointerTest!B:B, MATCH(B72, PointerTest!A:A, 0)), PointerTest!A:A, 0), 0), 'language&amp;DataTest'!A:A, 0), MATCH(HOME!$A$25, 'language&amp;DataTest'!$A$1:$H$1, 0))),                                          
IFERROR(INDEX('language&amp;DataTest'!A:J, MATCH(INDEX( PointerTest!E:E, MATCH(INDEX(PointerTest!B:B, MATCH(B72, PointerTest!A:A, 0)), PointerTest!A:A, 0), 0), 'language&amp;DataTest'!A:A, 0), MATCH(HOME!$A$25, 'language&amp;DataTest'!$A$1:$H$1, 0))))</f>
        <v>Mew</v>
      </c>
      <c r="E72" s="69" t="str">
        <f t="array" ref="E72">INDEX( PointerTest!F:F, MATCH(B72, PointerTest!A:A, 0), 0)</f>
        <v>☆</v>
      </c>
      <c r="F72" s="70" t="str">
        <f t="array" ref="F72">LET(percentage,XLOOKUP($E72,$K$2:$K$10,L$2:L$10,"",0)/(COUNTIFS($E:$E,$E72,$D:$D,RegularFormula!$D$2)+COUNTIFS($E:$E,$E72,$D:$D,IF($D72=RegularFormula!$D$2,$K$15,$D72))),IFERROR(IF(percentage,percentage,""),""))</f>
        <v/>
      </c>
      <c r="G72" s="71">
        <f t="array" ref="G72">LET(percentage,XLOOKUP($E72,$K$2:$K$10,M$2:M$10,"",0)/(COUNTIFS($E:$E,$E72,$D:$D,RegularFormula!$D$2)+COUNTIFS($E:$E,$E72,$D:$D,IF($D72=RegularFormula!$D$2,$K$15,$D72))),IFERROR(IF(percentage,percentage,""),""))</f>
        <v>0.004286666667</v>
      </c>
      <c r="H72" s="71">
        <f t="array" ref="H72">LET(percentage,XLOOKUP($E72,$K$2:$K$10,N$2:N$10,"",0)/(COUNTIFS($E:$E,$E72,$D:$D,RegularFormula!$D$2)+COUNTIFS($E:$E,$E72,$D:$D,IF($D72=RegularFormula!$D$2,$K$15,$D72))),IFERROR(IF(percentage,percentage,""),""))</f>
        <v>0.01714666667</v>
      </c>
      <c r="I72" s="72" t="str">
        <f t="shared" si="1"/>
        <v/>
      </c>
      <c r="J72" s="73">
        <v>0.0</v>
      </c>
      <c r="K72" s="194"/>
      <c r="L72" s="192"/>
      <c r="M72" s="192"/>
      <c r="N72" s="55"/>
      <c r="O72" s="103"/>
      <c r="P72" s="103"/>
      <c r="Q72" s="103"/>
      <c r="R72" s="79" t="str">
        <f t="shared" si="2"/>
        <v/>
      </c>
    </row>
    <row r="73">
      <c r="A73" s="217" t="b">
        <v>1</v>
      </c>
      <c r="B73" s="218" t="s">
        <v>521</v>
      </c>
      <c r="C73" s="69" t="str">
        <f t="array" ref="C73">TEXTJOIN("", TRUE, IFERROR(INDEX('language&amp;DataTest'!A:J, MATCH(INDEX( PointerTest!C:C, MATCH(B73, PointerTest!A:A, 0), 0), 'language&amp;DataTest'!A:A, 0), MATCH(HOME!$A$25, 'language&amp;DataTest'!$A$1:$H$1, 0))),                      IFERROR(INDEX('language&amp;DataTest'!A:J, MATCH(INDEX( PointerTest!D:D, MATCH(B73, PointerTest!A:A, 0), 0), 'language&amp;DataTest'!A:A, 0), MATCH(HOME!$A$25, 'language&amp;DataTest'!$A$1:$H$1, 0))),                                          
IFERROR(INDEX('language&amp;DataTest'!A:J, MATCH(INDEX( PointerTest!E:E, MATCH(B73, PointerTest!A:A, 0), 0), 'language&amp;DataTest'!A:A, 0), MATCH(HOME!$A$25, 'language&amp;DataTest'!$A$1:$H$1, 0))))</f>
        <v>Vaporeon</v>
      </c>
      <c r="D73" s="69" t="str">
        <f t="array" ref="D73">TEXTJOIN("", TRUE, 
IFERROR(INDEX('language&amp;DataTest'!A:J, MATCH(INDEX( PointerTest!C:C, MATCH(INDEX(PointerTest!B:B, MATCH(B73, PointerTest!A:A, 0)), PointerTest!A:A, 0), 0), 'language&amp;DataTest'!A:A, 0), MATCH(HOME!$A$25, 'language&amp;DataTest'!$A$1:$H$1, 0))),                      
IFERROR(INDEX('language&amp;DataTest'!A:J, MATCH(INDEX( PointerTest!D:D, MATCH(INDEX(PointerTest!B:B, MATCH(B73, PointerTest!A:A, 0)), PointerTest!A:A, 0), 0), 'language&amp;DataTest'!A:A, 0), MATCH(HOME!$A$25, 'language&amp;DataTest'!$A$1:$H$1, 0))),                                          
IFERROR(INDEX('language&amp;DataTest'!A:J, MATCH(INDEX( PointerTest!E:E, MATCH(INDEX(PointerTest!B:B, MATCH(B73, PointerTest!A:A, 0)), PointerTest!A:A, 0), 0), 'language&amp;DataTest'!A:A, 0), MATCH(HOME!$A$25, 'language&amp;DataTest'!$A$1:$H$1, 0))))</f>
        <v>Mew</v>
      </c>
      <c r="E73" s="69" t="str">
        <f t="array" ref="E73">INDEX( PointerTest!F:F, MATCH(B73, PointerTest!A:A, 0), 0)</f>
        <v>☆</v>
      </c>
      <c r="F73" s="70" t="str">
        <f t="array" ref="F73">LET(percentage,XLOOKUP($E73,$K$2:$K$10,L$2:L$10,"",0)/(COUNTIFS($E:$E,$E73,$D:$D,RegularFormula!$D$2)+COUNTIFS($E:$E,$E73,$D:$D,IF($D73=RegularFormula!$D$2,$K$15,$D73))),IFERROR(IF(percentage,percentage,""),""))</f>
        <v/>
      </c>
      <c r="G73" s="71">
        <f t="array" ref="G73">LET(percentage,XLOOKUP($E73,$K$2:$K$10,M$2:M$10,"",0)/(COUNTIFS($E:$E,$E73,$D:$D,RegularFormula!$D$2)+COUNTIFS($E:$E,$E73,$D:$D,IF($D73=RegularFormula!$D$2,$K$15,$D73))),IFERROR(IF(percentage,percentage,""),""))</f>
        <v>0.004286666667</v>
      </c>
      <c r="H73" s="71">
        <f t="array" ref="H73">LET(percentage,XLOOKUP($E73,$K$2:$K$10,N$2:N$10,"",0)/(COUNTIFS($E:$E,$E73,$D:$D,RegularFormula!$D$2)+COUNTIFS($E:$E,$E73,$D:$D,IF($D73=RegularFormula!$D$2,$K$15,$D73))),IFERROR(IF(percentage,percentage,""),""))</f>
        <v>0.01714666667</v>
      </c>
      <c r="I73" s="72" t="str">
        <f t="shared" si="1"/>
        <v/>
      </c>
      <c r="J73" s="73">
        <v>0.0</v>
      </c>
      <c r="K73" s="194"/>
      <c r="L73" s="192"/>
      <c r="M73" s="192"/>
      <c r="N73" s="55"/>
      <c r="O73" s="103"/>
      <c r="P73" s="103"/>
      <c r="Q73" s="103"/>
      <c r="R73" s="79" t="str">
        <f t="shared" si="2"/>
        <v/>
      </c>
    </row>
    <row r="74">
      <c r="A74" s="217" t="b">
        <v>1</v>
      </c>
      <c r="B74" s="218" t="s">
        <v>522</v>
      </c>
      <c r="C74" s="69" t="str">
        <f t="array" ref="C74">TEXTJOIN("", TRUE, IFERROR(INDEX('language&amp;DataTest'!A:J, MATCH(INDEX( PointerTest!C:C, MATCH(B74, PointerTest!A:A, 0), 0), 'language&amp;DataTest'!A:A, 0), MATCH(HOME!$A$25, 'language&amp;DataTest'!$A$1:$H$1, 0))),                      IFERROR(INDEX('language&amp;DataTest'!A:J, MATCH(INDEX( PointerTest!D:D, MATCH(B74, PointerTest!A:A, 0), 0), 'language&amp;DataTest'!A:A, 0), MATCH(HOME!$A$25, 'language&amp;DataTest'!$A$1:$H$1, 0))),                                          
IFERROR(INDEX('language&amp;DataTest'!A:J, MATCH(INDEX( PointerTest!E:E, MATCH(B74, PointerTest!A:A, 0), 0), 'language&amp;DataTest'!A:A, 0), MATCH(HOME!$A$25, 'language&amp;DataTest'!$A$1:$H$1, 0))))</f>
        <v>Dedenne</v>
      </c>
      <c r="D74" s="69" t="str">
        <f t="array" ref="D74">TEXTJOIN("", TRUE, 
IFERROR(INDEX('language&amp;DataTest'!A:J, MATCH(INDEX( PointerTest!C:C, MATCH(INDEX(PointerTest!B:B, MATCH(B74, PointerTest!A:A, 0)), PointerTest!A:A, 0), 0), 'language&amp;DataTest'!A:A, 0), MATCH(HOME!$A$25, 'language&amp;DataTest'!$A$1:$H$1, 0))),                      
IFERROR(INDEX('language&amp;DataTest'!A:J, MATCH(INDEX( PointerTest!D:D, MATCH(INDEX(PointerTest!B:B, MATCH(B74, PointerTest!A:A, 0)), PointerTest!A:A, 0), 0), 'language&amp;DataTest'!A:A, 0), MATCH(HOME!$A$25, 'language&amp;DataTest'!$A$1:$H$1, 0))),                                          
IFERROR(INDEX('language&amp;DataTest'!A:J, MATCH(INDEX( PointerTest!E:E, MATCH(INDEX(PointerTest!B:B, MATCH(B74, PointerTest!A:A, 0)), PointerTest!A:A, 0), 0), 'language&amp;DataTest'!A:A, 0), MATCH(HOME!$A$25, 'language&amp;DataTest'!$A$1:$H$1, 0))))</f>
        <v>Mew</v>
      </c>
      <c r="E74" s="69" t="str">
        <f t="array" ref="E74">INDEX( PointerTest!F:F, MATCH(B74, PointerTest!A:A, 0), 0)</f>
        <v>☆</v>
      </c>
      <c r="F74" s="70" t="str">
        <f t="array" ref="F74">LET(percentage,XLOOKUP($E74,$K$2:$K$10,L$2:L$10,"",0)/(COUNTIFS($E:$E,$E74,$D:$D,RegularFormula!$D$2)+COUNTIFS($E:$E,$E74,$D:$D,IF($D74=RegularFormula!$D$2,$K$15,$D74))),IFERROR(IF(percentage,percentage,""),""))</f>
        <v/>
      </c>
      <c r="G74" s="71">
        <f t="array" ref="G74">LET(percentage,XLOOKUP($E74,$K$2:$K$10,M$2:M$10,"",0)/(COUNTIFS($E:$E,$E74,$D:$D,RegularFormula!$D$2)+COUNTIFS($E:$E,$E74,$D:$D,IF($D74=RegularFormula!$D$2,$K$15,$D74))),IFERROR(IF(percentage,percentage,""),""))</f>
        <v>0.004286666667</v>
      </c>
      <c r="H74" s="71">
        <f t="array" ref="H74">LET(percentage,XLOOKUP($E74,$K$2:$K$10,N$2:N$10,"",0)/(COUNTIFS($E:$E,$E74,$D:$D,RegularFormula!$D$2)+COUNTIFS($E:$E,$E74,$D:$D,IF($D74=RegularFormula!$D$2,$K$15,$D74))),IFERROR(IF(percentage,percentage,""),""))</f>
        <v>0.01714666667</v>
      </c>
      <c r="I74" s="72" t="str">
        <f t="shared" si="1"/>
        <v/>
      </c>
      <c r="J74" s="73">
        <v>0.0</v>
      </c>
      <c r="K74" s="194"/>
      <c r="L74" s="55"/>
      <c r="M74" s="55"/>
      <c r="N74" s="55"/>
      <c r="O74" s="103"/>
      <c r="P74" s="103"/>
      <c r="Q74" s="103"/>
      <c r="R74" s="79" t="str">
        <f t="shared" si="2"/>
        <v/>
      </c>
    </row>
    <row r="75">
      <c r="A75" s="217" t="b">
        <v>1</v>
      </c>
      <c r="B75" s="218" t="s">
        <v>523</v>
      </c>
      <c r="C75" s="69" t="str">
        <f t="array" ref="C75">TEXTJOIN("", TRUE, IFERROR(INDEX('language&amp;DataTest'!A:J, MATCH(INDEX( PointerTest!C:C, MATCH(B75, PointerTest!A:A, 0), 0), 'language&amp;DataTest'!A:A, 0), MATCH(HOME!$A$25, 'language&amp;DataTest'!$A$1:$H$1, 0))),                      IFERROR(INDEX('language&amp;DataTest'!A:J, MATCH(INDEX( PointerTest!D:D, MATCH(B75, PointerTest!A:A, 0), 0), 'language&amp;DataTest'!A:A, 0), MATCH(HOME!$A$25, 'language&amp;DataTest'!$A$1:$H$1, 0))),                                          
IFERROR(INDEX('language&amp;DataTest'!A:J, MATCH(INDEX( PointerTest!E:E, MATCH(B75, PointerTest!A:A, 0), 0), 'language&amp;DataTest'!A:A, 0), MATCH(HOME!$A$25, 'language&amp;DataTest'!$A$1:$H$1, 0))))</f>
        <v>Marshadow</v>
      </c>
      <c r="D75" s="69" t="str">
        <f t="array" ref="D75">TEXTJOIN("", TRUE, 
IFERROR(INDEX('language&amp;DataTest'!A:J, MATCH(INDEX( PointerTest!C:C, MATCH(INDEX(PointerTest!B:B, MATCH(B75, PointerTest!A:A, 0)), PointerTest!A:A, 0), 0), 'language&amp;DataTest'!A:A, 0), MATCH(HOME!$A$25, 'language&amp;DataTest'!$A$1:$H$1, 0))),                      
IFERROR(INDEX('language&amp;DataTest'!A:J, MATCH(INDEX( PointerTest!D:D, MATCH(INDEX(PointerTest!B:B, MATCH(B75, PointerTest!A:A, 0)), PointerTest!A:A, 0), 0), 'language&amp;DataTest'!A:A, 0), MATCH(HOME!$A$25, 'language&amp;DataTest'!$A$1:$H$1, 0))),                                          
IFERROR(INDEX('language&amp;DataTest'!A:J, MATCH(INDEX( PointerTest!E:E, MATCH(INDEX(PointerTest!B:B, MATCH(B75, PointerTest!A:A, 0)), PointerTest!A:A, 0), 0), 'language&amp;DataTest'!A:A, 0), MATCH(HOME!$A$25, 'language&amp;DataTest'!$A$1:$H$1, 0))))</f>
        <v>Mew</v>
      </c>
      <c r="E75" s="69" t="str">
        <f t="array" ref="E75">INDEX( PointerTest!F:F, MATCH(B75, PointerTest!A:A, 0), 0)</f>
        <v>☆</v>
      </c>
      <c r="F75" s="70" t="str">
        <f t="array" ref="F75">LET(percentage,XLOOKUP($E75,$K$2:$K$10,L$2:L$10,"",0)/(COUNTIFS($E:$E,$E75,$D:$D,RegularFormula!$D$2)+COUNTIFS($E:$E,$E75,$D:$D,IF($D75=RegularFormula!$D$2,$K$15,$D75))),IFERROR(IF(percentage,percentage,""),""))</f>
        <v/>
      </c>
      <c r="G75" s="71">
        <f t="array" ref="G75">LET(percentage,XLOOKUP($E75,$K$2:$K$10,M$2:M$10,"",0)/(COUNTIFS($E:$E,$E75,$D:$D,RegularFormula!$D$2)+COUNTIFS($E:$E,$E75,$D:$D,IF($D75=RegularFormula!$D$2,$K$15,$D75))),IFERROR(IF(percentage,percentage,""),""))</f>
        <v>0.004286666667</v>
      </c>
      <c r="H75" s="71">
        <f t="array" ref="H75">LET(percentage,XLOOKUP($E75,$K$2:$K$10,N$2:N$10,"",0)/(COUNTIFS($E:$E,$E75,$D:$D,RegularFormula!$D$2)+COUNTIFS($E:$E,$E75,$D:$D,IF($D75=RegularFormula!$D$2,$K$15,$D75))),IFERROR(IF(percentage,percentage,""),""))</f>
        <v>0.01714666667</v>
      </c>
      <c r="I75" s="72" t="str">
        <f t="shared" si="1"/>
        <v/>
      </c>
      <c r="J75" s="73">
        <v>0.0</v>
      </c>
      <c r="K75" s="194"/>
      <c r="L75" s="55"/>
      <c r="M75" s="55"/>
      <c r="N75" s="55"/>
      <c r="O75" s="103"/>
      <c r="P75" s="103"/>
      <c r="Q75" s="103"/>
      <c r="R75" s="79" t="str">
        <f t="shared" si="2"/>
        <v/>
      </c>
    </row>
    <row r="76">
      <c r="A76" s="217" t="b">
        <v>1</v>
      </c>
      <c r="B76" s="218" t="s">
        <v>524</v>
      </c>
      <c r="C76" s="69" t="str">
        <f t="array" ref="C76">TEXTJOIN("", TRUE, IFERROR(INDEX('language&amp;DataTest'!A:J, MATCH(INDEX( PointerTest!C:C, MATCH(B76, PointerTest!A:A, 0), 0), 'language&amp;DataTest'!A:A, 0), MATCH(HOME!$A$25, 'language&amp;DataTest'!$A$1:$H$1, 0))),                      IFERROR(INDEX('language&amp;DataTest'!A:J, MATCH(INDEX( PointerTest!D:D, MATCH(B76, PointerTest!A:A, 0), 0), 'language&amp;DataTest'!A:A, 0), MATCH(HOME!$A$25, 'language&amp;DataTest'!$A$1:$H$1, 0))),                                          
IFERROR(INDEX('language&amp;DataTest'!A:J, MATCH(INDEX( PointerTest!E:E, MATCH(B76, PointerTest!A:A, 0), 0), 'language&amp;DataTest'!A:A, 0), MATCH(HOME!$A$25, 'language&amp;DataTest'!$A$1:$H$1, 0))))</f>
        <v>Celebi ex</v>
      </c>
      <c r="D76" s="69" t="str">
        <f t="array" ref="D76">TEXTJOIN("", TRUE, 
IFERROR(INDEX('language&amp;DataTest'!A:J, MATCH(INDEX( PointerTest!C:C, MATCH(INDEX(PointerTest!B:B, MATCH(B76, PointerTest!A:A, 0)), PointerTest!A:A, 0), 0), 'language&amp;DataTest'!A:A, 0), MATCH(HOME!$A$25, 'language&amp;DataTest'!$A$1:$H$1, 0))),                      
IFERROR(INDEX('language&amp;DataTest'!A:J, MATCH(INDEX( PointerTest!D:D, MATCH(INDEX(PointerTest!B:B, MATCH(B76, PointerTest!A:A, 0)), PointerTest!A:A, 0), 0), 'language&amp;DataTest'!A:A, 0), MATCH(HOME!$A$25, 'language&amp;DataTest'!$A$1:$H$1, 0))),                                          
IFERROR(INDEX('language&amp;DataTest'!A:J, MATCH(INDEX( PointerTest!E:E, MATCH(INDEX(PointerTest!B:B, MATCH(B76, PointerTest!A:A, 0)), PointerTest!A:A, 0), 0), 'language&amp;DataTest'!A:A, 0), MATCH(HOME!$A$25, 'language&amp;DataTest'!$A$1:$H$1, 0))))</f>
        <v>Mew</v>
      </c>
      <c r="E76" s="69" t="str">
        <f t="array" ref="E76">INDEX( PointerTest!F:F, MATCH(B76, PointerTest!A:A, 0), 0)</f>
        <v>☆☆</v>
      </c>
      <c r="F76" s="70" t="str">
        <f t="array" ref="F76">LET(percentage,XLOOKUP($E76,$K$2:$K$10,L$2:L$10,"",0)/(COUNTIFS($E:$E,$E76,$D:$D,RegularFormula!$D$2)+COUNTIFS($E:$E,$E76,$D:$D,IF($D76=RegularFormula!$D$2,$K$15,$D76))),IFERROR(IF(percentage,percentage,""),""))</f>
        <v/>
      </c>
      <c r="G76" s="71">
        <f t="array" ref="G76">LET(percentage,XLOOKUP($E76,$K$2:$K$10,M$2:M$10,"",0)/(COUNTIFS($E:$E,$E76,$D:$D,RegularFormula!$D$2)+COUNTIFS($E:$E,$E76,$D:$D,IF($D76=RegularFormula!$D$2,$K$15,$D76))),IFERROR(IF(percentage,percentage,""),""))</f>
        <v>0.0005</v>
      </c>
      <c r="H76" s="71">
        <f t="array" ref="H76">LET(percentage,XLOOKUP($E76,$K$2:$K$10,N$2:N$10,"",0)/(COUNTIFS($E:$E,$E76,$D:$D,RegularFormula!$D$2)+COUNTIFS($E:$E,$E76,$D:$D,IF($D76=RegularFormula!$D$2,$K$15,$D76))),IFERROR(IF(percentage,percentage,""),""))</f>
        <v>0.002</v>
      </c>
      <c r="I76" s="72" t="str">
        <f t="shared" si="1"/>
        <v/>
      </c>
      <c r="J76" s="73">
        <v>0.0</v>
      </c>
      <c r="K76" s="194"/>
      <c r="L76" s="55"/>
      <c r="M76" s="55"/>
      <c r="N76" s="55"/>
      <c r="O76" s="103"/>
      <c r="P76" s="103"/>
      <c r="Q76" s="103"/>
      <c r="R76" s="79" t="str">
        <f t="shared" si="2"/>
        <v/>
      </c>
    </row>
    <row r="77">
      <c r="A77" s="217" t="b">
        <v>0</v>
      </c>
      <c r="B77" s="218" t="s">
        <v>525</v>
      </c>
      <c r="C77" s="69" t="str">
        <f t="array" ref="C77">TEXTJOIN("", TRUE, IFERROR(INDEX('language&amp;DataTest'!A:J, MATCH(INDEX( PointerTest!C:C, MATCH(B77, PointerTest!A:A, 0), 0), 'language&amp;DataTest'!A:A, 0), MATCH(HOME!$A$25, 'language&amp;DataTest'!$A$1:$H$1, 0))),                      IFERROR(INDEX('language&amp;DataTest'!A:J, MATCH(INDEX( PointerTest!D:D, MATCH(B77, PointerTest!A:A, 0), 0), 'language&amp;DataTest'!A:A, 0), MATCH(HOME!$A$25, 'language&amp;DataTest'!$A$1:$H$1, 0))),                                          
IFERROR(INDEX('language&amp;DataTest'!A:J, MATCH(INDEX( PointerTest!E:E, MATCH(B77, PointerTest!A:A, 0), 0), 'language&amp;DataTest'!A:A, 0), MATCH(HOME!$A$25, 'language&amp;DataTest'!$A$1:$H$1, 0))))</f>
        <v>Gyarados ex</v>
      </c>
      <c r="D77" s="69" t="str">
        <f t="array" ref="D77">TEXTJOIN("", TRUE, 
IFERROR(INDEX('language&amp;DataTest'!A:J, MATCH(INDEX( PointerTest!C:C, MATCH(INDEX(PointerTest!B:B, MATCH(B77, PointerTest!A:A, 0)), PointerTest!A:A, 0), 0), 'language&amp;DataTest'!A:A, 0), MATCH(HOME!$A$25, 'language&amp;DataTest'!$A$1:$H$1, 0))),                      
IFERROR(INDEX('language&amp;DataTest'!A:J, MATCH(INDEX( PointerTest!D:D, MATCH(INDEX(PointerTest!B:B, MATCH(B77, PointerTest!A:A, 0)), PointerTest!A:A, 0), 0), 'language&amp;DataTest'!A:A, 0), MATCH(HOME!$A$25, 'language&amp;DataTest'!$A$1:$H$1, 0))),                                          
IFERROR(INDEX('language&amp;DataTest'!A:J, MATCH(INDEX( PointerTest!E:E, MATCH(INDEX(PointerTest!B:B, MATCH(B77, PointerTest!A:A, 0)), PointerTest!A:A, 0), 0), 'language&amp;DataTest'!A:A, 0), MATCH(HOME!$A$25, 'language&amp;DataTest'!$A$1:$H$1, 0))))</f>
        <v>Mew</v>
      </c>
      <c r="E77" s="69" t="str">
        <f t="array" ref="E77">INDEX( PointerTest!F:F, MATCH(B77, PointerTest!A:A, 0), 0)</f>
        <v>☆☆</v>
      </c>
      <c r="F77" s="70" t="str">
        <f t="array" ref="F77">LET(percentage,XLOOKUP($E77,$K$2:$K$10,L$2:L$10,"",0)/(COUNTIFS($E:$E,$E77,$D:$D,RegularFormula!$D$2)+COUNTIFS($E:$E,$E77,$D:$D,IF($D77=RegularFormula!$D$2,$K$15,$D77))),IFERROR(IF(percentage,percentage,""),""))</f>
        <v/>
      </c>
      <c r="G77" s="71">
        <f t="array" ref="G77">LET(percentage,XLOOKUP($E77,$K$2:$K$10,M$2:M$10,"",0)/(COUNTIFS($E:$E,$E77,$D:$D,RegularFormula!$D$2)+COUNTIFS($E:$E,$E77,$D:$D,IF($D77=RegularFormula!$D$2,$K$15,$D77))),IFERROR(IF(percentage,percentage,""),""))</f>
        <v>0.0005</v>
      </c>
      <c r="H77" s="71">
        <f t="array" ref="H77">LET(percentage,XLOOKUP($E77,$K$2:$K$10,N$2:N$10,"",0)/(COUNTIFS($E:$E,$E77,$D:$D,RegularFormula!$D$2)+COUNTIFS($E:$E,$E77,$D:$D,IF($D77=RegularFormula!$D$2,$K$15,$D77))),IFERROR(IF(percentage,percentage,""),""))</f>
        <v>0.002</v>
      </c>
      <c r="I77" s="72" t="str">
        <f t="shared" si="1"/>
        <v/>
      </c>
      <c r="J77" s="73">
        <v>0.0</v>
      </c>
      <c r="K77" s="194"/>
      <c r="L77" s="55"/>
      <c r="M77" s="55"/>
      <c r="N77" s="55"/>
      <c r="O77" s="103"/>
      <c r="P77" s="103"/>
      <c r="Q77" s="103"/>
      <c r="R77" s="79" t="str">
        <f t="shared" si="2"/>
        <v/>
      </c>
    </row>
    <row r="78">
      <c r="A78" s="217" t="b">
        <v>0</v>
      </c>
      <c r="B78" s="218" t="s">
        <v>526</v>
      </c>
      <c r="C78" s="69" t="str">
        <f t="array" ref="C78">TEXTJOIN("", TRUE, IFERROR(INDEX('language&amp;DataTest'!A:J, MATCH(INDEX( PointerTest!C:C, MATCH(B78, PointerTest!A:A, 0), 0), 'language&amp;DataTest'!A:A, 0), MATCH(HOME!$A$25, 'language&amp;DataTest'!$A$1:$H$1, 0))),                      IFERROR(INDEX('language&amp;DataTest'!A:J, MATCH(INDEX( PointerTest!D:D, MATCH(B78, PointerTest!A:A, 0), 0), 'language&amp;DataTest'!A:A, 0), MATCH(HOME!$A$25, 'language&amp;DataTest'!$A$1:$H$1, 0))),                                          
IFERROR(INDEX('language&amp;DataTest'!A:J, MATCH(INDEX( PointerTest!E:E, MATCH(B78, PointerTest!A:A, 0), 0), 'language&amp;DataTest'!A:A, 0), MATCH(HOME!$A$25, 'language&amp;DataTest'!$A$1:$H$1, 0))))</f>
        <v>Mew ex</v>
      </c>
      <c r="D78" s="69" t="str">
        <f t="array" ref="D78">TEXTJOIN("", TRUE, 
IFERROR(INDEX('language&amp;DataTest'!A:J, MATCH(INDEX( PointerTest!C:C, MATCH(INDEX(PointerTest!B:B, MATCH(B78, PointerTest!A:A, 0)), PointerTest!A:A, 0), 0), 'language&amp;DataTest'!A:A, 0), MATCH(HOME!$A$25, 'language&amp;DataTest'!$A$1:$H$1, 0))),                      
IFERROR(INDEX('language&amp;DataTest'!A:J, MATCH(INDEX( PointerTest!D:D, MATCH(INDEX(PointerTest!B:B, MATCH(B78, PointerTest!A:A, 0)), PointerTest!A:A, 0), 0), 'language&amp;DataTest'!A:A, 0), MATCH(HOME!$A$25, 'language&amp;DataTest'!$A$1:$H$1, 0))),                                          
IFERROR(INDEX('language&amp;DataTest'!A:J, MATCH(INDEX( PointerTest!E:E, MATCH(INDEX(PointerTest!B:B, MATCH(B78, PointerTest!A:A, 0)), PointerTest!A:A, 0), 0), 'language&amp;DataTest'!A:A, 0), MATCH(HOME!$A$25, 'language&amp;DataTest'!$A$1:$H$1, 0))))</f>
        <v>Mew</v>
      </c>
      <c r="E78" s="69" t="str">
        <f t="array" ref="E78">INDEX( PointerTest!F:F, MATCH(B78, PointerTest!A:A, 0), 0)</f>
        <v>☆☆</v>
      </c>
      <c r="F78" s="70" t="str">
        <f t="array" ref="F78">LET(percentage,XLOOKUP($E78,$K$2:$K$10,L$2:L$10,"",0)/(COUNTIFS($E:$E,$E78,$D:$D,RegularFormula!$D$2)+COUNTIFS($E:$E,$E78,$D:$D,IF($D78=RegularFormula!$D$2,$K$15,$D78))),IFERROR(IF(percentage,percentage,""),""))</f>
        <v/>
      </c>
      <c r="G78" s="71">
        <f t="array" ref="G78">LET(percentage,XLOOKUP($E78,$K$2:$K$10,M$2:M$10,"",0)/(COUNTIFS($E:$E,$E78,$D:$D,RegularFormula!$D$2)+COUNTIFS($E:$E,$E78,$D:$D,IF($D78=RegularFormula!$D$2,$K$15,$D78))),IFERROR(IF(percentage,percentage,""),""))</f>
        <v>0.0005</v>
      </c>
      <c r="H78" s="71">
        <f t="array" ref="H78">LET(percentage,XLOOKUP($E78,$K$2:$K$10,N$2:N$10,"",0)/(COUNTIFS($E:$E,$E78,$D:$D,RegularFormula!$D$2)+COUNTIFS($E:$E,$E78,$D:$D,IF($D78=RegularFormula!$D$2,$K$15,$D78))),IFERROR(IF(percentage,percentage,""),""))</f>
        <v>0.002</v>
      </c>
      <c r="I78" s="72" t="str">
        <f t="shared" si="1"/>
        <v/>
      </c>
      <c r="J78" s="73">
        <v>0.0</v>
      </c>
      <c r="K78" s="194"/>
      <c r="L78" s="55"/>
      <c r="M78" s="55"/>
      <c r="N78" s="55"/>
      <c r="O78" s="103"/>
      <c r="P78" s="103"/>
      <c r="Q78" s="103"/>
      <c r="R78" s="79" t="str">
        <f t="shared" si="2"/>
        <v/>
      </c>
    </row>
    <row r="79">
      <c r="A79" s="217" t="b">
        <v>0</v>
      </c>
      <c r="B79" s="218" t="s">
        <v>527</v>
      </c>
      <c r="C79" s="69" t="str">
        <f t="array" ref="C79">TEXTJOIN("", TRUE, IFERROR(INDEX('language&amp;DataTest'!A:J, MATCH(INDEX( PointerTest!C:C, MATCH(B79, PointerTest!A:A, 0), 0), 'language&amp;DataTest'!A:A, 0), MATCH(HOME!$A$25, 'language&amp;DataTest'!$A$1:$H$1, 0))),                      IFERROR(INDEX('language&amp;DataTest'!A:J, MATCH(INDEX( PointerTest!D:D, MATCH(B79, PointerTest!A:A, 0), 0), 'language&amp;DataTest'!A:A, 0), MATCH(HOME!$A$25, 'language&amp;DataTest'!$A$1:$H$1, 0))),                                          
IFERROR(INDEX('language&amp;DataTest'!A:J, MATCH(INDEX( PointerTest!E:E, MATCH(B79, PointerTest!A:A, 0), 0), 'language&amp;DataTest'!A:A, 0), MATCH(HOME!$A$25, 'language&amp;DataTest'!$A$1:$H$1, 0))))</f>
        <v>Aerodactyl ex</v>
      </c>
      <c r="D79" s="69" t="str">
        <f t="array" ref="D79">TEXTJOIN("", TRUE, 
IFERROR(INDEX('language&amp;DataTest'!A:J, MATCH(INDEX( PointerTest!C:C, MATCH(INDEX(PointerTest!B:B, MATCH(B79, PointerTest!A:A, 0)), PointerTest!A:A, 0), 0), 'language&amp;DataTest'!A:A, 0), MATCH(HOME!$A$25, 'language&amp;DataTest'!$A$1:$H$1, 0))),                      
IFERROR(INDEX('language&amp;DataTest'!A:J, MATCH(INDEX( PointerTest!D:D, MATCH(INDEX(PointerTest!B:B, MATCH(B79, PointerTest!A:A, 0)), PointerTest!A:A, 0), 0), 'language&amp;DataTest'!A:A, 0), MATCH(HOME!$A$25, 'language&amp;DataTest'!$A$1:$H$1, 0))),                                          
IFERROR(INDEX('language&amp;DataTest'!A:J, MATCH(INDEX( PointerTest!E:E, MATCH(INDEX(PointerTest!B:B, MATCH(B79, PointerTest!A:A, 0)), PointerTest!A:A, 0), 0), 'language&amp;DataTest'!A:A, 0), MATCH(HOME!$A$25, 'language&amp;DataTest'!$A$1:$H$1, 0))))</f>
        <v>Mew</v>
      </c>
      <c r="E79" s="69" t="str">
        <f t="array" ref="E79">INDEX( PointerTest!F:F, MATCH(B79, PointerTest!A:A, 0), 0)</f>
        <v>☆☆</v>
      </c>
      <c r="F79" s="70" t="str">
        <f t="array" ref="F79">LET(percentage,XLOOKUP($E79,$K$2:$K$10,L$2:L$10,"",0)/(COUNTIFS($E:$E,$E79,$D:$D,RegularFormula!$D$2)+COUNTIFS($E:$E,$E79,$D:$D,IF($D79=RegularFormula!$D$2,$K$15,$D79))),IFERROR(IF(percentage,percentage,""),""))</f>
        <v/>
      </c>
      <c r="G79" s="71">
        <f t="array" ref="G79">LET(percentage,XLOOKUP($E79,$K$2:$K$10,M$2:M$10,"",0)/(COUNTIFS($E:$E,$E79,$D:$D,RegularFormula!$D$2)+COUNTIFS($E:$E,$E79,$D:$D,IF($D79=RegularFormula!$D$2,$K$15,$D79))),IFERROR(IF(percentage,percentage,""),""))</f>
        <v>0.0005</v>
      </c>
      <c r="H79" s="71">
        <f t="array" ref="H79">LET(percentage,XLOOKUP($E79,$K$2:$K$10,N$2:N$10,"",0)/(COUNTIFS($E:$E,$E79,$D:$D,RegularFormula!$D$2)+COUNTIFS($E:$E,$E79,$D:$D,IF($D79=RegularFormula!$D$2,$K$15,$D79))),IFERROR(IF(percentage,percentage,""),""))</f>
        <v>0.002</v>
      </c>
      <c r="I79" s="72" t="str">
        <f t="shared" si="1"/>
        <v/>
      </c>
      <c r="J79" s="73">
        <v>0.0</v>
      </c>
      <c r="K79" s="194"/>
      <c r="L79" s="55" t="str">
        <f t="array" ref="L79">TEXTJOIN("", TRUE, 
IFERROR(INDEX('language&amp;DataTest'!A:J, MATCH(INDEX( PointerTest!C:C, MATCH(INDEX(PointerTest!B:B, MATCH(B28, PointerTest!A:A, 0)), PointerTest!A:A, 0), 0), 'language&amp;DataTest'!A:A, 0), MATCH(HOME!$A$25, HOME!$C$2:$C87, 0))),                      
IFERROR(INDEX('language&amp;DataTest'!A:J, MATCH(INDEX( PointerTest!D:D, MATCH(INDEX(PointerTest!B:B, MATCH(B28, PointerTest!A:A, 0)), PointerTest!A:A, 0), 0), 'language&amp;DataTest'!A:A, 0), MATCH(HOME!$A$25, HOME!$C$2:$C87, 0))),                                          
IFERROR(INDEX('language&amp;DataTest'!A:J, MATCH(INDEX( PointerTest!E:E, MATCH(INDEX(PointerTest!B:B, MATCH(B28, PointerTest!A:A, 0)), PointerTest!A:A, 0), 0), 'language&amp;DataTest'!A:A, 0), MATCH(HOME!$A$25, HOME!$C$2:$C87, 0))))</f>
        <v/>
      </c>
      <c r="M79" s="55"/>
      <c r="N79" s="55"/>
      <c r="O79" s="103"/>
      <c r="P79" s="103"/>
      <c r="Q79" s="103"/>
      <c r="R79" s="79" t="str">
        <f t="shared" si="2"/>
        <v/>
      </c>
    </row>
    <row r="80">
      <c r="A80" s="217" t="b">
        <v>1</v>
      </c>
      <c r="B80" s="218" t="s">
        <v>528</v>
      </c>
      <c r="C80" s="69" t="str">
        <f t="array" ref="C80">TEXTJOIN("", TRUE, IFERROR(INDEX('language&amp;DataTest'!A:J, MATCH(INDEX( PointerTest!C:C, MATCH(B80, PointerTest!A:A, 0), 0), 'language&amp;DataTest'!A:A, 0), MATCH(HOME!$A$25, 'language&amp;DataTest'!$A$1:$H$1, 0))),                      IFERROR(INDEX('language&amp;DataTest'!A:J, MATCH(INDEX( PointerTest!D:D, MATCH(B80, PointerTest!A:A, 0), 0), 'language&amp;DataTest'!A:A, 0), MATCH(HOME!$A$25, 'language&amp;DataTest'!$A$1:$H$1, 0))),                                          
IFERROR(INDEX('language&amp;DataTest'!A:J, MATCH(INDEX( PointerTest!E:E, MATCH(B80, PointerTest!A:A, 0), 0), 'language&amp;DataTest'!A:A, 0), MATCH(HOME!$A$25, 'language&amp;DataTest'!$A$1:$H$1, 0))))</f>
        <v>Pidgeot ex</v>
      </c>
      <c r="D80" s="69" t="str">
        <f t="array" ref="D80">TEXTJOIN("", TRUE, 
IFERROR(INDEX('language&amp;DataTest'!A:J, MATCH(INDEX( PointerTest!C:C, MATCH(INDEX(PointerTest!B:B, MATCH(B80, PointerTest!A:A, 0)), PointerTest!A:A, 0), 0), 'language&amp;DataTest'!A:A, 0), MATCH(HOME!$A$25, 'language&amp;DataTest'!$A$1:$H$1, 0))),                      
IFERROR(INDEX('language&amp;DataTest'!A:J, MATCH(INDEX( PointerTest!D:D, MATCH(INDEX(PointerTest!B:B, MATCH(B80, PointerTest!A:A, 0)), PointerTest!A:A, 0), 0), 'language&amp;DataTest'!A:A, 0), MATCH(HOME!$A$25, 'language&amp;DataTest'!$A$1:$H$1, 0))),                                          
IFERROR(INDEX('language&amp;DataTest'!A:J, MATCH(INDEX( PointerTest!E:E, MATCH(INDEX(PointerTest!B:B, MATCH(B80, PointerTest!A:A, 0)), PointerTest!A:A, 0), 0), 'language&amp;DataTest'!A:A, 0), MATCH(HOME!$A$25, 'language&amp;DataTest'!$A$1:$H$1, 0))))</f>
        <v>Mew</v>
      </c>
      <c r="E80" s="69" t="str">
        <f t="array" ref="E80">INDEX( PointerTest!F:F, MATCH(B80, PointerTest!A:A, 0), 0)</f>
        <v>☆☆</v>
      </c>
      <c r="F80" s="70" t="str">
        <f t="array" ref="F80">LET(percentage,XLOOKUP($E80,$K$2:$K$10,L$2:L$10,"",0)/(COUNTIFS($E:$E,$E80,$D:$D,RegularFormula!$D$2)+COUNTIFS($E:$E,$E80,$D:$D,IF($D80=RegularFormula!$D$2,$K$15,$D80))),IFERROR(IF(percentage,percentage,""),""))</f>
        <v/>
      </c>
      <c r="G80" s="71">
        <f t="array" ref="G80">LET(percentage,XLOOKUP($E80,$K$2:$K$10,M$2:M$10,"",0)/(COUNTIFS($E:$E,$E80,$D:$D,RegularFormula!$D$2)+COUNTIFS($E:$E,$E80,$D:$D,IF($D80=RegularFormula!$D$2,$K$15,$D80))),IFERROR(IF(percentage,percentage,""),""))</f>
        <v>0.0005</v>
      </c>
      <c r="H80" s="71">
        <f t="array" ref="H80">LET(percentage,XLOOKUP($E80,$K$2:$K$10,N$2:N$10,"",0)/(COUNTIFS($E:$E,$E80,$D:$D,RegularFormula!$D$2)+COUNTIFS($E:$E,$E80,$D:$D,IF($D80=RegularFormula!$D$2,$K$15,$D80))),IFERROR(IF(percentage,percentage,""),""))</f>
        <v>0.002</v>
      </c>
      <c r="I80" s="72" t="str">
        <f t="shared" si="1"/>
        <v/>
      </c>
      <c r="J80" s="73">
        <v>0.0</v>
      </c>
      <c r="K80" s="194"/>
      <c r="L80" s="55"/>
      <c r="M80" s="55"/>
      <c r="N80" s="55"/>
      <c r="O80" s="103"/>
      <c r="P80" s="103"/>
      <c r="Q80" s="103"/>
      <c r="R80" s="79" t="str">
        <f t="shared" si="2"/>
        <v/>
      </c>
    </row>
    <row r="81">
      <c r="A81" s="217" t="b">
        <v>0</v>
      </c>
      <c r="B81" s="218" t="s">
        <v>529</v>
      </c>
      <c r="C81" s="69" t="str">
        <f t="array" ref="C81">TEXTJOIN("", TRUE, IFERROR(INDEX('language&amp;DataTest'!A:J, MATCH(INDEX( PointerTest!C:C, MATCH(B81, PointerTest!A:A, 0), 0), 'language&amp;DataTest'!A:A, 0), MATCH(HOME!$A$25, 'language&amp;DataTest'!$A$1:$H$1, 0))),                      IFERROR(INDEX('language&amp;DataTest'!A:J, MATCH(INDEX( PointerTest!D:D, MATCH(B81, PointerTest!A:A, 0), 0), 'language&amp;DataTest'!A:A, 0), MATCH(HOME!$A$25, 'language&amp;DataTest'!$A$1:$H$1, 0))),                                          
IFERROR(INDEX('language&amp;DataTest'!A:J, MATCH(INDEX( PointerTest!E:E, MATCH(B81, PointerTest!A:A, 0), 0), 'language&amp;DataTest'!A:A, 0), MATCH(HOME!$A$25, 'language&amp;DataTest'!$A$1:$H$1, 0))))</f>
        <v>Budding Expeditioner</v>
      </c>
      <c r="D81" s="69" t="str">
        <f t="array" ref="D81">TEXTJOIN("", TRUE, 
IFERROR(INDEX('language&amp;DataTest'!A:J, MATCH(INDEX( PointerTest!C:C, MATCH(INDEX(PointerTest!B:B, MATCH(B81, PointerTest!A:A, 0)), PointerTest!A:A, 0), 0), 'language&amp;DataTest'!A:A, 0), MATCH(HOME!$A$25, 'language&amp;DataTest'!$A$1:$H$1, 0))),                      
IFERROR(INDEX('language&amp;DataTest'!A:J, MATCH(INDEX( PointerTest!D:D, MATCH(INDEX(PointerTest!B:B, MATCH(B81, PointerTest!A:A, 0)), PointerTest!A:A, 0), 0), 'language&amp;DataTest'!A:A, 0), MATCH(HOME!$A$25, 'language&amp;DataTest'!$A$1:$H$1, 0))),                                          
IFERROR(INDEX('language&amp;DataTest'!A:J, MATCH(INDEX( PointerTest!E:E, MATCH(INDEX(PointerTest!B:B, MATCH(B81, PointerTest!A:A, 0)), PointerTest!A:A, 0), 0), 'language&amp;DataTest'!A:A, 0), MATCH(HOME!$A$25, 'language&amp;DataTest'!$A$1:$H$1, 0))))</f>
        <v>Mew</v>
      </c>
      <c r="E81" s="69" t="str">
        <f t="array" ref="E81">INDEX( PointerTest!F:F, MATCH(B81, PointerTest!A:A, 0), 0)</f>
        <v>☆☆</v>
      </c>
      <c r="F81" s="70" t="str">
        <f t="array" ref="F81">LET(percentage,XLOOKUP($E81,$K$2:$K$10,L$2:L$10,"",0)/(COUNTIFS($E:$E,$E81,$D:$D,RegularFormula!$D$2)+COUNTIFS($E:$E,$E81,$D:$D,IF($D81=RegularFormula!$D$2,$K$15,$D81))),IFERROR(IF(percentage,percentage,""),""))</f>
        <v/>
      </c>
      <c r="G81" s="71">
        <f t="array" ref="G81">LET(percentage,XLOOKUP($E81,$K$2:$K$10,M$2:M$10,"",0)/(COUNTIFS($E:$E,$E81,$D:$D,RegularFormula!$D$2)+COUNTIFS($E:$E,$E81,$D:$D,IF($D81=RegularFormula!$D$2,$K$15,$D81))),IFERROR(IF(percentage,percentage,""),""))</f>
        <v>0.0005</v>
      </c>
      <c r="H81" s="71">
        <f t="array" ref="H81">LET(percentage,XLOOKUP($E81,$K$2:$K$10,N$2:N$10,"",0)/(COUNTIFS($E:$E,$E81,$D:$D,RegularFormula!$D$2)+COUNTIFS($E:$E,$E81,$D:$D,IF($D81=RegularFormula!$D$2,$K$15,$D81))),IFERROR(IF(percentage,percentage,""),""))</f>
        <v>0.002</v>
      </c>
      <c r="I81" s="72" t="str">
        <f t="shared" si="1"/>
        <v/>
      </c>
      <c r="J81" s="73">
        <v>0.0</v>
      </c>
      <c r="K81" s="194"/>
      <c r="L81" s="55"/>
      <c r="M81" s="55"/>
      <c r="N81" s="55"/>
      <c r="O81" s="103"/>
      <c r="P81" s="103"/>
      <c r="Q81" s="103"/>
      <c r="R81" s="79" t="str">
        <f t="shared" si="2"/>
        <v/>
      </c>
    </row>
    <row r="82">
      <c r="A82" s="217" t="b">
        <v>0</v>
      </c>
      <c r="B82" s="218" t="s">
        <v>530</v>
      </c>
      <c r="C82" s="69" t="str">
        <f t="array" ref="C82">TEXTJOIN("", TRUE, IFERROR(INDEX('language&amp;DataTest'!A:J, MATCH(INDEX( PointerTest!C:C, MATCH(B82, PointerTest!A:A, 0), 0), 'language&amp;DataTest'!A:A, 0), MATCH(HOME!$A$25, 'language&amp;DataTest'!$A$1:$H$1, 0))),                      IFERROR(INDEX('language&amp;DataTest'!A:J, MATCH(INDEX( PointerTest!D:D, MATCH(B82, PointerTest!A:A, 0), 0), 'language&amp;DataTest'!A:A, 0), MATCH(HOME!$A$25, 'language&amp;DataTest'!$A$1:$H$1, 0))),                                          
IFERROR(INDEX('language&amp;DataTest'!A:J, MATCH(INDEX( PointerTest!E:E, MATCH(B82, PointerTest!A:A, 0), 0), 'language&amp;DataTest'!A:A, 0), MATCH(HOME!$A$25, 'language&amp;DataTest'!$A$1:$H$1, 0))))</f>
        <v>Blue</v>
      </c>
      <c r="D82" s="69" t="str">
        <f t="array" ref="D82">TEXTJOIN("", TRUE, 
IFERROR(INDEX('language&amp;DataTest'!A:J, MATCH(INDEX( PointerTest!C:C, MATCH(INDEX(PointerTest!B:B, MATCH(B82, PointerTest!A:A, 0)), PointerTest!A:A, 0), 0), 'language&amp;DataTest'!A:A, 0), MATCH(HOME!$A$25, 'language&amp;DataTest'!$A$1:$H$1, 0))),                      
IFERROR(INDEX('language&amp;DataTest'!A:J, MATCH(INDEX( PointerTest!D:D, MATCH(INDEX(PointerTest!B:B, MATCH(B82, PointerTest!A:A, 0)), PointerTest!A:A, 0), 0), 'language&amp;DataTest'!A:A, 0), MATCH(HOME!$A$25, 'language&amp;DataTest'!$A$1:$H$1, 0))),                                          
IFERROR(INDEX('language&amp;DataTest'!A:J, MATCH(INDEX( PointerTest!E:E, MATCH(INDEX(PointerTest!B:B, MATCH(B82, PointerTest!A:A, 0)), PointerTest!A:A, 0), 0), 'language&amp;DataTest'!A:A, 0), MATCH(HOME!$A$25, 'language&amp;DataTest'!$A$1:$H$1, 0))))</f>
        <v>Mew</v>
      </c>
      <c r="E82" s="69" t="str">
        <f t="array" ref="E82">INDEX( PointerTest!F:F, MATCH(B82, PointerTest!A:A, 0), 0)</f>
        <v>☆☆</v>
      </c>
      <c r="F82" s="70" t="str">
        <f t="array" ref="F82">LET(percentage,XLOOKUP($E82,$K$2:$K$10,L$2:L$10,"",0)/(COUNTIFS($E:$E,$E82,$D:$D,RegularFormula!$D$2)+COUNTIFS($E:$E,$E82,$D:$D,IF($D82=RegularFormula!$D$2,$K$15,$D82))),IFERROR(IF(percentage,percentage,""),""))</f>
        <v/>
      </c>
      <c r="G82" s="71">
        <f t="array" ref="G82">LET(percentage,XLOOKUP($E82,$K$2:$K$10,M$2:M$10,"",0)/(COUNTIFS($E:$E,$E82,$D:$D,RegularFormula!$D$2)+COUNTIFS($E:$E,$E82,$D:$D,IF($D82=RegularFormula!$D$2,$K$15,$D82))),IFERROR(IF(percentage,percentage,""),""))</f>
        <v>0.0005</v>
      </c>
      <c r="H82" s="71">
        <f t="array" ref="H82">LET(percentage,XLOOKUP($E82,$K$2:$K$10,N$2:N$10,"",0)/(COUNTIFS($E:$E,$E82,$D:$D,RegularFormula!$D$2)+COUNTIFS($E:$E,$E82,$D:$D,IF($D82=RegularFormula!$D$2,$K$15,$D82))),IFERROR(IF(percentage,percentage,""),""))</f>
        <v>0.002</v>
      </c>
      <c r="I82" s="72" t="str">
        <f t="shared" si="1"/>
        <v/>
      </c>
      <c r="J82" s="73">
        <v>0.0</v>
      </c>
      <c r="K82" s="194"/>
      <c r="L82" s="55"/>
      <c r="M82" s="55"/>
      <c r="N82" s="55"/>
      <c r="O82" s="103"/>
      <c r="P82" s="103"/>
      <c r="Q82" s="103"/>
      <c r="R82" s="79" t="str">
        <f t="shared" si="2"/>
        <v/>
      </c>
    </row>
    <row r="83">
      <c r="A83" s="217" t="b">
        <v>0</v>
      </c>
      <c r="B83" s="218" t="s">
        <v>531</v>
      </c>
      <c r="C83" s="69" t="str">
        <f t="array" ref="C83">TEXTJOIN("", TRUE, IFERROR(INDEX('language&amp;DataTest'!A:J, MATCH(INDEX( PointerTest!C:C, MATCH(B83, PointerTest!A:A, 0), 0), 'language&amp;DataTest'!A:A, 0), MATCH(HOME!$A$25, 'language&amp;DataTest'!$A$1:$H$1, 0))),                      IFERROR(INDEX('language&amp;DataTest'!A:J, MATCH(INDEX( PointerTest!D:D, MATCH(B83, PointerTest!A:A, 0), 0), 'language&amp;DataTest'!A:A, 0), MATCH(HOME!$A$25, 'language&amp;DataTest'!$A$1:$H$1, 0))),                                          
IFERROR(INDEX('language&amp;DataTest'!A:J, MATCH(INDEX( PointerTest!E:E, MATCH(B83, PointerTest!A:A, 0), 0), 'language&amp;DataTest'!A:A, 0), MATCH(HOME!$A$25, 'language&amp;DataTest'!$A$1:$H$1, 0))))</f>
        <v>Leaf</v>
      </c>
      <c r="D83" s="69" t="str">
        <f t="array" ref="D83">TEXTJOIN("", TRUE, 
IFERROR(INDEX('language&amp;DataTest'!A:J, MATCH(INDEX( PointerTest!C:C, MATCH(INDEX(PointerTest!B:B, MATCH(B83, PointerTest!A:A, 0)), PointerTest!A:A, 0), 0), 'language&amp;DataTest'!A:A, 0), MATCH(HOME!$A$25, 'language&amp;DataTest'!$A$1:$H$1, 0))),                      
IFERROR(INDEX('language&amp;DataTest'!A:J, MATCH(INDEX( PointerTest!D:D, MATCH(INDEX(PointerTest!B:B, MATCH(B83, PointerTest!A:A, 0)), PointerTest!A:A, 0), 0), 'language&amp;DataTest'!A:A, 0), MATCH(HOME!$A$25, 'language&amp;DataTest'!$A$1:$H$1, 0))),                                          
IFERROR(INDEX('language&amp;DataTest'!A:J, MATCH(INDEX( PointerTest!E:E, MATCH(INDEX(PointerTest!B:B, MATCH(B83, PointerTest!A:A, 0)), PointerTest!A:A, 0), 0), 'language&amp;DataTest'!A:A, 0), MATCH(HOME!$A$25, 'language&amp;DataTest'!$A$1:$H$1, 0))))</f>
        <v>Mew</v>
      </c>
      <c r="E83" s="69" t="str">
        <f t="array" ref="E83">INDEX( PointerTest!F:F, MATCH(B83, PointerTest!A:A, 0), 0)</f>
        <v>☆☆</v>
      </c>
      <c r="F83" s="70" t="str">
        <f t="array" ref="F83">LET(percentage,XLOOKUP($E83,$K$2:$K$10,L$2:L$10,"",0)/(COUNTIFS($E:$E,$E83,$D:$D,RegularFormula!$D$2)+COUNTIFS($E:$E,$E83,$D:$D,IF($D83=RegularFormula!$D$2,$K$15,$D83))),IFERROR(IF(percentage,percentage,""),""))</f>
        <v/>
      </c>
      <c r="G83" s="71">
        <f t="array" ref="G83">LET(percentage,XLOOKUP($E83,$K$2:$K$10,M$2:M$10,"",0)/(COUNTIFS($E:$E,$E83,$D:$D,RegularFormula!$D$2)+COUNTIFS($E:$E,$E83,$D:$D,IF($D83=RegularFormula!$D$2,$K$15,$D83))),IFERROR(IF(percentage,percentage,""),""))</f>
        <v>0.0005</v>
      </c>
      <c r="H83" s="71">
        <f t="array" ref="H83">LET(percentage,XLOOKUP($E83,$K$2:$K$10,N$2:N$10,"",0)/(COUNTIFS($E:$E,$E83,$D:$D,RegularFormula!$D$2)+COUNTIFS($E:$E,$E83,$D:$D,IF($D83=RegularFormula!$D$2,$K$15,$D83))),IFERROR(IF(percentage,percentage,""),""))</f>
        <v>0.002</v>
      </c>
      <c r="I83" s="72" t="str">
        <f t="shared" si="1"/>
        <v/>
      </c>
      <c r="J83" s="73">
        <v>0.0</v>
      </c>
      <c r="K83" s="194"/>
      <c r="L83" s="55"/>
      <c r="M83" s="55"/>
      <c r="N83" s="55"/>
      <c r="O83" s="103"/>
      <c r="P83" s="103"/>
      <c r="Q83" s="103"/>
      <c r="R83" s="79" t="str">
        <f t="shared" si="2"/>
        <v/>
      </c>
    </row>
    <row r="84">
      <c r="A84" s="217" t="b">
        <v>0</v>
      </c>
      <c r="B84" s="218" t="s">
        <v>532</v>
      </c>
      <c r="C84" s="69" t="str">
        <f t="array" ref="C84">TEXTJOIN("", TRUE, IFERROR(INDEX('language&amp;DataTest'!A:J, MATCH(INDEX( PointerTest!C:C, MATCH(B84, PointerTest!A:A, 0), 0), 'language&amp;DataTest'!A:A, 0), MATCH(HOME!$A$25, 'language&amp;DataTest'!$A$1:$H$1, 0))),                      IFERROR(INDEX('language&amp;DataTest'!A:J, MATCH(INDEX( PointerTest!D:D, MATCH(B84, PointerTest!A:A, 0), 0), 'language&amp;DataTest'!A:A, 0), MATCH(HOME!$A$25, 'language&amp;DataTest'!$A$1:$H$1, 0))),                                          
IFERROR(INDEX('language&amp;DataTest'!A:J, MATCH(INDEX( PointerTest!E:E, MATCH(B84, PointerTest!A:A, 0), 0), 'language&amp;DataTest'!A:A, 0), MATCH(HOME!$A$25, 'language&amp;DataTest'!$A$1:$H$1, 0))))</f>
        <v>Mew ex</v>
      </c>
      <c r="D84" s="69" t="str">
        <f t="array" ref="D84">TEXTJOIN("", TRUE, 
IFERROR(INDEX('language&amp;DataTest'!A:J, MATCH(INDEX( PointerTest!C:C, MATCH(INDEX(PointerTest!B:B, MATCH(B84, PointerTest!A:A, 0)), PointerTest!A:A, 0), 0), 'language&amp;DataTest'!A:A, 0), MATCH(HOME!$A$25, 'language&amp;DataTest'!$A$1:$H$1, 0))),                      
IFERROR(INDEX('language&amp;DataTest'!A:J, MATCH(INDEX( PointerTest!D:D, MATCH(INDEX(PointerTest!B:B, MATCH(B84, PointerTest!A:A, 0)), PointerTest!A:A, 0), 0), 'language&amp;DataTest'!A:A, 0), MATCH(HOME!$A$25, 'language&amp;DataTest'!$A$1:$H$1, 0))),                                          
IFERROR(INDEX('language&amp;DataTest'!A:J, MATCH(INDEX( PointerTest!E:E, MATCH(INDEX(PointerTest!B:B, MATCH(B84, PointerTest!A:A, 0)), PointerTest!A:A, 0), 0), 'language&amp;DataTest'!A:A, 0), MATCH(HOME!$A$25, 'language&amp;DataTest'!$A$1:$H$1, 0))))</f>
        <v>Mew</v>
      </c>
      <c r="E84" s="69" t="str">
        <f t="array" ref="E84">INDEX( PointerTest!F:F, MATCH(B84, PointerTest!A:A, 0), 0)</f>
        <v>☆☆</v>
      </c>
      <c r="F84" s="70" t="str">
        <f t="array" ref="F84">LET(percentage,XLOOKUP($E84,$K$2:$K$10,L$2:L$10,"",0)/(COUNTIFS($E:$E,$E84,$D:$D,RegularFormula!$D$2)+COUNTIFS($E:$E,$E84,$D:$D,IF($D84=RegularFormula!$D$2,$K$15,$D84))),IFERROR(IF(percentage,percentage,""),""))</f>
        <v/>
      </c>
      <c r="G84" s="71">
        <f t="array" ref="G84">LET(percentage,XLOOKUP($E84,$K$2:$K$10,M$2:M$10,"",0)/(COUNTIFS($E:$E,$E84,$D:$D,RegularFormula!$D$2)+COUNTIFS($E:$E,$E84,$D:$D,IF($D84=RegularFormula!$D$2,$K$15,$D84))),IFERROR(IF(percentage,percentage,""),""))</f>
        <v>0.0005</v>
      </c>
      <c r="H84" s="71">
        <f t="array" ref="H84">LET(percentage,XLOOKUP($E84,$K$2:$K$10,N$2:N$10,"",0)/(COUNTIFS($E:$E,$E84,$D:$D,RegularFormula!$D$2)+COUNTIFS($E:$E,$E84,$D:$D,IF($D84=RegularFormula!$D$2,$K$15,$D84))),IFERROR(IF(percentage,percentage,""),""))</f>
        <v>0.002</v>
      </c>
      <c r="I84" s="72" t="str">
        <f t="shared" si="1"/>
        <v/>
      </c>
      <c r="J84" s="73">
        <v>0.0</v>
      </c>
      <c r="K84" s="194"/>
      <c r="L84" s="55"/>
      <c r="M84" s="55"/>
      <c r="N84" s="55"/>
      <c r="O84" s="103"/>
      <c r="P84" s="103"/>
      <c r="Q84" s="103"/>
      <c r="R84" s="79" t="str">
        <f t="shared" si="2"/>
        <v/>
      </c>
    </row>
    <row r="85">
      <c r="A85" s="217" t="b">
        <v>0</v>
      </c>
      <c r="B85" s="218" t="s">
        <v>533</v>
      </c>
      <c r="C85" s="69" t="str">
        <f t="array" ref="C85">TEXTJOIN("", TRUE, IFERROR(INDEX('language&amp;DataTest'!A:J, MATCH(INDEX( PointerTest!C:C, MATCH(B85, PointerTest!A:A, 0), 0), 'language&amp;DataTest'!A:A, 0), MATCH(HOME!$A$25, 'language&amp;DataTest'!$A$1:$H$1, 0))),                      IFERROR(INDEX('language&amp;DataTest'!A:J, MATCH(INDEX( PointerTest!D:D, MATCH(B85, PointerTest!A:A, 0), 0), 'language&amp;DataTest'!A:A, 0), MATCH(HOME!$A$25, 'language&amp;DataTest'!$A$1:$H$1, 0))),                                          
IFERROR(INDEX('language&amp;DataTest'!A:J, MATCH(INDEX( PointerTest!E:E, MATCH(B85, PointerTest!A:A, 0), 0), 'language&amp;DataTest'!A:A, 0), MATCH(HOME!$A$25, 'language&amp;DataTest'!$A$1:$H$1, 0))))</f>
        <v>Aerodactyl ex</v>
      </c>
      <c r="D85" s="69" t="str">
        <f t="array" ref="D85">TEXTJOIN("", TRUE, 
IFERROR(INDEX('language&amp;DataTest'!A:J, MATCH(INDEX( PointerTest!C:C, MATCH(INDEX(PointerTest!B:B, MATCH(B85, PointerTest!A:A, 0)), PointerTest!A:A, 0), 0), 'language&amp;DataTest'!A:A, 0), MATCH(HOME!$A$25, 'language&amp;DataTest'!$A$1:$H$1, 0))),                      
IFERROR(INDEX('language&amp;DataTest'!A:J, MATCH(INDEX( PointerTest!D:D, MATCH(INDEX(PointerTest!B:B, MATCH(B85, PointerTest!A:A, 0)), PointerTest!A:A, 0), 0), 'language&amp;DataTest'!A:A, 0), MATCH(HOME!$A$25, 'language&amp;DataTest'!$A$1:$H$1, 0))),                                          
IFERROR(INDEX('language&amp;DataTest'!A:J, MATCH(INDEX( PointerTest!E:E, MATCH(INDEX(PointerTest!B:B, MATCH(B85, PointerTest!A:A, 0)), PointerTest!A:A, 0), 0), 'language&amp;DataTest'!A:A, 0), MATCH(HOME!$A$25, 'language&amp;DataTest'!$A$1:$H$1, 0))))</f>
        <v>Mew</v>
      </c>
      <c r="E85" s="69" t="str">
        <f t="array" ref="E85">INDEX( PointerTest!F:F, MATCH(B85, PointerTest!A:A, 0), 0)</f>
        <v>☆☆</v>
      </c>
      <c r="F85" s="70" t="str">
        <f t="array" ref="F85">LET(percentage,XLOOKUP($E85,$K$2:$K$10,L$2:L$10,"",0)/(COUNTIFS($E:$E,$E85,$D:$D,RegularFormula!$D$2)+COUNTIFS($E:$E,$E85,$D:$D,IF($D85=RegularFormula!$D$2,$K$15,$D85))),IFERROR(IF(percentage,percentage,""),""))</f>
        <v/>
      </c>
      <c r="G85" s="71">
        <f t="array" ref="G85">LET(percentage,XLOOKUP($E85,$K$2:$K$10,M$2:M$10,"",0)/(COUNTIFS($E:$E,$E85,$D:$D,RegularFormula!$D$2)+COUNTIFS($E:$E,$E85,$D:$D,IF($D85=RegularFormula!$D$2,$K$15,$D85))),IFERROR(IF(percentage,percentage,""),""))</f>
        <v>0.0005</v>
      </c>
      <c r="H85" s="71">
        <f t="array" ref="H85">LET(percentage,XLOOKUP($E85,$K$2:$K$10,N$2:N$10,"",0)/(COUNTIFS($E:$E,$E85,$D:$D,RegularFormula!$D$2)+COUNTIFS($E:$E,$E85,$D:$D,IF($D85=RegularFormula!$D$2,$K$15,$D85))),IFERROR(IF(percentage,percentage,""),""))</f>
        <v>0.002</v>
      </c>
      <c r="I85" s="72" t="str">
        <f t="shared" si="1"/>
        <v/>
      </c>
      <c r="J85" s="73">
        <v>0.0</v>
      </c>
      <c r="K85" s="194"/>
      <c r="L85" s="55"/>
      <c r="M85" s="55"/>
      <c r="N85" s="55"/>
      <c r="O85" s="103"/>
      <c r="P85" s="103"/>
      <c r="Q85" s="103"/>
      <c r="R85" s="79" t="str">
        <f t="shared" si="2"/>
        <v/>
      </c>
    </row>
    <row r="86">
      <c r="A86" s="217" t="b">
        <v>1</v>
      </c>
      <c r="B86" s="218" t="s">
        <v>534</v>
      </c>
      <c r="C86" s="69" t="str">
        <f t="array" ref="C86">TEXTJOIN("", TRUE, IFERROR(INDEX('language&amp;DataTest'!A:J, MATCH(INDEX( PointerTest!C:C, MATCH(B86, PointerTest!A:A, 0), 0), 'language&amp;DataTest'!A:A, 0), MATCH(HOME!$A$25, 'language&amp;DataTest'!$A$1:$H$1, 0))),                      IFERROR(INDEX('language&amp;DataTest'!A:J, MATCH(INDEX( PointerTest!D:D, MATCH(B86, PointerTest!A:A, 0), 0), 'language&amp;DataTest'!A:A, 0), MATCH(HOME!$A$25, 'language&amp;DataTest'!$A$1:$H$1, 0))),                                          
IFERROR(INDEX('language&amp;DataTest'!A:J, MATCH(INDEX( PointerTest!E:E, MATCH(B86, PointerTest!A:A, 0), 0), 'language&amp;DataTest'!A:A, 0), MATCH(HOME!$A$25, 'language&amp;DataTest'!$A$1:$H$1, 0))))</f>
        <v>Celebi ex</v>
      </c>
      <c r="D86" s="69" t="str">
        <f t="array" ref="D86">TEXTJOIN("", TRUE, 
IFERROR(INDEX('language&amp;DataTest'!A:J, MATCH(INDEX( PointerTest!C:C, MATCH(INDEX(PointerTest!B:B, MATCH(B86, PointerTest!A:A, 0)), PointerTest!A:A, 0), 0), 'language&amp;DataTest'!A:A, 0), MATCH(HOME!$A$25, 'language&amp;DataTest'!$A$1:$H$1, 0))),                      
IFERROR(INDEX('language&amp;DataTest'!A:J, MATCH(INDEX( PointerTest!D:D, MATCH(INDEX(PointerTest!B:B, MATCH(B86, PointerTest!A:A, 0)), PointerTest!A:A, 0), 0), 'language&amp;DataTest'!A:A, 0), MATCH(HOME!$A$25, 'language&amp;DataTest'!$A$1:$H$1, 0))),                                          
IFERROR(INDEX('language&amp;DataTest'!A:J, MATCH(INDEX( PointerTest!E:E, MATCH(INDEX(PointerTest!B:B, MATCH(B86, PointerTest!A:A, 0)), PointerTest!A:A, 0), 0), 'language&amp;DataTest'!A:A, 0), MATCH(HOME!$A$25, 'language&amp;DataTest'!$A$1:$H$1, 0))))</f>
        <v>Mew</v>
      </c>
      <c r="E86" s="69" t="str">
        <f t="array" ref="E86">INDEX( PointerTest!F:F, MATCH(B86, PointerTest!A:A, 0), 0)</f>
        <v>☆☆☆</v>
      </c>
      <c r="F86" s="70" t="str">
        <f t="array" ref="F86">LET(percentage,XLOOKUP($E86,$K$2:$K$10,L$2:L$10,"",0)/(COUNTIFS($E:$E,$E86,$D:$D,RegularFormula!$D$2)+COUNTIFS($E:$E,$E86,$D:$D,IF($D86=RegularFormula!$D$2,$K$15,$D86))),IFERROR(IF(percentage,percentage,""),""))</f>
        <v/>
      </c>
      <c r="G86" s="71">
        <f t="array" ref="G86">LET(percentage,XLOOKUP($E86,$K$2:$K$10,M$2:M$10,"",0)/(COUNTIFS($E:$E,$E86,$D:$D,RegularFormula!$D$2)+COUNTIFS($E:$E,$E86,$D:$D,IF($D86=RegularFormula!$D$2,$K$15,$D86))),IFERROR(IF(percentage,percentage,""),""))</f>
        <v>0.00222</v>
      </c>
      <c r="H86" s="71">
        <f t="array" ref="H86">LET(percentage,XLOOKUP($E86,$K$2:$K$10,N$2:N$10,"",0)/(COUNTIFS($E:$E,$E86,$D:$D,RegularFormula!$D$2)+COUNTIFS($E:$E,$E86,$D:$D,IF($D86=RegularFormula!$D$2,$K$15,$D86))),IFERROR(IF(percentage,percentage,""),""))</f>
        <v>0.00888</v>
      </c>
      <c r="I86" s="72" t="str">
        <f t="shared" si="1"/>
        <v/>
      </c>
      <c r="J86" s="73">
        <v>0.0</v>
      </c>
      <c r="K86" s="194"/>
      <c r="L86" s="55"/>
      <c r="M86" s="55"/>
      <c r="N86" s="55"/>
      <c r="O86" s="103"/>
      <c r="P86" s="103"/>
      <c r="Q86" s="103"/>
      <c r="R86" s="79" t="str">
        <f t="shared" si="2"/>
        <v/>
      </c>
    </row>
    <row r="87">
      <c r="A87" s="217" t="b">
        <v>0</v>
      </c>
      <c r="B87" s="218" t="s">
        <v>535</v>
      </c>
      <c r="C87" s="69" t="str">
        <f t="array" ref="C87">TEXTJOIN("", TRUE, IFERROR(INDEX('language&amp;DataTest'!A:J, MATCH(INDEX( PointerTest!C:C, MATCH(B87, PointerTest!A:A, 0), 0), 'language&amp;DataTest'!A:A, 0), MATCH(HOME!$A$25, 'language&amp;DataTest'!$A$1:$H$1, 0))),                      IFERROR(INDEX('language&amp;DataTest'!A:J, MATCH(INDEX( PointerTest!D:D, MATCH(B87, PointerTest!A:A, 0), 0), 'language&amp;DataTest'!A:A, 0), MATCH(HOME!$A$25, 'language&amp;DataTest'!$A$1:$H$1, 0))),                                          
IFERROR(INDEX('language&amp;DataTest'!A:J, MATCH(INDEX( PointerTest!E:E, MATCH(B87, PointerTest!A:A, 0), 0), 'language&amp;DataTest'!A:A, 0), MATCH(HOME!$A$25, 'language&amp;DataTest'!$A$1:$H$1, 0))))</f>
        <v>Mew ex</v>
      </c>
      <c r="D87" s="69" t="str">
        <f t="array" ref="D87">TEXTJOIN("", TRUE, 
IFERROR(INDEX('language&amp;DataTest'!A:J, MATCH(INDEX( PointerTest!C:C, MATCH(INDEX(PointerTest!B:B, MATCH(B87, PointerTest!A:A, 0)), PointerTest!A:A, 0), 0), 'language&amp;DataTest'!A:A, 0), MATCH(HOME!$A$25, 'language&amp;DataTest'!$A$1:$H$1, 0))),                      
IFERROR(INDEX('language&amp;DataTest'!A:J, MATCH(INDEX( PointerTest!D:D, MATCH(INDEX(PointerTest!B:B, MATCH(B87, PointerTest!A:A, 0)), PointerTest!A:A, 0), 0), 'language&amp;DataTest'!A:A, 0), MATCH(HOME!$A$25, 'language&amp;DataTest'!$A$1:$H$1, 0))),                                          
IFERROR(INDEX('language&amp;DataTest'!A:J, MATCH(INDEX( PointerTest!E:E, MATCH(INDEX(PointerTest!B:B, MATCH(B87, PointerTest!A:A, 0)), PointerTest!A:A, 0), 0), 'language&amp;DataTest'!A:A, 0), MATCH(HOME!$A$25, 'language&amp;DataTest'!$A$1:$H$1, 0))))</f>
        <v>Mew</v>
      </c>
      <c r="E87" s="69" t="str">
        <f t="array" ref="E87">INDEX( PointerTest!F:F, MATCH(B87, PointerTest!A:A, 0), 0)</f>
        <v>♛</v>
      </c>
      <c r="F87" s="70" t="str">
        <f t="array" ref="F87">LET(percentage,XLOOKUP($E87,$K$2:$K$10,L$2:L$10,"",0)/(COUNTIFS($E:$E,$E87,$D:$D,RegularFormula!$D$2)+COUNTIFS($E:$E,$E87,$D:$D,IF($D87=RegularFormula!$D$2,$K$15,$D87))),IFERROR(IF(percentage,percentage,""),""))</f>
        <v/>
      </c>
      <c r="G87" s="71">
        <f t="array" ref="G87">LET(percentage,XLOOKUP($E87,$K$2:$K$10,M$2:M$10,"",0)/(COUNTIFS($E:$E,$E87,$D:$D,RegularFormula!$D$2)+COUNTIFS($E:$E,$E87,$D:$D,IF($D87=RegularFormula!$D$2,$K$15,$D87))),IFERROR(IF(percentage,percentage,""),""))</f>
        <v>0.0004</v>
      </c>
      <c r="H87" s="71">
        <f t="array" ref="H87">LET(percentage,XLOOKUP($E87,$K$2:$K$10,N$2:N$10,"",0)/(COUNTIFS($E:$E,$E87,$D:$D,RegularFormula!$D$2)+COUNTIFS($E:$E,$E87,$D:$D,IF($D87=RegularFormula!$D$2,$K$15,$D87))),IFERROR(IF(percentage,percentage,""),""))</f>
        <v>0.0016</v>
      </c>
      <c r="I87" s="72" t="str">
        <f t="shared" si="1"/>
        <v/>
      </c>
      <c r="J87" s="73">
        <v>0.0</v>
      </c>
      <c r="K87" s="194"/>
      <c r="L87" s="55"/>
      <c r="M87" s="55"/>
      <c r="N87" s="55"/>
      <c r="O87" s="103"/>
      <c r="P87" s="103"/>
      <c r="Q87" s="103"/>
      <c r="R87" s="79" t="str">
        <f t="shared" si="2"/>
        <v/>
      </c>
    </row>
  </sheetData>
  <mergeCells count="16">
    <mergeCell ref="O1:P1"/>
    <mergeCell ref="K11:N12"/>
    <mergeCell ref="K16:K17"/>
    <mergeCell ref="L16:N17"/>
    <mergeCell ref="K18:N19"/>
    <mergeCell ref="K25:N25"/>
    <mergeCell ref="K29:K30"/>
    <mergeCell ref="M37:N37"/>
    <mergeCell ref="M38:N39"/>
    <mergeCell ref="L29:N30"/>
    <mergeCell ref="K31:N31"/>
    <mergeCell ref="K34:K35"/>
    <mergeCell ref="L34:L35"/>
    <mergeCell ref="M34:M35"/>
    <mergeCell ref="N34:N35"/>
    <mergeCell ref="K36:N36"/>
  </mergeCells>
  <conditionalFormatting sqref="J2:J87">
    <cfRule type="cellIs" dxfId="17" priority="1" operator="greaterThanOrEqual">
      <formula>2</formula>
    </cfRule>
  </conditionalFormatting>
  <conditionalFormatting sqref="J2:J87">
    <cfRule type="cellIs" dxfId="0" priority="2" operator="lessThan">
      <formula>2</formula>
    </cfRule>
  </conditionalFormatting>
  <conditionalFormatting sqref="A2:I87">
    <cfRule type="expression" dxfId="18" priority="3">
      <formula>$D2=$C$32</formula>
    </cfRule>
  </conditionalFormatting>
  <conditionalFormatting sqref="A2:A87 C2:I87">
    <cfRule type="expression" dxfId="21" priority="4">
      <formula>COUNTIF({"All", "Tous"}, $D2)&gt;0</formula>
    </cfRule>
  </conditionalFormatting>
  <conditionalFormatting sqref="K15:N15 K27:L46 M27:N38">
    <cfRule type="expression" dxfId="18" priority="5">
      <formula>$K15=$C$32</formula>
    </cfRule>
  </conditionalFormatting>
  <conditionalFormatting sqref="K15:N15 K27:L46 M27:N38">
    <cfRule type="expression" dxfId="21" priority="6">
      <formula>COUNTIF({"All", "Tous"}, $K15)&gt;0</formula>
    </cfRule>
  </conditionalFormatting>
  <conditionalFormatting sqref="L16:N17 L29:N30 L32:N35 M37:N46">
    <cfRule type="expression" dxfId="18" priority="7">
      <formula>L16=$C$32</formula>
    </cfRule>
  </conditionalFormatting>
  <drawing r:id="rId2"/>
  <legacyDrawing r:id="rId3"/>
  <tableParts count="1">
    <tablePart r:id="rId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7B7B7"/>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5.63"/>
    <col customWidth="1" min="2" max="2" width="7.13"/>
    <col customWidth="1" min="3" max="3" width="20.13"/>
    <col customWidth="1" min="10" max="10" width="8.25"/>
    <col customWidth="1" min="15" max="15" width="34.75"/>
  </cols>
  <sheetData>
    <row r="1">
      <c r="A1" s="60" t="s">
        <v>53</v>
      </c>
      <c r="B1" s="60" t="s">
        <v>54</v>
      </c>
      <c r="C1" s="60" t="s">
        <v>55</v>
      </c>
      <c r="D1" s="60" t="s">
        <v>56</v>
      </c>
      <c r="E1" s="60" t="s">
        <v>57</v>
      </c>
      <c r="F1" s="60" t="s">
        <v>58</v>
      </c>
      <c r="G1" s="60" t="s">
        <v>59</v>
      </c>
      <c r="H1" s="60" t="s">
        <v>60</v>
      </c>
      <c r="I1" s="60" t="s">
        <v>61</v>
      </c>
      <c r="J1" s="61" t="s">
        <v>62</v>
      </c>
      <c r="K1" s="62" t="s">
        <v>63</v>
      </c>
      <c r="L1" s="63"/>
      <c r="O1" s="229" t="s">
        <v>64</v>
      </c>
      <c r="P1" s="65" t="s">
        <v>65</v>
      </c>
      <c r="R1" s="65" t="s">
        <v>57</v>
      </c>
      <c r="S1" s="66" t="str">
        <f>"Points (" &amp; TEXT(SUM(S2:S208),"##,###") &amp; ")"</f>
        <v>Points (35,400)</v>
      </c>
    </row>
    <row r="2">
      <c r="A2" s="217" t="b">
        <v>1</v>
      </c>
      <c r="B2" s="230" t="s">
        <v>536</v>
      </c>
      <c r="C2" s="69" t="str">
        <f t="array" ref="C2">TEXTJOIN("", TRUE, IFERROR(INDEX('language&amp;DataTest'!A:J, MATCH(INDEX( PointerTest!C:C, MATCH(B2, PointerTest!A:A, 0), 0), 'language&amp;DataTest'!A:A, 0), MATCH(HOME!$A$25, 'language&amp;DataTest'!$A$1:$H$1, 0))),                      IFERROR(INDEX('language&amp;DataTest'!A:J, MATCH(INDEX( PointerTest!D:D, MATCH(B2, PointerTest!A:A, 0), 0), 'language&amp;DataTest'!A:A, 0), MATCH(HOME!$A$25, 'language&amp;DataTest'!$A$1:$H$1, 0))),                                          
IFERROR(INDEX('language&amp;DataTest'!A:J, MATCH(INDEX( PointerTest!E:E, MATCH(B2, PointerTest!A:A, 0), 0), 'language&amp;DataTest'!A:A, 0), MATCH(HOME!$A$25, 'language&amp;DataTest'!$A$1:$H$1, 0))))</f>
        <v>Oddish</v>
      </c>
      <c r="D2" s="69" t="str">
        <f t="array" ref="D2">TEXTJOIN("", TRUE, 
IFERROR(INDEX('language&amp;DataTest'!A:J, MATCH(INDEX( PointerTest!C:C, MATCH(INDEX(PointerTest!B:B, MATCH(B2, PointerTest!A:A, 0)), PointerTest!A:A, 0), 0), 'language&amp;DataTest'!A:A, 0), MATCH(HOME!$A$25, 'language&amp;DataTest'!$A$1:$H$1, 0))),                      
IFERROR(INDEX('language&amp;DataTest'!A:J, MATCH(INDEX( PointerTest!D:D, MATCH(INDEX(PointerTest!B:B, MATCH(B2, PointerTest!A:A, 0)), PointerTest!A:A, 0), 0), 'language&amp;DataTest'!A:A, 0), MATCH(HOME!$A$25, 'language&amp;DataTest'!$A$1:$H$1, 0))),                                          
IFERROR(INDEX('language&amp;DataTest'!A:J, MATCH(INDEX( PointerTest!E:E, MATCH(INDEX(PointerTest!B:B, MATCH(B2, PointerTest!A:A, 0)), PointerTest!A:A, 0), 0), 'language&amp;DataTest'!A:A, 0), MATCH(HOME!$A$25, 'language&amp;DataTest'!$A$1:$H$1, 0))))</f>
        <v>All</v>
      </c>
      <c r="E2" s="69" t="str">
        <f t="array" ref="E2">INDEX( PointerTest!F:F, MATCH(B2, PointerTest!A:A, 0), 0)</f>
        <v>♢</v>
      </c>
      <c r="F2" s="70">
        <f t="array" ref="F2">LET(percentage,XLOOKUP($E2,$K$2:$K$10,L$2:L$10,"",0)/(COUNTIFS($E:$E,$E2,$D:$D,RegularFormula!$D$2)+COUNTIFS($E:$E,$E2,$D:$D,IF($D2=RegularFormula!$D$2,$K$15,$D2))),IFERROR(IF(percentage,percentage,""),""))</f>
        <v>0.02272727273</v>
      </c>
      <c r="G2" s="71" t="str">
        <f t="array" ref="G2">LET(percentage,XLOOKUP($E2,$K$2:$K$10,M$2:M$10,"",0)/(COUNTIFS($E:$E,$E2,$D:$D,RegularFormula!$D$2)+COUNTIFS($E:$E,$E2,$D:$D,IF($D2=RegularFormula!$D$2,$K$15,$D2))),IFERROR(IF(percentage,percentage,""),""))</f>
        <v/>
      </c>
      <c r="H2" s="71" t="str">
        <f t="array" ref="H2">LET(percentage,XLOOKUP($E2,$K$2:$K$10,N$2:N$10,"",0)/(COUNTIFS($E:$E,$E2,$D:$D,RegularFormula!$D$2)+COUNTIFS($E:$E,$E2,$D:$D,IF($D2=RegularFormula!$D$2,$K$15,$D2))),IFERROR(IF(percentage,percentage,""),""))</f>
        <v/>
      </c>
      <c r="I2" s="72" t="str">
        <f t="shared" ref="I2:I208" si="1">IF(D2 = "All", "*Based on " &amp; $K$15 &amp; " pack", "")
</f>
        <v>*Based on Palkia ex pack</v>
      </c>
      <c r="J2" s="73">
        <v>0.0</v>
      </c>
      <c r="K2" s="74" t="s">
        <v>68</v>
      </c>
      <c r="L2" s="75">
        <v>45294.0</v>
      </c>
      <c r="M2" s="76">
        <v>4.0</v>
      </c>
      <c r="N2" s="77">
        <v>5.0</v>
      </c>
      <c r="O2" s="229" t="s">
        <v>537</v>
      </c>
      <c r="P2" s="231" t="str">
        <f>IFERROR(__xludf.DUMMYFUNCTION("IFERROR(
IF($K$25,
  FILTER(
    $B$2:$B208,
    (
      (($K$21*($E$2:$E208=""♢"")) +
       ($K$22*($E$2:$E208=""♢♢"")) +
       ($K$23*($E$2:$E208=""♢♢♢"")) +
       ($K$24*($E$2:$E208=""♢♢♢♢"")) +
       ($M$21*($E$2:$E208=""☆"")) +
       ($M$22*($E$"&amp;"2:$E208=""☆☆"")) +
       ($M$23*($E$2:$E208=""☆☆☆"")) +
       ($M$24*($E$2:$E208=""♛""))
      ) &gt; 0
    )
    *
    (
      BYROW($C$2:$C208,
        LAMBDA(card, COUNTIFS($C$2:$C208, card, IF($M$25, $J$2:$J208, $A$2:$A208), TRUE))
      ) = 0
    )
  "&amp;"),
  FILTER(
    $B$2:$B208,
    (
      (($K$21*($E$2:$E208=""♢"")) +
       ($K$22*($E$2:$E208=""♢♢"")) +
       ($K$23*($E$2:$E208=""♢♢♢"")) +
       ($K$24*($E$2:$E208=""♢♢♢♢"")) +
       ($M$21*($E$2:$E208=""☆"")) +
       ($M$22*($E$2:$E208=""☆☆""))"&amp;" +
       ($M$23*($E$2:$E208=""☆☆☆"")) +
       ($M$24*($E$2:$E208=""♛""))
      ) &gt; 0
    )
    *
    IF($M$25, ($J$2:$J208 &lt;= 1), ($A$2:$A208 = FALSE))
  )
)
)"),"A2 046")</f>
        <v>A2 046</v>
      </c>
      <c r="Q2" s="231" t="str">
        <f>IFERROR(__xludf.DUMMYFUNCTION("IFERROR(
IF($K$25,
  FILTER(
    $C$2:$C208,
    (
      (($K$21*($E$2:$E208=""♢"")) +
       ($K$22*($E$2:$E208=""♢♢"")) +
       ($K$23*($E$2:$E208=""♢♢♢"")) +
       ($K$24*($E$2:$E208=""♢♢♢♢"")) +
       ($M$21*($E$2:$E208=""☆"")) +
       ($M$22*($E$"&amp;"2:$E208=""☆☆"")) +
       ($M$23*($E$2:$E208=""☆☆☆"")) +
       ($M$24*($E$2:$E208=""♛""))
      ) &gt; 0
    )
    *
    (
      BYROW($C$2:$C208,
        LAMBDA(card, COUNTIFS($C$2:$C208, card, IF($M$25, $J$2:$J208, $A$2:$A208), TRUE))
      ) = 0
    )
  "&amp;"),
  FILTER(
    $C$2:$C208,
    (
      (($K$21*($E$2:$E208=""♢"")) +
       ($K$22*($E$2:$E208=""♢♢"")) +
       ($K$23*($E$2:$E208=""♢♢♢"")) +
       ($K$24*($E$2:$E208=""♢♢♢♢"")) +
       ($M$21*($E$2:$E208=""☆"")) +
       ($M$22*($E$2:$E208=""☆☆""))"&amp;" +
       ($M$23*($E$2:$E208=""☆☆☆"")) +
       ($M$24*($E$2:$E208=""♛""))
      ) &gt; 0
    )
    *
    IF($M$25, ($J$2:$J208 &lt;= 1), ($A$2:$A208 = FALSE))
  )
)
)"),"Glaceon")</f>
        <v>Glaceon</v>
      </c>
      <c r="R2" s="231" t="str">
        <f>IFERROR(__xludf.DUMMYFUNCTION("IFERROR(
IF($K$25,
  FILTER(
    $E$2:$E208,
    (
      (($K$21*($E$2:$E208=""♢"")) +
       ($K$22*($E$2:$E208=""♢♢"")) +
       ($K$23*($E$2:$E208=""♢♢♢"")) +
       ($K$24*($E$2:$E208=""♢♢♢♢"")) +
       ($M$21*($E$2:$E208=""☆"")) +
       ($M$22*($E$"&amp;"2:$E208=""☆☆"")) +
       ($M$23*($E$2:$E208=""☆☆☆"")) +
       ($M$24*($E$2:$E208=""♛""))
      ) &gt; 0
    )
    *
    (
      BYROW($C$2:$C208,
        LAMBDA(card, COUNTIFS($C$2:$C208, card, IF($M$25, $J$2:$J208, $A$2:$A208), TRUE))
      ) = 0
    )
  "&amp;"),
  FILTER(
    $E$2:$E208,
    (
      (($K$21*($E$2:$E208=""♢"")) +
       ($K$22*($E$2:$E208=""♢♢"")) +
       ($K$23*($E$2:$E208=""♢♢♢"")) +
       ($K$24*($E$2:$E208=""♢♢♢♢"")) +
       ($M$21*($E$2:$E208=""☆"")) +
       ($M$22*($E$2:$E208=""☆☆""))"&amp;" +
       ($M$23*($E$2:$E208=""☆☆☆"")) +
       ($M$24*($E$2:$E208=""♛""))
      ) &gt; 0
    )
    *
    IF($M$25, ($J$2:$J208 &lt;= 1), ($A$2:$A208 = FALSE))
  )
)
)"),"♢♢♢")</f>
        <v>♢♢♢</v>
      </c>
      <c r="S2" s="231">
        <f t="shared" ref="S2:S208" si="2">IFERROR(IFS(R2="♢",35,R2="♢♢",70,R2="♢♢♢",150,R2="♢♢♢♢",500,R2="☆",400,R2="☆☆",1250,R2="☆☆☆",1500,R2="♛",2500),"")</f>
        <v>150</v>
      </c>
    </row>
    <row r="3">
      <c r="A3" s="217" t="b">
        <v>1</v>
      </c>
      <c r="B3" s="230" t="s">
        <v>538</v>
      </c>
      <c r="C3" s="69" t="str">
        <f t="array" ref="C3">TEXTJOIN("", TRUE, IFERROR(INDEX('language&amp;DataTest'!A:J, MATCH(INDEX( PointerTest!C:C, MATCH(B3, PointerTest!A:A, 0), 0), 'language&amp;DataTest'!A:A, 0), MATCH(HOME!$A$25, 'language&amp;DataTest'!$A$1:$H$1, 0))),                      IFERROR(INDEX('language&amp;DataTest'!A:J, MATCH(INDEX( PointerTest!D:D, MATCH(B3, PointerTest!A:A, 0), 0), 'language&amp;DataTest'!A:A, 0), MATCH(HOME!$A$25, 'language&amp;DataTest'!$A$1:$H$1, 0))),                                          
IFERROR(INDEX('language&amp;DataTest'!A:J, MATCH(INDEX( PointerTest!E:E, MATCH(B3, PointerTest!A:A, 0), 0), 'language&amp;DataTest'!A:A, 0), MATCH(HOME!$A$25, 'language&amp;DataTest'!$A$1:$H$1, 0))))</f>
        <v>Gloom</v>
      </c>
      <c r="D3" s="69" t="str">
        <f t="array" ref="D3">TEXTJOIN("", TRUE, 
IFERROR(INDEX('language&amp;DataTest'!A:J, MATCH(INDEX( PointerTest!C:C, MATCH(INDEX(PointerTest!B:B, MATCH(B3, PointerTest!A:A, 0)), PointerTest!A:A, 0), 0), 'language&amp;DataTest'!A:A, 0), MATCH(HOME!$A$25, 'language&amp;DataTest'!$A$1:$H$1, 0))),                      
IFERROR(INDEX('language&amp;DataTest'!A:J, MATCH(INDEX( PointerTest!D:D, MATCH(INDEX(PointerTest!B:B, MATCH(B3, PointerTest!A:A, 0)), PointerTest!A:A, 0), 0), 'language&amp;DataTest'!A:A, 0), MATCH(HOME!$A$25, 'language&amp;DataTest'!$A$1:$H$1, 0))),                                          
IFERROR(INDEX('language&amp;DataTest'!A:J, MATCH(INDEX( PointerTest!E:E, MATCH(INDEX(PointerTest!B:B, MATCH(B3, PointerTest!A:A, 0)), PointerTest!A:A, 0), 0), 'language&amp;DataTest'!A:A, 0), MATCH(HOME!$A$25, 'language&amp;DataTest'!$A$1:$H$1, 0))))</f>
        <v>All</v>
      </c>
      <c r="E3" s="69" t="str">
        <f t="array" ref="E3">INDEX( PointerTest!F:F, MATCH(B3, PointerTest!A:A, 0), 0)</f>
        <v>♢</v>
      </c>
      <c r="F3" s="70">
        <f t="array" ref="F3">LET(percentage,XLOOKUP($E3,$K$2:$K$10,L$2:L$10,"",0)/(COUNTIFS($E:$E,$E3,$D:$D,RegularFormula!$D$2)+COUNTIFS($E:$E,$E3,$D:$D,IF($D3=RegularFormula!$D$2,$K$15,$D3))),IFERROR(IF(percentage,percentage,""),""))</f>
        <v>0.02272727273</v>
      </c>
      <c r="G3" s="71" t="str">
        <f t="array" ref="G3">LET(percentage,XLOOKUP($E3,$K$2:$K$10,M$2:M$10,"",0)/(COUNTIFS($E:$E,$E3,$D:$D,RegularFormula!$D$2)+COUNTIFS($E:$E,$E3,$D:$D,IF($D3=RegularFormula!$D$2,$K$15,$D3))),IFERROR(IF(percentage,percentage,""),""))</f>
        <v/>
      </c>
      <c r="H3" s="71" t="str">
        <f t="array" ref="H3">LET(percentage,XLOOKUP($E3,$K$2:$K$10,N$2:N$10,"",0)/(COUNTIFS($E:$E,$E3,$D:$D,RegularFormula!$D$2)+COUNTIFS($E:$E,$E3,$D:$D,IF($D3=RegularFormula!$D$2,$K$15,$D3))),IFERROR(IF(percentage,percentage,""),""))</f>
        <v/>
      </c>
      <c r="I3" s="72" t="str">
        <f t="shared" si="1"/>
        <v>*Based on Palkia ex pack</v>
      </c>
      <c r="J3" s="73">
        <v>0.0</v>
      </c>
      <c r="K3" s="81" t="s">
        <v>71</v>
      </c>
      <c r="L3" s="82">
        <v>1.0</v>
      </c>
      <c r="M3" s="83">
        <v>0.0</v>
      </c>
      <c r="N3" s="84">
        <v>0.0</v>
      </c>
      <c r="P3" s="86" t="str">
        <f>IFERROR(__xludf.DUMMYFUNCTION("""COMPUTED_VALUE"""),"A2 057")</f>
        <v>A2 057</v>
      </c>
      <c r="Q3" s="86" t="str">
        <f>IFERROR(__xludf.DUMMYFUNCTION("""COMPUTED_VALUE"""),"Electivire")</f>
        <v>Electivire</v>
      </c>
      <c r="R3" s="86" t="str">
        <f>IFERROR(__xludf.DUMMYFUNCTION("""COMPUTED_VALUE"""),"♢♢♢")</f>
        <v>♢♢♢</v>
      </c>
      <c r="S3" s="231">
        <f t="shared" si="2"/>
        <v>150</v>
      </c>
    </row>
    <row r="4">
      <c r="A4" s="217" t="b">
        <v>1</v>
      </c>
      <c r="B4" s="230" t="s">
        <v>539</v>
      </c>
      <c r="C4" s="69" t="str">
        <f t="array" ref="C4">TEXTJOIN("", TRUE, IFERROR(INDEX('language&amp;DataTest'!A:J, MATCH(INDEX( PointerTest!C:C, MATCH(B4, PointerTest!A:A, 0), 0), 'language&amp;DataTest'!A:A, 0), MATCH(HOME!$A$25, 'language&amp;DataTest'!$A$1:$H$1, 0))),                      IFERROR(INDEX('language&amp;DataTest'!A:J, MATCH(INDEX( PointerTest!D:D, MATCH(B4, PointerTest!A:A, 0), 0), 'language&amp;DataTest'!A:A, 0), MATCH(HOME!$A$25, 'language&amp;DataTest'!$A$1:$H$1, 0))),                                          
IFERROR(INDEX('language&amp;DataTest'!A:J, MATCH(INDEX( PointerTest!E:E, MATCH(B4, PointerTest!A:A, 0), 0), 'language&amp;DataTest'!A:A, 0), MATCH(HOME!$A$25, 'language&amp;DataTest'!$A$1:$H$1, 0))))</f>
        <v>Bellossom</v>
      </c>
      <c r="D4" s="69" t="str">
        <f t="array" ref="D4">TEXTJOIN("", TRUE, 
IFERROR(INDEX('language&amp;DataTest'!A:J, MATCH(INDEX( PointerTest!C:C, MATCH(INDEX(PointerTest!B:B, MATCH(B4, PointerTest!A:A, 0)), PointerTest!A:A, 0), 0), 'language&amp;DataTest'!A:A, 0), MATCH(HOME!$A$25, 'language&amp;DataTest'!$A$1:$H$1, 0))),                      
IFERROR(INDEX('language&amp;DataTest'!A:J, MATCH(INDEX( PointerTest!D:D, MATCH(INDEX(PointerTest!B:B, MATCH(B4, PointerTest!A:A, 0)), PointerTest!A:A, 0), 0), 'language&amp;DataTest'!A:A, 0), MATCH(HOME!$A$25, 'language&amp;DataTest'!$A$1:$H$1, 0))),                                          
IFERROR(INDEX('language&amp;DataTest'!A:J, MATCH(INDEX( PointerTest!E:E, MATCH(INDEX(PointerTest!B:B, MATCH(B4, PointerTest!A:A, 0)), PointerTest!A:A, 0), 0), 'language&amp;DataTest'!A:A, 0), MATCH(HOME!$A$25, 'language&amp;DataTest'!$A$1:$H$1, 0))))</f>
        <v>All</v>
      </c>
      <c r="E4" s="69" t="str">
        <f t="array" ref="E4">INDEX( PointerTest!F:F, MATCH(B4, PointerTest!A:A, 0), 0)</f>
        <v>♢♢</v>
      </c>
      <c r="F4" s="70" t="str">
        <f t="array" ref="F4">LET(percentage,XLOOKUP($E4,$K$2:$K$10,L$2:L$10,"",0)/(COUNTIFS($E:$E,$E4,$D:$D,RegularFormula!$D$2)+COUNTIFS($E:$E,$E4,$D:$D,IF($D4=RegularFormula!$D$2,$K$15,$D4))),IFERROR(IF(percentage,percentage,""),""))</f>
        <v/>
      </c>
      <c r="G4" s="71">
        <f t="array" ref="G4">LET(percentage,XLOOKUP($E4,$K$2:$K$10,M$2:M$10,"",0)/(COUNTIFS($E:$E,$E4,$D:$D,RegularFormula!$D$2)+COUNTIFS($E:$E,$E4,$D:$D,IF($D4=RegularFormula!$D$2,$K$15,$D4))),IFERROR(IF(percentage,percentage,""),""))</f>
        <v>0.025</v>
      </c>
      <c r="H4" s="71">
        <f t="array" ref="H4">LET(percentage,XLOOKUP($E4,$K$2:$K$10,N$2:N$10,"",0)/(COUNTIFS($E:$E,$E4,$D:$D,RegularFormula!$D$2)+COUNTIFS($E:$E,$E4,$D:$D,IF($D4=RegularFormula!$D$2,$K$15,$D4))),IFERROR(IF(percentage,percentage,""),""))</f>
        <v>0.01666666667</v>
      </c>
      <c r="I4" s="72" t="str">
        <f t="shared" si="1"/>
        <v>*Based on Palkia ex pack</v>
      </c>
      <c r="J4" s="73">
        <v>0.0</v>
      </c>
      <c r="K4" s="81" t="s">
        <v>73</v>
      </c>
      <c r="L4" s="83">
        <v>0.0</v>
      </c>
      <c r="M4" s="82">
        <v>0.9</v>
      </c>
      <c r="N4" s="87">
        <v>0.6</v>
      </c>
      <c r="P4" s="86" t="str">
        <f>IFERROR(__xludf.DUMMYFUNCTION("""COMPUTED_VALUE"""),"A2 079")</f>
        <v>A2 079</v>
      </c>
      <c r="Q4" s="86" t="str">
        <f>IFERROR(__xludf.DUMMYFUNCTION("""COMPUTED_VALUE"""),"Cresselia")</f>
        <v>Cresselia</v>
      </c>
      <c r="R4" s="86" t="str">
        <f>IFERROR(__xludf.DUMMYFUNCTION("""COMPUTED_VALUE"""),"♢♢♢")</f>
        <v>♢♢♢</v>
      </c>
      <c r="S4" s="231">
        <f t="shared" si="2"/>
        <v>150</v>
      </c>
    </row>
    <row r="5">
      <c r="A5" s="217" t="b">
        <v>1</v>
      </c>
      <c r="B5" s="230" t="s">
        <v>540</v>
      </c>
      <c r="C5" s="69" t="str">
        <f t="array" ref="C5">TEXTJOIN("", TRUE, IFERROR(INDEX('language&amp;DataTest'!A:J, MATCH(INDEX( PointerTest!C:C, MATCH(B5, PointerTest!A:A, 0), 0), 'language&amp;DataTest'!A:A, 0), MATCH(HOME!$A$25, 'language&amp;DataTest'!$A$1:$H$1, 0))),                      IFERROR(INDEX('language&amp;DataTest'!A:J, MATCH(INDEX( PointerTest!D:D, MATCH(B5, PointerTest!A:A, 0), 0), 'language&amp;DataTest'!A:A, 0), MATCH(HOME!$A$25, 'language&amp;DataTest'!$A$1:$H$1, 0))),                                          
IFERROR(INDEX('language&amp;DataTest'!A:J, MATCH(INDEX( PointerTest!E:E, MATCH(B5, PointerTest!A:A, 0), 0), 'language&amp;DataTest'!A:A, 0), MATCH(HOME!$A$25, 'language&amp;DataTest'!$A$1:$H$1, 0))))</f>
        <v>Tangela</v>
      </c>
      <c r="D5" s="69" t="str">
        <f t="array" ref="D5">TEXTJOIN("", TRUE, 
IFERROR(INDEX('language&amp;DataTest'!A:J, MATCH(INDEX( PointerTest!C:C, MATCH(INDEX(PointerTest!B:B, MATCH(B5, PointerTest!A:A, 0)), PointerTest!A:A, 0), 0), 'language&amp;DataTest'!A:A, 0), MATCH(HOME!$A$25, 'language&amp;DataTest'!$A$1:$H$1, 0))),                      
IFERROR(INDEX('language&amp;DataTest'!A:J, MATCH(INDEX( PointerTest!D:D, MATCH(INDEX(PointerTest!B:B, MATCH(B5, PointerTest!A:A, 0)), PointerTest!A:A, 0), 0), 'language&amp;DataTest'!A:A, 0), MATCH(HOME!$A$25, 'language&amp;DataTest'!$A$1:$H$1, 0))),                                          
IFERROR(INDEX('language&amp;DataTest'!A:J, MATCH(INDEX( PointerTest!E:E, MATCH(INDEX(PointerTest!B:B, MATCH(B5, PointerTest!A:A, 0)), PointerTest!A:A, 0), 0), 'language&amp;DataTest'!A:A, 0), MATCH(HOME!$A$25, 'language&amp;DataTest'!$A$1:$H$1, 0))))</f>
        <v>Dialga ex</v>
      </c>
      <c r="E5" s="69" t="str">
        <f t="array" ref="E5">INDEX( PointerTest!F:F, MATCH(B5, PointerTest!A:A, 0), 0)</f>
        <v>♢</v>
      </c>
      <c r="F5" s="70">
        <f t="array" ref="F5">LET(percentage,XLOOKUP($E5,$K$2:$K$10,L$2:L$10,"",0)/(COUNTIFS($E:$E,$E5,$D:$D,RegularFormula!$D$2)+COUNTIFS($E:$E,$E5,$D:$D,IF($D5=RegularFormula!$D$2,$K$15,$D5))),IFERROR(IF(percentage,percentage,""),""))</f>
        <v>0.02173913043</v>
      </c>
      <c r="G5" s="71" t="str">
        <f t="array" ref="G5">LET(percentage,XLOOKUP($E5,$K$2:$K$10,M$2:M$10,"",0)/(COUNTIFS($E:$E,$E5,$D:$D,RegularFormula!$D$2)+COUNTIFS($E:$E,$E5,$D:$D,IF($D5=RegularFormula!$D$2,$K$15,$D5))),IFERROR(IF(percentage,percentage,""),""))</f>
        <v/>
      </c>
      <c r="H5" s="71" t="str">
        <f t="array" ref="H5">LET(percentage,XLOOKUP($E5,$K$2:$K$10,N$2:N$10,"",0)/(COUNTIFS($E:$E,$E5,$D:$D,RegularFormula!$D$2)+COUNTIFS($E:$E,$E5,$D:$D,IF($D5=RegularFormula!$D$2,$K$15,$D5))),IFERROR(IF(percentage,percentage,""),""))</f>
        <v/>
      </c>
      <c r="I5" s="72" t="str">
        <f t="shared" si="1"/>
        <v/>
      </c>
      <c r="J5" s="73">
        <v>0.0</v>
      </c>
      <c r="K5" s="81" t="s">
        <v>75</v>
      </c>
      <c r="L5" s="83">
        <v>0.0</v>
      </c>
      <c r="M5" s="82">
        <v>0.05</v>
      </c>
      <c r="N5" s="87">
        <v>0.2</v>
      </c>
      <c r="P5" s="86" t="str">
        <f>IFERROR(__xludf.DUMMYFUNCTION("""COMPUTED_VALUE"""),"A2 158")</f>
        <v>A2 158</v>
      </c>
      <c r="Q5" s="86" t="str">
        <f>IFERROR(__xludf.DUMMYFUNCTION("""COMPUTED_VALUE"""),"Carnivine")</f>
        <v>Carnivine</v>
      </c>
      <c r="R5" s="86" t="str">
        <f>IFERROR(__xludf.DUMMYFUNCTION("""COMPUTED_VALUE"""),"☆")</f>
        <v>☆</v>
      </c>
      <c r="S5" s="231">
        <f t="shared" si="2"/>
        <v>400</v>
      </c>
    </row>
    <row r="6">
      <c r="A6" s="217" t="b">
        <v>1</v>
      </c>
      <c r="B6" s="230" t="s">
        <v>541</v>
      </c>
      <c r="C6" s="69" t="str">
        <f t="array" ref="C6">TEXTJOIN("", TRUE, IFERROR(INDEX('language&amp;DataTest'!A:J, MATCH(INDEX( PointerTest!C:C, MATCH(B6, PointerTest!A:A, 0), 0), 'language&amp;DataTest'!A:A, 0), MATCH(HOME!$A$25, 'language&amp;DataTest'!$A$1:$H$1, 0))),                      IFERROR(INDEX('language&amp;DataTest'!A:J, MATCH(INDEX( PointerTest!D:D, MATCH(B6, PointerTest!A:A, 0), 0), 'language&amp;DataTest'!A:A, 0), MATCH(HOME!$A$25, 'language&amp;DataTest'!$A$1:$H$1, 0))),                                          
IFERROR(INDEX('language&amp;DataTest'!A:J, MATCH(INDEX( PointerTest!E:E, MATCH(B6, PointerTest!A:A, 0), 0), 'language&amp;DataTest'!A:A, 0), MATCH(HOME!$A$25, 'language&amp;DataTest'!$A$1:$H$1, 0))))</f>
        <v>Tangrowth</v>
      </c>
      <c r="D6" s="69" t="str">
        <f t="array" ref="D6">TEXTJOIN("", TRUE, 
IFERROR(INDEX('language&amp;DataTest'!A:J, MATCH(INDEX( PointerTest!C:C, MATCH(INDEX(PointerTest!B:B, MATCH(B6, PointerTest!A:A, 0)), PointerTest!A:A, 0), 0), 'language&amp;DataTest'!A:A, 0), MATCH(HOME!$A$25, 'language&amp;DataTest'!$A$1:$H$1, 0))),                      
IFERROR(INDEX('language&amp;DataTest'!A:J, MATCH(INDEX( PointerTest!D:D, MATCH(INDEX(PointerTest!B:B, MATCH(B6, PointerTest!A:A, 0)), PointerTest!A:A, 0), 0), 'language&amp;DataTest'!A:A, 0), MATCH(HOME!$A$25, 'language&amp;DataTest'!$A$1:$H$1, 0))),                                          
IFERROR(INDEX('language&amp;DataTest'!A:J, MATCH(INDEX( PointerTest!E:E, MATCH(INDEX(PointerTest!B:B, MATCH(B6, PointerTest!A:A, 0)), PointerTest!A:A, 0), 0), 'language&amp;DataTest'!A:A, 0), MATCH(HOME!$A$25, 'language&amp;DataTest'!$A$1:$H$1, 0))))</f>
        <v>Dialga ex</v>
      </c>
      <c r="E6" s="69" t="str">
        <f t="array" ref="E6">INDEX( PointerTest!F:F, MATCH(B6, PointerTest!A:A, 0), 0)</f>
        <v>♢♢</v>
      </c>
      <c r="F6" s="70" t="str">
        <f t="array" ref="F6">LET(percentage,XLOOKUP($E6,$K$2:$K$10,L$2:L$10,"",0)/(COUNTIFS($E:$E,$E6,$D:$D,RegularFormula!$D$2)+COUNTIFS($E:$E,$E6,$D:$D,IF($D6=RegularFormula!$D$2,$K$15,$D6))),IFERROR(IF(percentage,percentage,""),""))</f>
        <v/>
      </c>
      <c r="G6" s="71">
        <f t="array" ref="G6">LET(percentage,XLOOKUP($E6,$K$2:$K$10,M$2:M$10,"",0)/(COUNTIFS($E:$E,$E6,$D:$D,RegularFormula!$D$2)+COUNTIFS($E:$E,$E6,$D:$D,IF($D6=RegularFormula!$D$2,$K$15,$D6))),IFERROR(IF(percentage,percentage,""),""))</f>
        <v>0.02647058824</v>
      </c>
      <c r="H6" s="71">
        <f t="array" ref="H6">LET(percentage,XLOOKUP($E6,$K$2:$K$10,N$2:N$10,"",0)/(COUNTIFS($E:$E,$E6,$D:$D,RegularFormula!$D$2)+COUNTIFS($E:$E,$E6,$D:$D,IF($D6=RegularFormula!$D$2,$K$15,$D6))),IFERROR(IF(percentage,percentage,""),""))</f>
        <v>0.01764705882</v>
      </c>
      <c r="I6" s="72" t="str">
        <f t="shared" si="1"/>
        <v/>
      </c>
      <c r="J6" s="73">
        <v>0.0</v>
      </c>
      <c r="K6" s="81" t="s">
        <v>77</v>
      </c>
      <c r="L6" s="83">
        <v>0.0</v>
      </c>
      <c r="M6" s="82">
        <v>0.01666</v>
      </c>
      <c r="N6" s="87">
        <v>0.06664</v>
      </c>
      <c r="P6" s="86" t="str">
        <f>IFERROR(__xludf.DUMMYFUNCTION("""COMPUTED_VALUE"""),"A2 159")</f>
        <v>A2 159</v>
      </c>
      <c r="Q6" s="86" t="str">
        <f>IFERROR(__xludf.DUMMYFUNCTION("""COMPUTED_VALUE"""),"Shaymin")</f>
        <v>Shaymin</v>
      </c>
      <c r="R6" s="86" t="str">
        <f>IFERROR(__xludf.DUMMYFUNCTION("""COMPUTED_VALUE"""),"☆")</f>
        <v>☆</v>
      </c>
      <c r="S6" s="231">
        <f t="shared" si="2"/>
        <v>400</v>
      </c>
    </row>
    <row r="7">
      <c r="A7" s="217" t="b">
        <v>1</v>
      </c>
      <c r="B7" s="230" t="s">
        <v>542</v>
      </c>
      <c r="C7" s="69" t="str">
        <f t="array" ref="C7">TEXTJOIN("", TRUE, IFERROR(INDEX('language&amp;DataTest'!A:J, MATCH(INDEX( PointerTest!C:C, MATCH(B7, PointerTest!A:A, 0), 0), 'language&amp;DataTest'!A:A, 0), MATCH(HOME!$A$25, 'language&amp;DataTest'!$A$1:$H$1, 0))),                      IFERROR(INDEX('language&amp;DataTest'!A:J, MATCH(INDEX( PointerTest!D:D, MATCH(B7, PointerTest!A:A, 0), 0), 'language&amp;DataTest'!A:A, 0), MATCH(HOME!$A$25, 'language&amp;DataTest'!$A$1:$H$1, 0))),                                          
IFERROR(INDEX('language&amp;DataTest'!A:J, MATCH(INDEX( PointerTest!E:E, MATCH(B7, PointerTest!A:A, 0), 0), 'language&amp;DataTest'!A:A, 0), MATCH(HOME!$A$25, 'language&amp;DataTest'!$A$1:$H$1, 0))))</f>
        <v>Yanma</v>
      </c>
      <c r="D7" s="69" t="str">
        <f t="array" ref="D7">TEXTJOIN("", TRUE, 
IFERROR(INDEX('language&amp;DataTest'!A:J, MATCH(INDEX( PointerTest!C:C, MATCH(INDEX(PointerTest!B:B, MATCH(B7, PointerTest!A:A, 0)), PointerTest!A:A, 0), 0), 'language&amp;DataTest'!A:A, 0), MATCH(HOME!$A$25, 'language&amp;DataTest'!$A$1:$H$1, 0))),                      
IFERROR(INDEX('language&amp;DataTest'!A:J, MATCH(INDEX( PointerTest!D:D, MATCH(INDEX(PointerTest!B:B, MATCH(B7, PointerTest!A:A, 0)), PointerTest!A:A, 0), 0), 'language&amp;DataTest'!A:A, 0), MATCH(HOME!$A$25, 'language&amp;DataTest'!$A$1:$H$1, 0))),                                          
IFERROR(INDEX('language&amp;DataTest'!A:J, MATCH(INDEX( PointerTest!E:E, MATCH(INDEX(PointerTest!B:B, MATCH(B7, PointerTest!A:A, 0)), PointerTest!A:A, 0), 0), 'language&amp;DataTest'!A:A, 0), MATCH(HOME!$A$25, 'language&amp;DataTest'!$A$1:$H$1, 0))))</f>
        <v>Dialga ex</v>
      </c>
      <c r="E7" s="69" t="str">
        <f t="array" ref="E7">INDEX( PointerTest!F:F, MATCH(B7, PointerTest!A:A, 0), 0)</f>
        <v>♢</v>
      </c>
      <c r="F7" s="70">
        <f t="array" ref="F7">LET(percentage,XLOOKUP($E7,$K$2:$K$10,L$2:L$10,"",0)/(COUNTIFS($E:$E,$E7,$D:$D,RegularFormula!$D$2)+COUNTIFS($E:$E,$E7,$D:$D,IF($D7=RegularFormula!$D$2,$K$15,$D7))),IFERROR(IF(percentage,percentage,""),""))</f>
        <v>0.02173913043</v>
      </c>
      <c r="G7" s="71" t="str">
        <f t="array" ref="G7">LET(percentage,XLOOKUP($E7,$K$2:$K$10,M$2:M$10,"",0)/(COUNTIFS($E:$E,$E7,$D:$D,RegularFormula!$D$2)+COUNTIFS($E:$E,$E7,$D:$D,IF($D7=RegularFormula!$D$2,$K$15,$D7))),IFERROR(IF(percentage,percentage,""),""))</f>
        <v/>
      </c>
      <c r="H7" s="71" t="str">
        <f t="array" ref="H7">LET(percentage,XLOOKUP($E7,$K$2:$K$10,N$2:N$10,"",0)/(COUNTIFS($E:$E,$E7,$D:$D,RegularFormula!$D$2)+COUNTIFS($E:$E,$E7,$D:$D,IF($D7=RegularFormula!$D$2,$K$15,$D7))),IFERROR(IF(percentage,percentage,""),""))</f>
        <v/>
      </c>
      <c r="I7" s="72" t="str">
        <f t="shared" si="1"/>
        <v/>
      </c>
      <c r="J7" s="73">
        <v>0.0</v>
      </c>
      <c r="K7" s="81" t="s">
        <v>79</v>
      </c>
      <c r="L7" s="83">
        <v>0.0</v>
      </c>
      <c r="M7" s="82">
        <v>0.02572</v>
      </c>
      <c r="N7" s="87">
        <v>0.10288</v>
      </c>
      <c r="P7" s="86" t="str">
        <f>IFERROR(__xludf.DUMMYFUNCTION("""COMPUTED_VALUE"""),"A2 163")</f>
        <v>A2 163</v>
      </c>
      <c r="Q7" s="86" t="str">
        <f>IFERROR(__xludf.DUMMYFUNCTION("""COMPUTED_VALUE"""),"Shinx")</f>
        <v>Shinx</v>
      </c>
      <c r="R7" s="86" t="str">
        <f>IFERROR(__xludf.DUMMYFUNCTION("""COMPUTED_VALUE"""),"☆")</f>
        <v>☆</v>
      </c>
      <c r="S7" s="231">
        <f t="shared" si="2"/>
        <v>400</v>
      </c>
    </row>
    <row r="8">
      <c r="A8" s="217" t="b">
        <v>1</v>
      </c>
      <c r="B8" s="230" t="s">
        <v>543</v>
      </c>
      <c r="C8" s="69" t="str">
        <f t="array" ref="C8">TEXTJOIN("", TRUE, IFERROR(INDEX('language&amp;DataTest'!A:J, MATCH(INDEX( PointerTest!C:C, MATCH(B8, PointerTest!A:A, 0), 0), 'language&amp;DataTest'!A:A, 0), MATCH(HOME!$A$25, 'language&amp;DataTest'!$A$1:$H$1, 0))),                      IFERROR(INDEX('language&amp;DataTest'!A:J, MATCH(INDEX( PointerTest!D:D, MATCH(B8, PointerTest!A:A, 0), 0), 'language&amp;DataTest'!A:A, 0), MATCH(HOME!$A$25, 'language&amp;DataTest'!$A$1:$H$1, 0))),                                          
IFERROR(INDEX('language&amp;DataTest'!A:J, MATCH(INDEX( PointerTest!E:E, MATCH(B8, PointerTest!A:A, 0), 0), 'language&amp;DataTest'!A:A, 0), MATCH(HOME!$A$25, 'language&amp;DataTest'!$A$1:$H$1, 0))))</f>
        <v>Yanmega ex</v>
      </c>
      <c r="D8" s="69" t="str">
        <f t="array" ref="D8">TEXTJOIN("", TRUE, 
IFERROR(INDEX('language&amp;DataTest'!A:J, MATCH(INDEX( PointerTest!C:C, MATCH(INDEX(PointerTest!B:B, MATCH(B8, PointerTest!A:A, 0)), PointerTest!A:A, 0), 0), 'language&amp;DataTest'!A:A, 0), MATCH(HOME!$A$25, 'language&amp;DataTest'!$A$1:$H$1, 0))),                      
IFERROR(INDEX('language&amp;DataTest'!A:J, MATCH(INDEX( PointerTest!D:D, MATCH(INDEX(PointerTest!B:B, MATCH(B8, PointerTest!A:A, 0)), PointerTest!A:A, 0), 0), 'language&amp;DataTest'!A:A, 0), MATCH(HOME!$A$25, 'language&amp;DataTest'!$A$1:$H$1, 0))),                                          
IFERROR(INDEX('language&amp;DataTest'!A:J, MATCH(INDEX( PointerTest!E:E, MATCH(INDEX(PointerTest!B:B, MATCH(B8, PointerTest!A:A, 0)), PointerTest!A:A, 0), 0), 'language&amp;DataTest'!A:A, 0), MATCH(HOME!$A$25, 'language&amp;DataTest'!$A$1:$H$1, 0))))</f>
        <v>Dialga ex</v>
      </c>
      <c r="E8" s="69" t="str">
        <f t="array" ref="E8">INDEX( PointerTest!F:F, MATCH(B8, PointerTest!A:A, 0), 0)</f>
        <v>♢♢♢♢</v>
      </c>
      <c r="F8" s="70" t="str">
        <f t="array" ref="F8">LET(percentage,XLOOKUP($E8,$K$2:$K$10,L$2:L$10,"",0)/(COUNTIFS($E:$E,$E8,$D:$D,RegularFormula!$D$2)+COUNTIFS($E:$E,$E8,$D:$D,IF($D8=RegularFormula!$D$2,$K$15,$D8))),IFERROR(IF(percentage,percentage,""),""))</f>
        <v/>
      </c>
      <c r="G8" s="71">
        <f t="array" ref="G8">LET(percentage,XLOOKUP($E8,$K$2:$K$10,M$2:M$10,"",0)/(COUNTIFS($E:$E,$E8,$D:$D,RegularFormula!$D$2)+COUNTIFS($E:$E,$E8,$D:$D,IF($D8=RegularFormula!$D$2,$K$15,$D8))),IFERROR(IF(percentage,percentage,""),""))</f>
        <v>0.003332</v>
      </c>
      <c r="H8" s="71">
        <f t="array" ref="H8">LET(percentage,XLOOKUP($E8,$K$2:$K$10,N$2:N$10,"",0)/(COUNTIFS($E:$E,$E8,$D:$D,RegularFormula!$D$2)+COUNTIFS($E:$E,$E8,$D:$D,IF($D8=RegularFormula!$D$2,$K$15,$D8))),IFERROR(IF(percentage,percentage,""),""))</f>
        <v>0.013328</v>
      </c>
      <c r="I8" s="72" t="str">
        <f t="shared" si="1"/>
        <v/>
      </c>
      <c r="J8" s="73">
        <v>0.0</v>
      </c>
      <c r="K8" s="81" t="s">
        <v>81</v>
      </c>
      <c r="L8" s="83">
        <v>0.0</v>
      </c>
      <c r="M8" s="82">
        <v>0.005</v>
      </c>
      <c r="N8" s="87">
        <v>0.02</v>
      </c>
      <c r="P8" s="86" t="str">
        <f>IFERROR(__xludf.DUMMYFUNCTION("""COMPUTED_VALUE"""),"A2 164")</f>
        <v>A2 164</v>
      </c>
      <c r="Q8" s="86" t="str">
        <f>IFERROR(__xludf.DUMMYFUNCTION("""COMPUTED_VALUE"""),"Rotom")</f>
        <v>Rotom</v>
      </c>
      <c r="R8" s="86" t="str">
        <f>IFERROR(__xludf.DUMMYFUNCTION("""COMPUTED_VALUE"""),"☆")</f>
        <v>☆</v>
      </c>
      <c r="S8" s="231">
        <f t="shared" si="2"/>
        <v>400</v>
      </c>
    </row>
    <row r="9">
      <c r="A9" s="217" t="b">
        <v>1</v>
      </c>
      <c r="B9" s="230" t="s">
        <v>544</v>
      </c>
      <c r="C9" s="69" t="str">
        <f t="array" ref="C9">TEXTJOIN("", TRUE, IFERROR(INDEX('language&amp;DataTest'!A:J, MATCH(INDEX( PointerTest!C:C, MATCH(B9, PointerTest!A:A, 0), 0), 'language&amp;DataTest'!A:A, 0), MATCH(HOME!$A$25, 'language&amp;DataTest'!$A$1:$H$1, 0))),                      IFERROR(INDEX('language&amp;DataTest'!A:J, MATCH(INDEX( PointerTest!D:D, MATCH(B9, PointerTest!A:A, 0), 0), 'language&amp;DataTest'!A:A, 0), MATCH(HOME!$A$25, 'language&amp;DataTest'!$A$1:$H$1, 0))),                                          
IFERROR(INDEX('language&amp;DataTest'!A:J, MATCH(INDEX( PointerTest!E:E, MATCH(B9, PointerTest!A:A, 0), 0), 'language&amp;DataTest'!A:A, 0), MATCH(HOME!$A$25, 'language&amp;DataTest'!$A$1:$H$1, 0))))</f>
        <v>Roselia</v>
      </c>
      <c r="D9" s="69" t="str">
        <f t="array" ref="D9">TEXTJOIN("", TRUE, 
IFERROR(INDEX('language&amp;DataTest'!A:J, MATCH(INDEX( PointerTest!C:C, MATCH(INDEX(PointerTest!B:B, MATCH(B9, PointerTest!A:A, 0)), PointerTest!A:A, 0), 0), 'language&amp;DataTest'!A:A, 0), MATCH(HOME!$A$25, 'language&amp;DataTest'!$A$1:$H$1, 0))),                      
IFERROR(INDEX('language&amp;DataTest'!A:J, MATCH(INDEX( PointerTest!D:D, MATCH(INDEX(PointerTest!B:B, MATCH(B9, PointerTest!A:A, 0)), PointerTest!A:A, 0), 0), 'language&amp;DataTest'!A:A, 0), MATCH(HOME!$A$25, 'language&amp;DataTest'!$A$1:$H$1, 0))),                                          
IFERROR(INDEX('language&amp;DataTest'!A:J, MATCH(INDEX( PointerTest!E:E, MATCH(INDEX(PointerTest!B:B, MATCH(B9, PointerTest!A:A, 0)), PointerTest!A:A, 0), 0), 'language&amp;DataTest'!A:A, 0), MATCH(HOME!$A$25, 'language&amp;DataTest'!$A$1:$H$1, 0))))</f>
        <v>All</v>
      </c>
      <c r="E9" s="69" t="str">
        <f t="array" ref="E9">INDEX( PointerTest!F:F, MATCH(B9, PointerTest!A:A, 0), 0)</f>
        <v>♢</v>
      </c>
      <c r="F9" s="70">
        <f t="array" ref="F9">LET(percentage,XLOOKUP($E9,$K$2:$K$10,L$2:L$10,"",0)/(COUNTIFS($E:$E,$E9,$D:$D,RegularFormula!$D$2)+COUNTIFS($E:$E,$E9,$D:$D,IF($D9=RegularFormula!$D$2,$K$15,$D9))),IFERROR(IF(percentage,percentage,""),""))</f>
        <v>0.02272727273</v>
      </c>
      <c r="G9" s="71" t="str">
        <f t="array" ref="G9">LET(percentage,XLOOKUP($E9,$K$2:$K$10,M$2:M$10,"",0)/(COUNTIFS($E:$E,$E9,$D:$D,RegularFormula!$D$2)+COUNTIFS($E:$E,$E9,$D:$D,IF($D9=RegularFormula!$D$2,$K$15,$D9))),IFERROR(IF(percentage,percentage,""),""))</f>
        <v/>
      </c>
      <c r="H9" s="71" t="str">
        <f t="array" ref="H9">LET(percentage,XLOOKUP($E9,$K$2:$K$10,N$2:N$10,"",0)/(COUNTIFS($E:$E,$E9,$D:$D,RegularFormula!$D$2)+COUNTIFS($E:$E,$E9,$D:$D,IF($D9=RegularFormula!$D$2,$K$15,$D9))),IFERROR(IF(percentage,percentage,""),""))</f>
        <v/>
      </c>
      <c r="I9" s="72" t="str">
        <f t="shared" si="1"/>
        <v>*Based on Palkia ex pack</v>
      </c>
      <c r="J9" s="73">
        <v>0.0</v>
      </c>
      <c r="K9" s="81" t="s">
        <v>83</v>
      </c>
      <c r="L9" s="83">
        <v>0.0</v>
      </c>
      <c r="M9" s="82">
        <v>0.00222</v>
      </c>
      <c r="N9" s="87">
        <v>0.00888</v>
      </c>
      <c r="P9" s="86" t="str">
        <f>IFERROR(__xludf.DUMMYFUNCTION("""COMPUTED_VALUE"""),"A2 166")</f>
        <v>A2 166</v>
      </c>
      <c r="Q9" s="86" t="str">
        <f>IFERROR(__xludf.DUMMYFUNCTION("""COMPUTED_VALUE"""),"Mesprit")</f>
        <v>Mesprit</v>
      </c>
      <c r="R9" s="86" t="str">
        <f>IFERROR(__xludf.DUMMYFUNCTION("""COMPUTED_VALUE"""),"☆")</f>
        <v>☆</v>
      </c>
      <c r="S9" s="231">
        <f t="shared" si="2"/>
        <v>400</v>
      </c>
    </row>
    <row r="10">
      <c r="A10" s="217" t="b">
        <v>1</v>
      </c>
      <c r="B10" s="230" t="s">
        <v>545</v>
      </c>
      <c r="C10" s="69" t="str">
        <f t="array" ref="C10">TEXTJOIN("", TRUE, IFERROR(INDEX('language&amp;DataTest'!A:J, MATCH(INDEX( PointerTest!C:C, MATCH(B10, PointerTest!A:A, 0), 0), 'language&amp;DataTest'!A:A, 0), MATCH(HOME!$A$25, 'language&amp;DataTest'!$A$1:$H$1, 0))),                      IFERROR(INDEX('language&amp;DataTest'!A:J, MATCH(INDEX( PointerTest!D:D, MATCH(B10, PointerTest!A:A, 0), 0), 'language&amp;DataTest'!A:A, 0), MATCH(HOME!$A$25, 'language&amp;DataTest'!$A$1:$H$1, 0))),                                          
IFERROR(INDEX('language&amp;DataTest'!A:J, MATCH(INDEX( PointerTest!E:E, MATCH(B10, PointerTest!A:A, 0), 0), 'language&amp;DataTest'!A:A, 0), MATCH(HOME!$A$25, 'language&amp;DataTest'!$A$1:$H$1, 0))))</f>
        <v>Roserade</v>
      </c>
      <c r="D10" s="69" t="str">
        <f t="array" ref="D10">TEXTJOIN("", TRUE, 
IFERROR(INDEX('language&amp;DataTest'!A:J, MATCH(INDEX( PointerTest!C:C, MATCH(INDEX(PointerTest!B:B, MATCH(B10, PointerTest!A:A, 0)), PointerTest!A:A, 0), 0), 'language&amp;DataTest'!A:A, 0), MATCH(HOME!$A$25, 'language&amp;DataTest'!$A$1:$H$1, 0))),                      
IFERROR(INDEX('language&amp;DataTest'!A:J, MATCH(INDEX( PointerTest!D:D, MATCH(INDEX(PointerTest!B:B, MATCH(B10, PointerTest!A:A, 0)), PointerTest!A:A, 0), 0), 'language&amp;DataTest'!A:A, 0), MATCH(HOME!$A$25, 'language&amp;DataTest'!$A$1:$H$1, 0))),                                          
IFERROR(INDEX('language&amp;DataTest'!A:J, MATCH(INDEX( PointerTest!E:E, MATCH(INDEX(PointerTest!B:B, MATCH(B10, PointerTest!A:A, 0)), PointerTest!A:A, 0), 0), 'language&amp;DataTest'!A:A, 0), MATCH(HOME!$A$25, 'language&amp;DataTest'!$A$1:$H$1, 0))))</f>
        <v>All</v>
      </c>
      <c r="E10" s="69" t="str">
        <f t="array" ref="E10">INDEX( PointerTest!F:F, MATCH(B10, PointerTest!A:A, 0), 0)</f>
        <v>♢♢</v>
      </c>
      <c r="F10" s="70" t="str">
        <f t="array" ref="F10">LET(percentage,XLOOKUP($E10,$K$2:$K$10,L$2:L$10,"",0)/(COUNTIFS($E:$E,$E10,$D:$D,RegularFormula!$D$2)+COUNTIFS($E:$E,$E10,$D:$D,IF($D10=RegularFormula!$D$2,$K$15,$D10))),IFERROR(IF(percentage,percentage,""),""))</f>
        <v/>
      </c>
      <c r="G10" s="71">
        <f t="array" ref="G10">LET(percentage,XLOOKUP($E10,$K$2:$K$10,M$2:M$10,"",0)/(COUNTIFS($E:$E,$E10,$D:$D,RegularFormula!$D$2)+COUNTIFS($E:$E,$E10,$D:$D,IF($D10=RegularFormula!$D$2,$K$15,$D10))),IFERROR(IF(percentage,percentage,""),""))</f>
        <v>0.025</v>
      </c>
      <c r="H10" s="71">
        <f t="array" ref="H10">LET(percentage,XLOOKUP($E10,$K$2:$K$10,N$2:N$10,"",0)/(COUNTIFS($E:$E,$E10,$D:$D,RegularFormula!$D$2)+COUNTIFS($E:$E,$E10,$D:$D,IF($D10=RegularFormula!$D$2,$K$15,$D10))),IFERROR(IF(percentage,percentage,""),""))</f>
        <v>0.01666666667</v>
      </c>
      <c r="I10" s="72" t="str">
        <f t="shared" si="1"/>
        <v>*Based on Palkia ex pack</v>
      </c>
      <c r="J10" s="73">
        <v>0.0</v>
      </c>
      <c r="K10" s="88" t="s">
        <v>85</v>
      </c>
      <c r="L10" s="89">
        <v>0.0</v>
      </c>
      <c r="M10" s="90">
        <v>4.0E-4</v>
      </c>
      <c r="N10" s="91">
        <v>0.0016</v>
      </c>
      <c r="P10" s="86" t="str">
        <f>IFERROR(__xludf.DUMMYFUNCTION("""COMPUTED_VALUE"""),"A2 171")</f>
        <v>A2 171</v>
      </c>
      <c r="Q10" s="86" t="str">
        <f>IFERROR(__xludf.DUMMYFUNCTION("""COMPUTED_VALUE"""),"Hippopotas")</f>
        <v>Hippopotas</v>
      </c>
      <c r="R10" s="86" t="str">
        <f>IFERROR(__xludf.DUMMYFUNCTION("""COMPUTED_VALUE"""),"☆")</f>
        <v>☆</v>
      </c>
      <c r="S10" s="231">
        <f t="shared" si="2"/>
        <v>400</v>
      </c>
    </row>
    <row r="11">
      <c r="A11" s="217" t="b">
        <v>1</v>
      </c>
      <c r="B11" s="230" t="s">
        <v>546</v>
      </c>
      <c r="C11" s="69" t="str">
        <f t="array" ref="C11">TEXTJOIN("", TRUE, IFERROR(INDEX('language&amp;DataTest'!A:J, MATCH(INDEX( PointerTest!C:C, MATCH(B11, PointerTest!A:A, 0), 0), 'language&amp;DataTest'!A:A, 0), MATCH(HOME!$A$25, 'language&amp;DataTest'!$A$1:$H$1, 0))),                      IFERROR(INDEX('language&amp;DataTest'!A:J, MATCH(INDEX( PointerTest!D:D, MATCH(B11, PointerTest!A:A, 0), 0), 'language&amp;DataTest'!A:A, 0), MATCH(HOME!$A$25, 'language&amp;DataTest'!$A$1:$H$1, 0))),                                          
IFERROR(INDEX('language&amp;DataTest'!A:J, MATCH(INDEX( PointerTest!E:E, MATCH(B11, PointerTest!A:A, 0), 0), 'language&amp;DataTest'!A:A, 0), MATCH(HOME!$A$25, 'language&amp;DataTest'!$A$1:$H$1, 0))))</f>
        <v>Turtwig</v>
      </c>
      <c r="D11" s="69" t="str">
        <f t="array" ref="D11">TEXTJOIN("", TRUE, 
IFERROR(INDEX('language&amp;DataTest'!A:J, MATCH(INDEX( PointerTest!C:C, MATCH(INDEX(PointerTest!B:B, MATCH(B11, PointerTest!A:A, 0)), PointerTest!A:A, 0), 0), 'language&amp;DataTest'!A:A, 0), MATCH(HOME!$A$25, 'language&amp;DataTest'!$A$1:$H$1, 0))),                      
IFERROR(INDEX('language&amp;DataTest'!A:J, MATCH(INDEX( PointerTest!D:D, MATCH(INDEX(PointerTest!B:B, MATCH(B11, PointerTest!A:A, 0)), PointerTest!A:A, 0), 0), 'language&amp;DataTest'!A:A, 0), MATCH(HOME!$A$25, 'language&amp;DataTest'!$A$1:$H$1, 0))),                                          
IFERROR(INDEX('language&amp;DataTest'!A:J, MATCH(INDEX( PointerTest!E:E, MATCH(INDEX(PointerTest!B:B, MATCH(B11, PointerTest!A:A, 0)), PointerTest!A:A, 0), 0), 'language&amp;DataTest'!A:A, 0), MATCH(HOME!$A$25, 'language&amp;DataTest'!$A$1:$H$1, 0))))</f>
        <v>Palkia ex</v>
      </c>
      <c r="E11" s="69" t="str">
        <f t="array" ref="E11">INDEX( PointerTest!F:F, MATCH(B11, PointerTest!A:A, 0), 0)</f>
        <v>♢</v>
      </c>
      <c r="F11" s="70">
        <f t="array" ref="F11">LET(percentage,XLOOKUP($E11,$K$2:$K$10,L$2:L$10,"",0)/(COUNTIFS($E:$E,$E11,$D:$D,RegularFormula!$D$2)+COUNTIFS($E:$E,$E11,$D:$D,IF($D11=RegularFormula!$D$2,$K$15,$D11))),IFERROR(IF(percentage,percentage,""),""))</f>
        <v>0.02272727273</v>
      </c>
      <c r="G11" s="71" t="str">
        <f t="array" ref="G11">LET(percentage,XLOOKUP($E11,$K$2:$K$10,M$2:M$10,"",0)/(COUNTIFS($E:$E,$E11,$D:$D,RegularFormula!$D$2)+COUNTIFS($E:$E,$E11,$D:$D,IF($D11=RegularFormula!$D$2,$K$15,$D11))),IFERROR(IF(percentage,percentage,""),""))</f>
        <v/>
      </c>
      <c r="H11" s="71" t="str">
        <f t="array" ref="H11">LET(percentage,XLOOKUP($E11,$K$2:$K$10,N$2:N$10,"",0)/(COUNTIFS($E:$E,$E11,$D:$D,RegularFormula!$D$2)+COUNTIFS($E:$E,$E11,$D:$D,IF($D11=RegularFormula!$D$2,$K$15,$D11))),IFERROR(IF(percentage,percentage,""),""))</f>
        <v/>
      </c>
      <c r="I11" s="72" t="str">
        <f t="shared" si="1"/>
        <v/>
      </c>
      <c r="J11" s="73">
        <v>0.0</v>
      </c>
      <c r="K11" s="93" t="s">
        <v>87</v>
      </c>
      <c r="N11" s="94"/>
      <c r="O11" s="232" t="s">
        <v>547</v>
      </c>
      <c r="P11" s="86" t="str">
        <f>IFERROR(__xludf.DUMMYFUNCTION("""COMPUTED_VALUE"""),"A2 178")</f>
        <v>A2 178</v>
      </c>
      <c r="Q11" s="86" t="str">
        <f>IFERROR(__xludf.DUMMYFUNCTION("""COMPUTED_VALUE"""),"Glameow")</f>
        <v>Glameow</v>
      </c>
      <c r="R11" s="86" t="str">
        <f>IFERROR(__xludf.DUMMYFUNCTION("""COMPUTED_VALUE"""),"☆")</f>
        <v>☆</v>
      </c>
      <c r="S11" s="231">
        <f t="shared" si="2"/>
        <v>400</v>
      </c>
    </row>
    <row r="12">
      <c r="A12" s="217" t="b">
        <v>1</v>
      </c>
      <c r="B12" s="230" t="s">
        <v>548</v>
      </c>
      <c r="C12" s="69" t="str">
        <f t="array" ref="C12">TEXTJOIN("", TRUE, IFERROR(INDEX('language&amp;DataTest'!A:J, MATCH(INDEX( PointerTest!C:C, MATCH(B12, PointerTest!A:A, 0), 0), 'language&amp;DataTest'!A:A, 0), MATCH(HOME!$A$25, 'language&amp;DataTest'!$A$1:$H$1, 0))),                      IFERROR(INDEX('language&amp;DataTest'!A:J, MATCH(INDEX( PointerTest!D:D, MATCH(B12, PointerTest!A:A, 0), 0), 'language&amp;DataTest'!A:A, 0), MATCH(HOME!$A$25, 'language&amp;DataTest'!$A$1:$H$1, 0))),                                          
IFERROR(INDEX('language&amp;DataTest'!A:J, MATCH(INDEX( PointerTest!E:E, MATCH(B12, PointerTest!A:A, 0), 0), 'language&amp;DataTest'!A:A, 0), MATCH(HOME!$A$25, 'language&amp;DataTest'!$A$1:$H$1, 0))))</f>
        <v>Grotle</v>
      </c>
      <c r="D12" s="69" t="str">
        <f t="array" ref="D12">TEXTJOIN("", TRUE, 
IFERROR(INDEX('language&amp;DataTest'!A:J, MATCH(INDEX( PointerTest!C:C, MATCH(INDEX(PointerTest!B:B, MATCH(B12, PointerTest!A:A, 0)), PointerTest!A:A, 0), 0), 'language&amp;DataTest'!A:A, 0), MATCH(HOME!$A$25, 'language&amp;DataTest'!$A$1:$H$1, 0))),                      
IFERROR(INDEX('language&amp;DataTest'!A:J, MATCH(INDEX( PointerTest!D:D, MATCH(INDEX(PointerTest!B:B, MATCH(B12, PointerTest!A:A, 0)), PointerTest!A:A, 0), 0), 'language&amp;DataTest'!A:A, 0), MATCH(HOME!$A$25, 'language&amp;DataTest'!$A$1:$H$1, 0))),                                          
IFERROR(INDEX('language&amp;DataTest'!A:J, MATCH(INDEX( PointerTest!E:E, MATCH(INDEX(PointerTest!B:B, MATCH(B12, PointerTest!A:A, 0)), PointerTest!A:A, 0), 0), 'language&amp;DataTest'!A:A, 0), MATCH(HOME!$A$25, 'language&amp;DataTest'!$A$1:$H$1, 0))))</f>
        <v>Palkia ex</v>
      </c>
      <c r="E12" s="69" t="str">
        <f t="array" ref="E12">INDEX( PointerTest!F:F, MATCH(B12, PointerTest!A:A, 0), 0)</f>
        <v>♢♢</v>
      </c>
      <c r="F12" s="70" t="str">
        <f t="array" ref="F12">LET(percentage,XLOOKUP($E12,$K$2:$K$10,L$2:L$10,"",0)/(COUNTIFS($E:$E,$E12,$D:$D,RegularFormula!$D$2)+COUNTIFS($E:$E,$E12,$D:$D,IF($D12=RegularFormula!$D$2,$K$15,$D12))),IFERROR(IF(percentage,percentage,""),""))</f>
        <v/>
      </c>
      <c r="G12" s="71">
        <f t="array" ref="G12">LET(percentage,XLOOKUP($E12,$K$2:$K$10,M$2:M$10,"",0)/(COUNTIFS($E:$E,$E12,$D:$D,RegularFormula!$D$2)+COUNTIFS($E:$E,$E12,$D:$D,IF($D12=RegularFormula!$D$2,$K$15,$D12))),IFERROR(IF(percentage,percentage,""),""))</f>
        <v>0.025</v>
      </c>
      <c r="H12" s="71">
        <f t="array" ref="H12">LET(percentage,XLOOKUP($E12,$K$2:$K$10,N$2:N$10,"",0)/(COUNTIFS($E:$E,$E12,$D:$D,RegularFormula!$D$2)+COUNTIFS($E:$E,$E12,$D:$D,IF($D12=RegularFormula!$D$2,$K$15,$D12))),IFERROR(IF(percentage,percentage,""),""))</f>
        <v>0.01666666667</v>
      </c>
      <c r="I12" s="72" t="str">
        <f t="shared" si="1"/>
        <v/>
      </c>
      <c r="J12" s="73">
        <v>0.0</v>
      </c>
      <c r="K12" s="96"/>
      <c r="N12" s="94"/>
      <c r="P12" s="86" t="str">
        <f>IFERROR(__xludf.DUMMYFUNCTION("""COMPUTED_VALUE"""),"A2 179")</f>
        <v>A2 179</v>
      </c>
      <c r="Q12" s="86" t="str">
        <f>IFERROR(__xludf.DUMMYFUNCTION("""COMPUTED_VALUE"""),"Regigigas")</f>
        <v>Regigigas</v>
      </c>
      <c r="R12" s="86" t="str">
        <f>IFERROR(__xludf.DUMMYFUNCTION("""COMPUTED_VALUE"""),"☆")</f>
        <v>☆</v>
      </c>
      <c r="S12" s="231">
        <f t="shared" si="2"/>
        <v>400</v>
      </c>
    </row>
    <row r="13">
      <c r="A13" s="217" t="b">
        <v>1</v>
      </c>
      <c r="B13" s="230" t="s">
        <v>549</v>
      </c>
      <c r="C13" s="69" t="str">
        <f t="array" ref="C13">TEXTJOIN("", TRUE, IFERROR(INDEX('language&amp;DataTest'!A:J, MATCH(INDEX( PointerTest!C:C, MATCH(B13, PointerTest!A:A, 0), 0), 'language&amp;DataTest'!A:A, 0), MATCH(HOME!$A$25, 'language&amp;DataTest'!$A$1:$H$1, 0))),                      IFERROR(INDEX('language&amp;DataTest'!A:J, MATCH(INDEX( PointerTest!D:D, MATCH(B13, PointerTest!A:A, 0), 0), 'language&amp;DataTest'!A:A, 0), MATCH(HOME!$A$25, 'language&amp;DataTest'!$A$1:$H$1, 0))),                                          
IFERROR(INDEX('language&amp;DataTest'!A:J, MATCH(INDEX( PointerTest!E:E, MATCH(B13, PointerTest!A:A, 0), 0), 'language&amp;DataTest'!A:A, 0), MATCH(HOME!$A$25, 'language&amp;DataTest'!$A$1:$H$1, 0))))</f>
        <v>Torterra</v>
      </c>
      <c r="D13" s="69" t="str">
        <f t="array" ref="D13">TEXTJOIN("", TRUE, 
IFERROR(INDEX('language&amp;DataTest'!A:J, MATCH(INDEX( PointerTest!C:C, MATCH(INDEX(PointerTest!B:B, MATCH(B13, PointerTest!A:A, 0)), PointerTest!A:A, 0), 0), 'language&amp;DataTest'!A:A, 0), MATCH(HOME!$A$25, 'language&amp;DataTest'!$A$1:$H$1, 0))),                      
IFERROR(INDEX('language&amp;DataTest'!A:J, MATCH(INDEX( PointerTest!D:D, MATCH(INDEX(PointerTest!B:B, MATCH(B13, PointerTest!A:A, 0)), PointerTest!A:A, 0), 0), 'language&amp;DataTest'!A:A, 0), MATCH(HOME!$A$25, 'language&amp;DataTest'!$A$1:$H$1, 0))),                                          
IFERROR(INDEX('language&amp;DataTest'!A:J, MATCH(INDEX( PointerTest!E:E, MATCH(INDEX(PointerTest!B:B, MATCH(B13, PointerTest!A:A, 0)), PointerTest!A:A, 0), 0), 'language&amp;DataTest'!A:A, 0), MATCH(HOME!$A$25, 'language&amp;DataTest'!$A$1:$H$1, 0))))</f>
        <v>Palkia ex</v>
      </c>
      <c r="E13" s="69" t="str">
        <f t="array" ref="E13">INDEX( PointerTest!F:F, MATCH(B13, PointerTest!A:A, 0), 0)</f>
        <v>♢♢♢</v>
      </c>
      <c r="F13" s="70" t="str">
        <f t="array" ref="F13">LET(percentage,XLOOKUP($E13,$K$2:$K$10,L$2:L$10,"",0)/(COUNTIFS($E:$E,$E13,$D:$D,RegularFormula!$D$2)+COUNTIFS($E:$E,$E13,$D:$D,IF($D13=RegularFormula!$D$2,$K$15,$D13))),IFERROR(IF(percentage,percentage,""),""))</f>
        <v/>
      </c>
      <c r="G13" s="71">
        <f t="array" ref="G13">LET(percentage,XLOOKUP($E13,$K$2:$K$10,M$2:M$10,"",0)/(COUNTIFS($E:$E,$E13,$D:$D,RegularFormula!$D$2)+COUNTIFS($E:$E,$E13,$D:$D,IF($D13=RegularFormula!$D$2,$K$15,$D13))),IFERROR(IF(percentage,percentage,""),""))</f>
        <v>0.003571428571</v>
      </c>
      <c r="H13" s="71">
        <f t="array" ref="H13">LET(percentage,XLOOKUP($E13,$K$2:$K$10,N$2:N$10,"",0)/(COUNTIFS($E:$E,$E13,$D:$D,RegularFormula!$D$2)+COUNTIFS($E:$E,$E13,$D:$D,IF($D13=RegularFormula!$D$2,$K$15,$D13))),IFERROR(IF(percentage,percentage,""),""))</f>
        <v>0.01428571429</v>
      </c>
      <c r="I13" s="72" t="str">
        <f t="shared" si="1"/>
        <v/>
      </c>
      <c r="J13" s="73">
        <v>0.0</v>
      </c>
      <c r="K13" s="97" t="s">
        <v>91</v>
      </c>
      <c r="L13" s="98" t="s">
        <v>92</v>
      </c>
      <c r="M13" s="98" t="s">
        <v>93</v>
      </c>
      <c r="N13" s="99" t="s">
        <v>94</v>
      </c>
      <c r="P13" s="86" t="str">
        <f>IFERROR(__xludf.DUMMYFUNCTION("""COMPUTED_VALUE"""),"A2 180")</f>
        <v>A2 180</v>
      </c>
      <c r="Q13" s="86" t="str">
        <f>IFERROR(__xludf.DUMMYFUNCTION("""COMPUTED_VALUE"""),"Yanmega ex")</f>
        <v>Yanmega ex</v>
      </c>
      <c r="R13" s="86" t="str">
        <f>IFERROR(__xludf.DUMMYFUNCTION("""COMPUTED_VALUE"""),"☆☆")</f>
        <v>☆☆</v>
      </c>
      <c r="S13" s="231">
        <f t="shared" si="2"/>
        <v>1250</v>
      </c>
    </row>
    <row r="14">
      <c r="A14" s="217" t="b">
        <v>1</v>
      </c>
      <c r="B14" s="230" t="s">
        <v>550</v>
      </c>
      <c r="C14" s="69" t="str">
        <f t="array" ref="C14">TEXTJOIN("", TRUE, IFERROR(INDEX('language&amp;DataTest'!A:J, MATCH(INDEX( PointerTest!C:C, MATCH(B14, PointerTest!A:A, 0), 0), 'language&amp;DataTest'!A:A, 0), MATCH(HOME!$A$25, 'language&amp;DataTest'!$A$1:$H$1, 0))),                      IFERROR(INDEX('language&amp;DataTest'!A:J, MATCH(INDEX( PointerTest!D:D, MATCH(B14, PointerTest!A:A, 0), 0), 'language&amp;DataTest'!A:A, 0), MATCH(HOME!$A$25, 'language&amp;DataTest'!$A$1:$H$1, 0))),                                          
IFERROR(INDEX('language&amp;DataTest'!A:J, MATCH(INDEX( PointerTest!E:E, MATCH(B14, PointerTest!A:A, 0), 0), 'language&amp;DataTest'!A:A, 0), MATCH(HOME!$A$25, 'language&amp;DataTest'!$A$1:$H$1, 0))))</f>
        <v>Kricketot</v>
      </c>
      <c r="D14" s="69" t="str">
        <f t="array" ref="D14">TEXTJOIN("", TRUE, 
IFERROR(INDEX('language&amp;DataTest'!A:J, MATCH(INDEX( PointerTest!C:C, MATCH(INDEX(PointerTest!B:B, MATCH(B14, PointerTest!A:A, 0)), PointerTest!A:A, 0), 0), 'language&amp;DataTest'!A:A, 0), MATCH(HOME!$A$25, 'language&amp;DataTest'!$A$1:$H$1, 0))),                      
IFERROR(INDEX('language&amp;DataTest'!A:J, MATCH(INDEX( PointerTest!D:D, MATCH(INDEX(PointerTest!B:B, MATCH(B14, PointerTest!A:A, 0)), PointerTest!A:A, 0), 0), 'language&amp;DataTest'!A:A, 0), MATCH(HOME!$A$25, 'language&amp;DataTest'!$A$1:$H$1, 0))),                                          
IFERROR(INDEX('language&amp;DataTest'!A:J, MATCH(INDEX( PointerTest!E:E, MATCH(INDEX(PointerTest!B:B, MATCH(B14, PointerTest!A:A, 0)), PointerTest!A:A, 0), 0), 'language&amp;DataTest'!A:A, 0), MATCH(HOME!$A$25, 'language&amp;DataTest'!$A$1:$H$1, 0))))</f>
        <v>Palkia ex</v>
      </c>
      <c r="E14" s="69" t="str">
        <f t="array" ref="E14">INDEX( PointerTest!F:F, MATCH(B14, PointerTest!A:A, 0), 0)</f>
        <v>♢</v>
      </c>
      <c r="F14" s="70">
        <f t="array" ref="F14">LET(percentage,XLOOKUP($E14,$K$2:$K$10,L$2:L$10,"",0)/(COUNTIFS($E:$E,$E14,$D:$D,RegularFormula!$D$2)+COUNTIFS($E:$E,$E14,$D:$D,IF($D14=RegularFormula!$D$2,$K$15,$D14))),IFERROR(IF(percentage,percentage,""),""))</f>
        <v>0.02272727273</v>
      </c>
      <c r="G14" s="71" t="str">
        <f t="array" ref="G14">LET(percentage,XLOOKUP($E14,$K$2:$K$10,M$2:M$10,"",0)/(COUNTIFS($E:$E,$E14,$D:$D,RegularFormula!$D$2)+COUNTIFS($E:$E,$E14,$D:$D,IF($D14=RegularFormula!$D$2,$K$15,$D14))),IFERROR(IF(percentage,percentage,""),""))</f>
        <v/>
      </c>
      <c r="H14" s="71" t="str">
        <f t="array" ref="H14">LET(percentage,XLOOKUP($E14,$K$2:$K$10,N$2:N$10,"",0)/(COUNTIFS($E:$E,$E14,$D:$D,RegularFormula!$D$2)+COUNTIFS($E:$E,$E14,$D:$D,IF($D14=RegularFormula!$D$2,$K$15,$D14))),IFERROR(IF(percentage,percentage,""),""))</f>
        <v/>
      </c>
      <c r="I14" s="72" t="str">
        <f t="shared" si="1"/>
        <v/>
      </c>
      <c r="J14" s="73">
        <v>0.0</v>
      </c>
      <c r="K14" s="100" t="s">
        <v>96</v>
      </c>
      <c r="L14" s="101">
        <f t="shared" ref="L14:L16" si="3">IFERROR(LEFT($N14,SEARCH("/",$N14)-1)/RIGHT($N14,LEN($N14)-SEARCH("/",$N14)),0)</f>
        <v>0.8357487923</v>
      </c>
      <c r="M14" s="101">
        <f t="shared" ref="M14:M16" si="4">1-$L14</f>
        <v>0.1642512077</v>
      </c>
      <c r="N14" s="102" t="str">
        <f>COUNTIF($A2:$A208, TRUE) &amp; "/" &amp; COUNTA($A2:$A208)</f>
        <v>173/207</v>
      </c>
      <c r="P14" s="103" t="str">
        <f>IFERROR(__xludf.DUMMYFUNCTION("""COMPUTED_VALUE"""),"A2 181")</f>
        <v>A2 181</v>
      </c>
      <c r="Q14" s="103" t="str">
        <f>IFERROR(__xludf.DUMMYFUNCTION("""COMPUTED_VALUE"""),"Infernape ex")</f>
        <v>Infernape ex</v>
      </c>
      <c r="R14" s="103" t="str">
        <f>IFERROR(__xludf.DUMMYFUNCTION("""COMPUTED_VALUE"""),"☆☆")</f>
        <v>☆☆</v>
      </c>
      <c r="S14" s="231">
        <f t="shared" si="2"/>
        <v>1250</v>
      </c>
    </row>
    <row r="15">
      <c r="A15" s="217" t="b">
        <v>1</v>
      </c>
      <c r="B15" s="230" t="s">
        <v>551</v>
      </c>
      <c r="C15" s="69" t="str">
        <f t="array" ref="C15">TEXTJOIN("", TRUE, IFERROR(INDEX('language&amp;DataTest'!A:J, MATCH(INDEX( PointerTest!C:C, MATCH(B15, PointerTest!A:A, 0), 0), 'language&amp;DataTest'!A:A, 0), MATCH(HOME!$A$25, 'language&amp;DataTest'!$A$1:$H$1, 0))),                      IFERROR(INDEX('language&amp;DataTest'!A:J, MATCH(INDEX( PointerTest!D:D, MATCH(B15, PointerTest!A:A, 0), 0), 'language&amp;DataTest'!A:A, 0), MATCH(HOME!$A$25, 'language&amp;DataTest'!$A$1:$H$1, 0))),                                          
IFERROR(INDEX('language&amp;DataTest'!A:J, MATCH(INDEX( PointerTest!E:E, MATCH(B15, PointerTest!A:A, 0), 0), 'language&amp;DataTest'!A:A, 0), MATCH(HOME!$A$25, 'language&amp;DataTest'!$A$1:$H$1, 0))))</f>
        <v>Kricketune</v>
      </c>
      <c r="D15" s="69" t="str">
        <f t="array" ref="D15">TEXTJOIN("", TRUE, 
IFERROR(INDEX('language&amp;DataTest'!A:J, MATCH(INDEX( PointerTest!C:C, MATCH(INDEX(PointerTest!B:B, MATCH(B15, PointerTest!A:A, 0)), PointerTest!A:A, 0), 0), 'language&amp;DataTest'!A:A, 0), MATCH(HOME!$A$25, 'language&amp;DataTest'!$A$1:$H$1, 0))),                      
IFERROR(INDEX('language&amp;DataTest'!A:J, MATCH(INDEX( PointerTest!D:D, MATCH(INDEX(PointerTest!B:B, MATCH(B15, PointerTest!A:A, 0)), PointerTest!A:A, 0), 0), 'language&amp;DataTest'!A:A, 0), MATCH(HOME!$A$25, 'language&amp;DataTest'!$A$1:$H$1, 0))),                                          
IFERROR(INDEX('language&amp;DataTest'!A:J, MATCH(INDEX( PointerTest!E:E, MATCH(INDEX(PointerTest!B:B, MATCH(B15, PointerTest!A:A, 0)), PointerTest!A:A, 0), 0), 'language&amp;DataTest'!A:A, 0), MATCH(HOME!$A$25, 'language&amp;DataTest'!$A$1:$H$1, 0))))</f>
        <v>Palkia ex</v>
      </c>
      <c r="E15" s="69" t="str">
        <f t="array" ref="E15">INDEX( PointerTest!F:F, MATCH(B15, PointerTest!A:A, 0), 0)</f>
        <v>♢</v>
      </c>
      <c r="F15" s="70">
        <f t="array" ref="F15">LET(percentage,XLOOKUP($E15,$K$2:$K$10,L$2:L$10,"",0)/(COUNTIFS($E:$E,$E15,$D:$D,RegularFormula!$D$2)+COUNTIFS($E:$E,$E15,$D:$D,IF($D15=RegularFormula!$D$2,$K$15,$D15))),IFERROR(IF(percentage,percentage,""),""))</f>
        <v>0.02272727273</v>
      </c>
      <c r="G15" s="71" t="str">
        <f t="array" ref="G15">LET(percentage,XLOOKUP($E15,$K$2:$K$10,M$2:M$10,"",0)/(COUNTIFS($E:$E,$E15,$D:$D,RegularFormula!$D$2)+COUNTIFS($E:$E,$E15,$D:$D,IF($D15=RegularFormula!$D$2,$K$15,$D15))),IFERROR(IF(percentage,percentage,""),""))</f>
        <v/>
      </c>
      <c r="H15" s="71" t="str">
        <f t="array" ref="H15">LET(percentage,XLOOKUP($E15,$K$2:$K$10,N$2:N$10,"",0)/(COUNTIFS($E:$E,$E15,$D:$D,RegularFormula!$D$2)+COUNTIFS($E:$E,$E15,$D:$D,IF($D15=RegularFormula!$D$2,$K$15,$D15))),IFERROR(IF(percentage,percentage,""),""))</f>
        <v/>
      </c>
      <c r="I15" s="72" t="str">
        <f t="shared" si="1"/>
        <v/>
      </c>
      <c r="J15" s="73">
        <v>0.0</v>
      </c>
      <c r="K15" s="104" t="str">
        <f>C50</f>
        <v>Palkia ex</v>
      </c>
      <c r="L15" s="105">
        <f t="shared" si="3"/>
        <v>0.8571428571</v>
      </c>
      <c r="M15" s="105">
        <f t="shared" si="4"/>
        <v>0.1428571429</v>
      </c>
      <c r="N15" s="106" t="str">
        <f>(COUNTIFS($A$2:$A208,TRUE,$D$2:$D208,$K15)+COUNTIFS($A$2:$A208,TRUE,$D$2:$D208,RegularFormula!$D$2)&amp; "/" &amp; (COUNTIFS($D$2:$D208,$K15)+COUNTIFS($D$2:$D208,RegularFormula!$D$2)))</f>
        <v>108/126</v>
      </c>
      <c r="P15" s="103" t="str">
        <f>IFERROR(__xludf.DUMMYFUNCTION("""COMPUTED_VALUE"""),"A2 182")</f>
        <v>A2 182</v>
      </c>
      <c r="Q15" s="103" t="str">
        <f>IFERROR(__xludf.DUMMYFUNCTION("""COMPUTED_VALUE"""),"Palkia ex")</f>
        <v>Palkia ex</v>
      </c>
      <c r="R15" s="103" t="str">
        <f>IFERROR(__xludf.DUMMYFUNCTION("""COMPUTED_VALUE"""),"☆☆")</f>
        <v>☆☆</v>
      </c>
      <c r="S15" s="231">
        <f t="shared" si="2"/>
        <v>1250</v>
      </c>
    </row>
    <row r="16">
      <c r="A16" s="217" t="b">
        <v>1</v>
      </c>
      <c r="B16" s="230" t="s">
        <v>552</v>
      </c>
      <c r="C16" s="69" t="str">
        <f t="array" ref="C16">TEXTJOIN("", TRUE, IFERROR(INDEX('language&amp;DataTest'!A:J, MATCH(INDEX( PointerTest!C:C, MATCH(B16, PointerTest!A:A, 0), 0), 'language&amp;DataTest'!A:A, 0), MATCH(HOME!$A$25, 'language&amp;DataTest'!$A$1:$H$1, 0))),                      IFERROR(INDEX('language&amp;DataTest'!A:J, MATCH(INDEX( PointerTest!D:D, MATCH(B16, PointerTest!A:A, 0), 0), 'language&amp;DataTest'!A:A, 0), MATCH(HOME!$A$25, 'language&amp;DataTest'!$A$1:$H$1, 0))),                                          
IFERROR(INDEX('language&amp;DataTest'!A:J, MATCH(INDEX( PointerTest!E:E, MATCH(B16, PointerTest!A:A, 0), 0), 'language&amp;DataTest'!A:A, 0), MATCH(HOME!$A$25, 'language&amp;DataTest'!$A$1:$H$1, 0))))</f>
        <v>Burmy</v>
      </c>
      <c r="D16" s="69" t="str">
        <f t="array" ref="D16">TEXTJOIN("", TRUE, 
IFERROR(INDEX('language&amp;DataTest'!A:J, MATCH(INDEX( PointerTest!C:C, MATCH(INDEX(PointerTest!B:B, MATCH(B16, PointerTest!A:A, 0)), PointerTest!A:A, 0), 0), 'language&amp;DataTest'!A:A, 0), MATCH(HOME!$A$25, 'language&amp;DataTest'!$A$1:$H$1, 0))),                      
IFERROR(INDEX('language&amp;DataTest'!A:J, MATCH(INDEX( PointerTest!D:D, MATCH(INDEX(PointerTest!B:B, MATCH(B16, PointerTest!A:A, 0)), PointerTest!A:A, 0), 0), 'language&amp;DataTest'!A:A, 0), MATCH(HOME!$A$25, 'language&amp;DataTest'!$A$1:$H$1, 0))),                                          
IFERROR(INDEX('language&amp;DataTest'!A:J, MATCH(INDEX( PointerTest!E:E, MATCH(INDEX(PointerTest!B:B, MATCH(B16, PointerTest!A:A, 0)), PointerTest!A:A, 0), 0), 'language&amp;DataTest'!A:A, 0), MATCH(HOME!$A$25, 'language&amp;DataTest'!$A$1:$H$1, 0))))</f>
        <v>All</v>
      </c>
      <c r="E16" s="69" t="str">
        <f t="array" ref="E16">INDEX( PointerTest!F:F, MATCH(B16, PointerTest!A:A, 0), 0)</f>
        <v>♢</v>
      </c>
      <c r="F16" s="70">
        <f t="array" ref="F16">LET(percentage,XLOOKUP($E16,$K$2:$K$10,L$2:L$10,"",0)/(COUNTIFS($E:$E,$E16,$D:$D,RegularFormula!$D$2)+COUNTIFS($E:$E,$E16,$D:$D,IF($D16=RegularFormula!$D$2,$K$15,$D16))),IFERROR(IF(percentage,percentage,""),""))</f>
        <v>0.02272727273</v>
      </c>
      <c r="G16" s="71" t="str">
        <f t="array" ref="G16">LET(percentage,XLOOKUP($E16,$K$2:$K$10,M$2:M$10,"",0)/(COUNTIFS($E:$E,$E16,$D:$D,RegularFormula!$D$2)+COUNTIFS($E:$E,$E16,$D:$D,IF($D16=RegularFormula!$D$2,$K$15,$D16))),IFERROR(IF(percentage,percentage,""),""))</f>
        <v/>
      </c>
      <c r="H16" s="71" t="str">
        <f t="array" ref="H16">LET(percentage,XLOOKUP($E16,$K$2:$K$10,N$2:N$10,"",0)/(COUNTIFS($E:$E,$E16,$D:$D,RegularFormula!$D$2)+COUNTIFS($E:$E,$E16,$D:$D,IF($D16=RegularFormula!$D$2,$K$15,$D16))),IFERROR(IF(percentage,percentage,""),""))</f>
        <v/>
      </c>
      <c r="I16" s="72" t="str">
        <f t="shared" si="1"/>
        <v>*Based on Palkia ex pack</v>
      </c>
      <c r="J16" s="73">
        <v>0.0</v>
      </c>
      <c r="K16" s="107" t="str">
        <f>C120</f>
        <v>Dialga ex</v>
      </c>
      <c r="L16" s="167">
        <f t="shared" si="3"/>
        <v>0.8571428571</v>
      </c>
      <c r="M16" s="167">
        <f t="shared" si="4"/>
        <v>0.1428571429</v>
      </c>
      <c r="N16" s="106" t="str">
        <f>(COUNTIFS($A$2:$A208,TRUE,$D$2:$D208,$K16)+COUNTIFS($A$2:$A208,TRUE,$D$2:$D208,RegularFormula!$D$2)&amp; "/" &amp; (COUNTIFS($D$2:$D208,$K16)+COUNTIFS($D$2:$D208,RegularFormula!$D$2)))</f>
        <v>108/126</v>
      </c>
      <c r="P16" s="103" t="str">
        <f>IFERROR(__xludf.DUMMYFUNCTION("""COMPUTED_VALUE"""),"A2 183")</f>
        <v>A2 183</v>
      </c>
      <c r="Q16" s="103" t="str">
        <f>IFERROR(__xludf.DUMMYFUNCTION("""COMPUTED_VALUE"""),"Pachirisu ex")</f>
        <v>Pachirisu ex</v>
      </c>
      <c r="R16" s="103" t="str">
        <f>IFERROR(__xludf.DUMMYFUNCTION("""COMPUTED_VALUE"""),"☆☆")</f>
        <v>☆☆</v>
      </c>
      <c r="S16" s="231">
        <f t="shared" si="2"/>
        <v>1250</v>
      </c>
    </row>
    <row r="17">
      <c r="A17" s="217" t="b">
        <v>1</v>
      </c>
      <c r="B17" s="230" t="s">
        <v>553</v>
      </c>
      <c r="C17" s="69" t="str">
        <f t="array" ref="C17">TEXTJOIN("", TRUE, IFERROR(INDEX('language&amp;DataTest'!A:J, MATCH(INDEX( PointerTest!C:C, MATCH(B17, PointerTest!A:A, 0), 0), 'language&amp;DataTest'!A:A, 0), MATCH(HOME!$A$25, 'language&amp;DataTest'!$A$1:$H$1, 0))),                      IFERROR(INDEX('language&amp;DataTest'!A:J, MATCH(INDEX( PointerTest!D:D, MATCH(B17, PointerTest!A:A, 0), 0), 'language&amp;DataTest'!A:A, 0), MATCH(HOME!$A$25, 'language&amp;DataTest'!$A$1:$H$1, 0))),                                          
IFERROR(INDEX('language&amp;DataTest'!A:J, MATCH(INDEX( PointerTest!E:E, MATCH(B17, PointerTest!A:A, 0), 0), 'language&amp;DataTest'!A:A, 0), MATCH(HOME!$A$25, 'language&amp;DataTest'!$A$1:$H$1, 0))))</f>
        <v>Wormadam</v>
      </c>
      <c r="D17" s="69" t="str">
        <f t="array" ref="D17">TEXTJOIN("", TRUE, 
IFERROR(INDEX('language&amp;DataTest'!A:J, MATCH(INDEX( PointerTest!C:C, MATCH(INDEX(PointerTest!B:B, MATCH(B17, PointerTest!A:A, 0)), PointerTest!A:A, 0), 0), 'language&amp;DataTest'!A:A, 0), MATCH(HOME!$A$25, 'language&amp;DataTest'!$A$1:$H$1, 0))),                      
IFERROR(INDEX('language&amp;DataTest'!A:J, MATCH(INDEX( PointerTest!D:D, MATCH(INDEX(PointerTest!B:B, MATCH(B17, PointerTest!A:A, 0)), PointerTest!A:A, 0), 0), 'language&amp;DataTest'!A:A, 0), MATCH(HOME!$A$25, 'language&amp;DataTest'!$A$1:$H$1, 0))),                                          
IFERROR(INDEX('language&amp;DataTest'!A:J, MATCH(INDEX( PointerTest!E:E, MATCH(INDEX(PointerTest!B:B, MATCH(B17, PointerTest!A:A, 0)), PointerTest!A:A, 0), 0), 'language&amp;DataTest'!A:A, 0), MATCH(HOME!$A$25, 'language&amp;DataTest'!$A$1:$H$1, 0))))</f>
        <v>All</v>
      </c>
      <c r="E17" s="69" t="str">
        <f t="array" ref="E17">INDEX( PointerTest!F:F, MATCH(B17, PointerTest!A:A, 0), 0)</f>
        <v>♢</v>
      </c>
      <c r="F17" s="70">
        <f t="array" ref="F17">LET(percentage,XLOOKUP($E17,$K$2:$K$10,L$2:L$10,"",0)/(COUNTIFS($E:$E,$E17,$D:$D,RegularFormula!$D$2)+COUNTIFS($E:$E,$E17,$D:$D,IF($D17=RegularFormula!$D$2,$K$15,$D17))),IFERROR(IF(percentage,percentage,""),""))</f>
        <v>0.02272727273</v>
      </c>
      <c r="G17" s="71" t="str">
        <f t="array" ref="G17">LET(percentage,XLOOKUP($E17,$K$2:$K$10,M$2:M$10,"",0)/(COUNTIFS($E:$E,$E17,$D:$D,RegularFormula!$D$2)+COUNTIFS($E:$E,$E17,$D:$D,IF($D17=RegularFormula!$D$2,$K$15,$D17))),IFERROR(IF(percentage,percentage,""),""))</f>
        <v/>
      </c>
      <c r="H17" s="71" t="str">
        <f t="array" ref="H17">LET(percentage,XLOOKUP($E17,$K$2:$K$10,N$2:N$10,"",0)/(COUNTIFS($E:$E,$E17,$D:$D,RegularFormula!$D$2)+COUNTIFS($E:$E,$E17,$D:$D,IF($D17=RegularFormula!$D$2,$K$15,$D17))),IFERROR(IF(percentage,percentage,""),""))</f>
        <v/>
      </c>
      <c r="I17" s="72" t="str">
        <f t="shared" si="1"/>
        <v>*Based on Palkia ex pack</v>
      </c>
      <c r="J17" s="73">
        <v>0.0</v>
      </c>
      <c r="K17" s="219" t="s">
        <v>101</v>
      </c>
      <c r="L17" s="220" t="str">
        <f>IF(M15 = MAX(M15:M16), K15, IF(M16 = MAX(M15:M16), K16, #REF!))</f>
        <v>Palkia ex</v>
      </c>
      <c r="M17" s="127"/>
      <c r="N17" s="221"/>
      <c r="P17" s="103" t="str">
        <f>IFERROR(__xludf.DUMMYFUNCTION("""COMPUTED_VALUE"""),"A2 184")</f>
        <v>A2 184</v>
      </c>
      <c r="Q17" s="103" t="str">
        <f>IFERROR(__xludf.DUMMYFUNCTION("""COMPUTED_VALUE"""),"Mismagius ex")</f>
        <v>Mismagius ex</v>
      </c>
      <c r="R17" s="103" t="str">
        <f>IFERROR(__xludf.DUMMYFUNCTION("""COMPUTED_VALUE"""),"☆☆")</f>
        <v>☆☆</v>
      </c>
      <c r="S17" s="231">
        <f t="shared" si="2"/>
        <v>1250</v>
      </c>
    </row>
    <row r="18">
      <c r="A18" s="217" t="b">
        <v>1</v>
      </c>
      <c r="B18" s="230" t="s">
        <v>554</v>
      </c>
      <c r="C18" s="69" t="str">
        <f t="array" ref="C18">TEXTJOIN("", TRUE, IFERROR(INDEX('language&amp;DataTest'!A:J, MATCH(INDEX( PointerTest!C:C, MATCH(B18, PointerTest!A:A, 0), 0), 'language&amp;DataTest'!A:A, 0), MATCH(HOME!$A$25, 'language&amp;DataTest'!$A$1:$H$1, 0))),                      IFERROR(INDEX('language&amp;DataTest'!A:J, MATCH(INDEX( PointerTest!D:D, MATCH(B18, PointerTest!A:A, 0), 0), 'language&amp;DataTest'!A:A, 0), MATCH(HOME!$A$25, 'language&amp;DataTest'!$A$1:$H$1, 0))),                                          
IFERROR(INDEX('language&amp;DataTest'!A:J, MATCH(INDEX( PointerTest!E:E, MATCH(B18, PointerTest!A:A, 0), 0), 'language&amp;DataTest'!A:A, 0), MATCH(HOME!$A$25, 'language&amp;DataTest'!$A$1:$H$1, 0))))</f>
        <v>Combee</v>
      </c>
      <c r="D18" s="69" t="str">
        <f t="array" ref="D18">TEXTJOIN("", TRUE, 
IFERROR(INDEX('language&amp;DataTest'!A:J, MATCH(INDEX( PointerTest!C:C, MATCH(INDEX(PointerTest!B:B, MATCH(B18, PointerTest!A:A, 0)), PointerTest!A:A, 0), 0), 'language&amp;DataTest'!A:A, 0), MATCH(HOME!$A$25, 'language&amp;DataTest'!$A$1:$H$1, 0))),                      
IFERROR(INDEX('language&amp;DataTest'!A:J, MATCH(INDEX( PointerTest!D:D, MATCH(INDEX(PointerTest!B:B, MATCH(B18, PointerTest!A:A, 0)), PointerTest!A:A, 0), 0), 'language&amp;DataTest'!A:A, 0), MATCH(HOME!$A$25, 'language&amp;DataTest'!$A$1:$H$1, 0))),                                          
IFERROR(INDEX('language&amp;DataTest'!A:J, MATCH(INDEX( PointerTest!E:E, MATCH(INDEX(PointerTest!B:B, MATCH(B18, PointerTest!A:A, 0)), PointerTest!A:A, 0), 0), 'language&amp;DataTest'!A:A, 0), MATCH(HOME!$A$25, 'language&amp;DataTest'!$A$1:$H$1, 0))))</f>
        <v>Dialga ex</v>
      </c>
      <c r="E18" s="69" t="str">
        <f t="array" ref="E18">INDEX( PointerTest!F:F, MATCH(B18, PointerTest!A:A, 0), 0)</f>
        <v>♢</v>
      </c>
      <c r="F18" s="70">
        <f t="array" ref="F18">LET(percentage,XLOOKUP($E18,$K$2:$K$10,L$2:L$10,"",0)/(COUNTIFS($E:$E,$E18,$D:$D,RegularFormula!$D$2)+COUNTIFS($E:$E,$E18,$D:$D,IF($D18=RegularFormula!$D$2,$K$15,$D18))),IFERROR(IF(percentage,percentage,""),""))</f>
        <v>0.02173913043</v>
      </c>
      <c r="G18" s="71" t="str">
        <f t="array" ref="G18">LET(percentage,XLOOKUP($E18,$K$2:$K$10,M$2:M$10,"",0)/(COUNTIFS($E:$E,$E18,$D:$D,RegularFormula!$D$2)+COUNTIFS($E:$E,$E18,$D:$D,IF($D18=RegularFormula!$D$2,$K$15,$D18))),IFERROR(IF(percentage,percentage,""),""))</f>
        <v/>
      </c>
      <c r="H18" s="71" t="str">
        <f t="array" ref="H18">LET(percentage,XLOOKUP($E18,$K$2:$K$10,N$2:N$10,"",0)/(COUNTIFS($E:$E,$E18,$D:$D,RegularFormula!$D$2)+COUNTIFS($E:$E,$E18,$D:$D,IF($D18=RegularFormula!$D$2,$K$15,$D18))),IFERROR(IF(percentage,percentage,""),""))</f>
        <v/>
      </c>
      <c r="I18" s="72" t="str">
        <f t="shared" si="1"/>
        <v/>
      </c>
      <c r="J18" s="73">
        <v>0.0</v>
      </c>
      <c r="K18" s="96"/>
      <c r="N18" s="94"/>
      <c r="P18" s="103" t="str">
        <f>IFERROR(__xludf.DUMMYFUNCTION("""COMPUTED_VALUE"""),"A2 185")</f>
        <v>A2 185</v>
      </c>
      <c r="Q18" s="103" t="str">
        <f>IFERROR(__xludf.DUMMYFUNCTION("""COMPUTED_VALUE"""),"Gallade ex")</f>
        <v>Gallade ex</v>
      </c>
      <c r="R18" s="103" t="str">
        <f>IFERROR(__xludf.DUMMYFUNCTION("""COMPUTED_VALUE"""),"☆☆")</f>
        <v>☆☆</v>
      </c>
      <c r="S18" s="231">
        <f t="shared" si="2"/>
        <v>1250</v>
      </c>
    </row>
    <row r="19">
      <c r="A19" s="217" t="b">
        <v>1</v>
      </c>
      <c r="B19" s="230" t="s">
        <v>555</v>
      </c>
      <c r="C19" s="69" t="str">
        <f t="array" ref="C19">TEXTJOIN("", TRUE, IFERROR(INDEX('language&amp;DataTest'!A:J, MATCH(INDEX( PointerTest!C:C, MATCH(B19, PointerTest!A:A, 0), 0), 'language&amp;DataTest'!A:A, 0), MATCH(HOME!$A$25, 'language&amp;DataTest'!$A$1:$H$1, 0))),                      IFERROR(INDEX('language&amp;DataTest'!A:J, MATCH(INDEX( PointerTest!D:D, MATCH(B19, PointerTest!A:A, 0), 0), 'language&amp;DataTest'!A:A, 0), MATCH(HOME!$A$25, 'language&amp;DataTest'!$A$1:$H$1, 0))),                                          
IFERROR(INDEX('language&amp;DataTest'!A:J, MATCH(INDEX( PointerTest!E:E, MATCH(B19, PointerTest!A:A, 0), 0), 'language&amp;DataTest'!A:A, 0), MATCH(HOME!$A$25, 'language&amp;DataTest'!$A$1:$H$1, 0))))</f>
        <v>Vespiquen</v>
      </c>
      <c r="D19" s="69" t="str">
        <f t="array" ref="D19">TEXTJOIN("", TRUE, 
IFERROR(INDEX('language&amp;DataTest'!A:J, MATCH(INDEX( PointerTest!C:C, MATCH(INDEX(PointerTest!B:B, MATCH(B19, PointerTest!A:A, 0)), PointerTest!A:A, 0), 0), 'language&amp;DataTest'!A:A, 0), MATCH(HOME!$A$25, 'language&amp;DataTest'!$A$1:$H$1, 0))),                      
IFERROR(INDEX('language&amp;DataTest'!A:J, MATCH(INDEX( PointerTest!D:D, MATCH(INDEX(PointerTest!B:B, MATCH(B19, PointerTest!A:A, 0)), PointerTest!A:A, 0), 0), 'language&amp;DataTest'!A:A, 0), MATCH(HOME!$A$25, 'language&amp;DataTest'!$A$1:$H$1, 0))),                                          
IFERROR(INDEX('language&amp;DataTest'!A:J, MATCH(INDEX( PointerTest!E:E, MATCH(INDEX(PointerTest!B:B, MATCH(B19, PointerTest!A:A, 0)), PointerTest!A:A, 0), 0), 'language&amp;DataTest'!A:A, 0), MATCH(HOME!$A$25, 'language&amp;DataTest'!$A$1:$H$1, 0))))</f>
        <v>Dialga ex</v>
      </c>
      <c r="E19" s="69" t="str">
        <f t="array" ref="E19">INDEX( PointerTest!F:F, MATCH(B19, PointerTest!A:A, 0), 0)</f>
        <v>♢♢</v>
      </c>
      <c r="F19" s="70" t="str">
        <f t="array" ref="F19">LET(percentage,XLOOKUP($E19,$K$2:$K$10,L$2:L$10,"",0)/(COUNTIFS($E:$E,$E19,$D:$D,RegularFormula!$D$2)+COUNTIFS($E:$E,$E19,$D:$D,IF($D19=RegularFormula!$D$2,$K$15,$D19))),IFERROR(IF(percentage,percentage,""),""))</f>
        <v/>
      </c>
      <c r="G19" s="71">
        <f t="array" ref="G19">LET(percentage,XLOOKUP($E19,$K$2:$K$10,M$2:M$10,"",0)/(COUNTIFS($E:$E,$E19,$D:$D,RegularFormula!$D$2)+COUNTIFS($E:$E,$E19,$D:$D,IF($D19=RegularFormula!$D$2,$K$15,$D19))),IFERROR(IF(percentage,percentage,""),""))</f>
        <v>0.02647058824</v>
      </c>
      <c r="H19" s="71">
        <f t="array" ref="H19">LET(percentage,XLOOKUP($E19,$K$2:$K$10,N$2:N$10,"",0)/(COUNTIFS($E:$E,$E19,$D:$D,RegularFormula!$D$2)+COUNTIFS($E:$E,$E19,$D:$D,IF($D19=RegularFormula!$D$2,$K$15,$D19))),IFERROR(IF(percentage,percentage,""),""))</f>
        <v>0.01764705882</v>
      </c>
      <c r="I19" s="72" t="str">
        <f t="shared" si="1"/>
        <v/>
      </c>
      <c r="J19" s="73">
        <v>0.0</v>
      </c>
      <c r="K19" s="114" t="s">
        <v>104</v>
      </c>
      <c r="L19" s="115"/>
      <c r="M19" s="115"/>
      <c r="N19" s="116"/>
      <c r="O19" s="229" t="s">
        <v>556</v>
      </c>
      <c r="P19" s="103" t="str">
        <f>IFERROR(__xludf.DUMMYFUNCTION("""COMPUTED_VALUE"""),"A2 186")</f>
        <v>A2 186</v>
      </c>
      <c r="Q19" s="103" t="str">
        <f>IFERROR(__xludf.DUMMYFUNCTION("""COMPUTED_VALUE"""),"Weavile ex")</f>
        <v>Weavile ex</v>
      </c>
      <c r="R19" s="103" t="str">
        <f>IFERROR(__xludf.DUMMYFUNCTION("""COMPUTED_VALUE"""),"☆☆")</f>
        <v>☆☆</v>
      </c>
      <c r="S19" s="231">
        <f t="shared" si="2"/>
        <v>1250</v>
      </c>
    </row>
    <row r="20">
      <c r="A20" s="217" t="b">
        <v>1</v>
      </c>
      <c r="B20" s="230" t="s">
        <v>557</v>
      </c>
      <c r="C20" s="69" t="str">
        <f t="array" ref="C20">TEXTJOIN("", TRUE, IFERROR(INDEX('language&amp;DataTest'!A:J, MATCH(INDEX( PointerTest!C:C, MATCH(B20, PointerTest!A:A, 0), 0), 'language&amp;DataTest'!A:A, 0), MATCH(HOME!$A$25, 'language&amp;DataTest'!$A$1:$H$1, 0))),                      IFERROR(INDEX('language&amp;DataTest'!A:J, MATCH(INDEX( PointerTest!D:D, MATCH(B20, PointerTest!A:A, 0), 0), 'language&amp;DataTest'!A:A, 0), MATCH(HOME!$A$25, 'language&amp;DataTest'!$A$1:$H$1, 0))),                                          
IFERROR(INDEX('language&amp;DataTest'!A:J, MATCH(INDEX( PointerTest!E:E, MATCH(B20, PointerTest!A:A, 0), 0), 'language&amp;DataTest'!A:A, 0), MATCH(HOME!$A$25, 'language&amp;DataTest'!$A$1:$H$1, 0))))</f>
        <v>Carnivine</v>
      </c>
      <c r="D20" s="69" t="str">
        <f t="array" ref="D20">TEXTJOIN("", TRUE, 
IFERROR(INDEX('language&amp;DataTest'!A:J, MATCH(INDEX( PointerTest!C:C, MATCH(INDEX(PointerTest!B:B, MATCH(B20, PointerTest!A:A, 0)), PointerTest!A:A, 0), 0), 'language&amp;DataTest'!A:A, 0), MATCH(HOME!$A$25, 'language&amp;DataTest'!$A$1:$H$1, 0))),                      
IFERROR(INDEX('language&amp;DataTest'!A:J, MATCH(INDEX( PointerTest!D:D, MATCH(INDEX(PointerTest!B:B, MATCH(B20, PointerTest!A:A, 0)), PointerTest!A:A, 0), 0), 'language&amp;DataTest'!A:A, 0), MATCH(HOME!$A$25, 'language&amp;DataTest'!$A$1:$H$1, 0))),                                          
IFERROR(INDEX('language&amp;DataTest'!A:J, MATCH(INDEX( PointerTest!E:E, MATCH(INDEX(PointerTest!B:B, MATCH(B20, PointerTest!A:A, 0)), PointerTest!A:A, 0), 0), 'language&amp;DataTest'!A:A, 0), MATCH(HOME!$A$25, 'language&amp;DataTest'!$A$1:$H$1, 0))))</f>
        <v>Palkia ex</v>
      </c>
      <c r="E20" s="69" t="str">
        <f t="array" ref="E20">INDEX( PointerTest!F:F, MATCH(B20, PointerTest!A:A, 0), 0)</f>
        <v>♢♢</v>
      </c>
      <c r="F20" s="70" t="str">
        <f t="array" ref="F20">LET(percentage,XLOOKUP($E20,$K$2:$K$10,L$2:L$10,"",0)/(COUNTIFS($E:$E,$E20,$D:$D,RegularFormula!$D$2)+COUNTIFS($E:$E,$E20,$D:$D,IF($D20=RegularFormula!$D$2,$K$15,$D20))),IFERROR(IF(percentage,percentage,""),""))</f>
        <v/>
      </c>
      <c r="G20" s="71">
        <f t="array" ref="G20">LET(percentage,XLOOKUP($E20,$K$2:$K$10,M$2:M$10,"",0)/(COUNTIFS($E:$E,$E20,$D:$D,RegularFormula!$D$2)+COUNTIFS($E:$E,$E20,$D:$D,IF($D20=RegularFormula!$D$2,$K$15,$D20))),IFERROR(IF(percentage,percentage,""),""))</f>
        <v>0.025</v>
      </c>
      <c r="H20" s="71">
        <f t="array" ref="H20">LET(percentage,XLOOKUP($E20,$K$2:$K$10,N$2:N$10,"",0)/(COUNTIFS($E:$E,$E20,$D:$D,RegularFormula!$D$2)+COUNTIFS($E:$E,$E20,$D:$D,IF($D20=RegularFormula!$D$2,$K$15,$D20))),IFERROR(IF(percentage,percentage,""),""))</f>
        <v>0.01666666667</v>
      </c>
      <c r="I20" s="72" t="str">
        <f t="shared" si="1"/>
        <v/>
      </c>
      <c r="J20" s="73">
        <v>0.0</v>
      </c>
      <c r="K20" s="118"/>
      <c r="N20" s="119"/>
      <c r="P20" s="86" t="str">
        <f>IFERROR(__xludf.DUMMYFUNCTION("""COMPUTED_VALUE"""),"A2 187")</f>
        <v>A2 187</v>
      </c>
      <c r="Q20" s="86" t="str">
        <f>IFERROR(__xludf.DUMMYFUNCTION("""COMPUTED_VALUE"""),"Darkrai ex")</f>
        <v>Darkrai ex</v>
      </c>
      <c r="R20" s="86" t="str">
        <f>IFERROR(__xludf.DUMMYFUNCTION("""COMPUTED_VALUE"""),"☆☆")</f>
        <v>☆☆</v>
      </c>
      <c r="S20" s="231">
        <f t="shared" si="2"/>
        <v>1250</v>
      </c>
    </row>
    <row r="21">
      <c r="A21" s="217" t="b">
        <v>1</v>
      </c>
      <c r="B21" s="230" t="s">
        <v>558</v>
      </c>
      <c r="C21" s="69" t="str">
        <f t="array" ref="C21">TEXTJOIN("", TRUE, IFERROR(INDEX('language&amp;DataTest'!A:J, MATCH(INDEX( PointerTest!C:C, MATCH(B21, PointerTest!A:A, 0), 0), 'language&amp;DataTest'!A:A, 0), MATCH(HOME!$A$25, 'language&amp;DataTest'!$A$1:$H$1, 0))),                      IFERROR(INDEX('language&amp;DataTest'!A:J, MATCH(INDEX( PointerTest!D:D, MATCH(B21, PointerTest!A:A, 0), 0), 'language&amp;DataTest'!A:A, 0), MATCH(HOME!$A$25, 'language&amp;DataTest'!$A$1:$H$1, 0))),                                          
IFERROR(INDEX('language&amp;DataTest'!A:J, MATCH(INDEX( PointerTest!E:E, MATCH(B21, PointerTest!A:A, 0), 0), 'language&amp;DataTest'!A:A, 0), MATCH(HOME!$A$25, 'language&amp;DataTest'!$A$1:$H$1, 0))))</f>
        <v>Leafeon</v>
      </c>
      <c r="D21" s="69" t="str">
        <f t="array" ref="D21">TEXTJOIN("", TRUE, 
IFERROR(INDEX('language&amp;DataTest'!A:J, MATCH(INDEX( PointerTest!C:C, MATCH(INDEX(PointerTest!B:B, MATCH(B21, PointerTest!A:A, 0)), PointerTest!A:A, 0), 0), 'language&amp;DataTest'!A:A, 0), MATCH(HOME!$A$25, 'language&amp;DataTest'!$A$1:$H$1, 0))),                      
IFERROR(INDEX('language&amp;DataTest'!A:J, MATCH(INDEX( PointerTest!D:D, MATCH(INDEX(PointerTest!B:B, MATCH(B21, PointerTest!A:A, 0)), PointerTest!A:A, 0), 0), 'language&amp;DataTest'!A:A, 0), MATCH(HOME!$A$25, 'language&amp;DataTest'!$A$1:$H$1, 0))),                                          
IFERROR(INDEX('language&amp;DataTest'!A:J, MATCH(INDEX( PointerTest!E:E, MATCH(INDEX(PointerTest!B:B, MATCH(B21, PointerTest!A:A, 0)), PointerTest!A:A, 0), 0), 'language&amp;DataTest'!A:A, 0), MATCH(HOME!$A$25, 'language&amp;DataTest'!$A$1:$H$1, 0))))</f>
        <v>Dialga ex</v>
      </c>
      <c r="E21" s="69" t="str">
        <f t="array" ref="E21">INDEX( PointerTest!F:F, MATCH(B21, PointerTest!A:A, 0), 0)</f>
        <v>♢♢♢</v>
      </c>
      <c r="F21" s="70" t="str">
        <f t="array" ref="F21">LET(percentage,XLOOKUP($E21,$K$2:$K$10,L$2:L$10,"",0)/(COUNTIFS($E:$E,$E21,$D:$D,RegularFormula!$D$2)+COUNTIFS($E:$E,$E21,$D:$D,IF($D21=RegularFormula!$D$2,$K$15,$D21))),IFERROR(IF(percentage,percentage,""),""))</f>
        <v/>
      </c>
      <c r="G21" s="71">
        <f t="array" ref="G21">LET(percentage,XLOOKUP($E21,$K$2:$K$10,M$2:M$10,"",0)/(COUNTIFS($E:$E,$E21,$D:$D,RegularFormula!$D$2)+COUNTIFS($E:$E,$E21,$D:$D,IF($D21=RegularFormula!$D$2,$K$15,$D21))),IFERROR(IF(percentage,percentage,""),""))</f>
        <v>0.003571428571</v>
      </c>
      <c r="H21" s="71">
        <f t="array" ref="H21">LET(percentage,XLOOKUP($E21,$K$2:$K$10,N$2:N$10,"",0)/(COUNTIFS($E:$E,$E21,$D:$D,RegularFormula!$D$2)+COUNTIFS($E:$E,$E21,$D:$D,IF($D21=RegularFormula!$D$2,$K$15,$D21))),IFERROR(IF(percentage,percentage,""),""))</f>
        <v>0.01428571429</v>
      </c>
      <c r="I21" s="72" t="str">
        <f t="shared" si="1"/>
        <v/>
      </c>
      <c r="J21" s="73">
        <v>0.0</v>
      </c>
      <c r="K21" s="121" t="b">
        <v>1</v>
      </c>
      <c r="L21" s="69" t="s">
        <v>71</v>
      </c>
      <c r="M21" s="122" t="b">
        <v>1</v>
      </c>
      <c r="N21" s="222" t="s">
        <v>79</v>
      </c>
      <c r="P21" s="86" t="str">
        <f>IFERROR(__xludf.DUMMYFUNCTION("""COMPUTED_VALUE"""),"A2 189")</f>
        <v>A2 189</v>
      </c>
      <c r="Q21" s="86" t="str">
        <f>IFERROR(__xludf.DUMMYFUNCTION("""COMPUTED_VALUE"""),"Lickilicky ex")</f>
        <v>Lickilicky ex</v>
      </c>
      <c r="R21" s="86" t="str">
        <f>IFERROR(__xludf.DUMMYFUNCTION("""COMPUTED_VALUE"""),"☆☆")</f>
        <v>☆☆</v>
      </c>
      <c r="S21" s="231">
        <f t="shared" si="2"/>
        <v>1250</v>
      </c>
    </row>
    <row r="22">
      <c r="A22" s="217" t="b">
        <v>1</v>
      </c>
      <c r="B22" s="230" t="s">
        <v>559</v>
      </c>
      <c r="C22" s="69" t="str">
        <f t="array" ref="C22">TEXTJOIN("", TRUE, IFERROR(INDEX('language&amp;DataTest'!A:J, MATCH(INDEX( PointerTest!C:C, MATCH(B22, PointerTest!A:A, 0), 0), 'language&amp;DataTest'!A:A, 0), MATCH(HOME!$A$25, 'language&amp;DataTest'!$A$1:$H$1, 0))),                      IFERROR(INDEX('language&amp;DataTest'!A:J, MATCH(INDEX( PointerTest!D:D, MATCH(B22, PointerTest!A:A, 0), 0), 'language&amp;DataTest'!A:A, 0), MATCH(HOME!$A$25, 'language&amp;DataTest'!$A$1:$H$1, 0))),                                          
IFERROR(INDEX('language&amp;DataTest'!A:J, MATCH(INDEX( PointerTest!E:E, MATCH(B22, PointerTest!A:A, 0), 0), 'language&amp;DataTest'!A:A, 0), MATCH(HOME!$A$25, 'language&amp;DataTest'!$A$1:$H$1, 0))))</f>
        <v>Mow Rotom</v>
      </c>
      <c r="D22" s="69" t="str">
        <f t="array" ref="D22">TEXTJOIN("", TRUE, 
IFERROR(INDEX('language&amp;DataTest'!A:J, MATCH(INDEX( PointerTest!C:C, MATCH(INDEX(PointerTest!B:B, MATCH(B22, PointerTest!A:A, 0)), PointerTest!A:A, 0), 0), 'language&amp;DataTest'!A:A, 0), MATCH(HOME!$A$25, 'language&amp;DataTest'!$A$1:$H$1, 0))),                      
IFERROR(INDEX('language&amp;DataTest'!A:J, MATCH(INDEX( PointerTest!D:D, MATCH(INDEX(PointerTest!B:B, MATCH(B22, PointerTest!A:A, 0)), PointerTest!A:A, 0), 0), 'language&amp;DataTest'!A:A, 0), MATCH(HOME!$A$25, 'language&amp;DataTest'!$A$1:$H$1, 0))),                                          
IFERROR(INDEX('language&amp;DataTest'!A:J, MATCH(INDEX( PointerTest!E:E, MATCH(INDEX(PointerTest!B:B, MATCH(B22, PointerTest!A:A, 0)), PointerTest!A:A, 0), 0), 'language&amp;DataTest'!A:A, 0), MATCH(HOME!$A$25, 'language&amp;DataTest'!$A$1:$H$1, 0))))</f>
        <v>All</v>
      </c>
      <c r="E22" s="69" t="str">
        <f t="array" ref="E22">INDEX( PointerTest!F:F, MATCH(B22, PointerTest!A:A, 0), 0)</f>
        <v>♢</v>
      </c>
      <c r="F22" s="70">
        <f t="array" ref="F22">LET(percentage,XLOOKUP($E22,$K$2:$K$10,L$2:L$10,"",0)/(COUNTIFS($E:$E,$E22,$D:$D,RegularFormula!$D$2)+COUNTIFS($E:$E,$E22,$D:$D,IF($D22=RegularFormula!$D$2,$K$15,$D22))),IFERROR(IF(percentage,percentage,""),""))</f>
        <v>0.02272727273</v>
      </c>
      <c r="G22" s="71" t="str">
        <f t="array" ref="G22">LET(percentage,XLOOKUP($E22,$K$2:$K$10,M$2:M$10,"",0)/(COUNTIFS($E:$E,$E22,$D:$D,RegularFormula!$D$2)+COUNTIFS($E:$E,$E22,$D:$D,IF($D22=RegularFormula!$D$2,$K$15,$D22))),IFERROR(IF(percentage,percentage,""),""))</f>
        <v/>
      </c>
      <c r="H22" s="71" t="str">
        <f t="array" ref="H22">LET(percentage,XLOOKUP($E22,$K$2:$K$10,N$2:N$10,"",0)/(COUNTIFS($E:$E,$E22,$D:$D,RegularFormula!$D$2)+COUNTIFS($E:$E,$E22,$D:$D,IF($D22=RegularFormula!$D$2,$K$15,$D22))),IFERROR(IF(percentage,percentage,""),""))</f>
        <v/>
      </c>
      <c r="I22" s="72" t="str">
        <f t="shared" si="1"/>
        <v>*Based on Palkia ex pack</v>
      </c>
      <c r="J22" s="73">
        <v>0.0</v>
      </c>
      <c r="K22" s="121" t="b">
        <v>1</v>
      </c>
      <c r="L22" s="69" t="s">
        <v>73</v>
      </c>
      <c r="M22" s="122" t="b">
        <v>1</v>
      </c>
      <c r="N22" s="222" t="s">
        <v>81</v>
      </c>
      <c r="P22" s="86" t="str">
        <f>IFERROR(__xludf.DUMMYFUNCTION("""COMPUTED_VALUE"""),"A2 190")</f>
        <v>A2 190</v>
      </c>
      <c r="Q22" s="86" t="str">
        <f>IFERROR(__xludf.DUMMYFUNCTION("""COMPUTED_VALUE"""),"Cyrus")</f>
        <v>Cyrus</v>
      </c>
      <c r="R22" s="86" t="str">
        <f>IFERROR(__xludf.DUMMYFUNCTION("""COMPUTED_VALUE"""),"☆☆")</f>
        <v>☆☆</v>
      </c>
      <c r="S22" s="231">
        <f t="shared" si="2"/>
        <v>1250</v>
      </c>
    </row>
    <row r="23">
      <c r="A23" s="217" t="b">
        <v>1</v>
      </c>
      <c r="B23" s="230" t="s">
        <v>560</v>
      </c>
      <c r="C23" s="69" t="str">
        <f t="array" ref="C23">TEXTJOIN("", TRUE, IFERROR(INDEX('language&amp;DataTest'!A:J, MATCH(INDEX( PointerTest!C:C, MATCH(B23, PointerTest!A:A, 0), 0), 'language&amp;DataTest'!A:A, 0), MATCH(HOME!$A$25, 'language&amp;DataTest'!$A$1:$H$1, 0))),                      IFERROR(INDEX('language&amp;DataTest'!A:J, MATCH(INDEX( PointerTest!D:D, MATCH(B23, PointerTest!A:A, 0), 0), 'language&amp;DataTest'!A:A, 0), MATCH(HOME!$A$25, 'language&amp;DataTest'!$A$1:$H$1, 0))),                                          
IFERROR(INDEX('language&amp;DataTest'!A:J, MATCH(INDEX( PointerTest!E:E, MATCH(B23, PointerTest!A:A, 0), 0), 'language&amp;DataTest'!A:A, 0), MATCH(HOME!$A$25, 'language&amp;DataTest'!$A$1:$H$1, 0))))</f>
        <v>Shaymin</v>
      </c>
      <c r="D23" s="69" t="str">
        <f t="array" ref="D23">TEXTJOIN("", TRUE, 
IFERROR(INDEX('language&amp;DataTest'!A:J, MATCH(INDEX( PointerTest!C:C, MATCH(INDEX(PointerTest!B:B, MATCH(B23, PointerTest!A:A, 0)), PointerTest!A:A, 0), 0), 'language&amp;DataTest'!A:A, 0), MATCH(HOME!$A$25, 'language&amp;DataTest'!$A$1:$H$1, 0))),                      
IFERROR(INDEX('language&amp;DataTest'!A:J, MATCH(INDEX( PointerTest!D:D, MATCH(INDEX(PointerTest!B:B, MATCH(B23, PointerTest!A:A, 0)), PointerTest!A:A, 0), 0), 'language&amp;DataTest'!A:A, 0), MATCH(HOME!$A$25, 'language&amp;DataTest'!$A$1:$H$1, 0))),                                          
IFERROR(INDEX('language&amp;DataTest'!A:J, MATCH(INDEX( PointerTest!E:E, MATCH(INDEX(PointerTest!B:B, MATCH(B23, PointerTest!A:A, 0)), PointerTest!A:A, 0), 0), 'language&amp;DataTest'!A:A, 0), MATCH(HOME!$A$25, 'language&amp;DataTest'!$A$1:$H$1, 0))))</f>
        <v>Dialga ex</v>
      </c>
      <c r="E23" s="69" t="str">
        <f t="array" ref="E23">INDEX( PointerTest!F:F, MATCH(B23, PointerTest!A:A, 0), 0)</f>
        <v>♢♢♢</v>
      </c>
      <c r="F23" s="70" t="str">
        <f t="array" ref="F23">LET(percentage,XLOOKUP($E23,$K$2:$K$10,L$2:L$10,"",0)/(COUNTIFS($E:$E,$E23,$D:$D,RegularFormula!$D$2)+COUNTIFS($E:$E,$E23,$D:$D,IF($D23=RegularFormula!$D$2,$K$15,$D23))),IFERROR(IF(percentage,percentage,""),""))</f>
        <v/>
      </c>
      <c r="G23" s="71">
        <f t="array" ref="G23">LET(percentage,XLOOKUP($E23,$K$2:$K$10,M$2:M$10,"",0)/(COUNTIFS($E:$E,$E23,$D:$D,RegularFormula!$D$2)+COUNTIFS($E:$E,$E23,$D:$D,IF($D23=RegularFormula!$D$2,$K$15,$D23))),IFERROR(IF(percentage,percentage,""),""))</f>
        <v>0.003571428571</v>
      </c>
      <c r="H23" s="71">
        <f t="array" ref="H23">LET(percentage,XLOOKUP($E23,$K$2:$K$10,N$2:N$10,"",0)/(COUNTIFS($E:$E,$E23,$D:$D,RegularFormula!$D$2)+COUNTIFS($E:$E,$E23,$D:$D,IF($D23=RegularFormula!$D$2,$K$15,$D23))),IFERROR(IF(percentage,percentage,""),""))</f>
        <v>0.01428571429</v>
      </c>
      <c r="I23" s="72" t="str">
        <f t="shared" si="1"/>
        <v/>
      </c>
      <c r="J23" s="73">
        <v>0.0</v>
      </c>
      <c r="K23" s="121" t="b">
        <v>1</v>
      </c>
      <c r="L23" s="69" t="s">
        <v>75</v>
      </c>
      <c r="M23" s="122" t="b">
        <v>1</v>
      </c>
      <c r="N23" s="222" t="s">
        <v>83</v>
      </c>
      <c r="P23" s="86" t="str">
        <f>IFERROR(__xludf.DUMMYFUNCTION("""COMPUTED_VALUE"""),"A2 191")</f>
        <v>A2 191</v>
      </c>
      <c r="Q23" s="86" t="str">
        <f>IFERROR(__xludf.DUMMYFUNCTION("""COMPUTED_VALUE"""),"Team Galactic Grunt")</f>
        <v>Team Galactic Grunt</v>
      </c>
      <c r="R23" s="86" t="str">
        <f>IFERROR(__xludf.DUMMYFUNCTION("""COMPUTED_VALUE"""),"☆☆")</f>
        <v>☆☆</v>
      </c>
      <c r="S23" s="231">
        <f t="shared" si="2"/>
        <v>1250</v>
      </c>
    </row>
    <row r="24">
      <c r="A24" s="217" t="b">
        <v>1</v>
      </c>
      <c r="B24" s="230" t="s">
        <v>561</v>
      </c>
      <c r="C24" s="69" t="str">
        <f t="array" ref="C24">TEXTJOIN("", TRUE, IFERROR(INDEX('language&amp;DataTest'!A:J, MATCH(INDEX( PointerTest!C:C, MATCH(B24, PointerTest!A:A, 0), 0), 'language&amp;DataTest'!A:A, 0), MATCH(HOME!$A$25, 'language&amp;DataTest'!$A$1:$H$1, 0))),                      IFERROR(INDEX('language&amp;DataTest'!A:J, MATCH(INDEX( PointerTest!D:D, MATCH(B24, PointerTest!A:A, 0), 0), 'language&amp;DataTest'!A:A, 0), MATCH(HOME!$A$25, 'language&amp;DataTest'!$A$1:$H$1, 0))),                                          
IFERROR(INDEX('language&amp;DataTest'!A:J, MATCH(INDEX( PointerTest!E:E, MATCH(B24, PointerTest!A:A, 0), 0), 'language&amp;DataTest'!A:A, 0), MATCH(HOME!$A$25, 'language&amp;DataTest'!$A$1:$H$1, 0))))</f>
        <v>Magmar</v>
      </c>
      <c r="D24" s="69" t="str">
        <f t="array" ref="D24">TEXTJOIN("", TRUE, 
IFERROR(INDEX('language&amp;DataTest'!A:J, MATCH(INDEX( PointerTest!C:C, MATCH(INDEX(PointerTest!B:B, MATCH(B24, PointerTest!A:A, 0)), PointerTest!A:A, 0), 0), 'language&amp;DataTest'!A:A, 0), MATCH(HOME!$A$25, 'language&amp;DataTest'!$A$1:$H$1, 0))),                      
IFERROR(INDEX('language&amp;DataTest'!A:J, MATCH(INDEX( PointerTest!D:D, MATCH(INDEX(PointerTest!B:B, MATCH(B24, PointerTest!A:A, 0)), PointerTest!A:A, 0), 0), 'language&amp;DataTest'!A:A, 0), MATCH(HOME!$A$25, 'language&amp;DataTest'!$A$1:$H$1, 0))),                                          
IFERROR(INDEX('language&amp;DataTest'!A:J, MATCH(INDEX( PointerTest!E:E, MATCH(INDEX(PointerTest!B:B, MATCH(B24, PointerTest!A:A, 0)), PointerTest!A:A, 0), 0), 'language&amp;DataTest'!A:A, 0), MATCH(HOME!$A$25, 'language&amp;DataTest'!$A$1:$H$1, 0))))</f>
        <v>Palkia ex</v>
      </c>
      <c r="E24" s="69" t="str">
        <f t="array" ref="E24">INDEX( PointerTest!F:F, MATCH(B24, PointerTest!A:A, 0), 0)</f>
        <v>♢</v>
      </c>
      <c r="F24" s="70">
        <f t="array" ref="F24">LET(percentage,XLOOKUP($E24,$K$2:$K$10,L$2:L$10,"",0)/(COUNTIFS($E:$E,$E24,$D:$D,RegularFormula!$D$2)+COUNTIFS($E:$E,$E24,$D:$D,IF($D24=RegularFormula!$D$2,$K$15,$D24))),IFERROR(IF(percentage,percentage,""),""))</f>
        <v>0.02272727273</v>
      </c>
      <c r="G24" s="71" t="str">
        <f t="array" ref="G24">LET(percentage,XLOOKUP($E24,$K$2:$K$10,M$2:M$10,"",0)/(COUNTIFS($E:$E,$E24,$D:$D,RegularFormula!$D$2)+COUNTIFS($E:$E,$E24,$D:$D,IF($D24=RegularFormula!$D$2,$K$15,$D24))),IFERROR(IF(percentage,percentage,""),""))</f>
        <v/>
      </c>
      <c r="H24" s="71" t="str">
        <f t="array" ref="H24">LET(percentage,XLOOKUP($E24,$K$2:$K$10,N$2:N$10,"",0)/(COUNTIFS($E:$E,$E24,$D:$D,RegularFormula!$D$2)+COUNTIFS($E:$E,$E24,$D:$D,IF($D24=RegularFormula!$D$2,$K$15,$D24))),IFERROR(IF(percentage,percentage,""),""))</f>
        <v/>
      </c>
      <c r="I24" s="72" t="str">
        <f t="shared" si="1"/>
        <v/>
      </c>
      <c r="J24" s="73">
        <v>0.0</v>
      </c>
      <c r="K24" s="121" t="b">
        <v>1</v>
      </c>
      <c r="L24" s="69" t="s">
        <v>77</v>
      </c>
      <c r="M24" s="122" t="b">
        <v>1</v>
      </c>
      <c r="N24" s="222" t="s">
        <v>85</v>
      </c>
      <c r="P24" s="86" t="str">
        <f>IFERROR(__xludf.DUMMYFUNCTION("""COMPUTED_VALUE"""),"A2 193")</f>
        <v>A2 193</v>
      </c>
      <c r="Q24" s="86" t="str">
        <f>IFERROR(__xludf.DUMMYFUNCTION("""COMPUTED_VALUE"""),"Volkner")</f>
        <v>Volkner</v>
      </c>
      <c r="R24" s="86" t="str">
        <f>IFERROR(__xludf.DUMMYFUNCTION("""COMPUTED_VALUE"""),"☆☆")</f>
        <v>☆☆</v>
      </c>
      <c r="S24" s="231">
        <f t="shared" si="2"/>
        <v>1250</v>
      </c>
    </row>
    <row r="25">
      <c r="A25" s="217" t="b">
        <v>1</v>
      </c>
      <c r="B25" s="230" t="s">
        <v>562</v>
      </c>
      <c r="C25" s="69" t="str">
        <f t="array" ref="C25">TEXTJOIN("", TRUE, IFERROR(INDEX('language&amp;DataTest'!A:J, MATCH(INDEX( PointerTest!C:C, MATCH(B25, PointerTest!A:A, 0), 0), 'language&amp;DataTest'!A:A, 0), MATCH(HOME!$A$25, 'language&amp;DataTest'!$A$1:$H$1, 0))),                      IFERROR(INDEX('language&amp;DataTest'!A:J, MATCH(INDEX( PointerTest!D:D, MATCH(B25, PointerTest!A:A, 0), 0), 'language&amp;DataTest'!A:A, 0), MATCH(HOME!$A$25, 'language&amp;DataTest'!$A$1:$H$1, 0))),                                          
IFERROR(INDEX('language&amp;DataTest'!A:J, MATCH(INDEX( PointerTest!E:E, MATCH(B25, PointerTest!A:A, 0), 0), 'language&amp;DataTest'!A:A, 0), MATCH(HOME!$A$25, 'language&amp;DataTest'!$A$1:$H$1, 0))))</f>
        <v>Magmortar</v>
      </c>
      <c r="D25" s="69" t="str">
        <f t="array" ref="D25">TEXTJOIN("", TRUE, 
IFERROR(INDEX('language&amp;DataTest'!A:J, MATCH(INDEX( PointerTest!C:C, MATCH(INDEX(PointerTest!B:B, MATCH(B25, PointerTest!A:A, 0)), PointerTest!A:A, 0), 0), 'language&amp;DataTest'!A:A, 0), MATCH(HOME!$A$25, 'language&amp;DataTest'!$A$1:$H$1, 0))),                      
IFERROR(INDEX('language&amp;DataTest'!A:J, MATCH(INDEX( PointerTest!D:D, MATCH(INDEX(PointerTest!B:B, MATCH(B25, PointerTest!A:A, 0)), PointerTest!A:A, 0), 0), 'language&amp;DataTest'!A:A, 0), MATCH(HOME!$A$25, 'language&amp;DataTest'!$A$1:$H$1, 0))),                                          
IFERROR(INDEX('language&amp;DataTest'!A:J, MATCH(INDEX( PointerTest!E:E, MATCH(INDEX(PointerTest!B:B, MATCH(B25, PointerTest!A:A, 0)), PointerTest!A:A, 0), 0), 'language&amp;DataTest'!A:A, 0), MATCH(HOME!$A$25, 'language&amp;DataTest'!$A$1:$H$1, 0))))</f>
        <v>Palkia ex</v>
      </c>
      <c r="E25" s="69" t="str">
        <f t="array" ref="E25">INDEX( PointerTest!F:F, MATCH(B25, PointerTest!A:A, 0), 0)</f>
        <v>♢♢♢</v>
      </c>
      <c r="F25" s="70" t="str">
        <f t="array" ref="F25">LET(percentage,XLOOKUP($E25,$K$2:$K$10,L$2:L$10,"",0)/(COUNTIFS($E:$E,$E25,$D:$D,RegularFormula!$D$2)+COUNTIFS($E:$E,$E25,$D:$D,IF($D25=RegularFormula!$D$2,$K$15,$D25))),IFERROR(IF(percentage,percentage,""),""))</f>
        <v/>
      </c>
      <c r="G25" s="71">
        <f t="array" ref="G25">LET(percentage,XLOOKUP($E25,$K$2:$K$10,M$2:M$10,"",0)/(COUNTIFS($E:$E,$E25,$D:$D,RegularFormula!$D$2)+COUNTIFS($E:$E,$E25,$D:$D,IF($D25=RegularFormula!$D$2,$K$15,$D25))),IFERROR(IF(percentage,percentage,""),""))</f>
        <v>0.003571428571</v>
      </c>
      <c r="H25" s="71">
        <f t="array" ref="H25">LET(percentage,XLOOKUP($E25,$K$2:$K$10,N$2:N$10,"",0)/(COUNTIFS($E:$E,$E25,$D:$D,RegularFormula!$D$2)+COUNTIFS($E:$E,$E25,$D:$D,IF($D25=RegularFormula!$D$2,$K$15,$D25))),IFERROR(IF(percentage,percentage,""),""))</f>
        <v>0.01428571429</v>
      </c>
      <c r="I25" s="72" t="str">
        <f t="shared" si="1"/>
        <v/>
      </c>
      <c r="J25" s="73">
        <v>0.0</v>
      </c>
      <c r="K25" s="123" t="b">
        <v>0</v>
      </c>
      <c r="L25" s="124" t="s">
        <v>112</v>
      </c>
      <c r="M25" s="124" t="b">
        <f>HOME!A27</f>
        <v>0</v>
      </c>
      <c r="N25" s="223" t="s">
        <v>113</v>
      </c>
      <c r="P25" s="86" t="str">
        <f>IFERROR(__xludf.DUMMYFUNCTION("""COMPUTED_VALUE"""),"A2 194")</f>
        <v>A2 194</v>
      </c>
      <c r="Q25" s="86" t="str">
        <f>IFERROR(__xludf.DUMMYFUNCTION("""COMPUTED_VALUE"""),"Dawn")</f>
        <v>Dawn</v>
      </c>
      <c r="R25" s="86" t="str">
        <f>IFERROR(__xludf.DUMMYFUNCTION("""COMPUTED_VALUE"""),"☆☆")</f>
        <v>☆☆</v>
      </c>
      <c r="S25" s="231">
        <f t="shared" si="2"/>
        <v>1250</v>
      </c>
    </row>
    <row r="26">
      <c r="A26" s="217" t="b">
        <v>1</v>
      </c>
      <c r="B26" s="230" t="s">
        <v>563</v>
      </c>
      <c r="C26" s="69" t="str">
        <f t="array" ref="C26">TEXTJOIN("", TRUE, IFERROR(INDEX('language&amp;DataTest'!A:J, MATCH(INDEX( PointerTest!C:C, MATCH(B26, PointerTest!A:A, 0), 0), 'language&amp;DataTest'!A:A, 0), MATCH(HOME!$A$25, 'language&amp;DataTest'!$A$1:$H$1, 0))),                      IFERROR(INDEX('language&amp;DataTest'!A:J, MATCH(INDEX( PointerTest!D:D, MATCH(B26, PointerTest!A:A, 0), 0), 'language&amp;DataTest'!A:A, 0), MATCH(HOME!$A$25, 'language&amp;DataTest'!$A$1:$H$1, 0))),                                          
IFERROR(INDEX('language&amp;DataTest'!A:J, MATCH(INDEX( PointerTest!E:E, MATCH(B26, PointerTest!A:A, 0), 0), 'language&amp;DataTest'!A:A, 0), MATCH(HOME!$A$25, 'language&amp;DataTest'!$A$1:$H$1, 0))))</f>
        <v>Slugma</v>
      </c>
      <c r="D26" s="69" t="str">
        <f t="array" ref="D26">TEXTJOIN("", TRUE, 
IFERROR(INDEX('language&amp;DataTest'!A:J, MATCH(INDEX( PointerTest!C:C, MATCH(INDEX(PointerTest!B:B, MATCH(B26, PointerTest!A:A, 0)), PointerTest!A:A, 0), 0), 'language&amp;DataTest'!A:A, 0), MATCH(HOME!$A$25, 'language&amp;DataTest'!$A$1:$H$1, 0))),                      
IFERROR(INDEX('language&amp;DataTest'!A:J, MATCH(INDEX( PointerTest!D:D, MATCH(INDEX(PointerTest!B:B, MATCH(B26, PointerTest!A:A, 0)), PointerTest!A:A, 0), 0), 'language&amp;DataTest'!A:A, 0), MATCH(HOME!$A$25, 'language&amp;DataTest'!$A$1:$H$1, 0))),                                          
IFERROR(INDEX('language&amp;DataTest'!A:J, MATCH(INDEX( PointerTest!E:E, MATCH(INDEX(PointerTest!B:B, MATCH(B26, PointerTest!A:A, 0)), PointerTest!A:A, 0), 0), 'language&amp;DataTest'!A:A, 0), MATCH(HOME!$A$25, 'language&amp;DataTest'!$A$1:$H$1, 0))))</f>
        <v>All</v>
      </c>
      <c r="E26" s="69" t="str">
        <f t="array" ref="E26">INDEX( PointerTest!F:F, MATCH(B26, PointerTest!A:A, 0), 0)</f>
        <v>♢</v>
      </c>
      <c r="F26" s="70">
        <f t="array" ref="F26">LET(percentage,XLOOKUP($E26,$K$2:$K$10,L$2:L$10,"",0)/(COUNTIFS($E:$E,$E26,$D:$D,RegularFormula!$D$2)+COUNTIFS($E:$E,$E26,$D:$D,IF($D26=RegularFormula!$D$2,$K$15,$D26))),IFERROR(IF(percentage,percentage,""),""))</f>
        <v>0.02272727273</v>
      </c>
      <c r="G26" s="71" t="str">
        <f t="array" ref="G26">LET(percentage,XLOOKUP($E26,$K$2:$K$10,M$2:M$10,"",0)/(COUNTIFS($E:$E,$E26,$D:$D,RegularFormula!$D$2)+COUNTIFS($E:$E,$E26,$D:$D,IF($D26=RegularFormula!$D$2,$K$15,$D26))),IFERROR(IF(percentage,percentage,""),""))</f>
        <v/>
      </c>
      <c r="H26" s="71" t="str">
        <f t="array" ref="H26">LET(percentage,XLOOKUP($E26,$K$2:$K$10,N$2:N$10,"",0)/(COUNTIFS($E:$E,$E26,$D:$D,RegularFormula!$D$2)+COUNTIFS($E:$E,$E26,$D:$D,IF($D26=RegularFormula!$D$2,$K$15,$D26))),IFERROR(IF(percentage,percentage,""),""))</f>
        <v/>
      </c>
      <c r="I26" s="72" t="str">
        <f t="shared" si="1"/>
        <v>*Based on Palkia ex pack</v>
      </c>
      <c r="J26" s="73">
        <v>0.0</v>
      </c>
      <c r="K26" s="126" t="s">
        <v>115</v>
      </c>
      <c r="L26" s="127"/>
      <c r="M26" s="127"/>
      <c r="N26" s="128"/>
      <c r="O26" s="229" t="s">
        <v>564</v>
      </c>
      <c r="P26" s="86" t="str">
        <f>IFERROR(__xludf.DUMMYFUNCTION("""COMPUTED_VALUE"""),"A2 195")</f>
        <v>A2 195</v>
      </c>
      <c r="Q26" s="86" t="str">
        <f>IFERROR(__xludf.DUMMYFUNCTION("""COMPUTED_VALUE"""),"Mars")</f>
        <v>Mars</v>
      </c>
      <c r="R26" s="86" t="str">
        <f>IFERROR(__xludf.DUMMYFUNCTION("""COMPUTED_VALUE"""),"☆☆")</f>
        <v>☆☆</v>
      </c>
      <c r="S26" s="231">
        <f t="shared" si="2"/>
        <v>1250</v>
      </c>
    </row>
    <row r="27">
      <c r="A27" s="217" t="b">
        <v>1</v>
      </c>
      <c r="B27" s="230" t="s">
        <v>565</v>
      </c>
      <c r="C27" s="69" t="str">
        <f t="array" ref="C27">TEXTJOIN("", TRUE, IFERROR(INDEX('language&amp;DataTest'!A:J, MATCH(INDEX( PointerTest!C:C, MATCH(B27, PointerTest!A:A, 0), 0), 'language&amp;DataTest'!A:A, 0), MATCH(HOME!$A$25, 'language&amp;DataTest'!$A$1:$H$1, 0))),                      IFERROR(INDEX('language&amp;DataTest'!A:J, MATCH(INDEX( PointerTest!D:D, MATCH(B27, PointerTest!A:A, 0), 0), 'language&amp;DataTest'!A:A, 0), MATCH(HOME!$A$25, 'language&amp;DataTest'!$A$1:$H$1, 0))),                                          
IFERROR(INDEX('language&amp;DataTest'!A:J, MATCH(INDEX( PointerTest!E:E, MATCH(B27, PointerTest!A:A, 0), 0), 'language&amp;DataTest'!A:A, 0), MATCH(HOME!$A$25, 'language&amp;DataTest'!$A$1:$H$1, 0))))</f>
        <v>Magcargo</v>
      </c>
      <c r="D27" s="69" t="str">
        <f t="array" ref="D27">TEXTJOIN("", TRUE, 
IFERROR(INDEX('language&amp;DataTest'!A:J, MATCH(INDEX( PointerTest!C:C, MATCH(INDEX(PointerTest!B:B, MATCH(B27, PointerTest!A:A, 0)), PointerTest!A:A, 0), 0), 'language&amp;DataTest'!A:A, 0), MATCH(HOME!$A$25, 'language&amp;DataTest'!$A$1:$H$1, 0))),                      
IFERROR(INDEX('language&amp;DataTest'!A:J, MATCH(INDEX( PointerTest!D:D, MATCH(INDEX(PointerTest!B:B, MATCH(B27, PointerTest!A:A, 0)), PointerTest!A:A, 0), 0), 'language&amp;DataTest'!A:A, 0), MATCH(HOME!$A$25, 'language&amp;DataTest'!$A$1:$H$1, 0))),                                          
IFERROR(INDEX('language&amp;DataTest'!A:J, MATCH(INDEX( PointerTest!E:E, MATCH(INDEX(PointerTest!B:B, MATCH(B27, PointerTest!A:A, 0)), PointerTest!A:A, 0), 0), 'language&amp;DataTest'!A:A, 0), MATCH(HOME!$A$25, 'language&amp;DataTest'!$A$1:$H$1, 0))))</f>
        <v>All</v>
      </c>
      <c r="E27" s="69" t="str">
        <f t="array" ref="E27">INDEX( PointerTest!F:F, MATCH(B27, PointerTest!A:A, 0), 0)</f>
        <v>♢♢</v>
      </c>
      <c r="F27" s="70" t="str">
        <f t="array" ref="F27">LET(percentage,XLOOKUP($E27,$K$2:$K$10,L$2:L$10,"",0)/(COUNTIFS($E:$E,$E27,$D:$D,RegularFormula!$D$2)+COUNTIFS($E:$E,$E27,$D:$D,IF($D27=RegularFormula!$D$2,$K$15,$D27))),IFERROR(IF(percentage,percentage,""),""))</f>
        <v/>
      </c>
      <c r="G27" s="71">
        <f t="array" ref="G27">LET(percentage,XLOOKUP($E27,$K$2:$K$10,M$2:M$10,"",0)/(COUNTIFS($E:$E,$E27,$D:$D,RegularFormula!$D$2)+COUNTIFS($E:$E,$E27,$D:$D,IF($D27=RegularFormula!$D$2,$K$15,$D27))),IFERROR(IF(percentage,percentage,""),""))</f>
        <v>0.025</v>
      </c>
      <c r="H27" s="71">
        <f t="array" ref="H27">LET(percentage,XLOOKUP($E27,$K$2:$K$10,N$2:N$10,"",0)/(COUNTIFS($E:$E,$E27,$D:$D,RegularFormula!$D$2)+COUNTIFS($E:$E,$E27,$D:$D,IF($D27=RegularFormula!$D$2,$K$15,$D27))),IFERROR(IF(percentage,percentage,""),""))</f>
        <v>0.01666666667</v>
      </c>
      <c r="I27" s="72" t="str">
        <f t="shared" si="1"/>
        <v>*Based on Palkia ex pack</v>
      </c>
      <c r="J27" s="73">
        <v>0.0</v>
      </c>
      <c r="K27" s="129" t="s">
        <v>566</v>
      </c>
      <c r="L27" s="130" t="s">
        <v>92</v>
      </c>
      <c r="M27" s="130" t="s">
        <v>93</v>
      </c>
      <c r="N27" s="133" t="s">
        <v>94</v>
      </c>
      <c r="P27" s="103" t="str">
        <f>IFERROR(__xludf.DUMMYFUNCTION("""COMPUTED_VALUE"""),"A2 198")</f>
        <v>A2 198</v>
      </c>
      <c r="Q27" s="103" t="str">
        <f>IFERROR(__xludf.DUMMYFUNCTION("""COMPUTED_VALUE"""),"Pachirisu ex")</f>
        <v>Pachirisu ex</v>
      </c>
      <c r="R27" s="103" t="str">
        <f>IFERROR(__xludf.DUMMYFUNCTION("""COMPUTED_VALUE"""),"☆☆")</f>
        <v>☆☆</v>
      </c>
      <c r="S27" s="231">
        <f t="shared" si="2"/>
        <v>1250</v>
      </c>
    </row>
    <row r="28">
      <c r="A28" s="217" t="b">
        <v>1</v>
      </c>
      <c r="B28" s="230" t="s">
        <v>567</v>
      </c>
      <c r="C28" s="69" t="str">
        <f t="array" ref="C28">TEXTJOIN("", TRUE, IFERROR(INDEX('language&amp;DataTest'!A:J, MATCH(INDEX( PointerTest!C:C, MATCH(B28, PointerTest!A:A, 0), 0), 'language&amp;DataTest'!A:A, 0), MATCH(HOME!$A$25, 'language&amp;DataTest'!$A$1:$H$1, 0))),                      IFERROR(INDEX('language&amp;DataTest'!A:J, MATCH(INDEX( PointerTest!D:D, MATCH(B28, PointerTest!A:A, 0), 0), 'language&amp;DataTest'!A:A, 0), MATCH(HOME!$A$25, 'language&amp;DataTest'!$A$1:$H$1, 0))),                                          
IFERROR(INDEX('language&amp;DataTest'!A:J, MATCH(INDEX( PointerTest!E:E, MATCH(B28, PointerTest!A:A, 0), 0), 'language&amp;DataTest'!A:A, 0), MATCH(HOME!$A$25, 'language&amp;DataTest'!$A$1:$H$1, 0))))</f>
        <v>Chimchar</v>
      </c>
      <c r="D28" s="69" t="str">
        <f t="array" ref="D28">TEXTJOIN("", TRUE, 
IFERROR(INDEX('language&amp;DataTest'!A:J, MATCH(INDEX( PointerTest!C:C, MATCH(INDEX(PointerTest!B:B, MATCH(B28, PointerTest!A:A, 0)), PointerTest!A:A, 0), 0), 'language&amp;DataTest'!A:A, 0), MATCH(HOME!$A$25, 'language&amp;DataTest'!$A$1:$H$1, 0))),                      
IFERROR(INDEX('language&amp;DataTest'!A:J, MATCH(INDEX( PointerTest!D:D, MATCH(INDEX(PointerTest!B:B, MATCH(B28, PointerTest!A:A, 0)), PointerTest!A:A, 0), 0), 'language&amp;DataTest'!A:A, 0), MATCH(HOME!$A$25, 'language&amp;DataTest'!$A$1:$H$1, 0))),                                          
IFERROR(INDEX('language&amp;DataTest'!A:J, MATCH(INDEX( PointerTest!E:E, MATCH(INDEX(PointerTest!B:B, MATCH(B28, PointerTest!A:A, 0)), PointerTest!A:A, 0), 0), 'language&amp;DataTest'!A:A, 0), MATCH(HOME!$A$25, 'language&amp;DataTest'!$A$1:$H$1, 0))))</f>
        <v>Palkia ex</v>
      </c>
      <c r="E28" s="69" t="str">
        <f t="array" ref="E28">INDEX( PointerTest!F:F, MATCH(B28, PointerTest!A:A, 0), 0)</f>
        <v>♢</v>
      </c>
      <c r="F28" s="70">
        <f t="array" ref="F28">LET(percentage,XLOOKUP($E28,$K$2:$K$10,L$2:L$10,"",0)/(COUNTIFS($E:$E,$E28,$D:$D,RegularFormula!$D$2)+COUNTIFS($E:$E,$E28,$D:$D,IF($D28=RegularFormula!$D$2,$K$15,$D28))),IFERROR(IF(percentage,percentage,""),""))</f>
        <v>0.02272727273</v>
      </c>
      <c r="G28" s="71" t="str">
        <f t="array" ref="G28">LET(percentage,XLOOKUP($E28,$K$2:$K$10,M$2:M$10,"",0)/(COUNTIFS($E:$E,$E28,$D:$D,RegularFormula!$D$2)+COUNTIFS($E:$E,$E28,$D:$D,IF($D28=RegularFormula!$D$2,$K$15,$D28))),IFERROR(IF(percentage,percentage,""),""))</f>
        <v/>
      </c>
      <c r="H28" s="71" t="str">
        <f t="array" ref="H28">LET(percentage,XLOOKUP($E28,$K$2:$K$10,N$2:N$10,"",0)/(COUNTIFS($E:$E,$E28,$D:$D,RegularFormula!$D$2)+COUNTIFS($E:$E,$E28,$D:$D,IF($D28=RegularFormula!$D$2,$K$15,$D28))),IFERROR(IF(percentage,percentage,""),""))</f>
        <v/>
      </c>
      <c r="I28" s="72" t="str">
        <f t="shared" si="1"/>
        <v/>
      </c>
      <c r="J28" s="73">
        <v>0.0</v>
      </c>
      <c r="K28" s="131" t="s">
        <v>96</v>
      </c>
      <c r="L28" s="132">
        <f t="shared" ref="L28:L31" si="5">IFERROR(LEFT($N28,SEARCH("/",$N28)-1)/RIGHT($N28,LEN($N28)-SEARCH("/",$N28)),0)</f>
        <v>0.8357487923</v>
      </c>
      <c r="M28" s="132">
        <f t="shared" ref="M28:M31" si="6">1-$L28</f>
        <v>0.1642512077</v>
      </c>
      <c r="N28" s="133" t="str">
        <f t="array" ref="N28">SUMPRODUCT(COUNTIFS($A$2:$A208,TRUE,$E$2:$E208,CardCategories),{$K$21:$K$24;$M$21:$M$24}) &amp; "/" &amp; SUMPRODUCT(COUNTIFS($E$2:$E208,CardCategories),{$K$21:$K$24;$M$21:$M$24})</f>
        <v>173/207</v>
      </c>
      <c r="P28" s="103" t="str">
        <f>IFERROR(__xludf.DUMMYFUNCTION("""COMPUTED_VALUE"""),"A2 199")</f>
        <v>A2 199</v>
      </c>
      <c r="Q28" s="103" t="str">
        <f>IFERROR(__xludf.DUMMYFUNCTION("""COMPUTED_VALUE"""),"Mismagius ex")</f>
        <v>Mismagius ex</v>
      </c>
      <c r="R28" s="103" t="str">
        <f>IFERROR(__xludf.DUMMYFUNCTION("""COMPUTED_VALUE"""),"☆☆")</f>
        <v>☆☆</v>
      </c>
      <c r="S28" s="231">
        <f t="shared" si="2"/>
        <v>1250</v>
      </c>
    </row>
    <row r="29">
      <c r="A29" s="217" t="b">
        <v>1</v>
      </c>
      <c r="B29" s="230" t="s">
        <v>568</v>
      </c>
      <c r="C29" s="69" t="str">
        <f t="array" ref="C29">TEXTJOIN("", TRUE, IFERROR(INDEX('language&amp;DataTest'!A:J, MATCH(INDEX( PointerTest!C:C, MATCH(B29, PointerTest!A:A, 0), 0), 'language&amp;DataTest'!A:A, 0), MATCH(HOME!$A$25, 'language&amp;DataTest'!$A$1:$H$1, 0))),                      IFERROR(INDEX('language&amp;DataTest'!A:J, MATCH(INDEX( PointerTest!D:D, MATCH(B29, PointerTest!A:A, 0), 0), 'language&amp;DataTest'!A:A, 0), MATCH(HOME!$A$25, 'language&amp;DataTest'!$A$1:$H$1, 0))),                                          
IFERROR(INDEX('language&amp;DataTest'!A:J, MATCH(INDEX( PointerTest!E:E, MATCH(B29, PointerTest!A:A, 0), 0), 'language&amp;DataTest'!A:A, 0), MATCH(HOME!$A$25, 'language&amp;DataTest'!$A$1:$H$1, 0))))</f>
        <v>Monferno</v>
      </c>
      <c r="D29" s="69" t="str">
        <f t="array" ref="D29">TEXTJOIN("", TRUE, 
IFERROR(INDEX('language&amp;DataTest'!A:J, MATCH(INDEX( PointerTest!C:C, MATCH(INDEX(PointerTest!B:B, MATCH(B29, PointerTest!A:A, 0)), PointerTest!A:A, 0), 0), 'language&amp;DataTest'!A:A, 0), MATCH(HOME!$A$25, 'language&amp;DataTest'!$A$1:$H$1, 0))),                      
IFERROR(INDEX('language&amp;DataTest'!A:J, MATCH(INDEX( PointerTest!D:D, MATCH(INDEX(PointerTest!B:B, MATCH(B29, PointerTest!A:A, 0)), PointerTest!A:A, 0), 0), 'language&amp;DataTest'!A:A, 0), MATCH(HOME!$A$25, 'language&amp;DataTest'!$A$1:$H$1, 0))),                                          
IFERROR(INDEX('language&amp;DataTest'!A:J, MATCH(INDEX( PointerTest!E:E, MATCH(INDEX(PointerTest!B:B, MATCH(B29, PointerTest!A:A, 0)), PointerTest!A:A, 0), 0), 'language&amp;DataTest'!A:A, 0), MATCH(HOME!$A$25, 'language&amp;DataTest'!$A$1:$H$1, 0))))</f>
        <v>Palkia ex</v>
      </c>
      <c r="E29" s="69" t="str">
        <f t="array" ref="E29">INDEX( PointerTest!F:F, MATCH(B29, PointerTest!A:A, 0), 0)</f>
        <v>♢♢</v>
      </c>
      <c r="F29" s="70" t="str">
        <f t="array" ref="F29">LET(percentage,XLOOKUP($E29,$K$2:$K$10,L$2:L$10,"",0)/(COUNTIFS($E:$E,$E29,$D:$D,RegularFormula!$D$2)+COUNTIFS($E:$E,$E29,$D:$D,IF($D29=RegularFormula!$D$2,$K$15,$D29))),IFERROR(IF(percentage,percentage,""),""))</f>
        <v/>
      </c>
      <c r="G29" s="71">
        <f t="array" ref="G29">LET(percentage,XLOOKUP($E29,$K$2:$K$10,M$2:M$10,"",0)/(COUNTIFS($E:$E,$E29,$D:$D,RegularFormula!$D$2)+COUNTIFS($E:$E,$E29,$D:$D,IF($D29=RegularFormula!$D$2,$K$15,$D29))),IFERROR(IF(percentage,percentage,""),""))</f>
        <v>0.025</v>
      </c>
      <c r="H29" s="71">
        <f t="array" ref="H29">LET(percentage,XLOOKUP($E29,$K$2:$K$10,N$2:N$10,"",0)/(COUNTIFS($E:$E,$E29,$D:$D,RegularFormula!$D$2)+COUNTIFS($E:$E,$E29,$D:$D,IF($D29=RegularFormula!$D$2,$K$15,$D29))),IFERROR(IF(percentage,percentage,""),""))</f>
        <v>0.01666666667</v>
      </c>
      <c r="I29" s="72" t="str">
        <f t="shared" si="1"/>
        <v/>
      </c>
      <c r="J29" s="73">
        <v>0.0</v>
      </c>
      <c r="K29" s="134" t="str">
        <f>C50</f>
        <v>Palkia ex</v>
      </c>
      <c r="L29" s="132">
        <f t="shared" si="5"/>
        <v>0.8024691358</v>
      </c>
      <c r="M29" s="132">
        <f t="shared" si="6"/>
        <v>0.1975308642</v>
      </c>
      <c r="N29" s="135" t="str">
        <f t="array" ref="N29">SUMPRODUCT(COUNTIFS($A$2:$A208,TRUE,$E$2:$E208,CardCategories,$D$2:$D208,$K29),{$K$21:$K$24;$M$21:$M$24}) &amp; "/" &amp; SUMPRODUCT(COUNTIFS($E$2:$E208,CardCategories,$D$2:$D208,$K29),{$K$21:$K$24;$M$21:$M$24})</f>
        <v>65/81</v>
      </c>
      <c r="P29" s="103" t="str">
        <f>IFERROR(__xludf.DUMMYFUNCTION("""COMPUTED_VALUE"""),"A2 200")</f>
        <v>A2 200</v>
      </c>
      <c r="Q29" s="103" t="str">
        <f>IFERROR(__xludf.DUMMYFUNCTION("""COMPUTED_VALUE"""),"Gallade ex")</f>
        <v>Gallade ex</v>
      </c>
      <c r="R29" s="103" t="str">
        <f>IFERROR(__xludf.DUMMYFUNCTION("""COMPUTED_VALUE"""),"☆☆")</f>
        <v>☆☆</v>
      </c>
      <c r="S29" s="231">
        <f t="shared" si="2"/>
        <v>1250</v>
      </c>
    </row>
    <row r="30">
      <c r="A30" s="217" t="b">
        <v>1</v>
      </c>
      <c r="B30" s="230" t="s">
        <v>569</v>
      </c>
      <c r="C30" s="69" t="str">
        <f t="array" ref="C30">TEXTJOIN("", TRUE, IFERROR(INDEX('language&amp;DataTest'!A:J, MATCH(INDEX( PointerTest!C:C, MATCH(B30, PointerTest!A:A, 0), 0), 'language&amp;DataTest'!A:A, 0), MATCH(HOME!$A$25, 'language&amp;DataTest'!$A$1:$H$1, 0))),                      IFERROR(INDEX('language&amp;DataTest'!A:J, MATCH(INDEX( PointerTest!D:D, MATCH(B30, PointerTest!A:A, 0), 0), 'language&amp;DataTest'!A:A, 0), MATCH(HOME!$A$25, 'language&amp;DataTest'!$A$1:$H$1, 0))),                                          
IFERROR(INDEX('language&amp;DataTest'!A:J, MATCH(INDEX( PointerTest!E:E, MATCH(B30, PointerTest!A:A, 0), 0), 'language&amp;DataTest'!A:A, 0), MATCH(HOME!$A$25, 'language&amp;DataTest'!$A$1:$H$1, 0))))</f>
        <v>Infernape ex</v>
      </c>
      <c r="D30" s="69" t="str">
        <f t="array" ref="D30">TEXTJOIN("", TRUE, 
IFERROR(INDEX('language&amp;DataTest'!A:J, MATCH(INDEX( PointerTest!C:C, MATCH(INDEX(PointerTest!B:B, MATCH(B30, PointerTest!A:A, 0)), PointerTest!A:A, 0), 0), 'language&amp;DataTest'!A:A, 0), MATCH(HOME!$A$25, 'language&amp;DataTest'!$A$1:$H$1, 0))),                      
IFERROR(INDEX('language&amp;DataTest'!A:J, MATCH(INDEX( PointerTest!D:D, MATCH(INDEX(PointerTest!B:B, MATCH(B30, PointerTest!A:A, 0)), PointerTest!A:A, 0), 0), 'language&amp;DataTest'!A:A, 0), MATCH(HOME!$A$25, 'language&amp;DataTest'!$A$1:$H$1, 0))),                                          
IFERROR(INDEX('language&amp;DataTest'!A:J, MATCH(INDEX( PointerTest!E:E, MATCH(INDEX(PointerTest!B:B, MATCH(B30, PointerTest!A:A, 0)), PointerTest!A:A, 0), 0), 'language&amp;DataTest'!A:A, 0), MATCH(HOME!$A$25, 'language&amp;DataTest'!$A$1:$H$1, 0))))</f>
        <v>Palkia ex</v>
      </c>
      <c r="E30" s="69" t="str">
        <f t="array" ref="E30">INDEX( PointerTest!F:F, MATCH(B30, PointerTest!A:A, 0), 0)</f>
        <v>♢♢♢♢</v>
      </c>
      <c r="F30" s="70" t="str">
        <f t="array" ref="F30">LET(percentage,XLOOKUP($E30,$K$2:$K$10,L$2:L$10,"",0)/(COUNTIFS($E:$E,$E30,$D:$D,RegularFormula!$D$2)+COUNTIFS($E:$E,$E30,$D:$D,IF($D30=RegularFormula!$D$2,$K$15,$D30))),IFERROR(IF(percentage,percentage,""),""))</f>
        <v/>
      </c>
      <c r="G30" s="71">
        <f t="array" ref="G30">LET(percentage,XLOOKUP($E30,$K$2:$K$10,M$2:M$10,"",0)/(COUNTIFS($E:$E,$E30,$D:$D,RegularFormula!$D$2)+COUNTIFS($E:$E,$E30,$D:$D,IF($D30=RegularFormula!$D$2,$K$15,$D30))),IFERROR(IF(percentage,percentage,""),""))</f>
        <v>0.003332</v>
      </c>
      <c r="H30" s="71">
        <f t="array" ref="H30">LET(percentage,XLOOKUP($E30,$K$2:$K$10,N$2:N$10,"",0)/(COUNTIFS($E:$E,$E30,$D:$D,RegularFormula!$D$2)+COUNTIFS($E:$E,$E30,$D:$D,IF($D30=RegularFormula!$D$2,$K$15,$D30))),IFERROR(IF(percentage,percentage,""),""))</f>
        <v>0.013328</v>
      </c>
      <c r="I30" s="72" t="str">
        <f t="shared" si="1"/>
        <v/>
      </c>
      <c r="J30" s="73">
        <v>0.0</v>
      </c>
      <c r="K30" s="136" t="str">
        <f>C120</f>
        <v>Dialga ex</v>
      </c>
      <c r="L30" s="132">
        <f t="shared" si="5"/>
        <v>0.8024691358</v>
      </c>
      <c r="M30" s="132">
        <f t="shared" si="6"/>
        <v>0.1975308642</v>
      </c>
      <c r="N30" s="135" t="str">
        <f t="array" ref="N30">SUMPRODUCT(COUNTIFS($A$2:$A208,TRUE,$E$2:$E208,CardCategories,$D$2:$D208,$K30),{$K$21:$K$24;$M$21:$M$24}) &amp; "/" &amp; SUMPRODUCT(COUNTIFS($E$2:$E208,CardCategories,$D$2:$D208,$K30),{$K$21:$K$24;$M$21:$M$24})</f>
        <v>65/81</v>
      </c>
      <c r="P30" s="103" t="str">
        <f>IFERROR(__xludf.DUMMYFUNCTION("""COMPUTED_VALUE"""),"A2 202")</f>
        <v>A2 202</v>
      </c>
      <c r="Q30" s="103" t="str">
        <f>IFERROR(__xludf.DUMMYFUNCTION("""COMPUTED_VALUE"""),"Darkrai ex")</f>
        <v>Darkrai ex</v>
      </c>
      <c r="R30" s="103" t="str">
        <f>IFERROR(__xludf.DUMMYFUNCTION("""COMPUTED_VALUE"""),"☆☆")</f>
        <v>☆☆</v>
      </c>
      <c r="S30" s="231">
        <f t="shared" si="2"/>
        <v>1250</v>
      </c>
    </row>
    <row r="31">
      <c r="A31" s="217" t="b">
        <v>1</v>
      </c>
      <c r="B31" s="230" t="s">
        <v>570</v>
      </c>
      <c r="C31" s="69" t="str">
        <f t="array" ref="C31">TEXTJOIN("", TRUE, IFERROR(INDEX('language&amp;DataTest'!A:J, MATCH(INDEX( PointerTest!C:C, MATCH(B31, PointerTest!A:A, 0), 0), 'language&amp;DataTest'!A:A, 0), MATCH(HOME!$A$25, 'language&amp;DataTest'!$A$1:$H$1, 0))),                      IFERROR(INDEX('language&amp;DataTest'!A:J, MATCH(INDEX( PointerTest!D:D, MATCH(B31, PointerTest!A:A, 0), 0), 'language&amp;DataTest'!A:A, 0), MATCH(HOME!$A$25, 'language&amp;DataTest'!$A$1:$H$1, 0))),                                          
IFERROR(INDEX('language&amp;DataTest'!A:J, MATCH(INDEX( PointerTest!E:E, MATCH(B31, PointerTest!A:A, 0), 0), 'language&amp;DataTest'!A:A, 0), MATCH(HOME!$A$25, 'language&amp;DataTest'!$A$1:$H$1, 0))))</f>
        <v>Heat Rotom</v>
      </c>
      <c r="D31" s="69" t="str">
        <f t="array" ref="D31">TEXTJOIN("", TRUE, 
IFERROR(INDEX('language&amp;DataTest'!A:J, MATCH(INDEX( PointerTest!C:C, MATCH(INDEX(PointerTest!B:B, MATCH(B31, PointerTest!A:A, 0)), PointerTest!A:A, 0), 0), 'language&amp;DataTest'!A:A, 0), MATCH(HOME!$A$25, 'language&amp;DataTest'!$A$1:$H$1, 0))),                      
IFERROR(INDEX('language&amp;DataTest'!A:J, MATCH(INDEX( PointerTest!D:D, MATCH(INDEX(PointerTest!B:B, MATCH(B31, PointerTest!A:A, 0)), PointerTest!A:A, 0), 0), 'language&amp;DataTest'!A:A, 0), MATCH(HOME!$A$25, 'language&amp;DataTest'!$A$1:$H$1, 0))),                                          
IFERROR(INDEX('language&amp;DataTest'!A:J, MATCH(INDEX( PointerTest!E:E, MATCH(INDEX(PointerTest!B:B, MATCH(B31, PointerTest!A:A, 0)), PointerTest!A:A, 0), 0), 'language&amp;DataTest'!A:A, 0), MATCH(HOME!$A$25, 'language&amp;DataTest'!$A$1:$H$1, 0))))</f>
        <v>All</v>
      </c>
      <c r="E31" s="69" t="str">
        <f t="array" ref="E31">INDEX( PointerTest!F:F, MATCH(B31, PointerTest!A:A, 0), 0)</f>
        <v>♢</v>
      </c>
      <c r="F31" s="70">
        <f t="array" ref="F31">LET(percentage,XLOOKUP($E31,$K$2:$K$10,L$2:L$10,"",0)/(COUNTIFS($E:$E,$E31,$D:$D,RegularFormula!$D$2)+COUNTIFS($E:$E,$E31,$D:$D,IF($D31=RegularFormula!$D$2,$K$15,$D31))),IFERROR(IF(percentage,percentage,""),""))</f>
        <v>0.02272727273</v>
      </c>
      <c r="G31" s="71" t="str">
        <f t="array" ref="G31">LET(percentage,XLOOKUP($E31,$K$2:$K$10,M$2:M$10,"",0)/(COUNTIFS($E:$E,$E31,$D:$D,RegularFormula!$D$2)+COUNTIFS($E:$E,$E31,$D:$D,IF($D31=RegularFormula!$D$2,$K$15,$D31))),IFERROR(IF(percentage,percentage,""),""))</f>
        <v/>
      </c>
      <c r="H31" s="71" t="str">
        <f t="array" ref="H31">LET(percentage,XLOOKUP($E31,$K$2:$K$10,N$2:N$10,"",0)/(COUNTIFS($E:$E,$E31,$D:$D,RegularFormula!$D$2)+COUNTIFS($E:$E,$E31,$D:$D,IF($D31=RegularFormula!$D$2,$K$15,$D31))),IFERROR(IF(percentage,percentage,""),""))</f>
        <v/>
      </c>
      <c r="I31" s="72" t="str">
        <f t="shared" si="1"/>
        <v>*Based on Palkia ex pack</v>
      </c>
      <c r="J31" s="73">
        <v>0.0</v>
      </c>
      <c r="K31" s="138" t="str">
        <f>D27</f>
        <v>All</v>
      </c>
      <c r="L31" s="132">
        <f t="shared" si="5"/>
        <v>0.9555555556</v>
      </c>
      <c r="M31" s="132">
        <f t="shared" si="6"/>
        <v>0.04444444444</v>
      </c>
      <c r="N31" s="135" t="str">
        <f t="array" ref="N31">SUMPRODUCT(COUNTIFS($A$2:$A208,TRUE,$E$2:$E208,CardCategories,$D$2:$D208,$K31),{$K$21:$K$24;$M$21:$M$24}) &amp; "/" &amp; SUMPRODUCT(COUNTIFS($E$2:$E208,CardCategories,$D$2:$D208,$K31),{$K$21:$K$24;$M$21:$M$24})</f>
        <v>43/45</v>
      </c>
      <c r="P31" s="103" t="str">
        <f>IFERROR(__xludf.DUMMYFUNCTION("""COMPUTED_VALUE"""),"A2 203")</f>
        <v>A2 203</v>
      </c>
      <c r="Q31" s="103" t="str">
        <f>IFERROR(__xludf.DUMMYFUNCTION("""COMPUTED_VALUE"""),"Lickilicky ex")</f>
        <v>Lickilicky ex</v>
      </c>
      <c r="R31" s="103" t="str">
        <f>IFERROR(__xludf.DUMMYFUNCTION("""COMPUTED_VALUE"""),"☆☆")</f>
        <v>☆☆</v>
      </c>
      <c r="S31" s="231">
        <f t="shared" si="2"/>
        <v>1250</v>
      </c>
    </row>
    <row r="32">
      <c r="A32" s="217" t="b">
        <v>1</v>
      </c>
      <c r="B32" s="230" t="s">
        <v>571</v>
      </c>
      <c r="C32" s="69" t="str">
        <f t="array" ref="C32">TEXTJOIN("", TRUE, IFERROR(INDEX('language&amp;DataTest'!A:J, MATCH(INDEX( PointerTest!C:C, MATCH(B32, PointerTest!A:A, 0), 0), 'language&amp;DataTest'!A:A, 0), MATCH(HOME!$A$25, 'language&amp;DataTest'!$A$1:$H$1, 0))),                      IFERROR(INDEX('language&amp;DataTest'!A:J, MATCH(INDEX( PointerTest!D:D, MATCH(B32, PointerTest!A:A, 0), 0), 'language&amp;DataTest'!A:A, 0), MATCH(HOME!$A$25, 'language&amp;DataTest'!$A$1:$H$1, 0))),                                          
IFERROR(INDEX('language&amp;DataTest'!A:J, MATCH(INDEX( PointerTest!E:E, MATCH(B32, PointerTest!A:A, 0), 0), 'language&amp;DataTest'!A:A, 0), MATCH(HOME!$A$25, 'language&amp;DataTest'!$A$1:$H$1, 0))))</f>
        <v>Swinub</v>
      </c>
      <c r="D32" s="69" t="str">
        <f t="array" ref="D32">TEXTJOIN("", TRUE, 
IFERROR(INDEX('language&amp;DataTest'!A:J, MATCH(INDEX( PointerTest!C:C, MATCH(INDEX(PointerTest!B:B, MATCH(B32, PointerTest!A:A, 0)), PointerTest!A:A, 0), 0), 'language&amp;DataTest'!A:A, 0), MATCH(HOME!$A$25, 'language&amp;DataTest'!$A$1:$H$1, 0))),                      
IFERROR(INDEX('language&amp;DataTest'!A:J, MATCH(INDEX( PointerTest!D:D, MATCH(INDEX(PointerTest!B:B, MATCH(B32, PointerTest!A:A, 0)), PointerTest!A:A, 0), 0), 'language&amp;DataTest'!A:A, 0), MATCH(HOME!$A$25, 'language&amp;DataTest'!$A$1:$H$1, 0))),                                          
IFERROR(INDEX('language&amp;DataTest'!A:J, MATCH(INDEX( PointerTest!E:E, MATCH(INDEX(PointerTest!B:B, MATCH(B32, PointerTest!A:A, 0)), PointerTest!A:A, 0), 0), 'language&amp;DataTest'!A:A, 0), MATCH(HOME!$A$25, 'language&amp;DataTest'!$A$1:$H$1, 0))))</f>
        <v>Dialga ex</v>
      </c>
      <c r="E32" s="69" t="str">
        <f t="array" ref="E32">INDEX( PointerTest!F:F, MATCH(B32, PointerTest!A:A, 0), 0)</f>
        <v>♢</v>
      </c>
      <c r="F32" s="70">
        <f t="array" ref="F32">LET(percentage,XLOOKUP($E32,$K$2:$K$10,L$2:L$10,"",0)/(COUNTIFS($E:$E,$E32,$D:$D,RegularFormula!$D$2)+COUNTIFS($E:$E,$E32,$D:$D,IF($D32=RegularFormula!$D$2,$K$15,$D32))),IFERROR(IF(percentage,percentage,""),""))</f>
        <v>0.02173913043</v>
      </c>
      <c r="G32" s="71" t="str">
        <f t="array" ref="G32">LET(percentage,XLOOKUP($E32,$K$2:$K$10,M$2:M$10,"",0)/(COUNTIFS($E:$E,$E32,$D:$D,RegularFormula!$D$2)+COUNTIFS($E:$E,$E32,$D:$D,IF($D32=RegularFormula!$D$2,$K$15,$D32))),IFERROR(IF(percentage,percentage,""),""))</f>
        <v/>
      </c>
      <c r="H32" s="71" t="str">
        <f t="array" ref="H32">LET(percentage,XLOOKUP($E32,$K$2:$K$10,N$2:N$10,"",0)/(COUNTIFS($E:$E,$E32,$D:$D,RegularFormula!$D$2)+COUNTIFS($E:$E,$E32,$D:$D,IF($D32=RegularFormula!$D$2,$K$15,$D32))),IFERROR(IF(percentage,percentage,""),""))</f>
        <v/>
      </c>
      <c r="I32" s="72" t="str">
        <f t="shared" si="1"/>
        <v/>
      </c>
      <c r="J32" s="73">
        <v>0.0</v>
      </c>
      <c r="K32" s="139" t="s">
        <v>101</v>
      </c>
      <c r="L32" s="140" t="str">
        <f>IF(M29 = MAX(M29:M30), K29, IF(M30 = MAX(M29:M30), K30, #REF!))</f>
        <v>Palkia ex</v>
      </c>
      <c r="N32" s="119"/>
      <c r="P32" s="103" t="str">
        <f>IFERROR(__xludf.DUMMYFUNCTION("""COMPUTED_VALUE"""),"A2 204")</f>
        <v>A2 204</v>
      </c>
      <c r="Q32" s="103" t="str">
        <f>IFERROR(__xludf.DUMMYFUNCTION("""COMPUTED_VALUE"""),"Palkia ex")</f>
        <v>Palkia ex</v>
      </c>
      <c r="R32" s="103" t="str">
        <f>IFERROR(__xludf.DUMMYFUNCTION("""COMPUTED_VALUE"""),"☆☆☆")</f>
        <v>☆☆☆</v>
      </c>
      <c r="S32" s="231">
        <f t="shared" si="2"/>
        <v>1500</v>
      </c>
    </row>
    <row r="33">
      <c r="A33" s="217" t="b">
        <v>1</v>
      </c>
      <c r="B33" s="230" t="s">
        <v>572</v>
      </c>
      <c r="C33" s="69" t="str">
        <f t="array" ref="C33">TEXTJOIN("", TRUE, IFERROR(INDEX('language&amp;DataTest'!A:J, MATCH(INDEX( PointerTest!C:C, MATCH(B33, PointerTest!A:A, 0), 0), 'language&amp;DataTest'!A:A, 0), MATCH(HOME!$A$25, 'language&amp;DataTest'!$A$1:$H$1, 0))),                      IFERROR(INDEX('language&amp;DataTest'!A:J, MATCH(INDEX( PointerTest!D:D, MATCH(B33, PointerTest!A:A, 0), 0), 'language&amp;DataTest'!A:A, 0), MATCH(HOME!$A$25, 'language&amp;DataTest'!$A$1:$H$1, 0))),                                          
IFERROR(INDEX('language&amp;DataTest'!A:J, MATCH(INDEX( PointerTest!E:E, MATCH(B33, PointerTest!A:A, 0), 0), 'language&amp;DataTest'!A:A, 0), MATCH(HOME!$A$25, 'language&amp;DataTest'!$A$1:$H$1, 0))))</f>
        <v>Piloswine</v>
      </c>
      <c r="D33" s="69" t="str">
        <f t="array" ref="D33">TEXTJOIN("", TRUE, 
IFERROR(INDEX('language&amp;DataTest'!A:J, MATCH(INDEX( PointerTest!C:C, MATCH(INDEX(PointerTest!B:B, MATCH(B33, PointerTest!A:A, 0)), PointerTest!A:A, 0), 0), 'language&amp;DataTest'!A:A, 0), MATCH(HOME!$A$25, 'language&amp;DataTest'!$A$1:$H$1, 0))),                      
IFERROR(INDEX('language&amp;DataTest'!A:J, MATCH(INDEX( PointerTest!D:D, MATCH(INDEX(PointerTest!B:B, MATCH(B33, PointerTest!A:A, 0)), PointerTest!A:A, 0), 0), 'language&amp;DataTest'!A:A, 0), MATCH(HOME!$A$25, 'language&amp;DataTest'!$A$1:$H$1, 0))),                                          
IFERROR(INDEX('language&amp;DataTest'!A:J, MATCH(INDEX( PointerTest!E:E, MATCH(INDEX(PointerTest!B:B, MATCH(B33, PointerTest!A:A, 0)), PointerTest!A:A, 0), 0), 'language&amp;DataTest'!A:A, 0), MATCH(HOME!$A$25, 'language&amp;DataTest'!$A$1:$H$1, 0))))</f>
        <v>Dialga ex</v>
      </c>
      <c r="E33" s="69" t="str">
        <f t="array" ref="E33">INDEX( PointerTest!F:F, MATCH(B33, PointerTest!A:A, 0), 0)</f>
        <v>♢♢</v>
      </c>
      <c r="F33" s="70" t="str">
        <f t="array" ref="F33">LET(percentage,XLOOKUP($E33,$K$2:$K$10,L$2:L$10,"",0)/(COUNTIFS($E:$E,$E33,$D:$D,RegularFormula!$D$2)+COUNTIFS($E:$E,$E33,$D:$D,IF($D33=RegularFormula!$D$2,$K$15,$D33))),IFERROR(IF(percentage,percentage,""),""))</f>
        <v/>
      </c>
      <c r="G33" s="71">
        <f t="array" ref="G33">LET(percentage,XLOOKUP($E33,$K$2:$K$10,M$2:M$10,"",0)/(COUNTIFS($E:$E,$E33,$D:$D,RegularFormula!$D$2)+COUNTIFS($E:$E,$E33,$D:$D,IF($D33=RegularFormula!$D$2,$K$15,$D33))),IFERROR(IF(percentage,percentage,""),""))</f>
        <v>0.02647058824</v>
      </c>
      <c r="H33" s="71">
        <f t="array" ref="H33">LET(percentage,XLOOKUP($E33,$K$2:$K$10,N$2:N$10,"",0)/(COUNTIFS($E:$E,$E33,$D:$D,RegularFormula!$D$2)+COUNTIFS($E:$E,$E33,$D:$D,IF($D33=RegularFormula!$D$2,$K$15,$D33))),IFERROR(IF(percentage,percentage,""),""))</f>
        <v>0.01764705882</v>
      </c>
      <c r="I33" s="72" t="str">
        <f t="shared" si="1"/>
        <v/>
      </c>
      <c r="J33" s="73">
        <v>0.0</v>
      </c>
      <c r="K33" s="118"/>
      <c r="N33" s="119"/>
      <c r="P33" s="103" t="str">
        <f>IFERROR(__xludf.DUMMYFUNCTION("""COMPUTED_VALUE"""),"A2 205")</f>
        <v>A2 205</v>
      </c>
      <c r="Q33" s="103" t="str">
        <f>IFERROR(__xludf.DUMMYFUNCTION("""COMPUTED_VALUE"""),"Dialga ex")</f>
        <v>Dialga ex</v>
      </c>
      <c r="R33" s="103" t="str">
        <f>IFERROR(__xludf.DUMMYFUNCTION("""COMPUTED_VALUE"""),"☆☆☆")</f>
        <v>☆☆☆</v>
      </c>
      <c r="S33" s="231">
        <f t="shared" si="2"/>
        <v>1500</v>
      </c>
    </row>
    <row r="34">
      <c r="A34" s="217" t="b">
        <v>1</v>
      </c>
      <c r="B34" s="230" t="s">
        <v>573</v>
      </c>
      <c r="C34" s="69" t="str">
        <f t="array" ref="C34">TEXTJOIN("", TRUE, IFERROR(INDEX('language&amp;DataTest'!A:J, MATCH(INDEX( PointerTest!C:C, MATCH(B34, PointerTest!A:A, 0), 0), 'language&amp;DataTest'!A:A, 0), MATCH(HOME!$A$25, 'language&amp;DataTest'!$A$1:$H$1, 0))),                      IFERROR(INDEX('language&amp;DataTest'!A:J, MATCH(INDEX( PointerTest!D:D, MATCH(B34, PointerTest!A:A, 0), 0), 'language&amp;DataTest'!A:A, 0), MATCH(HOME!$A$25, 'language&amp;DataTest'!$A$1:$H$1, 0))),                                          
IFERROR(INDEX('language&amp;DataTest'!A:J, MATCH(INDEX( PointerTest!E:E, MATCH(B34, PointerTest!A:A, 0), 0), 'language&amp;DataTest'!A:A, 0), MATCH(HOME!$A$25, 'language&amp;DataTest'!$A$1:$H$1, 0))))</f>
        <v>Mamoswine</v>
      </c>
      <c r="D34" s="69" t="str">
        <f t="array" ref="D34">TEXTJOIN("", TRUE, 
IFERROR(INDEX('language&amp;DataTest'!A:J, MATCH(INDEX( PointerTest!C:C, MATCH(INDEX(PointerTest!B:B, MATCH(B34, PointerTest!A:A, 0)), PointerTest!A:A, 0), 0), 'language&amp;DataTest'!A:A, 0), MATCH(HOME!$A$25, 'language&amp;DataTest'!$A$1:$H$1, 0))),                      
IFERROR(INDEX('language&amp;DataTest'!A:J, MATCH(INDEX( PointerTest!D:D, MATCH(INDEX(PointerTest!B:B, MATCH(B34, PointerTest!A:A, 0)), PointerTest!A:A, 0), 0), 'language&amp;DataTest'!A:A, 0), MATCH(HOME!$A$25, 'language&amp;DataTest'!$A$1:$H$1, 0))),                                          
IFERROR(INDEX('language&amp;DataTest'!A:J, MATCH(INDEX( PointerTest!E:E, MATCH(INDEX(PointerTest!B:B, MATCH(B34, PointerTest!A:A, 0)), PointerTest!A:A, 0), 0), 'language&amp;DataTest'!A:A, 0), MATCH(HOME!$A$25, 'language&amp;DataTest'!$A$1:$H$1, 0))))</f>
        <v>Dialga ex</v>
      </c>
      <c r="E34" s="69" t="str">
        <f t="array" ref="E34">INDEX( PointerTest!F:F, MATCH(B34, PointerTest!A:A, 0), 0)</f>
        <v>♢♢♢</v>
      </c>
      <c r="F34" s="70" t="str">
        <f t="array" ref="F34">LET(percentage,XLOOKUP($E34,$K$2:$K$10,L$2:L$10,"",0)/(COUNTIFS($E:$E,$E34,$D:$D,RegularFormula!$D$2)+COUNTIFS($E:$E,$E34,$D:$D,IF($D34=RegularFormula!$D$2,$K$15,$D34))),IFERROR(IF(percentage,percentage,""),""))</f>
        <v/>
      </c>
      <c r="G34" s="71">
        <f t="array" ref="G34">LET(percentage,XLOOKUP($E34,$K$2:$K$10,M$2:M$10,"",0)/(COUNTIFS($E:$E,$E34,$D:$D,RegularFormula!$D$2)+COUNTIFS($E:$E,$E34,$D:$D,IF($D34=RegularFormula!$D$2,$K$15,$D34))),IFERROR(IF(percentage,percentage,""),""))</f>
        <v>0.003571428571</v>
      </c>
      <c r="H34" s="71">
        <f t="array" ref="H34">LET(percentage,XLOOKUP($E34,$K$2:$K$10,N$2:N$10,"",0)/(COUNTIFS($E:$E,$E34,$D:$D,RegularFormula!$D$2)+COUNTIFS($E:$E,$E34,$D:$D,IF($D34=RegularFormula!$D$2,$K$15,$D34))),IFERROR(IF(percentage,percentage,""),""))</f>
        <v>0.01428571429</v>
      </c>
      <c r="I34" s="72" t="str">
        <f t="shared" si="1"/>
        <v/>
      </c>
      <c r="J34" s="73">
        <v>0.0</v>
      </c>
      <c r="K34" s="144" t="s">
        <v>127</v>
      </c>
      <c r="N34" s="119"/>
      <c r="O34" s="232" t="s">
        <v>574</v>
      </c>
      <c r="P34" s="103" t="str">
        <f>IFERROR(__xludf.DUMMYFUNCTION("""COMPUTED_VALUE"""),"A2 206")</f>
        <v>A2 206</v>
      </c>
      <c r="Q34" s="103" t="str">
        <f>IFERROR(__xludf.DUMMYFUNCTION("""COMPUTED_VALUE"""),"Palkia ex")</f>
        <v>Palkia ex</v>
      </c>
      <c r="R34" s="103" t="str">
        <f>IFERROR(__xludf.DUMMYFUNCTION("""COMPUTED_VALUE"""),"♛")</f>
        <v>♛</v>
      </c>
      <c r="S34" s="231">
        <f t="shared" si="2"/>
        <v>2500</v>
      </c>
    </row>
    <row r="35">
      <c r="A35" s="217" t="b">
        <v>1</v>
      </c>
      <c r="B35" s="230" t="s">
        <v>575</v>
      </c>
      <c r="C35" s="69" t="str">
        <f t="array" ref="C35">TEXTJOIN("", TRUE, IFERROR(INDEX('language&amp;DataTest'!A:J, MATCH(INDEX( PointerTest!C:C, MATCH(B35, PointerTest!A:A, 0), 0), 'language&amp;DataTest'!A:A, 0), MATCH(HOME!$A$25, 'language&amp;DataTest'!$A$1:$H$1, 0))),                      IFERROR(INDEX('language&amp;DataTest'!A:J, MATCH(INDEX( PointerTest!D:D, MATCH(B35, PointerTest!A:A, 0), 0), 'language&amp;DataTest'!A:A, 0), MATCH(HOME!$A$25, 'language&amp;DataTest'!$A$1:$H$1, 0))),                                          
IFERROR(INDEX('language&amp;DataTest'!A:J, MATCH(INDEX( PointerTest!E:E, MATCH(B35, PointerTest!A:A, 0), 0), 'language&amp;DataTest'!A:A, 0), MATCH(HOME!$A$25, 'language&amp;DataTest'!$A$1:$H$1, 0))))</f>
        <v>Regice</v>
      </c>
      <c r="D35" s="69" t="str">
        <f t="array" ref="D35">TEXTJOIN("", TRUE, 
IFERROR(INDEX('language&amp;DataTest'!A:J, MATCH(INDEX( PointerTest!C:C, MATCH(INDEX(PointerTest!B:B, MATCH(B35, PointerTest!A:A, 0)), PointerTest!A:A, 0), 0), 'language&amp;DataTest'!A:A, 0), MATCH(HOME!$A$25, 'language&amp;DataTest'!$A$1:$H$1, 0))),                      
IFERROR(INDEX('language&amp;DataTest'!A:J, MATCH(INDEX( PointerTest!D:D, MATCH(INDEX(PointerTest!B:B, MATCH(B35, PointerTest!A:A, 0)), PointerTest!A:A, 0), 0), 'language&amp;DataTest'!A:A, 0), MATCH(HOME!$A$25, 'language&amp;DataTest'!$A$1:$H$1, 0))),                                          
IFERROR(INDEX('language&amp;DataTest'!A:J, MATCH(INDEX( PointerTest!E:E, MATCH(INDEX(PointerTest!B:B, MATCH(B35, PointerTest!A:A, 0)), PointerTest!A:A, 0), 0), 'language&amp;DataTest'!A:A, 0), MATCH(HOME!$A$25, 'language&amp;DataTest'!$A$1:$H$1, 0))))</f>
        <v>Palkia ex</v>
      </c>
      <c r="E35" s="69" t="str">
        <f t="array" ref="E35">INDEX( PointerTest!F:F, MATCH(B35, PointerTest!A:A, 0), 0)</f>
        <v>♢♢</v>
      </c>
      <c r="F35" s="70" t="str">
        <f t="array" ref="F35">LET(percentage,XLOOKUP($E35,$K$2:$K$10,L$2:L$10,"",0)/(COUNTIFS($E:$E,$E35,$D:$D,RegularFormula!$D$2)+COUNTIFS($E:$E,$E35,$D:$D,IF($D35=RegularFormula!$D$2,$K$15,$D35))),IFERROR(IF(percentage,percentage,""),""))</f>
        <v/>
      </c>
      <c r="G35" s="71">
        <f t="array" ref="G35">LET(percentage,XLOOKUP($E35,$K$2:$K$10,M$2:M$10,"",0)/(COUNTIFS($E:$E,$E35,$D:$D,RegularFormula!$D$2)+COUNTIFS($E:$E,$E35,$D:$D,IF($D35=RegularFormula!$D$2,$K$15,$D35))),IFERROR(IF(percentage,percentage,""),""))</f>
        <v>0.025</v>
      </c>
      <c r="H35" s="71">
        <f t="array" ref="H35">LET(percentage,XLOOKUP($E35,$K$2:$K$10,N$2:N$10,"",0)/(COUNTIFS($E:$E,$E35,$D:$D,RegularFormula!$D$2)+COUNTIFS($E:$E,$E35,$D:$D,IF($D35=RegularFormula!$D$2,$K$15,$D35))),IFERROR(IF(percentage,percentage,""),""))</f>
        <v>0.01666666667</v>
      </c>
      <c r="I35" s="72" t="str">
        <f t="shared" si="1"/>
        <v/>
      </c>
      <c r="J35" s="73">
        <v>0.0</v>
      </c>
      <c r="K35" s="145" t="s">
        <v>91</v>
      </c>
      <c r="L35" s="69" t="s">
        <v>58</v>
      </c>
      <c r="M35" s="69" t="s">
        <v>59</v>
      </c>
      <c r="N35" s="222" t="s">
        <v>60</v>
      </c>
      <c r="P35" s="86" t="str">
        <f>IFERROR(__xludf.DUMMYFUNCTION("""COMPUTED_VALUE"""),"A2 207")</f>
        <v>A2 207</v>
      </c>
      <c r="Q35" s="86" t="str">
        <f>IFERROR(__xludf.DUMMYFUNCTION("""COMPUTED_VALUE"""),"Dialga ex")</f>
        <v>Dialga ex</v>
      </c>
      <c r="R35" s="86" t="str">
        <f>IFERROR(__xludf.DUMMYFUNCTION("""COMPUTED_VALUE"""),"♛")</f>
        <v>♛</v>
      </c>
      <c r="S35" s="231">
        <f t="shared" si="2"/>
        <v>2500</v>
      </c>
    </row>
    <row r="36">
      <c r="A36" s="217" t="b">
        <v>1</v>
      </c>
      <c r="B36" s="230" t="s">
        <v>576</v>
      </c>
      <c r="C36" s="69" t="str">
        <f t="array" ref="C36">TEXTJOIN("", TRUE, IFERROR(INDEX('language&amp;DataTest'!A:J, MATCH(INDEX( PointerTest!C:C, MATCH(B36, PointerTest!A:A, 0), 0), 'language&amp;DataTest'!A:A, 0), MATCH(HOME!$A$25, 'language&amp;DataTest'!$A$1:$H$1, 0))),                      IFERROR(INDEX('language&amp;DataTest'!A:J, MATCH(INDEX( PointerTest!D:D, MATCH(B36, PointerTest!A:A, 0), 0), 'language&amp;DataTest'!A:A, 0), MATCH(HOME!$A$25, 'language&amp;DataTest'!$A$1:$H$1, 0))),                                          
IFERROR(INDEX('language&amp;DataTest'!A:J, MATCH(INDEX( PointerTest!E:E, MATCH(B36, PointerTest!A:A, 0), 0), 'language&amp;DataTest'!A:A, 0), MATCH(HOME!$A$25, 'language&amp;DataTest'!$A$1:$H$1, 0))))</f>
        <v>Piplup</v>
      </c>
      <c r="D36" s="69" t="str">
        <f t="array" ref="D36">TEXTJOIN("", TRUE, 
IFERROR(INDEX('language&amp;DataTest'!A:J, MATCH(INDEX( PointerTest!C:C, MATCH(INDEX(PointerTest!B:B, MATCH(B36, PointerTest!A:A, 0)), PointerTest!A:A, 0), 0), 'language&amp;DataTest'!A:A, 0), MATCH(HOME!$A$25, 'language&amp;DataTest'!$A$1:$H$1, 0))),                      
IFERROR(INDEX('language&amp;DataTest'!A:J, MATCH(INDEX( PointerTest!D:D, MATCH(INDEX(PointerTest!B:B, MATCH(B36, PointerTest!A:A, 0)), PointerTest!A:A, 0), 0), 'language&amp;DataTest'!A:A, 0), MATCH(HOME!$A$25, 'language&amp;DataTest'!$A$1:$H$1, 0))),                                          
IFERROR(INDEX('language&amp;DataTest'!A:J, MATCH(INDEX( PointerTest!E:E, MATCH(INDEX(PointerTest!B:B, MATCH(B36, PointerTest!A:A, 0)), PointerTest!A:A, 0), 0), 'language&amp;DataTest'!A:A, 0), MATCH(HOME!$A$25, 'language&amp;DataTest'!$A$1:$H$1, 0))))</f>
        <v>Palkia ex</v>
      </c>
      <c r="E36" s="69" t="str">
        <f t="array" ref="E36">INDEX( PointerTest!F:F, MATCH(B36, PointerTest!A:A, 0), 0)</f>
        <v>♢</v>
      </c>
      <c r="F36" s="70">
        <f t="array" ref="F36">LET(percentage,XLOOKUP($E36,$K$2:$K$10,L$2:L$10,"",0)/(COUNTIFS($E:$E,$E36,$D:$D,RegularFormula!$D$2)+COUNTIFS($E:$E,$E36,$D:$D,IF($D36=RegularFormula!$D$2,$K$15,$D36))),IFERROR(IF(percentage,percentage,""),""))</f>
        <v>0.02272727273</v>
      </c>
      <c r="G36" s="71" t="str">
        <f t="array" ref="G36">LET(percentage,XLOOKUP($E36,$K$2:$K$10,M$2:M$10,"",0)/(COUNTIFS($E:$E,$E36,$D:$D,RegularFormula!$D$2)+COUNTIFS($E:$E,$E36,$D:$D,IF($D36=RegularFormula!$D$2,$K$15,$D36))),IFERROR(IF(percentage,percentage,""),""))</f>
        <v/>
      </c>
      <c r="H36" s="71" t="str">
        <f t="array" ref="H36">LET(percentage,XLOOKUP($E36,$K$2:$K$10,N$2:N$10,"",0)/(COUNTIFS($E:$E,$E36,$D:$D,RegularFormula!$D$2)+COUNTIFS($E:$E,$E36,$D:$D,IF($D36=RegularFormula!$D$2,$K$15,$D36))),IFERROR(IF(percentage,percentage,""),""))</f>
        <v/>
      </c>
      <c r="I36" s="72" t="str">
        <f t="shared" si="1"/>
        <v/>
      </c>
      <c r="J36" s="73">
        <v>0.0</v>
      </c>
      <c r="K36" s="134" t="str">
        <f>C50</f>
        <v>Palkia ex</v>
      </c>
      <c r="L36" s="70">
        <f t="array" ref="L36">SUMPRODUCT((COUNTIFS($A$2:$A208,FALSE,$D$2:$D208,$K36,$E$2:$E208,CardCategories)+COUNTIFS($A$2:$A208,FALSE,$D$2:$D208,RegularFormula!$D$2,$E$2:$E208,CardCategories))/(COUNTIFS($D$2:$D208,$K36,$E$2:$E208,CardCategories)+COUNTIFS($D$2:$D208,RegularFormula!$D$2,$E$2:$E208,CardCategories)),{$K$21:$K$24;$M$21:$M$24}*Probabilities13)</f>
        <v>0.0002884554167</v>
      </c>
      <c r="M36" s="70">
        <f t="array" ref="M36">SUMPRODUCT((COUNTIFS($A$2:$A208,FALSE,$D$2:$D208,$K36,$E$2:$E208,CardCategories)+COUNTIFS($A$2:$A208,FALSE,$D$2:$D208,RegularFormula!$D$2,$E$2:$E208,CardCategories))/(COUNTIFS($D$2:$D208,$K36,$E$2:$E208,CardCategories)+COUNTIFS($D$2:$D208,RegularFormula!$D$2,$E$2:$E208,CardCategories)),{$K$21:$K$24;$M$21:$M$24}*Probabilities4)</f>
        <v>0.0223636028</v>
      </c>
      <c r="N36" s="224">
        <f t="array" ref="N36">SUMPRODUCT((COUNTIFS($A$2:$A208,FALSE,$D$2:$D208,$K36,$E$2:$E208,CardCategories)+COUNTIFS($A$2:$A208,FALSE,$D$2:$D208,RegularFormula!$D$2,$E$2:$E208,CardCategories))/(COUNTIFS($D$2:$D208,$K36,$E$2:$E208,CardCategories)+COUNTIFS($D$2:$D208,RegularFormula!$D$2,$E$2:$E208,CardCategories)),{$K$21:$K$24;$M$21:$M$24}*Probabilities5)</f>
        <v>0.08858904494</v>
      </c>
      <c r="P36" s="86"/>
      <c r="Q36" s="86"/>
      <c r="R36" s="86"/>
      <c r="S36" s="231" t="str">
        <f t="shared" si="2"/>
        <v/>
      </c>
    </row>
    <row r="37">
      <c r="A37" s="217" t="b">
        <v>1</v>
      </c>
      <c r="B37" s="230" t="s">
        <v>577</v>
      </c>
      <c r="C37" s="69" t="str">
        <f t="array" ref="C37">TEXTJOIN("", TRUE, IFERROR(INDEX('language&amp;DataTest'!A:J, MATCH(INDEX( PointerTest!C:C, MATCH(B37, PointerTest!A:A, 0), 0), 'language&amp;DataTest'!A:A, 0), MATCH(HOME!$A$25, 'language&amp;DataTest'!$A$1:$H$1, 0))),                      IFERROR(INDEX('language&amp;DataTest'!A:J, MATCH(INDEX( PointerTest!D:D, MATCH(B37, PointerTest!A:A, 0), 0), 'language&amp;DataTest'!A:A, 0), MATCH(HOME!$A$25, 'language&amp;DataTest'!$A$1:$H$1, 0))),                                          
IFERROR(INDEX('language&amp;DataTest'!A:J, MATCH(INDEX( PointerTest!E:E, MATCH(B37, PointerTest!A:A, 0), 0), 'language&amp;DataTest'!A:A, 0), MATCH(HOME!$A$25, 'language&amp;DataTest'!$A$1:$H$1, 0))))</f>
        <v>Prinplup</v>
      </c>
      <c r="D37" s="69" t="str">
        <f t="array" ref="D37">TEXTJOIN("", TRUE, 
IFERROR(INDEX('language&amp;DataTest'!A:J, MATCH(INDEX( PointerTest!C:C, MATCH(INDEX(PointerTest!B:B, MATCH(B37, PointerTest!A:A, 0)), PointerTest!A:A, 0), 0), 'language&amp;DataTest'!A:A, 0), MATCH(HOME!$A$25, 'language&amp;DataTest'!$A$1:$H$1, 0))),                      
IFERROR(INDEX('language&amp;DataTest'!A:J, MATCH(INDEX( PointerTest!D:D, MATCH(INDEX(PointerTest!B:B, MATCH(B37, PointerTest!A:A, 0)), PointerTest!A:A, 0), 0), 'language&amp;DataTest'!A:A, 0), MATCH(HOME!$A$25, 'language&amp;DataTest'!$A$1:$H$1, 0))),                                          
IFERROR(INDEX('language&amp;DataTest'!A:J, MATCH(INDEX( PointerTest!E:E, MATCH(INDEX(PointerTest!B:B, MATCH(B37, PointerTest!A:A, 0)), PointerTest!A:A, 0), 0), 'language&amp;DataTest'!A:A, 0), MATCH(HOME!$A$25, 'language&amp;DataTest'!$A$1:$H$1, 0))))</f>
        <v>Palkia ex</v>
      </c>
      <c r="E37" s="69" t="str">
        <f t="array" ref="E37">INDEX( PointerTest!F:F, MATCH(B37, PointerTest!A:A, 0), 0)</f>
        <v>♢♢</v>
      </c>
      <c r="F37" s="70" t="str">
        <f t="array" ref="F37">LET(percentage,XLOOKUP($E37,$K$2:$K$10,L$2:L$10,"",0)/(COUNTIFS($E:$E,$E37,$D:$D,RegularFormula!$D$2)+COUNTIFS($E:$E,$E37,$D:$D,IF($D37=RegularFormula!$D$2,$K$15,$D37))),IFERROR(IF(percentage,percentage,""),""))</f>
        <v/>
      </c>
      <c r="G37" s="71">
        <f t="array" ref="G37">LET(percentage,XLOOKUP($E37,$K$2:$K$10,M$2:M$10,"",0)/(COUNTIFS($E:$E,$E37,$D:$D,RegularFormula!$D$2)+COUNTIFS($E:$E,$E37,$D:$D,IF($D37=RegularFormula!$D$2,$K$15,$D37))),IFERROR(IF(percentage,percentage,""),""))</f>
        <v>0.025</v>
      </c>
      <c r="H37" s="71">
        <f t="array" ref="H37">LET(percentage,XLOOKUP($E37,$K$2:$K$10,N$2:N$10,"",0)/(COUNTIFS($E:$E,$E37,$D:$D,RegularFormula!$D$2)+COUNTIFS($E:$E,$E37,$D:$D,IF($D37=RegularFormula!$D$2,$K$15,$D37))),IFERROR(IF(percentage,percentage,""),""))</f>
        <v>0.01666666667</v>
      </c>
      <c r="I37" s="72" t="str">
        <f t="shared" si="1"/>
        <v/>
      </c>
      <c r="J37" s="73">
        <v>0.0</v>
      </c>
      <c r="K37" s="136" t="str">
        <f>C120</f>
        <v>Dialga ex</v>
      </c>
      <c r="L37" s="70">
        <f t="array" ref="L37">SUMPRODUCT((COUNTIFS($A$2:$A208,FALSE,$D$2:$D208,$K37,$E$2:$E208,CardCategories)+COUNTIFS($A$2:$A208,FALSE,$D$2:$D208,RegularFormula!$D$2,$E$2:$E208,CardCategories))/(COUNTIFS($D$2:$D208,$K37,$E$2:$E208,CardCategories)+COUNTIFS($D$2:$D208,RegularFormula!$D$2,$E$2:$E208,CardCategories)),{$K$21:$K$24;$M$21:$M$24}*Probabilities13)</f>
        <v>0.0003076858333</v>
      </c>
      <c r="M37" s="70">
        <f t="array" ref="M37">SUMPRODUCT((COUNTIFS($A$2:$A208,FALSE,$D$2:$D208,$K37,$E$2:$E208,CardCategories)+COUNTIFS($A$2:$A208,FALSE,$D$2:$D208,RegularFormula!$D$2,$E$2:$E208,CardCategories))/(COUNTIFS($D$2:$D208,$K37,$E$2:$E208,CardCategories)+COUNTIFS($D$2:$D208,RegularFormula!$D$2,$E$2:$E208,CardCategories)),{$K$21:$K$24;$M$21:$M$24}*Probabilities4)</f>
        <v>0.01922964869</v>
      </c>
      <c r="N37" s="224">
        <f t="array" ref="N37">SUMPRODUCT((COUNTIFS($A$2:$A208,FALSE,$D$2:$D208,$K37,$E$2:$E208,CardCategories)+COUNTIFS($A$2:$A208,FALSE,$D$2:$D208,RegularFormula!$D$2,$E$2:$E208,CardCategories))/(COUNTIFS($D$2:$D208,$K37,$E$2:$E208,CardCategories)+COUNTIFS($D$2:$D208,RegularFormula!$D$2,$E$2:$E208,CardCategories)),{$K$21:$K$24;$M$21:$M$24}*Probabilities5)</f>
        <v>0.07599553726</v>
      </c>
      <c r="P37" s="146"/>
      <c r="Q37" s="146"/>
      <c r="R37" s="146"/>
      <c r="S37" s="231" t="str">
        <f t="shared" si="2"/>
        <v/>
      </c>
    </row>
    <row r="38">
      <c r="A38" s="217" t="b">
        <v>1</v>
      </c>
      <c r="B38" s="230" t="s">
        <v>578</v>
      </c>
      <c r="C38" s="69" t="str">
        <f t="array" ref="C38">TEXTJOIN("", TRUE, IFERROR(INDEX('language&amp;DataTest'!A:J, MATCH(INDEX( PointerTest!C:C, MATCH(B38, PointerTest!A:A, 0), 0), 'language&amp;DataTest'!A:A, 0), MATCH(HOME!$A$25, 'language&amp;DataTest'!$A$1:$H$1, 0))),                      IFERROR(INDEX('language&amp;DataTest'!A:J, MATCH(INDEX( PointerTest!D:D, MATCH(B38, PointerTest!A:A, 0), 0), 'language&amp;DataTest'!A:A, 0), MATCH(HOME!$A$25, 'language&amp;DataTest'!$A$1:$H$1, 0))),                                          
IFERROR(INDEX('language&amp;DataTest'!A:J, MATCH(INDEX( PointerTest!E:E, MATCH(B38, PointerTest!A:A, 0), 0), 'language&amp;DataTest'!A:A, 0), MATCH(HOME!$A$25, 'language&amp;DataTest'!$A$1:$H$1, 0))))</f>
        <v>Empoleon</v>
      </c>
      <c r="D38" s="69" t="str">
        <f t="array" ref="D38">TEXTJOIN("", TRUE, 
IFERROR(INDEX('language&amp;DataTest'!A:J, MATCH(INDEX( PointerTest!C:C, MATCH(INDEX(PointerTest!B:B, MATCH(B38, PointerTest!A:A, 0)), PointerTest!A:A, 0), 0), 'language&amp;DataTest'!A:A, 0), MATCH(HOME!$A$25, 'language&amp;DataTest'!$A$1:$H$1, 0))),                      
IFERROR(INDEX('language&amp;DataTest'!A:J, MATCH(INDEX( PointerTest!D:D, MATCH(INDEX(PointerTest!B:B, MATCH(B38, PointerTest!A:A, 0)), PointerTest!A:A, 0), 0), 'language&amp;DataTest'!A:A, 0), MATCH(HOME!$A$25, 'language&amp;DataTest'!$A$1:$H$1, 0))),                                          
IFERROR(INDEX('language&amp;DataTest'!A:J, MATCH(INDEX( PointerTest!E:E, MATCH(INDEX(PointerTest!B:B, MATCH(B38, PointerTest!A:A, 0)), PointerTest!A:A, 0), 0), 'language&amp;DataTest'!A:A, 0), MATCH(HOME!$A$25, 'language&amp;DataTest'!$A$1:$H$1, 0))))</f>
        <v>Palkia ex</v>
      </c>
      <c r="E38" s="69" t="str">
        <f t="array" ref="E38">INDEX( PointerTest!F:F, MATCH(B38, PointerTest!A:A, 0), 0)</f>
        <v>♢♢♢</v>
      </c>
      <c r="F38" s="70" t="str">
        <f t="array" ref="F38">LET(percentage,XLOOKUP($E38,$K$2:$K$10,L$2:L$10,"",0)/(COUNTIFS($E:$E,$E38,$D:$D,RegularFormula!$D$2)+COUNTIFS($E:$E,$E38,$D:$D,IF($D38=RegularFormula!$D$2,$K$15,$D38))),IFERROR(IF(percentage,percentage,""),""))</f>
        <v/>
      </c>
      <c r="G38" s="71">
        <f t="array" ref="G38">LET(percentage,XLOOKUP($E38,$K$2:$K$10,M$2:M$10,"",0)/(COUNTIFS($E:$E,$E38,$D:$D,RegularFormula!$D$2)+COUNTIFS($E:$E,$E38,$D:$D,IF($D38=RegularFormula!$D$2,$K$15,$D38))),IFERROR(IF(percentage,percentage,""),""))</f>
        <v>0.003571428571</v>
      </c>
      <c r="H38" s="71">
        <f t="array" ref="H38">LET(percentage,XLOOKUP($E38,$K$2:$K$10,N$2:N$10,"",0)/(COUNTIFS($E:$E,$E38,$D:$D,RegularFormula!$D$2)+COUNTIFS($E:$E,$E38,$D:$D,IF($D38=RegularFormula!$D$2,$K$15,$D38))),IFERROR(IF(percentage,percentage,""),""))</f>
        <v>0.01428571429</v>
      </c>
      <c r="I38" s="72" t="str">
        <f t="shared" si="1"/>
        <v/>
      </c>
      <c r="J38" s="73">
        <v>0.0</v>
      </c>
      <c r="K38" s="147" t="s">
        <v>134</v>
      </c>
      <c r="L38" s="140" t="str">
        <f>IF(L36 = MAX(L36:L37), K36, IF(L37 = MAX(L36:L37), K37, #REF!))</f>
        <v>Dialga ex</v>
      </c>
      <c r="M38" s="140" t="str">
        <f>IF(M36 = MAX(M36:M37), K36, IF(M37 = MAX(M36:M37), K37, #REF!))</f>
        <v>Palkia ex</v>
      </c>
      <c r="N38" s="225" t="str">
        <f>IF(N36 = MAX(N36:N37), K36, IF(N37 = MAX(N36:N37), K37, #REF!))</f>
        <v>Palkia ex</v>
      </c>
      <c r="P38" s="146"/>
      <c r="Q38" s="146"/>
      <c r="R38" s="146"/>
      <c r="S38" s="231" t="str">
        <f t="shared" si="2"/>
        <v/>
      </c>
    </row>
    <row r="39">
      <c r="A39" s="217" t="b">
        <v>1</v>
      </c>
      <c r="B39" s="230" t="s">
        <v>579</v>
      </c>
      <c r="C39" s="69" t="str">
        <f t="array" ref="C39">TEXTJOIN("", TRUE, IFERROR(INDEX('language&amp;DataTest'!A:J, MATCH(INDEX( PointerTest!C:C, MATCH(B39, PointerTest!A:A, 0), 0), 'language&amp;DataTest'!A:A, 0), MATCH(HOME!$A$25, 'language&amp;DataTest'!$A$1:$H$1, 0))),                      IFERROR(INDEX('language&amp;DataTest'!A:J, MATCH(INDEX( PointerTest!D:D, MATCH(B39, PointerTest!A:A, 0), 0), 'language&amp;DataTest'!A:A, 0), MATCH(HOME!$A$25, 'language&amp;DataTest'!$A$1:$H$1, 0))),                                          
IFERROR(INDEX('language&amp;DataTest'!A:J, MATCH(INDEX( PointerTest!E:E, MATCH(B39, PointerTest!A:A, 0), 0), 'language&amp;DataTest'!A:A, 0), MATCH(HOME!$A$25, 'language&amp;DataTest'!$A$1:$H$1, 0))))</f>
        <v>Buizel</v>
      </c>
      <c r="D39" s="69" t="str">
        <f t="array" ref="D39">TEXTJOIN("", TRUE, 
IFERROR(INDEX('language&amp;DataTest'!A:J, MATCH(INDEX( PointerTest!C:C, MATCH(INDEX(PointerTest!B:B, MATCH(B39, PointerTest!A:A, 0)), PointerTest!A:A, 0), 0), 'language&amp;DataTest'!A:A, 0), MATCH(HOME!$A$25, 'language&amp;DataTest'!$A$1:$H$1, 0))),                      
IFERROR(INDEX('language&amp;DataTest'!A:J, MATCH(INDEX( PointerTest!D:D, MATCH(INDEX(PointerTest!B:B, MATCH(B39, PointerTest!A:A, 0)), PointerTest!A:A, 0), 0), 'language&amp;DataTest'!A:A, 0), MATCH(HOME!$A$25, 'language&amp;DataTest'!$A$1:$H$1, 0))),                                          
IFERROR(INDEX('language&amp;DataTest'!A:J, MATCH(INDEX( PointerTest!E:E, MATCH(INDEX(PointerTest!B:B, MATCH(B39, PointerTest!A:A, 0)), PointerTest!A:A, 0), 0), 'language&amp;DataTest'!A:A, 0), MATCH(HOME!$A$25, 'language&amp;DataTest'!$A$1:$H$1, 0))))</f>
        <v>All</v>
      </c>
      <c r="E39" s="69" t="str">
        <f t="array" ref="E39">INDEX( PointerTest!F:F, MATCH(B39, PointerTest!A:A, 0), 0)</f>
        <v>♢</v>
      </c>
      <c r="F39" s="70">
        <f t="array" ref="F39">LET(percentage,XLOOKUP($E39,$K$2:$K$10,L$2:L$10,"",0)/(COUNTIFS($E:$E,$E39,$D:$D,RegularFormula!$D$2)+COUNTIFS($E:$E,$E39,$D:$D,IF($D39=RegularFormula!$D$2,$K$15,$D39))),IFERROR(IF(percentage,percentage,""),""))</f>
        <v>0.02272727273</v>
      </c>
      <c r="G39" s="71" t="str">
        <f t="array" ref="G39">LET(percentage,XLOOKUP($E39,$K$2:$K$10,M$2:M$10,"",0)/(COUNTIFS($E:$E,$E39,$D:$D,RegularFormula!$D$2)+COUNTIFS($E:$E,$E39,$D:$D,IF($D39=RegularFormula!$D$2,$K$15,$D39))),IFERROR(IF(percentage,percentage,""),""))</f>
        <v/>
      </c>
      <c r="H39" s="71" t="str">
        <f t="array" ref="H39">LET(percentage,XLOOKUP($E39,$K$2:$K$10,N$2:N$10,"",0)/(COUNTIFS($E:$E,$E39,$D:$D,RegularFormula!$D$2)+COUNTIFS($E:$E,$E39,$D:$D,IF($D39=RegularFormula!$D$2,$K$15,$D39))),IFERROR(IF(percentage,percentage,""),""))</f>
        <v/>
      </c>
      <c r="I39" s="72" t="str">
        <f t="shared" si="1"/>
        <v>*Based on Palkia ex pack</v>
      </c>
      <c r="J39" s="73">
        <v>0.0</v>
      </c>
      <c r="K39" s="118"/>
      <c r="N39" s="119"/>
      <c r="P39" s="146"/>
      <c r="Q39" s="146"/>
      <c r="R39" s="146"/>
      <c r="S39" s="231" t="str">
        <f t="shared" si="2"/>
        <v/>
      </c>
    </row>
    <row r="40">
      <c r="A40" s="217" t="b">
        <v>1</v>
      </c>
      <c r="B40" s="230" t="s">
        <v>580</v>
      </c>
      <c r="C40" s="69" t="str">
        <f t="array" ref="C40">TEXTJOIN("", TRUE, IFERROR(INDEX('language&amp;DataTest'!A:J, MATCH(INDEX( PointerTest!C:C, MATCH(B40, PointerTest!A:A, 0), 0), 'language&amp;DataTest'!A:A, 0), MATCH(HOME!$A$25, 'language&amp;DataTest'!$A$1:$H$1, 0))),                      IFERROR(INDEX('language&amp;DataTest'!A:J, MATCH(INDEX( PointerTest!D:D, MATCH(B40, PointerTest!A:A, 0), 0), 'language&amp;DataTest'!A:A, 0), MATCH(HOME!$A$25, 'language&amp;DataTest'!$A$1:$H$1, 0))),                                          
IFERROR(INDEX('language&amp;DataTest'!A:J, MATCH(INDEX( PointerTest!E:E, MATCH(B40, PointerTest!A:A, 0), 0), 'language&amp;DataTest'!A:A, 0), MATCH(HOME!$A$25, 'language&amp;DataTest'!$A$1:$H$1, 0))))</f>
        <v>Floatzel</v>
      </c>
      <c r="D40" s="69" t="str">
        <f t="array" ref="D40">TEXTJOIN("", TRUE, 
IFERROR(INDEX('language&amp;DataTest'!A:J, MATCH(INDEX( PointerTest!C:C, MATCH(INDEX(PointerTest!B:B, MATCH(B40, PointerTest!A:A, 0)), PointerTest!A:A, 0), 0), 'language&amp;DataTest'!A:A, 0), MATCH(HOME!$A$25, 'language&amp;DataTest'!$A$1:$H$1, 0))),                      
IFERROR(INDEX('language&amp;DataTest'!A:J, MATCH(INDEX( PointerTest!D:D, MATCH(INDEX(PointerTest!B:B, MATCH(B40, PointerTest!A:A, 0)), PointerTest!A:A, 0), 0), 'language&amp;DataTest'!A:A, 0), MATCH(HOME!$A$25, 'language&amp;DataTest'!$A$1:$H$1, 0))),                                          
IFERROR(INDEX('language&amp;DataTest'!A:J, MATCH(INDEX( PointerTest!E:E, MATCH(INDEX(PointerTest!B:B, MATCH(B40, PointerTest!A:A, 0)), PointerTest!A:A, 0), 0), 'language&amp;DataTest'!A:A, 0), MATCH(HOME!$A$25, 'language&amp;DataTest'!$A$1:$H$1, 0))))</f>
        <v>All</v>
      </c>
      <c r="E40" s="69" t="str">
        <f t="array" ref="E40">INDEX( PointerTest!F:F, MATCH(B40, PointerTest!A:A, 0), 0)</f>
        <v>♢♢</v>
      </c>
      <c r="F40" s="70" t="str">
        <f t="array" ref="F40">LET(percentage,XLOOKUP($E40,$K$2:$K$10,L$2:L$10,"",0)/(COUNTIFS($E:$E,$E40,$D:$D,RegularFormula!$D$2)+COUNTIFS($E:$E,$E40,$D:$D,IF($D40=RegularFormula!$D$2,$K$15,$D40))),IFERROR(IF(percentage,percentage,""),""))</f>
        <v/>
      </c>
      <c r="G40" s="71">
        <f t="array" ref="G40">LET(percentage,XLOOKUP($E40,$K$2:$K$10,M$2:M$10,"",0)/(COUNTIFS($E:$E,$E40,$D:$D,RegularFormula!$D$2)+COUNTIFS($E:$E,$E40,$D:$D,IF($D40=RegularFormula!$D$2,$K$15,$D40))),IFERROR(IF(percentage,percentage,""),""))</f>
        <v>0.025</v>
      </c>
      <c r="H40" s="71">
        <f t="array" ref="H40">LET(percentage,XLOOKUP($E40,$K$2:$K$10,N$2:N$10,"",0)/(COUNTIFS($E:$E,$E40,$D:$D,RegularFormula!$D$2)+COUNTIFS($E:$E,$E40,$D:$D,IF($D40=RegularFormula!$D$2,$K$15,$D40))),IFERROR(IF(percentage,percentage,""),""))</f>
        <v>0.01666666667</v>
      </c>
      <c r="I40" s="72" t="str">
        <f t="shared" si="1"/>
        <v>*Based on Palkia ex pack</v>
      </c>
      <c r="J40" s="73">
        <v>0.0</v>
      </c>
      <c r="K40" s="149" t="s">
        <v>137</v>
      </c>
      <c r="N40" s="119"/>
      <c r="O40" s="229" t="s">
        <v>138</v>
      </c>
      <c r="P40" s="103"/>
      <c r="Q40" s="103"/>
      <c r="R40" s="103"/>
      <c r="S40" s="231" t="str">
        <f t="shared" si="2"/>
        <v/>
      </c>
    </row>
    <row r="41">
      <c r="A41" s="217" t="b">
        <v>1</v>
      </c>
      <c r="B41" s="230" t="s">
        <v>581</v>
      </c>
      <c r="C41" s="69" t="str">
        <f t="array" ref="C41">TEXTJOIN("", TRUE, IFERROR(INDEX('language&amp;DataTest'!A:J, MATCH(INDEX( PointerTest!C:C, MATCH(B41, PointerTest!A:A, 0), 0), 'language&amp;DataTest'!A:A, 0), MATCH(HOME!$A$25, 'language&amp;DataTest'!$A$1:$H$1, 0))),                      IFERROR(INDEX('language&amp;DataTest'!A:J, MATCH(INDEX( PointerTest!D:D, MATCH(B41, PointerTest!A:A, 0), 0), 'language&amp;DataTest'!A:A, 0), MATCH(HOME!$A$25, 'language&amp;DataTest'!$A$1:$H$1, 0))),                                          
IFERROR(INDEX('language&amp;DataTest'!A:J, MATCH(INDEX( PointerTest!E:E, MATCH(B41, PointerTest!A:A, 0), 0), 'language&amp;DataTest'!A:A, 0), MATCH(HOME!$A$25, 'language&amp;DataTest'!$A$1:$H$1, 0))))</f>
        <v>Shellos</v>
      </c>
      <c r="D41" s="69" t="str">
        <f t="array" ref="D41">TEXTJOIN("", TRUE, 
IFERROR(INDEX('language&amp;DataTest'!A:J, MATCH(INDEX( PointerTest!C:C, MATCH(INDEX(PointerTest!B:B, MATCH(B41, PointerTest!A:A, 0)), PointerTest!A:A, 0), 0), 'language&amp;DataTest'!A:A, 0), MATCH(HOME!$A$25, 'language&amp;DataTest'!$A$1:$H$1, 0))),                      
IFERROR(INDEX('language&amp;DataTest'!A:J, MATCH(INDEX( PointerTest!D:D, MATCH(INDEX(PointerTest!B:B, MATCH(B41, PointerTest!A:A, 0)), PointerTest!A:A, 0), 0), 'language&amp;DataTest'!A:A, 0), MATCH(HOME!$A$25, 'language&amp;DataTest'!$A$1:$H$1, 0))),                                          
IFERROR(INDEX('language&amp;DataTest'!A:J, MATCH(INDEX( PointerTest!E:E, MATCH(INDEX(PointerTest!B:B, MATCH(B41, PointerTest!A:A, 0)), PointerTest!A:A, 0), 0), 'language&amp;DataTest'!A:A, 0), MATCH(HOME!$A$25, 'language&amp;DataTest'!$A$1:$H$1, 0))))</f>
        <v>Palkia ex</v>
      </c>
      <c r="E41" s="69" t="str">
        <f t="array" ref="E41">INDEX( PointerTest!F:F, MATCH(B41, PointerTest!A:A, 0), 0)</f>
        <v>♢</v>
      </c>
      <c r="F41" s="70">
        <f t="array" ref="F41">LET(percentage,XLOOKUP($E41,$K$2:$K$10,L$2:L$10,"",0)/(COUNTIFS($E:$E,$E41,$D:$D,RegularFormula!$D$2)+COUNTIFS($E:$E,$E41,$D:$D,IF($D41=RegularFormula!$D$2,$K$15,$D41))),IFERROR(IF(percentage,percentage,""),""))</f>
        <v>0.02272727273</v>
      </c>
      <c r="G41" s="71" t="str">
        <f t="array" ref="G41">LET(percentage,XLOOKUP($E41,$K$2:$K$10,M$2:M$10,"",0)/(COUNTIFS($E:$E,$E41,$D:$D,RegularFormula!$D$2)+COUNTIFS($E:$E,$E41,$D:$D,IF($D41=RegularFormula!$D$2,$K$15,$D41))),IFERROR(IF(percentage,percentage,""),""))</f>
        <v/>
      </c>
      <c r="H41" s="71" t="str">
        <f t="array" ref="H41">LET(percentage,XLOOKUP($E41,$K$2:$K$10,N$2:N$10,"",0)/(COUNTIFS($E:$E,$E41,$D:$D,RegularFormula!$D$2)+COUNTIFS($E:$E,$E41,$D:$D,IF($D41=RegularFormula!$D$2,$K$15,$D41))),IFERROR(IF(percentage,percentage,""),""))</f>
        <v/>
      </c>
      <c r="I41" s="72" t="str">
        <f t="shared" si="1"/>
        <v/>
      </c>
      <c r="J41" s="73">
        <v>0.0</v>
      </c>
      <c r="K41" s="226"/>
      <c r="M41" s="150" t="s">
        <v>140</v>
      </c>
      <c r="N41" s="119"/>
      <c r="P41" s="103"/>
      <c r="Q41" s="103"/>
      <c r="R41" s="103"/>
      <c r="S41" s="231" t="str">
        <f t="shared" si="2"/>
        <v/>
      </c>
    </row>
    <row r="42">
      <c r="A42" s="217" t="b">
        <v>1</v>
      </c>
      <c r="B42" s="230" t="s">
        <v>582</v>
      </c>
      <c r="C42" s="69" t="str">
        <f t="array" ref="C42">TEXTJOIN("", TRUE, IFERROR(INDEX('language&amp;DataTest'!A:J, MATCH(INDEX( PointerTest!C:C, MATCH(B42, PointerTest!A:A, 0), 0), 'language&amp;DataTest'!A:A, 0), MATCH(HOME!$A$25, 'language&amp;DataTest'!$A$1:$H$1, 0))),                      IFERROR(INDEX('language&amp;DataTest'!A:J, MATCH(INDEX( PointerTest!D:D, MATCH(B42, PointerTest!A:A, 0), 0), 'language&amp;DataTest'!A:A, 0), MATCH(HOME!$A$25, 'language&amp;DataTest'!$A$1:$H$1, 0))),                                          
IFERROR(INDEX('language&amp;DataTest'!A:J, MATCH(INDEX( PointerTest!E:E, MATCH(B42, PointerTest!A:A, 0), 0), 'language&amp;DataTest'!A:A, 0), MATCH(HOME!$A$25, 'language&amp;DataTest'!$A$1:$H$1, 0))))</f>
        <v>Gastrodon</v>
      </c>
      <c r="D42" s="69" t="str">
        <f t="array" ref="D42">TEXTJOIN("", TRUE, 
IFERROR(INDEX('language&amp;DataTest'!A:J, MATCH(INDEX( PointerTest!C:C, MATCH(INDEX(PointerTest!B:B, MATCH(B42, PointerTest!A:A, 0)), PointerTest!A:A, 0), 0), 'language&amp;DataTest'!A:A, 0), MATCH(HOME!$A$25, 'language&amp;DataTest'!$A$1:$H$1, 0))),                      
IFERROR(INDEX('language&amp;DataTest'!A:J, MATCH(INDEX( PointerTest!D:D, MATCH(INDEX(PointerTest!B:B, MATCH(B42, PointerTest!A:A, 0)), PointerTest!A:A, 0), 0), 'language&amp;DataTest'!A:A, 0), MATCH(HOME!$A$25, 'language&amp;DataTest'!$A$1:$H$1, 0))),                                          
IFERROR(INDEX('language&amp;DataTest'!A:J, MATCH(INDEX( PointerTest!E:E, MATCH(INDEX(PointerTest!B:B, MATCH(B42, PointerTest!A:A, 0)), PointerTest!A:A, 0), 0), 'language&amp;DataTest'!A:A, 0), MATCH(HOME!$A$25, 'language&amp;DataTest'!$A$1:$H$1, 0))))</f>
        <v>Palkia ex</v>
      </c>
      <c r="E42" s="69" t="str">
        <f t="array" ref="E42">INDEX( PointerTest!F:F, MATCH(B42, PointerTest!A:A, 0), 0)</f>
        <v>♢♢</v>
      </c>
      <c r="F42" s="70" t="str">
        <f t="array" ref="F42">LET(percentage,XLOOKUP($E42,$K$2:$K$10,L$2:L$10,"",0)/(COUNTIFS($E:$E,$E42,$D:$D,RegularFormula!$D$2)+COUNTIFS($E:$E,$E42,$D:$D,IF($D42=RegularFormula!$D$2,$K$15,$D42))),IFERROR(IF(percentage,percentage,""),""))</f>
        <v/>
      </c>
      <c r="G42" s="71">
        <f t="array" ref="G42">LET(percentage,XLOOKUP($E42,$K$2:$K$10,M$2:M$10,"",0)/(COUNTIFS($E:$E,$E42,$D:$D,RegularFormula!$D$2)+COUNTIFS($E:$E,$E42,$D:$D,IF($D42=RegularFormula!$D$2,$K$15,$D42))),IFERROR(IF(percentage,percentage,""),""))</f>
        <v>0.025</v>
      </c>
      <c r="H42" s="71">
        <f t="array" ref="H42">LET(percentage,XLOOKUP($E42,$K$2:$K$10,N$2:N$10,"",0)/(COUNTIFS($E:$E,$E42,$D:$D,RegularFormula!$D$2)+COUNTIFS($E:$E,$E42,$D:$D,IF($D42=RegularFormula!$D$2,$K$15,$D42))),IFERROR(IF(percentage,percentage,""),""))</f>
        <v>0.01666666667</v>
      </c>
      <c r="I42" s="72" t="str">
        <f t="shared" si="1"/>
        <v/>
      </c>
      <c r="J42" s="73">
        <v>0.0</v>
      </c>
      <c r="K42" s="134" t="str">
        <f>C50</f>
        <v>Palkia ex</v>
      </c>
      <c r="L42" s="71">
        <f t="shared" ref="L42:L43" si="7">1-((1-L36)^3*(1-M36)*(1-N36))</f>
        <v>0.1097423211</v>
      </c>
      <c r="M42" s="140" t="str">
        <f>IF(L43 = MAX(L42:L43), K43, K42)</f>
        <v>Palkia ex</v>
      </c>
      <c r="N42" s="119"/>
      <c r="P42" s="148"/>
      <c r="Q42" s="148"/>
      <c r="R42" s="148"/>
      <c r="S42" s="231" t="str">
        <f t="shared" si="2"/>
        <v/>
      </c>
    </row>
    <row r="43">
      <c r="A43" s="217" t="b">
        <v>1</v>
      </c>
      <c r="B43" s="230" t="s">
        <v>583</v>
      </c>
      <c r="C43" s="69" t="str">
        <f t="array" ref="C43">TEXTJOIN("", TRUE, IFERROR(INDEX('language&amp;DataTest'!A:J, MATCH(INDEX( PointerTest!C:C, MATCH(B43, PointerTest!A:A, 0), 0), 'language&amp;DataTest'!A:A, 0), MATCH(HOME!$A$25, 'language&amp;DataTest'!$A$1:$H$1, 0))),                      IFERROR(INDEX('language&amp;DataTest'!A:J, MATCH(INDEX( PointerTest!D:D, MATCH(B43, PointerTest!A:A, 0), 0), 'language&amp;DataTest'!A:A, 0), MATCH(HOME!$A$25, 'language&amp;DataTest'!$A$1:$H$1, 0))),                                          
IFERROR(INDEX('language&amp;DataTest'!A:J, MATCH(INDEX( PointerTest!E:E, MATCH(B43, PointerTest!A:A, 0), 0), 'language&amp;DataTest'!A:A, 0), MATCH(HOME!$A$25, 'language&amp;DataTest'!$A$1:$H$1, 0))))</f>
        <v>Finneon</v>
      </c>
      <c r="D43" s="69" t="str">
        <f t="array" ref="D43">TEXTJOIN("", TRUE, 
IFERROR(INDEX('language&amp;DataTest'!A:J, MATCH(INDEX( PointerTest!C:C, MATCH(INDEX(PointerTest!B:B, MATCH(B43, PointerTest!A:A, 0)), PointerTest!A:A, 0), 0), 'language&amp;DataTest'!A:A, 0), MATCH(HOME!$A$25, 'language&amp;DataTest'!$A$1:$H$1, 0))),                      
IFERROR(INDEX('language&amp;DataTest'!A:J, MATCH(INDEX( PointerTest!D:D, MATCH(INDEX(PointerTest!B:B, MATCH(B43, PointerTest!A:A, 0)), PointerTest!A:A, 0), 0), 'language&amp;DataTest'!A:A, 0), MATCH(HOME!$A$25, 'language&amp;DataTest'!$A$1:$H$1, 0))),                                          
IFERROR(INDEX('language&amp;DataTest'!A:J, MATCH(INDEX( PointerTest!E:E, MATCH(INDEX(PointerTest!B:B, MATCH(B43, PointerTest!A:A, 0)), PointerTest!A:A, 0), 0), 'language&amp;DataTest'!A:A, 0), MATCH(HOME!$A$25, 'language&amp;DataTest'!$A$1:$H$1, 0))))</f>
        <v>All</v>
      </c>
      <c r="E43" s="69" t="str">
        <f t="array" ref="E43">INDEX( PointerTest!F:F, MATCH(B43, PointerTest!A:A, 0), 0)</f>
        <v>♢</v>
      </c>
      <c r="F43" s="70">
        <f t="array" ref="F43">LET(percentage,XLOOKUP($E43,$K$2:$K$10,L$2:L$10,"",0)/(COUNTIFS($E:$E,$E43,$D:$D,RegularFormula!$D$2)+COUNTIFS($E:$E,$E43,$D:$D,IF($D43=RegularFormula!$D$2,$K$15,$D43))),IFERROR(IF(percentage,percentage,""),""))</f>
        <v>0.02272727273</v>
      </c>
      <c r="G43" s="71" t="str">
        <f t="array" ref="G43">LET(percentage,XLOOKUP($E43,$K$2:$K$10,M$2:M$10,"",0)/(COUNTIFS($E:$E,$E43,$D:$D,RegularFormula!$D$2)+COUNTIFS($E:$E,$E43,$D:$D,IF($D43=RegularFormula!$D$2,$K$15,$D43))),IFERROR(IF(percentage,percentage,""),""))</f>
        <v/>
      </c>
      <c r="H43" s="71" t="str">
        <f t="array" ref="H43">LET(percentage,XLOOKUP($E43,$K$2:$K$10,N$2:N$10,"",0)/(COUNTIFS($E:$E,$E43,$D:$D,RegularFormula!$D$2)+COUNTIFS($E:$E,$E43,$D:$D,IF($D43=RegularFormula!$D$2,$K$15,$D43))),IFERROR(IF(percentage,percentage,""),""))</f>
        <v/>
      </c>
      <c r="I43" s="72" t="str">
        <f t="shared" si="1"/>
        <v>*Based on Palkia ex pack</v>
      </c>
      <c r="J43" s="73">
        <v>0.0</v>
      </c>
      <c r="K43" s="233" t="str">
        <f>C120</f>
        <v>Dialga ex</v>
      </c>
      <c r="L43" s="234">
        <f t="shared" si="7"/>
        <v>0.09460006922</v>
      </c>
      <c r="M43" s="112"/>
      <c r="N43" s="154"/>
      <c r="P43" s="148"/>
      <c r="Q43" s="148"/>
      <c r="R43" s="148"/>
      <c r="S43" s="231" t="str">
        <f t="shared" si="2"/>
        <v/>
      </c>
    </row>
    <row r="44">
      <c r="A44" s="217" t="b">
        <v>1</v>
      </c>
      <c r="B44" s="230" t="s">
        <v>584</v>
      </c>
      <c r="C44" s="69" t="str">
        <f t="array" ref="C44">TEXTJOIN("", TRUE, IFERROR(INDEX('language&amp;DataTest'!A:J, MATCH(INDEX( PointerTest!C:C, MATCH(B44, PointerTest!A:A, 0), 0), 'language&amp;DataTest'!A:A, 0), MATCH(HOME!$A$25, 'language&amp;DataTest'!$A$1:$H$1, 0))),                      IFERROR(INDEX('language&amp;DataTest'!A:J, MATCH(INDEX( PointerTest!D:D, MATCH(B44, PointerTest!A:A, 0), 0), 'language&amp;DataTest'!A:A, 0), MATCH(HOME!$A$25, 'language&amp;DataTest'!$A$1:$H$1, 0))),                                          
IFERROR(INDEX('language&amp;DataTest'!A:J, MATCH(INDEX( PointerTest!E:E, MATCH(B44, PointerTest!A:A, 0), 0), 'language&amp;DataTest'!A:A, 0), MATCH(HOME!$A$25, 'language&amp;DataTest'!$A$1:$H$1, 0))))</f>
        <v>Lumineon</v>
      </c>
      <c r="D44" s="69" t="str">
        <f t="array" ref="D44">TEXTJOIN("", TRUE, 
IFERROR(INDEX('language&amp;DataTest'!A:J, MATCH(INDEX( PointerTest!C:C, MATCH(INDEX(PointerTest!B:B, MATCH(B44, PointerTest!A:A, 0)), PointerTest!A:A, 0), 0), 'language&amp;DataTest'!A:A, 0), MATCH(HOME!$A$25, 'language&amp;DataTest'!$A$1:$H$1, 0))),                      
IFERROR(INDEX('language&amp;DataTest'!A:J, MATCH(INDEX( PointerTest!D:D, MATCH(INDEX(PointerTest!B:B, MATCH(B44, PointerTest!A:A, 0)), PointerTest!A:A, 0), 0), 'language&amp;DataTest'!A:A, 0), MATCH(HOME!$A$25, 'language&amp;DataTest'!$A$1:$H$1, 0))),                                          
IFERROR(INDEX('language&amp;DataTest'!A:J, MATCH(INDEX( PointerTest!E:E, MATCH(INDEX(PointerTest!B:B, MATCH(B44, PointerTest!A:A, 0)), PointerTest!A:A, 0), 0), 'language&amp;DataTest'!A:A, 0), MATCH(HOME!$A$25, 'language&amp;DataTest'!$A$1:$H$1, 0))))</f>
        <v>All</v>
      </c>
      <c r="E44" s="69" t="str">
        <f t="array" ref="E44">INDEX( PointerTest!F:F, MATCH(B44, PointerTest!A:A, 0), 0)</f>
        <v>♢♢</v>
      </c>
      <c r="F44" s="70" t="str">
        <f t="array" ref="F44">LET(percentage,XLOOKUP($E44,$K$2:$K$10,L$2:L$10,"",0)/(COUNTIFS($E:$E,$E44,$D:$D,RegularFormula!$D$2)+COUNTIFS($E:$E,$E44,$D:$D,IF($D44=RegularFormula!$D$2,$K$15,$D44))),IFERROR(IF(percentage,percentage,""),""))</f>
        <v/>
      </c>
      <c r="G44" s="71">
        <f t="array" ref="G44">LET(percentage,XLOOKUP($E44,$K$2:$K$10,M$2:M$10,"",0)/(COUNTIFS($E:$E,$E44,$D:$D,RegularFormula!$D$2)+COUNTIFS($E:$E,$E44,$D:$D,IF($D44=RegularFormula!$D$2,$K$15,$D44))),IFERROR(IF(percentage,percentage,""),""))</f>
        <v>0.025</v>
      </c>
      <c r="H44" s="71">
        <f t="array" ref="H44">LET(percentage,XLOOKUP($E44,$K$2:$K$10,N$2:N$10,"",0)/(COUNTIFS($E:$E,$E44,$D:$D,RegularFormula!$D$2)+COUNTIFS($E:$E,$E44,$D:$D,IF($D44=RegularFormula!$D$2,$K$15,$D44))),IFERROR(IF(percentage,percentage,""),""))</f>
        <v>0.01666666667</v>
      </c>
      <c r="I44" s="72" t="str">
        <f t="shared" si="1"/>
        <v>*Based on Palkia ex pack</v>
      </c>
      <c r="J44" s="73">
        <v>0.0</v>
      </c>
      <c r="O44" s="235" t="s">
        <v>173</v>
      </c>
      <c r="P44" s="103"/>
      <c r="Q44" s="103"/>
      <c r="R44" s="103"/>
      <c r="S44" s="231" t="str">
        <f t="shared" si="2"/>
        <v/>
      </c>
    </row>
    <row r="45">
      <c r="A45" s="217" t="b">
        <v>1</v>
      </c>
      <c r="B45" s="230" t="s">
        <v>585</v>
      </c>
      <c r="C45" s="69" t="str">
        <f t="array" ref="C45">TEXTJOIN("", TRUE, IFERROR(INDEX('language&amp;DataTest'!A:J, MATCH(INDEX( PointerTest!C:C, MATCH(B45, PointerTest!A:A, 0), 0), 'language&amp;DataTest'!A:A, 0), MATCH(HOME!$A$25, 'language&amp;DataTest'!$A$1:$H$1, 0))),                      IFERROR(INDEX('language&amp;DataTest'!A:J, MATCH(INDEX( PointerTest!D:D, MATCH(B45, PointerTest!A:A, 0), 0), 'language&amp;DataTest'!A:A, 0), MATCH(HOME!$A$25, 'language&amp;DataTest'!$A$1:$H$1, 0))),                                          
IFERROR(INDEX('language&amp;DataTest'!A:J, MATCH(INDEX( PointerTest!E:E, MATCH(B45, PointerTest!A:A, 0), 0), 'language&amp;DataTest'!A:A, 0), MATCH(HOME!$A$25, 'language&amp;DataTest'!$A$1:$H$1, 0))))</f>
        <v>Snover</v>
      </c>
      <c r="D45" s="69" t="str">
        <f t="array" ref="D45">TEXTJOIN("", TRUE, 
IFERROR(INDEX('language&amp;DataTest'!A:J, MATCH(INDEX( PointerTest!C:C, MATCH(INDEX(PointerTest!B:B, MATCH(B45, PointerTest!A:A, 0)), PointerTest!A:A, 0), 0), 'language&amp;DataTest'!A:A, 0), MATCH(HOME!$A$25, 'language&amp;DataTest'!$A$1:$H$1, 0))),                      
IFERROR(INDEX('language&amp;DataTest'!A:J, MATCH(INDEX( PointerTest!D:D, MATCH(INDEX(PointerTest!B:B, MATCH(B45, PointerTest!A:A, 0)), PointerTest!A:A, 0), 0), 'language&amp;DataTest'!A:A, 0), MATCH(HOME!$A$25, 'language&amp;DataTest'!$A$1:$H$1, 0))),                                          
IFERROR(INDEX('language&amp;DataTest'!A:J, MATCH(INDEX( PointerTest!E:E, MATCH(INDEX(PointerTest!B:B, MATCH(B45, PointerTest!A:A, 0)), PointerTest!A:A, 0), 0), 'language&amp;DataTest'!A:A, 0), MATCH(HOME!$A$25, 'language&amp;DataTest'!$A$1:$H$1, 0))))</f>
        <v>All</v>
      </c>
      <c r="E45" s="69" t="str">
        <f t="array" ref="E45">INDEX( PointerTest!F:F, MATCH(B45, PointerTest!A:A, 0), 0)</f>
        <v>♢</v>
      </c>
      <c r="F45" s="70">
        <f t="array" ref="F45">LET(percentage,XLOOKUP($E45,$K$2:$K$10,L$2:L$10,"",0)/(COUNTIFS($E:$E,$E45,$D:$D,RegularFormula!$D$2)+COUNTIFS($E:$E,$E45,$D:$D,IF($D45=RegularFormula!$D$2,$K$15,$D45))),IFERROR(IF(percentage,percentage,""),""))</f>
        <v>0.02272727273</v>
      </c>
      <c r="G45" s="71" t="str">
        <f t="array" ref="G45">LET(percentage,XLOOKUP($E45,$K$2:$K$10,M$2:M$10,"",0)/(COUNTIFS($E:$E,$E45,$D:$D,RegularFormula!$D$2)+COUNTIFS($E:$E,$E45,$D:$D,IF($D45=RegularFormula!$D$2,$K$15,$D45))),IFERROR(IF(percentage,percentage,""),""))</f>
        <v/>
      </c>
      <c r="H45" s="71" t="str">
        <f t="array" ref="H45">LET(percentage,XLOOKUP($E45,$K$2:$K$10,N$2:N$10,"",0)/(COUNTIFS($E:$E,$E45,$D:$D,RegularFormula!$D$2)+COUNTIFS($E:$E,$E45,$D:$D,IF($D45=RegularFormula!$D$2,$K$15,$D45))),IFERROR(IF(percentage,percentage,""),""))</f>
        <v/>
      </c>
      <c r="I45" s="72" t="str">
        <f t="shared" si="1"/>
        <v>*Based on Palkia ex pack</v>
      </c>
      <c r="J45" s="73">
        <v>0.0</v>
      </c>
      <c r="P45" s="103"/>
      <c r="Q45" s="103"/>
      <c r="R45" s="103"/>
      <c r="S45" s="231" t="str">
        <f t="shared" si="2"/>
        <v/>
      </c>
    </row>
    <row r="46">
      <c r="A46" s="217" t="b">
        <v>1</v>
      </c>
      <c r="B46" s="230" t="s">
        <v>586</v>
      </c>
      <c r="C46" s="69" t="str">
        <f t="array" ref="C46">TEXTJOIN("", TRUE, IFERROR(INDEX('language&amp;DataTest'!A:J, MATCH(INDEX( PointerTest!C:C, MATCH(B46, PointerTest!A:A, 0), 0), 'language&amp;DataTest'!A:A, 0), MATCH(HOME!$A$25, 'language&amp;DataTest'!$A$1:$H$1, 0))),                      IFERROR(INDEX('language&amp;DataTest'!A:J, MATCH(INDEX( PointerTest!D:D, MATCH(B46, PointerTest!A:A, 0), 0), 'language&amp;DataTest'!A:A, 0), MATCH(HOME!$A$25, 'language&amp;DataTest'!$A$1:$H$1, 0))),                                          
IFERROR(INDEX('language&amp;DataTest'!A:J, MATCH(INDEX( PointerTest!E:E, MATCH(B46, PointerTest!A:A, 0), 0), 'language&amp;DataTest'!A:A, 0), MATCH(HOME!$A$25, 'language&amp;DataTest'!$A$1:$H$1, 0))))</f>
        <v>Abomasnow</v>
      </c>
      <c r="D46" s="69" t="str">
        <f t="array" ref="D46">TEXTJOIN("", TRUE, 
IFERROR(INDEX('language&amp;DataTest'!A:J, MATCH(INDEX( PointerTest!C:C, MATCH(INDEX(PointerTest!B:B, MATCH(B46, PointerTest!A:A, 0)), PointerTest!A:A, 0), 0), 'language&amp;DataTest'!A:A, 0), MATCH(HOME!$A$25, 'language&amp;DataTest'!$A$1:$H$1, 0))),                      
IFERROR(INDEX('language&amp;DataTest'!A:J, MATCH(INDEX( PointerTest!D:D, MATCH(INDEX(PointerTest!B:B, MATCH(B46, PointerTest!A:A, 0)), PointerTest!A:A, 0), 0), 'language&amp;DataTest'!A:A, 0), MATCH(HOME!$A$25, 'language&amp;DataTest'!$A$1:$H$1, 0))),                                          
IFERROR(INDEX('language&amp;DataTest'!A:J, MATCH(INDEX( PointerTest!E:E, MATCH(INDEX(PointerTest!B:B, MATCH(B46, PointerTest!A:A, 0)), PointerTest!A:A, 0), 0), 'language&amp;DataTest'!A:A, 0), MATCH(HOME!$A$25, 'language&amp;DataTest'!$A$1:$H$1, 0))))</f>
        <v>All</v>
      </c>
      <c r="E46" s="69" t="str">
        <f t="array" ref="E46">INDEX( PointerTest!F:F, MATCH(B46, PointerTest!A:A, 0), 0)</f>
        <v>♢♢</v>
      </c>
      <c r="F46" s="70" t="str">
        <f t="array" ref="F46">LET(percentage,XLOOKUP($E46,$K$2:$K$10,L$2:L$10,"",0)/(COUNTIFS($E:$E,$E46,$D:$D,RegularFormula!$D$2)+COUNTIFS($E:$E,$E46,$D:$D,IF($D46=RegularFormula!$D$2,$K$15,$D46))),IFERROR(IF(percentage,percentage,""),""))</f>
        <v/>
      </c>
      <c r="G46" s="71">
        <f t="array" ref="G46">LET(percentage,XLOOKUP($E46,$K$2:$K$10,M$2:M$10,"",0)/(COUNTIFS($E:$E,$E46,$D:$D,RegularFormula!$D$2)+COUNTIFS($E:$E,$E46,$D:$D,IF($D46=RegularFormula!$D$2,$K$15,$D46))),IFERROR(IF(percentage,percentage,""),""))</f>
        <v>0.025</v>
      </c>
      <c r="H46" s="71">
        <f t="array" ref="H46">LET(percentage,XLOOKUP($E46,$K$2:$K$10,N$2:N$10,"",0)/(COUNTIFS($E:$E,$E46,$D:$D,RegularFormula!$D$2)+COUNTIFS($E:$E,$E46,$D:$D,IF($D46=RegularFormula!$D$2,$K$15,$D46))),IFERROR(IF(percentage,percentage,""),""))</f>
        <v>0.01666666667</v>
      </c>
      <c r="I46" s="72" t="str">
        <f t="shared" si="1"/>
        <v>*Based on Palkia ex pack</v>
      </c>
      <c r="J46" s="73">
        <v>0.0</v>
      </c>
      <c r="O46" s="229" t="s">
        <v>176</v>
      </c>
      <c r="P46" s="148"/>
      <c r="Q46" s="148"/>
      <c r="R46" s="148"/>
      <c r="S46" s="231" t="str">
        <f t="shared" si="2"/>
        <v/>
      </c>
    </row>
    <row r="47">
      <c r="A47" s="217" t="b">
        <v>0</v>
      </c>
      <c r="B47" s="230" t="s">
        <v>587</v>
      </c>
      <c r="C47" s="69" t="str">
        <f t="array" ref="C47">TEXTJOIN("", TRUE, IFERROR(INDEX('language&amp;DataTest'!A:J, MATCH(INDEX( PointerTest!C:C, MATCH(B47, PointerTest!A:A, 0), 0), 'language&amp;DataTest'!A:A, 0), MATCH(HOME!$A$25, 'language&amp;DataTest'!$A$1:$H$1, 0))),                      IFERROR(INDEX('language&amp;DataTest'!A:J, MATCH(INDEX( PointerTest!D:D, MATCH(B47, PointerTest!A:A, 0), 0), 'language&amp;DataTest'!A:A, 0), MATCH(HOME!$A$25, 'language&amp;DataTest'!$A$1:$H$1, 0))),                                          
IFERROR(INDEX('language&amp;DataTest'!A:J, MATCH(INDEX( PointerTest!E:E, MATCH(B47, PointerTest!A:A, 0), 0), 'language&amp;DataTest'!A:A, 0), MATCH(HOME!$A$25, 'language&amp;DataTest'!$A$1:$H$1, 0))))</f>
        <v>Glaceon</v>
      </c>
      <c r="D47" s="69" t="str">
        <f t="array" ref="D47">TEXTJOIN("", TRUE, 
IFERROR(INDEX('language&amp;DataTest'!A:J, MATCH(INDEX( PointerTest!C:C, MATCH(INDEX(PointerTest!B:B, MATCH(B47, PointerTest!A:A, 0)), PointerTest!A:A, 0), 0), 'language&amp;DataTest'!A:A, 0), MATCH(HOME!$A$25, 'language&amp;DataTest'!$A$1:$H$1, 0))),                      
IFERROR(INDEX('language&amp;DataTest'!A:J, MATCH(INDEX( PointerTest!D:D, MATCH(INDEX(PointerTest!B:B, MATCH(B47, PointerTest!A:A, 0)), PointerTest!A:A, 0), 0), 'language&amp;DataTest'!A:A, 0), MATCH(HOME!$A$25, 'language&amp;DataTest'!$A$1:$H$1, 0))),                                          
IFERROR(INDEX('language&amp;DataTest'!A:J, MATCH(INDEX( PointerTest!E:E, MATCH(INDEX(PointerTest!B:B, MATCH(B47, PointerTest!A:A, 0)), PointerTest!A:A, 0), 0), 'language&amp;DataTest'!A:A, 0), MATCH(HOME!$A$25, 'language&amp;DataTest'!$A$1:$H$1, 0))))</f>
        <v>Palkia ex</v>
      </c>
      <c r="E47" s="69" t="str">
        <f t="array" ref="E47">INDEX( PointerTest!F:F, MATCH(B47, PointerTest!A:A, 0), 0)</f>
        <v>♢♢♢</v>
      </c>
      <c r="F47" s="70" t="str">
        <f t="array" ref="F47">LET(percentage,XLOOKUP($E47,$K$2:$K$10,L$2:L$10,"",0)/(COUNTIFS($E:$E,$E47,$D:$D,RegularFormula!$D$2)+COUNTIFS($E:$E,$E47,$D:$D,IF($D47=RegularFormula!$D$2,$K$15,$D47))),IFERROR(IF(percentage,percentage,""),""))</f>
        <v/>
      </c>
      <c r="G47" s="71">
        <f t="array" ref="G47">LET(percentage,XLOOKUP($E47,$K$2:$K$10,M$2:M$10,"",0)/(COUNTIFS($E:$E,$E47,$D:$D,RegularFormula!$D$2)+COUNTIFS($E:$E,$E47,$D:$D,IF($D47=RegularFormula!$D$2,$K$15,$D47))),IFERROR(IF(percentage,percentage,""),""))</f>
        <v>0.003571428571</v>
      </c>
      <c r="H47" s="71">
        <f t="array" ref="H47">LET(percentage,XLOOKUP($E47,$K$2:$K$10,N$2:N$10,"",0)/(COUNTIFS($E:$E,$E47,$D:$D,RegularFormula!$D$2)+COUNTIFS($E:$E,$E47,$D:$D,IF($D47=RegularFormula!$D$2,$K$15,$D47))),IFERROR(IF(percentage,percentage,""),""))</f>
        <v>0.01428571429</v>
      </c>
      <c r="I47" s="72" t="str">
        <f t="shared" si="1"/>
        <v/>
      </c>
      <c r="J47" s="73">
        <v>0.0</v>
      </c>
      <c r="P47" s="148"/>
      <c r="Q47" s="148"/>
      <c r="R47" s="148"/>
      <c r="S47" s="231" t="str">
        <f t="shared" si="2"/>
        <v/>
      </c>
    </row>
    <row r="48">
      <c r="A48" s="217" t="b">
        <v>1</v>
      </c>
      <c r="B48" s="230" t="s">
        <v>588</v>
      </c>
      <c r="C48" s="69" t="str">
        <f t="array" ref="C48">TEXTJOIN("", TRUE, IFERROR(INDEX('language&amp;DataTest'!A:J, MATCH(INDEX( PointerTest!C:C, MATCH(B48, PointerTest!A:A, 0), 0), 'language&amp;DataTest'!A:A, 0), MATCH(HOME!$A$25, 'language&amp;DataTest'!$A$1:$H$1, 0))),                      IFERROR(INDEX('language&amp;DataTest'!A:J, MATCH(INDEX( PointerTest!D:D, MATCH(B48, PointerTest!A:A, 0), 0), 'language&amp;DataTest'!A:A, 0), MATCH(HOME!$A$25, 'language&amp;DataTest'!$A$1:$H$1, 0))),                                          
IFERROR(INDEX('language&amp;DataTest'!A:J, MATCH(INDEX( PointerTest!E:E, MATCH(B48, PointerTest!A:A, 0), 0), 'language&amp;DataTest'!A:A, 0), MATCH(HOME!$A$25, 'language&amp;DataTest'!$A$1:$H$1, 0))))</f>
        <v>Wash Rotom</v>
      </c>
      <c r="D48" s="69" t="str">
        <f t="array" ref="D48">TEXTJOIN("", TRUE, 
IFERROR(INDEX('language&amp;DataTest'!A:J, MATCH(INDEX( PointerTest!C:C, MATCH(INDEX(PointerTest!B:B, MATCH(B48, PointerTest!A:A, 0)), PointerTest!A:A, 0), 0), 'language&amp;DataTest'!A:A, 0), MATCH(HOME!$A$25, 'language&amp;DataTest'!$A$1:$H$1, 0))),                      
IFERROR(INDEX('language&amp;DataTest'!A:J, MATCH(INDEX( PointerTest!D:D, MATCH(INDEX(PointerTest!B:B, MATCH(B48, PointerTest!A:A, 0)), PointerTest!A:A, 0), 0), 'language&amp;DataTest'!A:A, 0), MATCH(HOME!$A$25, 'language&amp;DataTest'!$A$1:$H$1, 0))),                                          
IFERROR(INDEX('language&amp;DataTest'!A:J, MATCH(INDEX( PointerTest!E:E, MATCH(INDEX(PointerTest!B:B, MATCH(B48, PointerTest!A:A, 0)), PointerTest!A:A, 0), 0), 'language&amp;DataTest'!A:A, 0), MATCH(HOME!$A$25, 'language&amp;DataTest'!$A$1:$H$1, 0))))</f>
        <v>All</v>
      </c>
      <c r="E48" s="69" t="str">
        <f t="array" ref="E48">INDEX( PointerTest!F:F, MATCH(B48, PointerTest!A:A, 0), 0)</f>
        <v>♢</v>
      </c>
      <c r="F48" s="70">
        <f t="array" ref="F48">LET(percentage,XLOOKUP($E48,$K$2:$K$10,L$2:L$10,"",0)/(COUNTIFS($E:$E,$E48,$D:$D,RegularFormula!$D$2)+COUNTIFS($E:$E,$E48,$D:$D,IF($D48=RegularFormula!$D$2,$K$15,$D48))),IFERROR(IF(percentage,percentage,""),""))</f>
        <v>0.02272727273</v>
      </c>
      <c r="G48" s="71" t="str">
        <f t="array" ref="G48">LET(percentage,XLOOKUP($E48,$K$2:$K$10,M$2:M$10,"",0)/(COUNTIFS($E:$E,$E48,$D:$D,RegularFormula!$D$2)+COUNTIFS($E:$E,$E48,$D:$D,IF($D48=RegularFormula!$D$2,$K$15,$D48))),IFERROR(IF(percentage,percentage,""),""))</f>
        <v/>
      </c>
      <c r="H48" s="71" t="str">
        <f t="array" ref="H48">LET(percentage,XLOOKUP($E48,$K$2:$K$10,N$2:N$10,"",0)/(COUNTIFS($E:$E,$E48,$D:$D,RegularFormula!$D$2)+COUNTIFS($E:$E,$E48,$D:$D,IF($D48=RegularFormula!$D$2,$K$15,$D48))),IFERROR(IF(percentage,percentage,""),""))</f>
        <v/>
      </c>
      <c r="I48" s="72" t="str">
        <f t="shared" si="1"/>
        <v>*Based on Palkia ex pack</v>
      </c>
      <c r="J48" s="73">
        <v>0.0</v>
      </c>
      <c r="K48" s="236"/>
      <c r="P48" s="148"/>
      <c r="Q48" s="148"/>
      <c r="R48" s="148"/>
      <c r="S48" s="231" t="str">
        <f t="shared" si="2"/>
        <v/>
      </c>
    </row>
    <row r="49">
      <c r="A49" s="217" t="b">
        <v>1</v>
      </c>
      <c r="B49" s="230" t="s">
        <v>589</v>
      </c>
      <c r="C49" s="69" t="str">
        <f t="array" ref="C49">TEXTJOIN("", TRUE, IFERROR(INDEX('language&amp;DataTest'!A:J, MATCH(INDEX( PointerTest!C:C, MATCH(B49, PointerTest!A:A, 0), 0), 'language&amp;DataTest'!A:A, 0), MATCH(HOME!$A$25, 'language&amp;DataTest'!$A$1:$H$1, 0))),                      IFERROR(INDEX('language&amp;DataTest'!A:J, MATCH(INDEX( PointerTest!D:D, MATCH(B49, PointerTest!A:A, 0), 0), 'language&amp;DataTest'!A:A, 0), MATCH(HOME!$A$25, 'language&amp;DataTest'!$A$1:$H$1, 0))),                                          
IFERROR(INDEX('language&amp;DataTest'!A:J, MATCH(INDEX( PointerTest!E:E, MATCH(B49, PointerTest!A:A, 0), 0), 'language&amp;DataTest'!A:A, 0), MATCH(HOME!$A$25, 'language&amp;DataTest'!$A$1:$H$1, 0))))</f>
        <v>Frost Rotom</v>
      </c>
      <c r="D49" s="69" t="str">
        <f t="array" ref="D49">TEXTJOIN("", TRUE, 
IFERROR(INDEX('language&amp;DataTest'!A:J, MATCH(INDEX( PointerTest!C:C, MATCH(INDEX(PointerTest!B:B, MATCH(B49, PointerTest!A:A, 0)), PointerTest!A:A, 0), 0), 'language&amp;DataTest'!A:A, 0), MATCH(HOME!$A$25, 'language&amp;DataTest'!$A$1:$H$1, 0))),                      
IFERROR(INDEX('language&amp;DataTest'!A:J, MATCH(INDEX( PointerTest!D:D, MATCH(INDEX(PointerTest!B:B, MATCH(B49, PointerTest!A:A, 0)), PointerTest!A:A, 0), 0), 'language&amp;DataTest'!A:A, 0), MATCH(HOME!$A$25, 'language&amp;DataTest'!$A$1:$H$1, 0))),                                          
IFERROR(INDEX('language&amp;DataTest'!A:J, MATCH(INDEX( PointerTest!E:E, MATCH(INDEX(PointerTest!B:B, MATCH(B49, PointerTest!A:A, 0)), PointerTest!A:A, 0), 0), 'language&amp;DataTest'!A:A, 0), MATCH(HOME!$A$25, 'language&amp;DataTest'!$A$1:$H$1, 0))))</f>
        <v>All</v>
      </c>
      <c r="E49" s="69" t="str">
        <f t="array" ref="E49">INDEX( PointerTest!F:F, MATCH(B49, PointerTest!A:A, 0), 0)</f>
        <v>♢</v>
      </c>
      <c r="F49" s="70">
        <f t="array" ref="F49">LET(percentage,XLOOKUP($E49,$K$2:$K$10,L$2:L$10,"",0)/(COUNTIFS($E:$E,$E49,$D:$D,RegularFormula!$D$2)+COUNTIFS($E:$E,$E49,$D:$D,IF($D49=RegularFormula!$D$2,$K$15,$D49))),IFERROR(IF(percentage,percentage,""),""))</f>
        <v>0.02272727273</v>
      </c>
      <c r="G49" s="71" t="str">
        <f t="array" ref="G49">LET(percentage,XLOOKUP($E49,$K$2:$K$10,M$2:M$10,"",0)/(COUNTIFS($E:$E,$E49,$D:$D,RegularFormula!$D$2)+COUNTIFS($E:$E,$E49,$D:$D,IF($D49=RegularFormula!$D$2,$K$15,$D49))),IFERROR(IF(percentage,percentage,""),""))</f>
        <v/>
      </c>
      <c r="H49" s="71" t="str">
        <f t="array" ref="H49">LET(percentage,XLOOKUP($E49,$K$2:$K$10,N$2:N$10,"",0)/(COUNTIFS($E:$E,$E49,$D:$D,RegularFormula!$D$2)+COUNTIFS($E:$E,$E49,$D:$D,IF($D49=RegularFormula!$D$2,$K$15,$D49))),IFERROR(IF(percentage,percentage,""),""))</f>
        <v/>
      </c>
      <c r="I49" s="72" t="str">
        <f t="shared" si="1"/>
        <v>*Based on Palkia ex pack</v>
      </c>
      <c r="J49" s="73">
        <v>0.0</v>
      </c>
      <c r="K49" s="100"/>
      <c r="P49" s="103"/>
      <c r="Q49" s="103"/>
      <c r="R49" s="103"/>
      <c r="S49" s="231" t="str">
        <f t="shared" si="2"/>
        <v/>
      </c>
    </row>
    <row r="50">
      <c r="A50" s="217" t="b">
        <v>1</v>
      </c>
      <c r="B50" s="230" t="s">
        <v>590</v>
      </c>
      <c r="C50" s="69" t="str">
        <f t="array" ref="C50">TEXTJOIN("", TRUE, IFERROR(INDEX('language&amp;DataTest'!A:J, MATCH(INDEX( PointerTest!C:C, MATCH(B50, PointerTest!A:A, 0), 0), 'language&amp;DataTest'!A:A, 0), MATCH(HOME!$A$25, 'language&amp;DataTest'!$A$1:$H$1, 0))),                      IFERROR(INDEX('language&amp;DataTest'!A:J, MATCH(INDEX( PointerTest!D:D, MATCH(B50, PointerTest!A:A, 0), 0), 'language&amp;DataTest'!A:A, 0), MATCH(HOME!$A$25, 'language&amp;DataTest'!$A$1:$H$1, 0))),                                          
IFERROR(INDEX('language&amp;DataTest'!A:J, MATCH(INDEX( PointerTest!E:E, MATCH(B50, PointerTest!A:A, 0), 0), 'language&amp;DataTest'!A:A, 0), MATCH(HOME!$A$25, 'language&amp;DataTest'!$A$1:$H$1, 0))))</f>
        <v>Palkia ex</v>
      </c>
      <c r="D50" s="69" t="str">
        <f t="array" ref="D50">TEXTJOIN("", TRUE, 
IFERROR(INDEX('language&amp;DataTest'!A:J, MATCH(INDEX( PointerTest!C:C, MATCH(INDEX(PointerTest!B:B, MATCH(B50, PointerTest!A:A, 0)), PointerTest!A:A, 0), 0), 'language&amp;DataTest'!A:A, 0), MATCH(HOME!$A$25, 'language&amp;DataTest'!$A$1:$H$1, 0))),                      
IFERROR(INDEX('language&amp;DataTest'!A:J, MATCH(INDEX( PointerTest!D:D, MATCH(INDEX(PointerTest!B:B, MATCH(B50, PointerTest!A:A, 0)), PointerTest!A:A, 0), 0), 'language&amp;DataTest'!A:A, 0), MATCH(HOME!$A$25, 'language&amp;DataTest'!$A$1:$H$1, 0))),                                          
IFERROR(INDEX('language&amp;DataTest'!A:J, MATCH(INDEX( PointerTest!E:E, MATCH(INDEX(PointerTest!B:B, MATCH(B50, PointerTest!A:A, 0)), PointerTest!A:A, 0), 0), 'language&amp;DataTest'!A:A, 0), MATCH(HOME!$A$25, 'language&amp;DataTest'!$A$1:$H$1, 0))))</f>
        <v>Palkia ex</v>
      </c>
      <c r="E50" s="69" t="str">
        <f t="array" ref="E50">INDEX( PointerTest!F:F, MATCH(B50, PointerTest!A:A, 0), 0)</f>
        <v>♢♢♢♢</v>
      </c>
      <c r="F50" s="70" t="str">
        <f t="array" ref="F50">LET(percentage,XLOOKUP($E50,$K$2:$K$10,L$2:L$10,"",0)/(COUNTIFS($E:$E,$E50,$D:$D,RegularFormula!$D$2)+COUNTIFS($E:$E,$E50,$D:$D,IF($D50=RegularFormula!$D$2,$K$15,$D50))),IFERROR(IF(percentage,percentage,""),""))</f>
        <v/>
      </c>
      <c r="G50" s="71">
        <f t="array" ref="G50">LET(percentage,XLOOKUP($E50,$K$2:$K$10,M$2:M$10,"",0)/(COUNTIFS($E:$E,$E50,$D:$D,RegularFormula!$D$2)+COUNTIFS($E:$E,$E50,$D:$D,IF($D50=RegularFormula!$D$2,$K$15,$D50))),IFERROR(IF(percentage,percentage,""),""))</f>
        <v>0.003332</v>
      </c>
      <c r="H50" s="71">
        <f t="array" ref="H50">LET(percentage,XLOOKUP($E50,$K$2:$K$10,N$2:N$10,"",0)/(COUNTIFS($E:$E,$E50,$D:$D,RegularFormula!$D$2)+COUNTIFS($E:$E,$E50,$D:$D,IF($D50=RegularFormula!$D$2,$K$15,$D50))),IFERROR(IF(percentage,percentage,""),""))</f>
        <v>0.013328</v>
      </c>
      <c r="I50" s="72" t="str">
        <f t="shared" si="1"/>
        <v/>
      </c>
      <c r="J50" s="73">
        <v>0.0</v>
      </c>
      <c r="K50" s="100"/>
      <c r="P50" s="163"/>
      <c r="Q50" s="163"/>
      <c r="R50" s="163"/>
      <c r="S50" s="231" t="str">
        <f t="shared" si="2"/>
        <v/>
      </c>
    </row>
    <row r="51">
      <c r="A51" s="217" t="b">
        <v>1</v>
      </c>
      <c r="B51" s="230" t="s">
        <v>591</v>
      </c>
      <c r="C51" s="69" t="str">
        <f t="array" ref="C51">TEXTJOIN("", TRUE, IFERROR(INDEX('language&amp;DataTest'!A:J, MATCH(INDEX( PointerTest!C:C, MATCH(B51, PointerTest!A:A, 0), 0), 'language&amp;DataTest'!A:A, 0), MATCH(HOME!$A$25, 'language&amp;DataTest'!$A$1:$H$1, 0))),                      IFERROR(INDEX('language&amp;DataTest'!A:J, MATCH(INDEX( PointerTest!D:D, MATCH(B51, PointerTest!A:A, 0), 0), 'language&amp;DataTest'!A:A, 0), MATCH(HOME!$A$25, 'language&amp;DataTest'!$A$1:$H$1, 0))),                                          
IFERROR(INDEX('language&amp;DataTest'!A:J, MATCH(INDEX( PointerTest!E:E, MATCH(B51, PointerTest!A:A, 0), 0), 'language&amp;DataTest'!A:A, 0), MATCH(HOME!$A$25, 'language&amp;DataTest'!$A$1:$H$1, 0))))</f>
        <v>Manaphy</v>
      </c>
      <c r="D51" s="69" t="str">
        <f t="array" ref="D51">TEXTJOIN("", TRUE, 
IFERROR(INDEX('language&amp;DataTest'!A:J, MATCH(INDEX( PointerTest!C:C, MATCH(INDEX(PointerTest!B:B, MATCH(B51, PointerTest!A:A, 0)), PointerTest!A:A, 0), 0), 'language&amp;DataTest'!A:A, 0), MATCH(HOME!$A$25, 'language&amp;DataTest'!$A$1:$H$1, 0))),                      
IFERROR(INDEX('language&amp;DataTest'!A:J, MATCH(INDEX( PointerTest!D:D, MATCH(INDEX(PointerTest!B:B, MATCH(B51, PointerTest!A:A, 0)), PointerTest!A:A, 0), 0), 'language&amp;DataTest'!A:A, 0), MATCH(HOME!$A$25, 'language&amp;DataTest'!$A$1:$H$1, 0))),                                          
IFERROR(INDEX('language&amp;DataTest'!A:J, MATCH(INDEX( PointerTest!E:E, MATCH(INDEX(PointerTest!B:B, MATCH(B51, PointerTest!A:A, 0)), PointerTest!A:A, 0), 0), 'language&amp;DataTest'!A:A, 0), MATCH(HOME!$A$25, 'language&amp;DataTest'!$A$1:$H$1, 0))))</f>
        <v>Palkia ex</v>
      </c>
      <c r="E51" s="69" t="str">
        <f t="array" ref="E51">INDEX( PointerTest!F:F, MATCH(B51, PointerTest!A:A, 0), 0)</f>
        <v>♢♢</v>
      </c>
      <c r="F51" s="70" t="str">
        <f t="array" ref="F51">LET(percentage,XLOOKUP($E51,$K$2:$K$10,L$2:L$10,"",0)/(COUNTIFS($E:$E,$E51,$D:$D,RegularFormula!$D$2)+COUNTIFS($E:$E,$E51,$D:$D,IF($D51=RegularFormula!$D$2,$K$15,$D51))),IFERROR(IF(percentage,percentage,""),""))</f>
        <v/>
      </c>
      <c r="G51" s="71">
        <f t="array" ref="G51">LET(percentage,XLOOKUP($E51,$K$2:$K$10,M$2:M$10,"",0)/(COUNTIFS($E:$E,$E51,$D:$D,RegularFormula!$D$2)+COUNTIFS($E:$E,$E51,$D:$D,IF($D51=RegularFormula!$D$2,$K$15,$D51))),IFERROR(IF(percentage,percentage,""),""))</f>
        <v>0.025</v>
      </c>
      <c r="H51" s="71">
        <f t="array" ref="H51">LET(percentage,XLOOKUP($E51,$K$2:$K$10,N$2:N$10,"",0)/(COUNTIFS($E:$E,$E51,$D:$D,RegularFormula!$D$2)+COUNTIFS($E:$E,$E51,$D:$D,IF($D51=RegularFormula!$D$2,$K$15,$D51))),IFERROR(IF(percentage,percentage,""),""))</f>
        <v>0.01666666667</v>
      </c>
      <c r="I51" s="72" t="str">
        <f t="shared" si="1"/>
        <v/>
      </c>
      <c r="J51" s="73">
        <v>0.0</v>
      </c>
      <c r="K51" s="100"/>
      <c r="P51" s="163"/>
      <c r="Q51" s="163"/>
      <c r="R51" s="163"/>
      <c r="S51" s="231" t="str">
        <f t="shared" si="2"/>
        <v/>
      </c>
    </row>
    <row r="52">
      <c r="A52" s="217" t="b">
        <v>1</v>
      </c>
      <c r="B52" s="230" t="s">
        <v>592</v>
      </c>
      <c r="C52" s="69" t="str">
        <f t="array" ref="C52">TEXTJOIN("", TRUE, IFERROR(INDEX('language&amp;DataTest'!A:J, MATCH(INDEX( PointerTest!C:C, MATCH(B52, PointerTest!A:A, 0), 0), 'language&amp;DataTest'!A:A, 0), MATCH(HOME!$A$25, 'language&amp;DataTest'!$A$1:$H$1, 0))),                      IFERROR(INDEX('language&amp;DataTest'!A:J, MATCH(INDEX( PointerTest!D:D, MATCH(B52, PointerTest!A:A, 0), 0), 'language&amp;DataTest'!A:A, 0), MATCH(HOME!$A$25, 'language&amp;DataTest'!$A$1:$H$1, 0))),                                          
IFERROR(INDEX('language&amp;DataTest'!A:J, MATCH(INDEX( PointerTest!E:E, MATCH(B52, PointerTest!A:A, 0), 0), 'language&amp;DataTest'!A:A, 0), MATCH(HOME!$A$25, 'language&amp;DataTest'!$A$1:$H$1, 0))))</f>
        <v>Magnemite</v>
      </c>
      <c r="D52" s="69" t="str">
        <f t="array" ref="D52">TEXTJOIN("", TRUE, 
IFERROR(INDEX('language&amp;DataTest'!A:J, MATCH(INDEX( PointerTest!C:C, MATCH(INDEX(PointerTest!B:B, MATCH(B52, PointerTest!A:A, 0)), PointerTest!A:A, 0), 0), 'language&amp;DataTest'!A:A, 0), MATCH(HOME!$A$25, 'language&amp;DataTest'!$A$1:$H$1, 0))),                      
IFERROR(INDEX('language&amp;DataTest'!A:J, MATCH(INDEX( PointerTest!D:D, MATCH(INDEX(PointerTest!B:B, MATCH(B52, PointerTest!A:A, 0)), PointerTest!A:A, 0), 0), 'language&amp;DataTest'!A:A, 0), MATCH(HOME!$A$25, 'language&amp;DataTest'!$A$1:$H$1, 0))),                                          
IFERROR(INDEX('language&amp;DataTest'!A:J, MATCH(INDEX( PointerTest!E:E, MATCH(INDEX(PointerTest!B:B, MATCH(B52, PointerTest!A:A, 0)), PointerTest!A:A, 0), 0), 'language&amp;DataTest'!A:A, 0), MATCH(HOME!$A$25, 'language&amp;DataTest'!$A$1:$H$1, 0))))</f>
        <v>All</v>
      </c>
      <c r="E52" s="69" t="str">
        <f t="array" ref="E52">INDEX( PointerTest!F:F, MATCH(B52, PointerTest!A:A, 0), 0)</f>
        <v>♢</v>
      </c>
      <c r="F52" s="70">
        <f t="array" ref="F52">LET(percentage,XLOOKUP($E52,$K$2:$K$10,L$2:L$10,"",0)/(COUNTIFS($E:$E,$E52,$D:$D,RegularFormula!$D$2)+COUNTIFS($E:$E,$E52,$D:$D,IF($D52=RegularFormula!$D$2,$K$15,$D52))),IFERROR(IF(percentage,percentage,""),""))</f>
        <v>0.02272727273</v>
      </c>
      <c r="G52" s="71" t="str">
        <f t="array" ref="G52">LET(percentage,XLOOKUP($E52,$K$2:$K$10,M$2:M$10,"",0)/(COUNTIFS($E:$E,$E52,$D:$D,RegularFormula!$D$2)+COUNTIFS($E:$E,$E52,$D:$D,IF($D52=RegularFormula!$D$2,$K$15,$D52))),IFERROR(IF(percentage,percentage,""),""))</f>
        <v/>
      </c>
      <c r="H52" s="71" t="str">
        <f t="array" ref="H52">LET(percentage,XLOOKUP($E52,$K$2:$K$10,N$2:N$10,"",0)/(COUNTIFS($E:$E,$E52,$D:$D,RegularFormula!$D$2)+COUNTIFS($E:$E,$E52,$D:$D,IF($D52=RegularFormula!$D$2,$K$15,$D52))),IFERROR(IF(percentage,percentage,""),""))</f>
        <v/>
      </c>
      <c r="I52" s="72" t="str">
        <f t="shared" si="1"/>
        <v>*Based on Palkia ex pack</v>
      </c>
      <c r="J52" s="73">
        <v>0.0</v>
      </c>
      <c r="K52" s="100"/>
      <c r="O52" s="229" t="s">
        <v>593</v>
      </c>
      <c r="P52" s="163"/>
      <c r="Q52" s="163"/>
      <c r="R52" s="163"/>
      <c r="S52" s="231" t="str">
        <f t="shared" si="2"/>
        <v/>
      </c>
    </row>
    <row r="53">
      <c r="A53" s="217" t="b">
        <v>1</v>
      </c>
      <c r="B53" s="230" t="s">
        <v>594</v>
      </c>
      <c r="C53" s="69" t="str">
        <f t="array" ref="C53">TEXTJOIN("", TRUE, IFERROR(INDEX('language&amp;DataTest'!A:J, MATCH(INDEX( PointerTest!C:C, MATCH(B53, PointerTest!A:A, 0), 0), 'language&amp;DataTest'!A:A, 0), MATCH(HOME!$A$25, 'language&amp;DataTest'!$A$1:$H$1, 0))),                      IFERROR(INDEX('language&amp;DataTest'!A:J, MATCH(INDEX( PointerTest!D:D, MATCH(B53, PointerTest!A:A, 0), 0), 'language&amp;DataTest'!A:A, 0), MATCH(HOME!$A$25, 'language&amp;DataTest'!$A$1:$H$1, 0))),                                          
IFERROR(INDEX('language&amp;DataTest'!A:J, MATCH(INDEX( PointerTest!E:E, MATCH(B53, PointerTest!A:A, 0), 0), 'language&amp;DataTest'!A:A, 0), MATCH(HOME!$A$25, 'language&amp;DataTest'!$A$1:$H$1, 0))))</f>
        <v>Magneton</v>
      </c>
      <c r="D53" s="69" t="str">
        <f t="array" ref="D53">TEXTJOIN("", TRUE, 
IFERROR(INDEX('language&amp;DataTest'!A:J, MATCH(INDEX( PointerTest!C:C, MATCH(INDEX(PointerTest!B:B, MATCH(B53, PointerTest!A:A, 0)), PointerTest!A:A, 0), 0), 'language&amp;DataTest'!A:A, 0), MATCH(HOME!$A$25, 'language&amp;DataTest'!$A$1:$H$1, 0))),                      
IFERROR(INDEX('language&amp;DataTest'!A:J, MATCH(INDEX( PointerTest!D:D, MATCH(INDEX(PointerTest!B:B, MATCH(B53, PointerTest!A:A, 0)), PointerTest!A:A, 0), 0), 'language&amp;DataTest'!A:A, 0), MATCH(HOME!$A$25, 'language&amp;DataTest'!$A$1:$H$1, 0))),                                          
IFERROR(INDEX('language&amp;DataTest'!A:J, MATCH(INDEX( PointerTest!E:E, MATCH(INDEX(PointerTest!B:B, MATCH(B53, PointerTest!A:A, 0)), PointerTest!A:A, 0), 0), 'language&amp;DataTest'!A:A, 0), MATCH(HOME!$A$25, 'language&amp;DataTest'!$A$1:$H$1, 0))))</f>
        <v>All</v>
      </c>
      <c r="E53" s="69" t="str">
        <f t="array" ref="E53">INDEX( PointerTest!F:F, MATCH(B53, PointerTest!A:A, 0), 0)</f>
        <v>♢♢</v>
      </c>
      <c r="F53" s="70" t="str">
        <f t="array" ref="F53">LET(percentage,XLOOKUP($E53,$K$2:$K$10,L$2:L$10,"",0)/(COUNTIFS($E:$E,$E53,$D:$D,RegularFormula!$D$2)+COUNTIFS($E:$E,$E53,$D:$D,IF($D53=RegularFormula!$D$2,$K$15,$D53))),IFERROR(IF(percentage,percentage,""),""))</f>
        <v/>
      </c>
      <c r="G53" s="71">
        <f t="array" ref="G53">LET(percentage,XLOOKUP($E53,$K$2:$K$10,M$2:M$10,"",0)/(COUNTIFS($E:$E,$E53,$D:$D,RegularFormula!$D$2)+COUNTIFS($E:$E,$E53,$D:$D,IF($D53=RegularFormula!$D$2,$K$15,$D53))),IFERROR(IF(percentage,percentage,""),""))</f>
        <v>0.025</v>
      </c>
      <c r="H53" s="71">
        <f t="array" ref="H53">LET(percentage,XLOOKUP($E53,$K$2:$K$10,N$2:N$10,"",0)/(COUNTIFS($E:$E,$E53,$D:$D,RegularFormula!$D$2)+COUNTIFS($E:$E,$E53,$D:$D,IF($D53=RegularFormula!$D$2,$K$15,$D53))),IFERROR(IF(percentage,percentage,""),""))</f>
        <v>0.01666666667</v>
      </c>
      <c r="I53" s="72" t="str">
        <f t="shared" si="1"/>
        <v>*Based on Palkia ex pack</v>
      </c>
      <c r="J53" s="73">
        <v>0.0</v>
      </c>
      <c r="K53" s="100"/>
      <c r="P53" s="163"/>
      <c r="Q53" s="163"/>
      <c r="R53" s="163"/>
      <c r="S53" s="231" t="str">
        <f t="shared" si="2"/>
        <v/>
      </c>
    </row>
    <row r="54">
      <c r="A54" s="217" t="b">
        <v>1</v>
      </c>
      <c r="B54" s="230" t="s">
        <v>595</v>
      </c>
      <c r="C54" s="69" t="str">
        <f t="array" ref="C54">TEXTJOIN("", TRUE, IFERROR(INDEX('language&amp;DataTest'!A:J, MATCH(INDEX( PointerTest!C:C, MATCH(B54, PointerTest!A:A, 0), 0), 'language&amp;DataTest'!A:A, 0), MATCH(HOME!$A$25, 'language&amp;DataTest'!$A$1:$H$1, 0))),                      IFERROR(INDEX('language&amp;DataTest'!A:J, MATCH(INDEX( PointerTest!D:D, MATCH(B54, PointerTest!A:A, 0), 0), 'language&amp;DataTest'!A:A, 0), MATCH(HOME!$A$25, 'language&amp;DataTest'!$A$1:$H$1, 0))),                                          
IFERROR(INDEX('language&amp;DataTest'!A:J, MATCH(INDEX( PointerTest!E:E, MATCH(B54, PointerTest!A:A, 0), 0), 'language&amp;DataTest'!A:A, 0), MATCH(HOME!$A$25, 'language&amp;DataTest'!$A$1:$H$1, 0))))</f>
        <v>Magnezone</v>
      </c>
      <c r="D54" s="69" t="str">
        <f t="array" ref="D54">TEXTJOIN("", TRUE, 
IFERROR(INDEX('language&amp;DataTest'!A:J, MATCH(INDEX( PointerTest!C:C, MATCH(INDEX(PointerTest!B:B, MATCH(B54, PointerTest!A:A, 0)), PointerTest!A:A, 0), 0), 'language&amp;DataTest'!A:A, 0), MATCH(HOME!$A$25, 'language&amp;DataTest'!$A$1:$H$1, 0))),                      
IFERROR(INDEX('language&amp;DataTest'!A:J, MATCH(INDEX( PointerTest!D:D, MATCH(INDEX(PointerTest!B:B, MATCH(B54, PointerTest!A:A, 0)), PointerTest!A:A, 0), 0), 'language&amp;DataTest'!A:A, 0), MATCH(HOME!$A$25, 'language&amp;DataTest'!$A$1:$H$1, 0))),                                          
IFERROR(INDEX('language&amp;DataTest'!A:J, MATCH(INDEX( PointerTest!E:E, MATCH(INDEX(PointerTest!B:B, MATCH(B54, PointerTest!A:A, 0)), PointerTest!A:A, 0), 0), 'language&amp;DataTest'!A:A, 0), MATCH(HOME!$A$25, 'language&amp;DataTest'!$A$1:$H$1, 0))))</f>
        <v>All</v>
      </c>
      <c r="E54" s="69" t="str">
        <f t="array" ref="E54">INDEX( PointerTest!F:F, MATCH(B54, PointerTest!A:A, 0), 0)</f>
        <v>♢♢♢</v>
      </c>
      <c r="F54" s="70" t="str">
        <f t="array" ref="F54">LET(percentage,XLOOKUP($E54,$K$2:$K$10,L$2:L$10,"",0)/(COUNTIFS($E:$E,$E54,$D:$D,RegularFormula!$D$2)+COUNTIFS($E:$E,$E54,$D:$D,IF($D54=RegularFormula!$D$2,$K$15,$D54))),IFERROR(IF(percentage,percentage,""),""))</f>
        <v/>
      </c>
      <c r="G54" s="71">
        <f t="array" ref="G54">LET(percentage,XLOOKUP($E54,$K$2:$K$10,M$2:M$10,"",0)/(COUNTIFS($E:$E,$E54,$D:$D,RegularFormula!$D$2)+COUNTIFS($E:$E,$E54,$D:$D,IF($D54=RegularFormula!$D$2,$K$15,$D54))),IFERROR(IF(percentage,percentage,""),""))</f>
        <v>0.003571428571</v>
      </c>
      <c r="H54" s="71">
        <f t="array" ref="H54">LET(percentage,XLOOKUP($E54,$K$2:$K$10,N$2:N$10,"",0)/(COUNTIFS($E:$E,$E54,$D:$D,RegularFormula!$D$2)+COUNTIFS($E:$E,$E54,$D:$D,IF($D54=RegularFormula!$D$2,$K$15,$D54))),IFERROR(IF(percentage,percentage,""),""))</f>
        <v>0.01428571429</v>
      </c>
      <c r="I54" s="72" t="str">
        <f t="shared" si="1"/>
        <v>*Based on Palkia ex pack</v>
      </c>
      <c r="J54" s="73">
        <v>0.0</v>
      </c>
      <c r="K54" s="100"/>
      <c r="P54" s="163"/>
      <c r="Q54" s="163"/>
      <c r="R54" s="163"/>
      <c r="S54" s="231" t="str">
        <f t="shared" si="2"/>
        <v/>
      </c>
    </row>
    <row r="55">
      <c r="A55" s="217" t="b">
        <v>1</v>
      </c>
      <c r="B55" s="230" t="s">
        <v>596</v>
      </c>
      <c r="C55" s="69" t="str">
        <f t="array" ref="C55">TEXTJOIN("", TRUE, IFERROR(INDEX('language&amp;DataTest'!A:J, MATCH(INDEX( PointerTest!C:C, MATCH(B55, PointerTest!A:A, 0), 0), 'language&amp;DataTest'!A:A, 0), MATCH(HOME!$A$25, 'language&amp;DataTest'!$A$1:$H$1, 0))),                      IFERROR(INDEX('language&amp;DataTest'!A:J, MATCH(INDEX( PointerTest!D:D, MATCH(B55, PointerTest!A:A, 0), 0), 'language&amp;DataTest'!A:A, 0), MATCH(HOME!$A$25, 'language&amp;DataTest'!$A$1:$H$1, 0))),                                          
IFERROR(INDEX('language&amp;DataTest'!A:J, MATCH(INDEX( PointerTest!E:E, MATCH(B55, PointerTest!A:A, 0), 0), 'language&amp;DataTest'!A:A, 0), MATCH(HOME!$A$25, 'language&amp;DataTest'!$A$1:$H$1, 0))))</f>
        <v>Voltorb</v>
      </c>
      <c r="D55" s="69" t="str">
        <f t="array" ref="D55">TEXTJOIN("", TRUE, 
IFERROR(INDEX('language&amp;DataTest'!A:J, MATCH(INDEX( PointerTest!C:C, MATCH(INDEX(PointerTest!B:B, MATCH(B55, PointerTest!A:A, 0)), PointerTest!A:A, 0), 0), 'language&amp;DataTest'!A:A, 0), MATCH(HOME!$A$25, 'language&amp;DataTest'!$A$1:$H$1, 0))),                      
IFERROR(INDEX('language&amp;DataTest'!A:J, MATCH(INDEX( PointerTest!D:D, MATCH(INDEX(PointerTest!B:B, MATCH(B55, PointerTest!A:A, 0)), PointerTest!A:A, 0), 0), 'language&amp;DataTest'!A:A, 0), MATCH(HOME!$A$25, 'language&amp;DataTest'!$A$1:$H$1, 0))),                                          
IFERROR(INDEX('language&amp;DataTest'!A:J, MATCH(INDEX( PointerTest!E:E, MATCH(INDEX(PointerTest!B:B, MATCH(B55, PointerTest!A:A, 0)), PointerTest!A:A, 0), 0), 'language&amp;DataTest'!A:A, 0), MATCH(HOME!$A$25, 'language&amp;DataTest'!$A$1:$H$1, 0))))</f>
        <v>All</v>
      </c>
      <c r="E55" s="69" t="str">
        <f t="array" ref="E55">INDEX( PointerTest!F:F, MATCH(B55, PointerTest!A:A, 0), 0)</f>
        <v>♢</v>
      </c>
      <c r="F55" s="70">
        <f t="array" ref="F55">LET(percentage,XLOOKUP($E55,$K$2:$K$10,L$2:L$10,"",0)/(COUNTIFS($E:$E,$E55,$D:$D,RegularFormula!$D$2)+COUNTIFS($E:$E,$E55,$D:$D,IF($D55=RegularFormula!$D$2,$K$15,$D55))),IFERROR(IF(percentage,percentage,""),""))</f>
        <v>0.02272727273</v>
      </c>
      <c r="G55" s="71" t="str">
        <f t="array" ref="G55">LET(percentage,XLOOKUP($E55,$K$2:$K$10,M$2:M$10,"",0)/(COUNTIFS($E:$E,$E55,$D:$D,RegularFormula!$D$2)+COUNTIFS($E:$E,$E55,$D:$D,IF($D55=RegularFormula!$D$2,$K$15,$D55))),IFERROR(IF(percentage,percentage,""),""))</f>
        <v/>
      </c>
      <c r="H55" s="71" t="str">
        <f t="array" ref="H55">LET(percentage,XLOOKUP($E55,$K$2:$K$10,N$2:N$10,"",0)/(COUNTIFS($E:$E,$E55,$D:$D,RegularFormula!$D$2)+COUNTIFS($E:$E,$E55,$D:$D,IF($D55=RegularFormula!$D$2,$K$15,$D55))),IFERROR(IF(percentage,percentage,""),""))</f>
        <v/>
      </c>
      <c r="I55" s="72" t="str">
        <f t="shared" si="1"/>
        <v>*Based on Palkia ex pack</v>
      </c>
      <c r="J55" s="73">
        <v>0.0</v>
      </c>
      <c r="K55" s="100"/>
      <c r="P55" s="163"/>
      <c r="Q55" s="163"/>
      <c r="R55" s="163"/>
      <c r="S55" s="231" t="str">
        <f t="shared" si="2"/>
        <v/>
      </c>
    </row>
    <row r="56">
      <c r="A56" s="217" t="b">
        <v>1</v>
      </c>
      <c r="B56" s="230" t="s">
        <v>597</v>
      </c>
      <c r="C56" s="69" t="str">
        <f t="array" ref="C56">TEXTJOIN("", TRUE, IFERROR(INDEX('language&amp;DataTest'!A:J, MATCH(INDEX( PointerTest!C:C, MATCH(B56, PointerTest!A:A, 0), 0), 'language&amp;DataTest'!A:A, 0), MATCH(HOME!$A$25, 'language&amp;DataTest'!$A$1:$H$1, 0))),                      IFERROR(INDEX('language&amp;DataTest'!A:J, MATCH(INDEX( PointerTest!D:D, MATCH(B56, PointerTest!A:A, 0), 0), 'language&amp;DataTest'!A:A, 0), MATCH(HOME!$A$25, 'language&amp;DataTest'!$A$1:$H$1, 0))),                                          
IFERROR(INDEX('language&amp;DataTest'!A:J, MATCH(INDEX( PointerTest!E:E, MATCH(B56, PointerTest!A:A, 0), 0), 'language&amp;DataTest'!A:A, 0), MATCH(HOME!$A$25, 'language&amp;DataTest'!$A$1:$H$1, 0))))</f>
        <v>Electrode</v>
      </c>
      <c r="D56" s="69" t="str">
        <f t="array" ref="D56">TEXTJOIN("", TRUE, 
IFERROR(INDEX('language&amp;DataTest'!A:J, MATCH(INDEX( PointerTest!C:C, MATCH(INDEX(PointerTest!B:B, MATCH(B56, PointerTest!A:A, 0)), PointerTest!A:A, 0), 0), 'language&amp;DataTest'!A:A, 0), MATCH(HOME!$A$25, 'language&amp;DataTest'!$A$1:$H$1, 0))),                      
IFERROR(INDEX('language&amp;DataTest'!A:J, MATCH(INDEX( PointerTest!D:D, MATCH(INDEX(PointerTest!B:B, MATCH(B56, PointerTest!A:A, 0)), PointerTest!A:A, 0), 0), 'language&amp;DataTest'!A:A, 0), MATCH(HOME!$A$25, 'language&amp;DataTest'!$A$1:$H$1, 0))),                                          
IFERROR(INDEX('language&amp;DataTest'!A:J, MATCH(INDEX( PointerTest!E:E, MATCH(INDEX(PointerTest!B:B, MATCH(B56, PointerTest!A:A, 0)), PointerTest!A:A, 0), 0), 'language&amp;DataTest'!A:A, 0), MATCH(HOME!$A$25, 'language&amp;DataTest'!$A$1:$H$1, 0))))</f>
        <v>All</v>
      </c>
      <c r="E56" s="69" t="str">
        <f t="array" ref="E56">INDEX( PointerTest!F:F, MATCH(B56, PointerTest!A:A, 0), 0)</f>
        <v>♢♢</v>
      </c>
      <c r="F56" s="70" t="str">
        <f t="array" ref="F56">LET(percentage,XLOOKUP($E56,$K$2:$K$10,L$2:L$10,"",0)/(COUNTIFS($E:$E,$E56,$D:$D,RegularFormula!$D$2)+COUNTIFS($E:$E,$E56,$D:$D,IF($D56=RegularFormula!$D$2,$K$15,$D56))),IFERROR(IF(percentage,percentage,""),""))</f>
        <v/>
      </c>
      <c r="G56" s="71">
        <f t="array" ref="G56">LET(percentage,XLOOKUP($E56,$K$2:$K$10,M$2:M$10,"",0)/(COUNTIFS($E:$E,$E56,$D:$D,RegularFormula!$D$2)+COUNTIFS($E:$E,$E56,$D:$D,IF($D56=RegularFormula!$D$2,$K$15,$D56))),IFERROR(IF(percentage,percentage,""),""))</f>
        <v>0.025</v>
      </c>
      <c r="H56" s="71">
        <f t="array" ref="H56">LET(percentage,XLOOKUP($E56,$K$2:$K$10,N$2:N$10,"",0)/(COUNTIFS($E:$E,$E56,$D:$D,RegularFormula!$D$2)+COUNTIFS($E:$E,$E56,$D:$D,IF($D56=RegularFormula!$D$2,$K$15,$D56))),IFERROR(IF(percentage,percentage,""),""))</f>
        <v>0.01666666667</v>
      </c>
      <c r="I56" s="72" t="str">
        <f t="shared" si="1"/>
        <v>*Based on Palkia ex pack</v>
      </c>
      <c r="J56" s="73">
        <v>0.0</v>
      </c>
      <c r="K56" s="100"/>
      <c r="O56" s="237" t="s">
        <v>188</v>
      </c>
      <c r="P56" s="163"/>
      <c r="Q56" s="163"/>
      <c r="R56" s="163"/>
      <c r="S56" s="231" t="str">
        <f t="shared" si="2"/>
        <v/>
      </c>
    </row>
    <row r="57">
      <c r="A57" s="217" t="b">
        <v>1</v>
      </c>
      <c r="B57" s="230" t="s">
        <v>598</v>
      </c>
      <c r="C57" s="69" t="str">
        <f t="array" ref="C57">TEXTJOIN("", TRUE, IFERROR(INDEX('language&amp;DataTest'!A:J, MATCH(INDEX( PointerTest!C:C, MATCH(B57, PointerTest!A:A, 0), 0), 'language&amp;DataTest'!A:A, 0), MATCH(HOME!$A$25, 'language&amp;DataTest'!$A$1:$H$1, 0))),                      IFERROR(INDEX('language&amp;DataTest'!A:J, MATCH(INDEX( PointerTest!D:D, MATCH(B57, PointerTest!A:A, 0), 0), 'language&amp;DataTest'!A:A, 0), MATCH(HOME!$A$25, 'language&amp;DataTest'!$A$1:$H$1, 0))),                                          
IFERROR(INDEX('language&amp;DataTest'!A:J, MATCH(INDEX( PointerTest!E:E, MATCH(B57, PointerTest!A:A, 0), 0), 'language&amp;DataTest'!A:A, 0), MATCH(HOME!$A$25, 'language&amp;DataTest'!$A$1:$H$1, 0))))</f>
        <v>Electabuzz</v>
      </c>
      <c r="D57" s="69" t="str">
        <f t="array" ref="D57">TEXTJOIN("", TRUE, 
IFERROR(INDEX('language&amp;DataTest'!A:J, MATCH(INDEX( PointerTest!C:C, MATCH(INDEX(PointerTest!B:B, MATCH(B57, PointerTest!A:A, 0)), PointerTest!A:A, 0), 0), 'language&amp;DataTest'!A:A, 0), MATCH(HOME!$A$25, 'language&amp;DataTest'!$A$1:$H$1, 0))),                      
IFERROR(INDEX('language&amp;DataTest'!A:J, MATCH(INDEX( PointerTest!D:D, MATCH(INDEX(PointerTest!B:B, MATCH(B57, PointerTest!A:A, 0)), PointerTest!A:A, 0), 0), 'language&amp;DataTest'!A:A, 0), MATCH(HOME!$A$25, 'language&amp;DataTest'!$A$1:$H$1, 0))),                                          
IFERROR(INDEX('language&amp;DataTest'!A:J, MATCH(INDEX( PointerTest!E:E, MATCH(INDEX(PointerTest!B:B, MATCH(B57, PointerTest!A:A, 0)), PointerTest!A:A, 0), 0), 'language&amp;DataTest'!A:A, 0), MATCH(HOME!$A$25, 'language&amp;DataTest'!$A$1:$H$1, 0))))</f>
        <v>Dialga ex</v>
      </c>
      <c r="E57" s="69" t="str">
        <f t="array" ref="E57">INDEX( PointerTest!F:F, MATCH(B57, PointerTest!A:A, 0), 0)</f>
        <v>♢</v>
      </c>
      <c r="F57" s="70">
        <f t="array" ref="F57">LET(percentage,XLOOKUP($E57,$K$2:$K$10,L$2:L$10,"",0)/(COUNTIFS($E:$E,$E57,$D:$D,RegularFormula!$D$2)+COUNTIFS($E:$E,$E57,$D:$D,IF($D57=RegularFormula!$D$2,$K$15,$D57))),IFERROR(IF(percentage,percentage,""),""))</f>
        <v>0.02173913043</v>
      </c>
      <c r="G57" s="71" t="str">
        <f t="array" ref="G57">LET(percentage,XLOOKUP($E57,$K$2:$K$10,M$2:M$10,"",0)/(COUNTIFS($E:$E,$E57,$D:$D,RegularFormula!$D$2)+COUNTIFS($E:$E,$E57,$D:$D,IF($D57=RegularFormula!$D$2,$K$15,$D57))),IFERROR(IF(percentage,percentage,""),""))</f>
        <v/>
      </c>
      <c r="H57" s="71" t="str">
        <f t="array" ref="H57">LET(percentage,XLOOKUP($E57,$K$2:$K$10,N$2:N$10,"",0)/(COUNTIFS($E:$E,$E57,$D:$D,RegularFormula!$D$2)+COUNTIFS($E:$E,$E57,$D:$D,IF($D57=RegularFormula!$D$2,$K$15,$D57))),IFERROR(IF(percentage,percentage,""),""))</f>
        <v/>
      </c>
      <c r="I57" s="72" t="str">
        <f t="shared" si="1"/>
        <v/>
      </c>
      <c r="J57" s="73">
        <v>0.0</v>
      </c>
      <c r="K57" s="100"/>
      <c r="P57" s="163"/>
      <c r="Q57" s="163"/>
      <c r="R57" s="163"/>
      <c r="S57" s="231" t="str">
        <f t="shared" si="2"/>
        <v/>
      </c>
    </row>
    <row r="58">
      <c r="A58" s="217" t="b">
        <v>0</v>
      </c>
      <c r="B58" s="230" t="s">
        <v>599</v>
      </c>
      <c r="C58" s="69" t="str">
        <f t="array" ref="C58">TEXTJOIN("", TRUE, IFERROR(INDEX('language&amp;DataTest'!A:J, MATCH(INDEX( PointerTest!C:C, MATCH(B58, PointerTest!A:A, 0), 0), 'language&amp;DataTest'!A:A, 0), MATCH(HOME!$A$25, 'language&amp;DataTest'!$A$1:$H$1, 0))),                      IFERROR(INDEX('language&amp;DataTest'!A:J, MATCH(INDEX( PointerTest!D:D, MATCH(B58, PointerTest!A:A, 0), 0), 'language&amp;DataTest'!A:A, 0), MATCH(HOME!$A$25, 'language&amp;DataTest'!$A$1:$H$1, 0))),                                          
IFERROR(INDEX('language&amp;DataTest'!A:J, MATCH(INDEX( PointerTest!E:E, MATCH(B58, PointerTest!A:A, 0), 0), 'language&amp;DataTest'!A:A, 0), MATCH(HOME!$A$25, 'language&amp;DataTest'!$A$1:$H$1, 0))))</f>
        <v>Electivire</v>
      </c>
      <c r="D58" s="69" t="str">
        <f t="array" ref="D58">TEXTJOIN("", TRUE, 
IFERROR(INDEX('language&amp;DataTest'!A:J, MATCH(INDEX( PointerTest!C:C, MATCH(INDEX(PointerTest!B:B, MATCH(B58, PointerTest!A:A, 0)), PointerTest!A:A, 0), 0), 'language&amp;DataTest'!A:A, 0), MATCH(HOME!$A$25, 'language&amp;DataTest'!$A$1:$H$1, 0))),                      
IFERROR(INDEX('language&amp;DataTest'!A:J, MATCH(INDEX( PointerTest!D:D, MATCH(INDEX(PointerTest!B:B, MATCH(B58, PointerTest!A:A, 0)), PointerTest!A:A, 0), 0), 'language&amp;DataTest'!A:A, 0), MATCH(HOME!$A$25, 'language&amp;DataTest'!$A$1:$H$1, 0))),                                          
IFERROR(INDEX('language&amp;DataTest'!A:J, MATCH(INDEX( PointerTest!E:E, MATCH(INDEX(PointerTest!B:B, MATCH(B58, PointerTest!A:A, 0)), PointerTest!A:A, 0), 0), 'language&amp;DataTest'!A:A, 0), MATCH(HOME!$A$25, 'language&amp;DataTest'!$A$1:$H$1, 0))))</f>
        <v>Dialga ex</v>
      </c>
      <c r="E58" s="69" t="str">
        <f t="array" ref="E58">INDEX( PointerTest!F:F, MATCH(B58, PointerTest!A:A, 0), 0)</f>
        <v>♢♢♢</v>
      </c>
      <c r="F58" s="70" t="str">
        <f t="array" ref="F58">LET(percentage,XLOOKUP($E58,$K$2:$K$10,L$2:L$10,"",0)/(COUNTIFS($E:$E,$E58,$D:$D,RegularFormula!$D$2)+COUNTIFS($E:$E,$E58,$D:$D,IF($D58=RegularFormula!$D$2,$K$15,$D58))),IFERROR(IF(percentage,percentage,""),""))</f>
        <v/>
      </c>
      <c r="G58" s="71">
        <f t="array" ref="G58">LET(percentage,XLOOKUP($E58,$K$2:$K$10,M$2:M$10,"",0)/(COUNTIFS($E:$E,$E58,$D:$D,RegularFormula!$D$2)+COUNTIFS($E:$E,$E58,$D:$D,IF($D58=RegularFormula!$D$2,$K$15,$D58))),IFERROR(IF(percentage,percentage,""),""))</f>
        <v>0.003571428571</v>
      </c>
      <c r="H58" s="71">
        <f t="array" ref="H58">LET(percentage,XLOOKUP($E58,$K$2:$K$10,N$2:N$10,"",0)/(COUNTIFS($E:$E,$E58,$D:$D,RegularFormula!$D$2)+COUNTIFS($E:$E,$E58,$D:$D,IF($D58=RegularFormula!$D$2,$K$15,$D58))),IFERROR(IF(percentage,percentage,""),""))</f>
        <v>0.01428571429</v>
      </c>
      <c r="I58" s="72" t="str">
        <f t="shared" si="1"/>
        <v/>
      </c>
      <c r="J58" s="73">
        <v>0.0</v>
      </c>
      <c r="K58" s="100"/>
      <c r="O58" s="229" t="s">
        <v>191</v>
      </c>
      <c r="P58" s="163"/>
      <c r="Q58" s="163"/>
      <c r="R58" s="163"/>
      <c r="S58" s="231" t="str">
        <f t="shared" si="2"/>
        <v/>
      </c>
    </row>
    <row r="59">
      <c r="A59" s="217" t="b">
        <v>1</v>
      </c>
      <c r="B59" s="230" t="s">
        <v>600</v>
      </c>
      <c r="C59" s="69" t="str">
        <f t="array" ref="C59">TEXTJOIN("", TRUE, IFERROR(INDEX('language&amp;DataTest'!A:J, MATCH(INDEX( PointerTest!C:C, MATCH(B59, PointerTest!A:A, 0), 0), 'language&amp;DataTest'!A:A, 0), MATCH(HOME!$A$25, 'language&amp;DataTest'!$A$1:$H$1, 0))),                      IFERROR(INDEX('language&amp;DataTest'!A:J, MATCH(INDEX( PointerTest!D:D, MATCH(B59, PointerTest!A:A, 0), 0), 'language&amp;DataTest'!A:A, 0), MATCH(HOME!$A$25, 'language&amp;DataTest'!$A$1:$H$1, 0))),                                          
IFERROR(INDEX('language&amp;DataTest'!A:J, MATCH(INDEX( PointerTest!E:E, MATCH(B59, PointerTest!A:A, 0), 0), 'language&amp;DataTest'!A:A, 0), MATCH(HOME!$A$25, 'language&amp;DataTest'!$A$1:$H$1, 0))))</f>
        <v>Shinx</v>
      </c>
      <c r="D59" s="69" t="str">
        <f t="array" ref="D59">TEXTJOIN("", TRUE, 
IFERROR(INDEX('language&amp;DataTest'!A:J, MATCH(INDEX( PointerTest!C:C, MATCH(INDEX(PointerTest!B:B, MATCH(B59, PointerTest!A:A, 0)), PointerTest!A:A, 0), 0), 'language&amp;DataTest'!A:A, 0), MATCH(HOME!$A$25, 'language&amp;DataTest'!$A$1:$H$1, 0))),                      
IFERROR(INDEX('language&amp;DataTest'!A:J, MATCH(INDEX( PointerTest!D:D, MATCH(INDEX(PointerTest!B:B, MATCH(B59, PointerTest!A:A, 0)), PointerTest!A:A, 0), 0), 'language&amp;DataTest'!A:A, 0), MATCH(HOME!$A$25, 'language&amp;DataTest'!$A$1:$H$1, 0))),                                          
IFERROR(INDEX('language&amp;DataTest'!A:J, MATCH(INDEX( PointerTest!E:E, MATCH(INDEX(PointerTest!B:B, MATCH(B59, PointerTest!A:A, 0)), PointerTest!A:A, 0), 0), 'language&amp;DataTest'!A:A, 0), MATCH(HOME!$A$25, 'language&amp;DataTest'!$A$1:$H$1, 0))))</f>
        <v>Dialga ex</v>
      </c>
      <c r="E59" s="69" t="str">
        <f t="array" ref="E59">INDEX( PointerTest!F:F, MATCH(B59, PointerTest!A:A, 0), 0)</f>
        <v>♢</v>
      </c>
      <c r="F59" s="70">
        <f t="array" ref="F59">LET(percentage,XLOOKUP($E59,$K$2:$K$10,L$2:L$10,"",0)/(COUNTIFS($E:$E,$E59,$D:$D,RegularFormula!$D$2)+COUNTIFS($E:$E,$E59,$D:$D,IF($D59=RegularFormula!$D$2,$K$15,$D59))),IFERROR(IF(percentage,percentage,""),""))</f>
        <v>0.02173913043</v>
      </c>
      <c r="G59" s="71" t="str">
        <f t="array" ref="G59">LET(percentage,XLOOKUP($E59,$K$2:$K$10,M$2:M$10,"",0)/(COUNTIFS($E:$E,$E59,$D:$D,RegularFormula!$D$2)+COUNTIFS($E:$E,$E59,$D:$D,IF($D59=RegularFormula!$D$2,$K$15,$D59))),IFERROR(IF(percentage,percentage,""),""))</f>
        <v/>
      </c>
      <c r="H59" s="71" t="str">
        <f t="array" ref="H59">LET(percentage,XLOOKUP($E59,$K$2:$K$10,N$2:N$10,"",0)/(COUNTIFS($E:$E,$E59,$D:$D,RegularFormula!$D$2)+COUNTIFS($E:$E,$E59,$D:$D,IF($D59=RegularFormula!$D$2,$K$15,$D59))),IFERROR(IF(percentage,percentage,""),""))</f>
        <v/>
      </c>
      <c r="I59" s="72" t="str">
        <f t="shared" si="1"/>
        <v/>
      </c>
      <c r="J59" s="73">
        <v>0.0</v>
      </c>
      <c r="K59" s="100"/>
      <c r="P59" s="163"/>
      <c r="Q59" s="163"/>
      <c r="R59" s="163"/>
      <c r="S59" s="231" t="str">
        <f t="shared" si="2"/>
        <v/>
      </c>
    </row>
    <row r="60">
      <c r="A60" s="217" t="b">
        <v>1</v>
      </c>
      <c r="B60" s="230" t="s">
        <v>601</v>
      </c>
      <c r="C60" s="69" t="str">
        <f t="array" ref="C60">TEXTJOIN("", TRUE, IFERROR(INDEX('language&amp;DataTest'!A:J, MATCH(INDEX( PointerTest!C:C, MATCH(B60, PointerTest!A:A, 0), 0), 'language&amp;DataTest'!A:A, 0), MATCH(HOME!$A$25, 'language&amp;DataTest'!$A$1:$H$1, 0))),                      IFERROR(INDEX('language&amp;DataTest'!A:J, MATCH(INDEX( PointerTest!D:D, MATCH(B60, PointerTest!A:A, 0), 0), 'language&amp;DataTest'!A:A, 0), MATCH(HOME!$A$25, 'language&amp;DataTest'!$A$1:$H$1, 0))),                                          
IFERROR(INDEX('language&amp;DataTest'!A:J, MATCH(INDEX( PointerTest!E:E, MATCH(B60, PointerTest!A:A, 0), 0), 'language&amp;DataTest'!A:A, 0), MATCH(HOME!$A$25, 'language&amp;DataTest'!$A$1:$H$1, 0))))</f>
        <v>Luxio</v>
      </c>
      <c r="D60" s="69" t="str">
        <f t="array" ref="D60">TEXTJOIN("", TRUE, 
IFERROR(INDEX('language&amp;DataTest'!A:J, MATCH(INDEX( PointerTest!C:C, MATCH(INDEX(PointerTest!B:B, MATCH(B60, PointerTest!A:A, 0)), PointerTest!A:A, 0), 0), 'language&amp;DataTest'!A:A, 0), MATCH(HOME!$A$25, 'language&amp;DataTest'!$A$1:$H$1, 0))),                      
IFERROR(INDEX('language&amp;DataTest'!A:J, MATCH(INDEX( PointerTest!D:D, MATCH(INDEX(PointerTest!B:B, MATCH(B60, PointerTest!A:A, 0)), PointerTest!A:A, 0), 0), 'language&amp;DataTest'!A:A, 0), MATCH(HOME!$A$25, 'language&amp;DataTest'!$A$1:$H$1, 0))),                                          
IFERROR(INDEX('language&amp;DataTest'!A:J, MATCH(INDEX( PointerTest!E:E, MATCH(INDEX(PointerTest!B:B, MATCH(B60, PointerTest!A:A, 0)), PointerTest!A:A, 0), 0), 'language&amp;DataTest'!A:A, 0), MATCH(HOME!$A$25, 'language&amp;DataTest'!$A$1:$H$1, 0))))</f>
        <v>Dialga ex</v>
      </c>
      <c r="E60" s="69" t="str">
        <f t="array" ref="E60">INDEX( PointerTest!F:F, MATCH(B60, PointerTest!A:A, 0), 0)</f>
        <v>♢♢</v>
      </c>
      <c r="F60" s="70" t="str">
        <f t="array" ref="F60">LET(percentage,XLOOKUP($E60,$K$2:$K$10,L$2:L$10,"",0)/(COUNTIFS($E:$E,$E60,$D:$D,RegularFormula!$D$2)+COUNTIFS($E:$E,$E60,$D:$D,IF($D60=RegularFormula!$D$2,$K$15,$D60))),IFERROR(IF(percentage,percentage,""),""))</f>
        <v/>
      </c>
      <c r="G60" s="71">
        <f t="array" ref="G60">LET(percentage,XLOOKUP($E60,$K$2:$K$10,M$2:M$10,"",0)/(COUNTIFS($E:$E,$E60,$D:$D,RegularFormula!$D$2)+COUNTIFS($E:$E,$E60,$D:$D,IF($D60=RegularFormula!$D$2,$K$15,$D60))),IFERROR(IF(percentage,percentage,""),""))</f>
        <v>0.02647058824</v>
      </c>
      <c r="H60" s="71">
        <f t="array" ref="H60">LET(percentage,XLOOKUP($E60,$K$2:$K$10,N$2:N$10,"",0)/(COUNTIFS($E:$E,$E60,$D:$D,RegularFormula!$D$2)+COUNTIFS($E:$E,$E60,$D:$D,IF($D60=RegularFormula!$D$2,$K$15,$D60))),IFERROR(IF(percentage,percentage,""),""))</f>
        <v>0.01764705882</v>
      </c>
      <c r="I60" s="72" t="str">
        <f t="shared" si="1"/>
        <v/>
      </c>
      <c r="J60" s="73">
        <v>0.0</v>
      </c>
      <c r="K60" s="100"/>
      <c r="P60" s="163"/>
      <c r="Q60" s="163"/>
      <c r="R60" s="163"/>
      <c r="S60" s="231" t="str">
        <f t="shared" si="2"/>
        <v/>
      </c>
    </row>
    <row r="61">
      <c r="A61" s="217" t="b">
        <v>1</v>
      </c>
      <c r="B61" s="230" t="s">
        <v>602</v>
      </c>
      <c r="C61" s="69" t="str">
        <f t="array" ref="C61">TEXTJOIN("", TRUE, IFERROR(INDEX('language&amp;DataTest'!A:J, MATCH(INDEX( PointerTest!C:C, MATCH(B61, PointerTest!A:A, 0), 0), 'language&amp;DataTest'!A:A, 0), MATCH(HOME!$A$25, 'language&amp;DataTest'!$A$1:$H$1, 0))),                      IFERROR(INDEX('language&amp;DataTest'!A:J, MATCH(INDEX( PointerTest!D:D, MATCH(B61, PointerTest!A:A, 0), 0), 'language&amp;DataTest'!A:A, 0), MATCH(HOME!$A$25, 'language&amp;DataTest'!$A$1:$H$1, 0))),                                          
IFERROR(INDEX('language&amp;DataTest'!A:J, MATCH(INDEX( PointerTest!E:E, MATCH(B61, PointerTest!A:A, 0), 0), 'language&amp;DataTest'!A:A, 0), MATCH(HOME!$A$25, 'language&amp;DataTest'!$A$1:$H$1, 0))))</f>
        <v>Luxray</v>
      </c>
      <c r="D61" s="69" t="str">
        <f t="array" ref="D61">TEXTJOIN("", TRUE, 
IFERROR(INDEX('language&amp;DataTest'!A:J, MATCH(INDEX( PointerTest!C:C, MATCH(INDEX(PointerTest!B:B, MATCH(B61, PointerTest!A:A, 0)), PointerTest!A:A, 0), 0), 'language&amp;DataTest'!A:A, 0), MATCH(HOME!$A$25, 'language&amp;DataTest'!$A$1:$H$1, 0))),                      
IFERROR(INDEX('language&amp;DataTest'!A:J, MATCH(INDEX( PointerTest!D:D, MATCH(INDEX(PointerTest!B:B, MATCH(B61, PointerTest!A:A, 0)), PointerTest!A:A, 0), 0), 'language&amp;DataTest'!A:A, 0), MATCH(HOME!$A$25, 'language&amp;DataTest'!$A$1:$H$1, 0))),                                          
IFERROR(INDEX('language&amp;DataTest'!A:J, MATCH(INDEX( PointerTest!E:E, MATCH(INDEX(PointerTest!B:B, MATCH(B61, PointerTest!A:A, 0)), PointerTest!A:A, 0), 0), 'language&amp;DataTest'!A:A, 0), MATCH(HOME!$A$25, 'language&amp;DataTest'!$A$1:$H$1, 0))))</f>
        <v>Dialga ex</v>
      </c>
      <c r="E61" s="69" t="str">
        <f t="array" ref="E61">INDEX( PointerTest!F:F, MATCH(B61, PointerTest!A:A, 0), 0)</f>
        <v>♢♢♢</v>
      </c>
      <c r="F61" s="70" t="str">
        <f t="array" ref="F61">LET(percentage,XLOOKUP($E61,$K$2:$K$10,L$2:L$10,"",0)/(COUNTIFS($E:$E,$E61,$D:$D,RegularFormula!$D$2)+COUNTIFS($E:$E,$E61,$D:$D,IF($D61=RegularFormula!$D$2,$K$15,$D61))),IFERROR(IF(percentage,percentage,""),""))</f>
        <v/>
      </c>
      <c r="G61" s="71">
        <f t="array" ref="G61">LET(percentage,XLOOKUP($E61,$K$2:$K$10,M$2:M$10,"",0)/(COUNTIFS($E:$E,$E61,$D:$D,RegularFormula!$D$2)+COUNTIFS($E:$E,$E61,$D:$D,IF($D61=RegularFormula!$D$2,$K$15,$D61))),IFERROR(IF(percentage,percentage,""),""))</f>
        <v>0.003571428571</v>
      </c>
      <c r="H61" s="71">
        <f t="array" ref="H61">LET(percentage,XLOOKUP($E61,$K$2:$K$10,N$2:N$10,"",0)/(COUNTIFS($E:$E,$E61,$D:$D,RegularFormula!$D$2)+COUNTIFS($E:$E,$E61,$D:$D,IF($D61=RegularFormula!$D$2,$K$15,$D61))),IFERROR(IF(percentage,percentage,""),""))</f>
        <v>0.01428571429</v>
      </c>
      <c r="I61" s="72" t="str">
        <f t="shared" si="1"/>
        <v/>
      </c>
      <c r="J61" s="73">
        <v>0.0</v>
      </c>
      <c r="K61" s="100"/>
      <c r="P61" s="163"/>
      <c r="Q61" s="163"/>
      <c r="R61" s="163"/>
      <c r="S61" s="231" t="str">
        <f t="shared" si="2"/>
        <v/>
      </c>
    </row>
    <row r="62">
      <c r="A62" s="217" t="b">
        <v>1</v>
      </c>
      <c r="B62" s="230" t="s">
        <v>603</v>
      </c>
      <c r="C62" s="69" t="str">
        <f t="array" ref="C62">TEXTJOIN("", TRUE, IFERROR(INDEX('language&amp;DataTest'!A:J, MATCH(INDEX( PointerTest!C:C, MATCH(B62, PointerTest!A:A, 0), 0), 'language&amp;DataTest'!A:A, 0), MATCH(HOME!$A$25, 'language&amp;DataTest'!$A$1:$H$1, 0))),                      IFERROR(INDEX('language&amp;DataTest'!A:J, MATCH(INDEX( PointerTest!D:D, MATCH(B62, PointerTest!A:A, 0), 0), 'language&amp;DataTest'!A:A, 0), MATCH(HOME!$A$25, 'language&amp;DataTest'!$A$1:$H$1, 0))),                                          
IFERROR(INDEX('language&amp;DataTest'!A:J, MATCH(INDEX( PointerTest!E:E, MATCH(B62, PointerTest!A:A, 0), 0), 'language&amp;DataTest'!A:A, 0), MATCH(HOME!$A$25, 'language&amp;DataTest'!$A$1:$H$1, 0))))</f>
        <v>Pachirisu ex</v>
      </c>
      <c r="D62" s="69" t="str">
        <f t="array" ref="D62">TEXTJOIN("", TRUE, 
IFERROR(INDEX('language&amp;DataTest'!A:J, MATCH(INDEX( PointerTest!C:C, MATCH(INDEX(PointerTest!B:B, MATCH(B62, PointerTest!A:A, 0)), PointerTest!A:A, 0), 0), 'language&amp;DataTest'!A:A, 0), MATCH(HOME!$A$25, 'language&amp;DataTest'!$A$1:$H$1, 0))),                      
IFERROR(INDEX('language&amp;DataTest'!A:J, MATCH(INDEX( PointerTest!D:D, MATCH(INDEX(PointerTest!B:B, MATCH(B62, PointerTest!A:A, 0)), PointerTest!A:A, 0), 0), 'language&amp;DataTest'!A:A, 0), MATCH(HOME!$A$25, 'language&amp;DataTest'!$A$1:$H$1, 0))),                                          
IFERROR(INDEX('language&amp;DataTest'!A:J, MATCH(INDEX( PointerTest!E:E, MATCH(INDEX(PointerTest!B:B, MATCH(B62, PointerTest!A:A, 0)), PointerTest!A:A, 0), 0), 'language&amp;DataTest'!A:A, 0), MATCH(HOME!$A$25, 'language&amp;DataTest'!$A$1:$H$1, 0))))</f>
        <v>Dialga ex</v>
      </c>
      <c r="E62" s="69" t="str">
        <f t="array" ref="E62">INDEX( PointerTest!F:F, MATCH(B62, PointerTest!A:A, 0), 0)</f>
        <v>♢♢♢♢</v>
      </c>
      <c r="F62" s="70" t="str">
        <f t="array" ref="F62">LET(percentage,XLOOKUP($E62,$K$2:$K$10,L$2:L$10,"",0)/(COUNTIFS($E:$E,$E62,$D:$D,RegularFormula!$D$2)+COUNTIFS($E:$E,$E62,$D:$D,IF($D62=RegularFormula!$D$2,$K$15,$D62))),IFERROR(IF(percentage,percentage,""),""))</f>
        <v/>
      </c>
      <c r="G62" s="71">
        <f t="array" ref="G62">LET(percentage,XLOOKUP($E62,$K$2:$K$10,M$2:M$10,"",0)/(COUNTIFS($E:$E,$E62,$D:$D,RegularFormula!$D$2)+COUNTIFS($E:$E,$E62,$D:$D,IF($D62=RegularFormula!$D$2,$K$15,$D62))),IFERROR(IF(percentage,percentage,""),""))</f>
        <v>0.003332</v>
      </c>
      <c r="H62" s="71">
        <f t="array" ref="H62">LET(percentage,XLOOKUP($E62,$K$2:$K$10,N$2:N$10,"",0)/(COUNTIFS($E:$E,$E62,$D:$D,RegularFormula!$D$2)+COUNTIFS($E:$E,$E62,$D:$D,IF($D62=RegularFormula!$D$2,$K$15,$D62))),IFERROR(IF(percentage,percentage,""),""))</f>
        <v>0.013328</v>
      </c>
      <c r="I62" s="72" t="str">
        <f t="shared" si="1"/>
        <v/>
      </c>
      <c r="J62" s="73">
        <v>0.0</v>
      </c>
      <c r="K62" s="100"/>
      <c r="P62" s="163"/>
      <c r="Q62" s="163"/>
      <c r="R62" s="163"/>
      <c r="S62" s="231" t="str">
        <f t="shared" si="2"/>
        <v/>
      </c>
    </row>
    <row r="63">
      <c r="A63" s="217" t="b">
        <v>1</v>
      </c>
      <c r="B63" s="230" t="s">
        <v>604</v>
      </c>
      <c r="C63" s="69" t="str">
        <f t="array" ref="C63">TEXTJOIN("", TRUE, IFERROR(INDEX('language&amp;DataTest'!A:J, MATCH(INDEX( PointerTest!C:C, MATCH(B63, PointerTest!A:A, 0), 0), 'language&amp;DataTest'!A:A, 0), MATCH(HOME!$A$25, 'language&amp;DataTest'!$A$1:$H$1, 0))),                      IFERROR(INDEX('language&amp;DataTest'!A:J, MATCH(INDEX( PointerTest!D:D, MATCH(B63, PointerTest!A:A, 0), 0), 'language&amp;DataTest'!A:A, 0), MATCH(HOME!$A$25, 'language&amp;DataTest'!$A$1:$H$1, 0))),                                          
IFERROR(INDEX('language&amp;DataTest'!A:J, MATCH(INDEX( PointerTest!E:E, MATCH(B63, PointerTest!A:A, 0), 0), 'language&amp;DataTest'!A:A, 0), MATCH(HOME!$A$25, 'language&amp;DataTest'!$A$1:$H$1, 0))))</f>
        <v>Rotom</v>
      </c>
      <c r="D63" s="69" t="str">
        <f t="array" ref="D63">TEXTJOIN("", TRUE, 
IFERROR(INDEX('language&amp;DataTest'!A:J, MATCH(INDEX( PointerTest!C:C, MATCH(INDEX(PointerTest!B:B, MATCH(B63, PointerTest!A:A, 0)), PointerTest!A:A, 0), 0), 'language&amp;DataTest'!A:A, 0), MATCH(HOME!$A$25, 'language&amp;DataTest'!$A$1:$H$1, 0))),                      
IFERROR(INDEX('language&amp;DataTest'!A:J, MATCH(INDEX( PointerTest!D:D, MATCH(INDEX(PointerTest!B:B, MATCH(B63, PointerTest!A:A, 0)), PointerTest!A:A, 0), 0), 'language&amp;DataTest'!A:A, 0), MATCH(HOME!$A$25, 'language&amp;DataTest'!$A$1:$H$1, 0))),                                          
IFERROR(INDEX('language&amp;DataTest'!A:J, MATCH(INDEX( PointerTest!E:E, MATCH(INDEX(PointerTest!B:B, MATCH(B63, PointerTest!A:A, 0)), PointerTest!A:A, 0), 0), 'language&amp;DataTest'!A:A, 0), MATCH(HOME!$A$25, 'language&amp;DataTest'!$A$1:$H$1, 0))))</f>
        <v>Palkia ex</v>
      </c>
      <c r="E63" s="69" t="str">
        <f t="array" ref="E63">INDEX( PointerTest!F:F, MATCH(B63, PointerTest!A:A, 0), 0)</f>
        <v>♢</v>
      </c>
      <c r="F63" s="70">
        <f t="array" ref="F63">LET(percentage,XLOOKUP($E63,$K$2:$K$10,L$2:L$10,"",0)/(COUNTIFS($E:$E,$E63,$D:$D,RegularFormula!$D$2)+COUNTIFS($E:$E,$E63,$D:$D,IF($D63=RegularFormula!$D$2,$K$15,$D63))),IFERROR(IF(percentage,percentage,""),""))</f>
        <v>0.02272727273</v>
      </c>
      <c r="G63" s="71" t="str">
        <f t="array" ref="G63">LET(percentage,XLOOKUP($E63,$K$2:$K$10,M$2:M$10,"",0)/(COUNTIFS($E:$E,$E63,$D:$D,RegularFormula!$D$2)+COUNTIFS($E:$E,$E63,$D:$D,IF($D63=RegularFormula!$D$2,$K$15,$D63))),IFERROR(IF(percentage,percentage,""),""))</f>
        <v/>
      </c>
      <c r="H63" s="71" t="str">
        <f t="array" ref="H63">LET(percentage,XLOOKUP($E63,$K$2:$K$10,N$2:N$10,"",0)/(COUNTIFS($E:$E,$E63,$D:$D,RegularFormula!$D$2)+COUNTIFS($E:$E,$E63,$D:$D,IF($D63=RegularFormula!$D$2,$K$15,$D63))),IFERROR(IF(percentage,percentage,""),""))</f>
        <v/>
      </c>
      <c r="I63" s="72" t="str">
        <f t="shared" si="1"/>
        <v/>
      </c>
      <c r="J63" s="73">
        <v>0.0</v>
      </c>
      <c r="K63" s="100"/>
      <c r="P63" s="163"/>
      <c r="Q63" s="163"/>
      <c r="R63" s="163"/>
      <c r="S63" s="231" t="str">
        <f t="shared" si="2"/>
        <v/>
      </c>
    </row>
    <row r="64">
      <c r="A64" s="217" t="b">
        <v>1</v>
      </c>
      <c r="B64" s="230" t="s">
        <v>605</v>
      </c>
      <c r="C64" s="69" t="str">
        <f t="array" ref="C64">TEXTJOIN("", TRUE, IFERROR(INDEX('language&amp;DataTest'!A:J, MATCH(INDEX( PointerTest!C:C, MATCH(B64, PointerTest!A:A, 0), 0), 'language&amp;DataTest'!A:A, 0), MATCH(HOME!$A$25, 'language&amp;DataTest'!$A$1:$H$1, 0))),                      IFERROR(INDEX('language&amp;DataTest'!A:J, MATCH(INDEX( PointerTest!D:D, MATCH(B64, PointerTest!A:A, 0), 0), 'language&amp;DataTest'!A:A, 0), MATCH(HOME!$A$25, 'language&amp;DataTest'!$A$1:$H$1, 0))),                                          
IFERROR(INDEX('language&amp;DataTest'!A:J, MATCH(INDEX( PointerTest!E:E, MATCH(B64, PointerTest!A:A, 0), 0), 'language&amp;DataTest'!A:A, 0), MATCH(HOME!$A$25, 'language&amp;DataTest'!$A$1:$H$1, 0))))</f>
        <v>Togepi</v>
      </c>
      <c r="D64" s="69" t="str">
        <f t="array" ref="D64">TEXTJOIN("", TRUE, 
IFERROR(INDEX('language&amp;DataTest'!A:J, MATCH(INDEX( PointerTest!C:C, MATCH(INDEX(PointerTest!B:B, MATCH(B64, PointerTest!A:A, 0)), PointerTest!A:A, 0), 0), 'language&amp;DataTest'!A:A, 0), MATCH(HOME!$A$25, 'language&amp;DataTest'!$A$1:$H$1, 0))),                      
IFERROR(INDEX('language&amp;DataTest'!A:J, MATCH(INDEX( PointerTest!D:D, MATCH(INDEX(PointerTest!B:B, MATCH(B64, PointerTest!A:A, 0)), PointerTest!A:A, 0), 0), 'language&amp;DataTest'!A:A, 0), MATCH(HOME!$A$25, 'language&amp;DataTest'!$A$1:$H$1, 0))),                                          
IFERROR(INDEX('language&amp;DataTest'!A:J, MATCH(INDEX( PointerTest!E:E, MATCH(INDEX(PointerTest!B:B, MATCH(B64, PointerTest!A:A, 0)), PointerTest!A:A, 0), 0), 'language&amp;DataTest'!A:A, 0), MATCH(HOME!$A$25, 'language&amp;DataTest'!$A$1:$H$1, 0))))</f>
        <v>All</v>
      </c>
      <c r="E64" s="69" t="str">
        <f t="array" ref="E64">INDEX( PointerTest!F:F, MATCH(B64, PointerTest!A:A, 0), 0)</f>
        <v>♢</v>
      </c>
      <c r="F64" s="70">
        <f t="array" ref="F64">LET(percentage,XLOOKUP($E64,$K$2:$K$10,L$2:L$10,"",0)/(COUNTIFS($E:$E,$E64,$D:$D,RegularFormula!$D$2)+COUNTIFS($E:$E,$E64,$D:$D,IF($D64=RegularFormula!$D$2,$K$15,$D64))),IFERROR(IF(percentage,percentage,""),""))</f>
        <v>0.02272727273</v>
      </c>
      <c r="G64" s="71" t="str">
        <f t="array" ref="G64">LET(percentage,XLOOKUP($E64,$K$2:$K$10,M$2:M$10,"",0)/(COUNTIFS($E:$E,$E64,$D:$D,RegularFormula!$D$2)+COUNTIFS($E:$E,$E64,$D:$D,IF($D64=RegularFormula!$D$2,$K$15,$D64))),IFERROR(IF(percentage,percentage,""),""))</f>
        <v/>
      </c>
      <c r="H64" s="71" t="str">
        <f t="array" ref="H64">LET(percentage,XLOOKUP($E64,$K$2:$K$10,N$2:N$10,"",0)/(COUNTIFS($E:$E,$E64,$D:$D,RegularFormula!$D$2)+COUNTIFS($E:$E,$E64,$D:$D,IF($D64=RegularFormula!$D$2,$K$15,$D64))),IFERROR(IF(percentage,percentage,""),""))</f>
        <v/>
      </c>
      <c r="I64" s="72" t="str">
        <f t="shared" si="1"/>
        <v>*Based on Palkia ex pack</v>
      </c>
      <c r="J64" s="73">
        <v>0.0</v>
      </c>
      <c r="K64" s="100"/>
      <c r="P64" s="163"/>
      <c r="Q64" s="163"/>
      <c r="R64" s="163"/>
      <c r="S64" s="231" t="str">
        <f t="shared" si="2"/>
        <v/>
      </c>
    </row>
    <row r="65">
      <c r="A65" s="217" t="b">
        <v>1</v>
      </c>
      <c r="B65" s="230" t="s">
        <v>606</v>
      </c>
      <c r="C65" s="69" t="str">
        <f t="array" ref="C65">TEXTJOIN("", TRUE, IFERROR(INDEX('language&amp;DataTest'!A:J, MATCH(INDEX( PointerTest!C:C, MATCH(B65, PointerTest!A:A, 0), 0), 'language&amp;DataTest'!A:A, 0), MATCH(HOME!$A$25, 'language&amp;DataTest'!$A$1:$H$1, 0))),                      IFERROR(INDEX('language&amp;DataTest'!A:J, MATCH(INDEX( PointerTest!D:D, MATCH(B65, PointerTest!A:A, 0), 0), 'language&amp;DataTest'!A:A, 0), MATCH(HOME!$A$25, 'language&amp;DataTest'!$A$1:$H$1, 0))),                                          
IFERROR(INDEX('language&amp;DataTest'!A:J, MATCH(INDEX( PointerTest!E:E, MATCH(B65, PointerTest!A:A, 0), 0), 'language&amp;DataTest'!A:A, 0), MATCH(HOME!$A$25, 'language&amp;DataTest'!$A$1:$H$1, 0))))</f>
        <v>Togetic</v>
      </c>
      <c r="D65" s="69" t="str">
        <f t="array" ref="D65">TEXTJOIN("", TRUE, 
IFERROR(INDEX('language&amp;DataTest'!A:J, MATCH(INDEX( PointerTest!C:C, MATCH(INDEX(PointerTest!B:B, MATCH(B65, PointerTest!A:A, 0)), PointerTest!A:A, 0), 0), 'language&amp;DataTest'!A:A, 0), MATCH(HOME!$A$25, 'language&amp;DataTest'!$A$1:$H$1, 0))),                      
IFERROR(INDEX('language&amp;DataTest'!A:J, MATCH(INDEX( PointerTest!D:D, MATCH(INDEX(PointerTest!B:B, MATCH(B65, PointerTest!A:A, 0)), PointerTest!A:A, 0), 0), 'language&amp;DataTest'!A:A, 0), MATCH(HOME!$A$25, 'language&amp;DataTest'!$A$1:$H$1, 0))),                                          
IFERROR(INDEX('language&amp;DataTest'!A:J, MATCH(INDEX( PointerTest!E:E, MATCH(INDEX(PointerTest!B:B, MATCH(B65, PointerTest!A:A, 0)), PointerTest!A:A, 0), 0), 'language&amp;DataTest'!A:A, 0), MATCH(HOME!$A$25, 'language&amp;DataTest'!$A$1:$H$1, 0))))</f>
        <v>All</v>
      </c>
      <c r="E65" s="69" t="str">
        <f t="array" ref="E65">INDEX( PointerTest!F:F, MATCH(B65, PointerTest!A:A, 0), 0)</f>
        <v>♢♢</v>
      </c>
      <c r="F65" s="70" t="str">
        <f t="array" ref="F65">LET(percentage,XLOOKUP($E65,$K$2:$K$10,L$2:L$10,"",0)/(COUNTIFS($E:$E,$E65,$D:$D,RegularFormula!$D$2)+COUNTIFS($E:$E,$E65,$D:$D,IF($D65=RegularFormula!$D$2,$K$15,$D65))),IFERROR(IF(percentage,percentage,""),""))</f>
        <v/>
      </c>
      <c r="G65" s="71">
        <f t="array" ref="G65">LET(percentage,XLOOKUP($E65,$K$2:$K$10,M$2:M$10,"",0)/(COUNTIFS($E:$E,$E65,$D:$D,RegularFormula!$D$2)+COUNTIFS($E:$E,$E65,$D:$D,IF($D65=RegularFormula!$D$2,$K$15,$D65))),IFERROR(IF(percentage,percentage,""),""))</f>
        <v>0.025</v>
      </c>
      <c r="H65" s="71">
        <f t="array" ref="H65">LET(percentage,XLOOKUP($E65,$K$2:$K$10,N$2:N$10,"",0)/(COUNTIFS($E:$E,$E65,$D:$D,RegularFormula!$D$2)+COUNTIFS($E:$E,$E65,$D:$D,IF($D65=RegularFormula!$D$2,$K$15,$D65))),IFERROR(IF(percentage,percentage,""),""))</f>
        <v>0.01666666667</v>
      </c>
      <c r="I65" s="72" t="str">
        <f t="shared" si="1"/>
        <v>*Based on Palkia ex pack</v>
      </c>
      <c r="J65" s="73">
        <v>0.0</v>
      </c>
      <c r="K65" s="100"/>
      <c r="O65" s="237" t="s">
        <v>199</v>
      </c>
      <c r="P65" s="163"/>
      <c r="Q65" s="163"/>
      <c r="R65" s="163"/>
      <c r="S65" s="231" t="str">
        <f t="shared" si="2"/>
        <v/>
      </c>
    </row>
    <row r="66">
      <c r="A66" s="217" t="b">
        <v>1</v>
      </c>
      <c r="B66" s="230" t="s">
        <v>607</v>
      </c>
      <c r="C66" s="69" t="str">
        <f t="array" ref="C66">TEXTJOIN("", TRUE, IFERROR(INDEX('language&amp;DataTest'!A:J, MATCH(INDEX( PointerTest!C:C, MATCH(B66, PointerTest!A:A, 0), 0), 'language&amp;DataTest'!A:A, 0), MATCH(HOME!$A$25, 'language&amp;DataTest'!$A$1:$H$1, 0))),                      IFERROR(INDEX('language&amp;DataTest'!A:J, MATCH(INDEX( PointerTest!D:D, MATCH(B66, PointerTest!A:A, 0), 0), 'language&amp;DataTest'!A:A, 0), MATCH(HOME!$A$25, 'language&amp;DataTest'!$A$1:$H$1, 0))),                                          
IFERROR(INDEX('language&amp;DataTest'!A:J, MATCH(INDEX( PointerTest!E:E, MATCH(B66, PointerTest!A:A, 0), 0), 'language&amp;DataTest'!A:A, 0), MATCH(HOME!$A$25, 'language&amp;DataTest'!$A$1:$H$1, 0))))</f>
        <v>Togekiss</v>
      </c>
      <c r="D66" s="69" t="str">
        <f t="array" ref="D66">TEXTJOIN("", TRUE, 
IFERROR(INDEX('language&amp;DataTest'!A:J, MATCH(INDEX( PointerTest!C:C, MATCH(INDEX(PointerTest!B:B, MATCH(B66, PointerTest!A:A, 0)), PointerTest!A:A, 0), 0), 'language&amp;DataTest'!A:A, 0), MATCH(HOME!$A$25, 'language&amp;DataTest'!$A$1:$H$1, 0))),                      
IFERROR(INDEX('language&amp;DataTest'!A:J, MATCH(INDEX( PointerTest!D:D, MATCH(INDEX(PointerTest!B:B, MATCH(B66, PointerTest!A:A, 0)), PointerTest!A:A, 0), 0), 'language&amp;DataTest'!A:A, 0), MATCH(HOME!$A$25, 'language&amp;DataTest'!$A$1:$H$1, 0))),                                          
IFERROR(INDEX('language&amp;DataTest'!A:J, MATCH(INDEX( PointerTest!E:E, MATCH(INDEX(PointerTest!B:B, MATCH(B66, PointerTest!A:A, 0)), PointerTest!A:A, 0), 0), 'language&amp;DataTest'!A:A, 0), MATCH(HOME!$A$25, 'language&amp;DataTest'!$A$1:$H$1, 0))))</f>
        <v>All</v>
      </c>
      <c r="E66" s="69" t="str">
        <f t="array" ref="E66">INDEX( PointerTest!F:F, MATCH(B66, PointerTest!A:A, 0), 0)</f>
        <v>♢♢♢</v>
      </c>
      <c r="F66" s="70" t="str">
        <f t="array" ref="F66">LET(percentage,XLOOKUP($E66,$K$2:$K$10,L$2:L$10,"",0)/(COUNTIFS($E:$E,$E66,$D:$D,RegularFormula!$D$2)+COUNTIFS($E:$E,$E66,$D:$D,IF($D66=RegularFormula!$D$2,$K$15,$D66))),IFERROR(IF(percentage,percentage,""),""))</f>
        <v/>
      </c>
      <c r="G66" s="71">
        <f t="array" ref="G66">LET(percentage,XLOOKUP($E66,$K$2:$K$10,M$2:M$10,"",0)/(COUNTIFS($E:$E,$E66,$D:$D,RegularFormula!$D$2)+COUNTIFS($E:$E,$E66,$D:$D,IF($D66=RegularFormula!$D$2,$K$15,$D66))),IFERROR(IF(percentage,percentage,""),""))</f>
        <v>0.003571428571</v>
      </c>
      <c r="H66" s="71">
        <f t="array" ref="H66">LET(percentage,XLOOKUP($E66,$K$2:$K$10,N$2:N$10,"",0)/(COUNTIFS($E:$E,$E66,$D:$D,RegularFormula!$D$2)+COUNTIFS($E:$E,$E66,$D:$D,IF($D66=RegularFormula!$D$2,$K$15,$D66))),IFERROR(IF(percentage,percentage,""),""))</f>
        <v>0.01428571429</v>
      </c>
      <c r="I66" s="72" t="str">
        <f t="shared" si="1"/>
        <v>*Based on Palkia ex pack</v>
      </c>
      <c r="J66" s="73">
        <v>0.0</v>
      </c>
      <c r="K66" s="100"/>
      <c r="P66" s="163"/>
      <c r="Q66" s="163"/>
      <c r="R66" s="163"/>
      <c r="S66" s="231" t="str">
        <f t="shared" si="2"/>
        <v/>
      </c>
    </row>
    <row r="67">
      <c r="A67" s="217" t="b">
        <v>1</v>
      </c>
      <c r="B67" s="230" t="s">
        <v>608</v>
      </c>
      <c r="C67" s="69" t="str">
        <f t="array" ref="C67">TEXTJOIN("", TRUE, IFERROR(INDEX('language&amp;DataTest'!A:J, MATCH(INDEX( PointerTest!C:C, MATCH(B67, PointerTest!A:A, 0), 0), 'language&amp;DataTest'!A:A, 0), MATCH(HOME!$A$25, 'language&amp;DataTest'!$A$1:$H$1, 0))),                      IFERROR(INDEX('language&amp;DataTest'!A:J, MATCH(INDEX( PointerTest!D:D, MATCH(B67, PointerTest!A:A, 0), 0), 'language&amp;DataTest'!A:A, 0), MATCH(HOME!$A$25, 'language&amp;DataTest'!$A$1:$H$1, 0))),                                          
IFERROR(INDEX('language&amp;DataTest'!A:J, MATCH(INDEX( PointerTest!E:E, MATCH(B67, PointerTest!A:A, 0), 0), 'language&amp;DataTest'!A:A, 0), MATCH(HOME!$A$25, 'language&amp;DataTest'!$A$1:$H$1, 0))))</f>
        <v>Misdreavus</v>
      </c>
      <c r="D67" s="69" t="str">
        <f t="array" ref="D67">TEXTJOIN("", TRUE, 
IFERROR(INDEX('language&amp;DataTest'!A:J, MATCH(INDEX( PointerTest!C:C, MATCH(INDEX(PointerTest!B:B, MATCH(B67, PointerTest!A:A, 0)), PointerTest!A:A, 0), 0), 'language&amp;DataTest'!A:A, 0), MATCH(HOME!$A$25, 'language&amp;DataTest'!$A$1:$H$1, 0))),                      
IFERROR(INDEX('language&amp;DataTest'!A:J, MATCH(INDEX( PointerTest!D:D, MATCH(INDEX(PointerTest!B:B, MATCH(B67, PointerTest!A:A, 0)), PointerTest!A:A, 0), 0), 'language&amp;DataTest'!A:A, 0), MATCH(HOME!$A$25, 'language&amp;DataTest'!$A$1:$H$1, 0))),                                          
IFERROR(INDEX('language&amp;DataTest'!A:J, MATCH(INDEX( PointerTest!E:E, MATCH(INDEX(PointerTest!B:B, MATCH(B67, PointerTest!A:A, 0)), PointerTest!A:A, 0), 0), 'language&amp;DataTest'!A:A, 0), MATCH(HOME!$A$25, 'language&amp;DataTest'!$A$1:$H$1, 0))))</f>
        <v>Palkia ex</v>
      </c>
      <c r="E67" s="69" t="str">
        <f t="array" ref="E67">INDEX( PointerTest!F:F, MATCH(B67, PointerTest!A:A, 0), 0)</f>
        <v>♢</v>
      </c>
      <c r="F67" s="70">
        <f t="array" ref="F67">LET(percentage,XLOOKUP($E67,$K$2:$K$10,L$2:L$10,"",0)/(COUNTIFS($E:$E,$E67,$D:$D,RegularFormula!$D$2)+COUNTIFS($E:$E,$E67,$D:$D,IF($D67=RegularFormula!$D$2,$K$15,$D67))),IFERROR(IF(percentage,percentage,""),""))</f>
        <v>0.02272727273</v>
      </c>
      <c r="G67" s="71" t="str">
        <f t="array" ref="G67">LET(percentage,XLOOKUP($E67,$K$2:$K$10,M$2:M$10,"",0)/(COUNTIFS($E:$E,$E67,$D:$D,RegularFormula!$D$2)+COUNTIFS($E:$E,$E67,$D:$D,IF($D67=RegularFormula!$D$2,$K$15,$D67))),IFERROR(IF(percentage,percentage,""),""))</f>
        <v/>
      </c>
      <c r="H67" s="71" t="str">
        <f t="array" ref="H67">LET(percentage,XLOOKUP($E67,$K$2:$K$10,N$2:N$10,"",0)/(COUNTIFS($E:$E,$E67,$D:$D,RegularFormula!$D$2)+COUNTIFS($E:$E,$E67,$D:$D,IF($D67=RegularFormula!$D$2,$K$15,$D67))),IFERROR(IF(percentage,percentage,""),""))</f>
        <v/>
      </c>
      <c r="I67" s="72" t="str">
        <f t="shared" si="1"/>
        <v/>
      </c>
      <c r="J67" s="73">
        <v>0.0</v>
      </c>
      <c r="K67" s="100"/>
      <c r="O67" s="229" t="s">
        <v>609</v>
      </c>
      <c r="P67" s="163"/>
      <c r="Q67" s="163"/>
      <c r="R67" s="163"/>
      <c r="S67" s="231" t="str">
        <f t="shared" si="2"/>
        <v/>
      </c>
    </row>
    <row r="68">
      <c r="A68" s="217" t="b">
        <v>1</v>
      </c>
      <c r="B68" s="230" t="s">
        <v>610</v>
      </c>
      <c r="C68" s="69" t="str">
        <f t="array" ref="C68">TEXTJOIN("", TRUE, IFERROR(INDEX('language&amp;DataTest'!A:J, MATCH(INDEX( PointerTest!C:C, MATCH(B68, PointerTest!A:A, 0), 0), 'language&amp;DataTest'!A:A, 0), MATCH(HOME!$A$25, 'language&amp;DataTest'!$A$1:$H$1, 0))),                      IFERROR(INDEX('language&amp;DataTest'!A:J, MATCH(INDEX( PointerTest!D:D, MATCH(B68, PointerTest!A:A, 0), 0), 'language&amp;DataTest'!A:A, 0), MATCH(HOME!$A$25, 'language&amp;DataTest'!$A$1:$H$1, 0))),                                          
IFERROR(INDEX('language&amp;DataTest'!A:J, MATCH(INDEX( PointerTest!E:E, MATCH(B68, PointerTest!A:A, 0), 0), 'language&amp;DataTest'!A:A, 0), MATCH(HOME!$A$25, 'language&amp;DataTest'!$A$1:$H$1, 0))))</f>
        <v>Mismagius ex</v>
      </c>
      <c r="D68" s="69" t="str">
        <f t="array" ref="D68">TEXTJOIN("", TRUE, 
IFERROR(INDEX('language&amp;DataTest'!A:J, MATCH(INDEX( PointerTest!C:C, MATCH(INDEX(PointerTest!B:B, MATCH(B68, PointerTest!A:A, 0)), PointerTest!A:A, 0), 0), 'language&amp;DataTest'!A:A, 0), MATCH(HOME!$A$25, 'language&amp;DataTest'!$A$1:$H$1, 0))),                      
IFERROR(INDEX('language&amp;DataTest'!A:J, MATCH(INDEX( PointerTest!D:D, MATCH(INDEX(PointerTest!B:B, MATCH(B68, PointerTest!A:A, 0)), PointerTest!A:A, 0), 0), 'language&amp;DataTest'!A:A, 0), MATCH(HOME!$A$25, 'language&amp;DataTest'!$A$1:$H$1, 0))),                                          
IFERROR(INDEX('language&amp;DataTest'!A:J, MATCH(INDEX( PointerTest!E:E, MATCH(INDEX(PointerTest!B:B, MATCH(B68, PointerTest!A:A, 0)), PointerTest!A:A, 0), 0), 'language&amp;DataTest'!A:A, 0), MATCH(HOME!$A$25, 'language&amp;DataTest'!$A$1:$H$1, 0))))</f>
        <v>Palkia ex</v>
      </c>
      <c r="E68" s="69" t="str">
        <f t="array" ref="E68">INDEX( PointerTest!F:F, MATCH(B68, PointerTest!A:A, 0), 0)</f>
        <v>♢♢♢♢</v>
      </c>
      <c r="F68" s="70" t="str">
        <f t="array" ref="F68">LET(percentage,XLOOKUP($E68,$K$2:$K$10,L$2:L$10,"",0)/(COUNTIFS($E:$E,$E68,$D:$D,RegularFormula!$D$2)+COUNTIFS($E:$E,$E68,$D:$D,IF($D68=RegularFormula!$D$2,$K$15,$D68))),IFERROR(IF(percentage,percentage,""),""))</f>
        <v/>
      </c>
      <c r="G68" s="71">
        <f t="array" ref="G68">LET(percentage,XLOOKUP($E68,$K$2:$K$10,M$2:M$10,"",0)/(COUNTIFS($E:$E,$E68,$D:$D,RegularFormula!$D$2)+COUNTIFS($E:$E,$E68,$D:$D,IF($D68=RegularFormula!$D$2,$K$15,$D68))),IFERROR(IF(percentage,percentage,""),""))</f>
        <v>0.003332</v>
      </c>
      <c r="H68" s="71">
        <f t="array" ref="H68">LET(percentage,XLOOKUP($E68,$K$2:$K$10,N$2:N$10,"",0)/(COUNTIFS($E:$E,$E68,$D:$D,RegularFormula!$D$2)+COUNTIFS($E:$E,$E68,$D:$D,IF($D68=RegularFormula!$D$2,$K$15,$D68))),IFERROR(IF(percentage,percentage,""),""))</f>
        <v>0.013328</v>
      </c>
      <c r="I68" s="72" t="str">
        <f t="shared" si="1"/>
        <v/>
      </c>
      <c r="J68" s="73">
        <v>0.0</v>
      </c>
      <c r="K68" s="100"/>
      <c r="P68" s="163"/>
      <c r="Q68" s="163"/>
      <c r="R68" s="163"/>
      <c r="S68" s="231" t="str">
        <f t="shared" si="2"/>
        <v/>
      </c>
    </row>
    <row r="69">
      <c r="A69" s="217" t="b">
        <v>1</v>
      </c>
      <c r="B69" s="230" t="s">
        <v>611</v>
      </c>
      <c r="C69" s="69" t="str">
        <f t="array" ref="C69">TEXTJOIN("", TRUE, IFERROR(INDEX('language&amp;DataTest'!A:J, MATCH(INDEX( PointerTest!C:C, MATCH(B69, PointerTest!A:A, 0), 0), 'language&amp;DataTest'!A:A, 0), MATCH(HOME!$A$25, 'language&amp;DataTest'!$A$1:$H$1, 0))),                      IFERROR(INDEX('language&amp;DataTest'!A:J, MATCH(INDEX( PointerTest!D:D, MATCH(B69, PointerTest!A:A, 0), 0), 'language&amp;DataTest'!A:A, 0), MATCH(HOME!$A$25, 'language&amp;DataTest'!$A$1:$H$1, 0))),                                          
IFERROR(INDEX('language&amp;DataTest'!A:J, MATCH(INDEX( PointerTest!E:E, MATCH(B69, PointerTest!A:A, 0), 0), 'language&amp;DataTest'!A:A, 0), MATCH(HOME!$A$25, 'language&amp;DataTest'!$A$1:$H$1, 0))))</f>
        <v>Ralts</v>
      </c>
      <c r="D69" s="69" t="str">
        <f t="array" ref="D69">TEXTJOIN("", TRUE, 
IFERROR(INDEX('language&amp;DataTest'!A:J, MATCH(INDEX( PointerTest!C:C, MATCH(INDEX(PointerTest!B:B, MATCH(B69, PointerTest!A:A, 0)), PointerTest!A:A, 0), 0), 'language&amp;DataTest'!A:A, 0), MATCH(HOME!$A$25, 'language&amp;DataTest'!$A$1:$H$1, 0))),                      
IFERROR(INDEX('language&amp;DataTest'!A:J, MATCH(INDEX( PointerTest!D:D, MATCH(INDEX(PointerTest!B:B, MATCH(B69, PointerTest!A:A, 0)), PointerTest!A:A, 0), 0), 'language&amp;DataTest'!A:A, 0), MATCH(HOME!$A$25, 'language&amp;DataTest'!$A$1:$H$1, 0))),                                          
IFERROR(INDEX('language&amp;DataTest'!A:J, MATCH(INDEX( PointerTest!E:E, MATCH(INDEX(PointerTest!B:B, MATCH(B69, PointerTest!A:A, 0)), PointerTest!A:A, 0), 0), 'language&amp;DataTest'!A:A, 0), MATCH(HOME!$A$25, 'language&amp;DataTest'!$A$1:$H$1, 0))))</f>
        <v>Dialga ex</v>
      </c>
      <c r="E69" s="69" t="str">
        <f t="array" ref="E69">INDEX( PointerTest!F:F, MATCH(B69, PointerTest!A:A, 0), 0)</f>
        <v>♢</v>
      </c>
      <c r="F69" s="70">
        <f t="array" ref="F69">LET(percentage,XLOOKUP($E69,$K$2:$K$10,L$2:L$10,"",0)/(COUNTIFS($E:$E,$E69,$D:$D,RegularFormula!$D$2)+COUNTIFS($E:$E,$E69,$D:$D,IF($D69=RegularFormula!$D$2,$K$15,$D69))),IFERROR(IF(percentage,percentage,""),""))</f>
        <v>0.02173913043</v>
      </c>
      <c r="G69" s="71" t="str">
        <f t="array" ref="G69">LET(percentage,XLOOKUP($E69,$K$2:$K$10,M$2:M$10,"",0)/(COUNTIFS($E:$E,$E69,$D:$D,RegularFormula!$D$2)+COUNTIFS($E:$E,$E69,$D:$D,IF($D69=RegularFormula!$D$2,$K$15,$D69))),IFERROR(IF(percentage,percentage,""),""))</f>
        <v/>
      </c>
      <c r="H69" s="71" t="str">
        <f t="array" ref="H69">LET(percentage,XLOOKUP($E69,$K$2:$K$10,N$2:N$10,"",0)/(COUNTIFS($E:$E,$E69,$D:$D,RegularFormula!$D$2)+COUNTIFS($E:$E,$E69,$D:$D,IF($D69=RegularFormula!$D$2,$K$15,$D69))),IFERROR(IF(percentage,percentage,""),""))</f>
        <v/>
      </c>
      <c r="I69" s="72" t="str">
        <f t="shared" si="1"/>
        <v/>
      </c>
      <c r="J69" s="73">
        <v>0.0</v>
      </c>
      <c r="K69" s="100"/>
      <c r="P69" s="163"/>
      <c r="Q69" s="163"/>
      <c r="R69" s="163"/>
      <c r="S69" s="231" t="str">
        <f t="shared" si="2"/>
        <v/>
      </c>
    </row>
    <row r="70">
      <c r="A70" s="217" t="b">
        <v>1</v>
      </c>
      <c r="B70" s="230" t="s">
        <v>612</v>
      </c>
      <c r="C70" s="69" t="str">
        <f t="array" ref="C70">TEXTJOIN("", TRUE, IFERROR(INDEX('language&amp;DataTest'!A:J, MATCH(INDEX( PointerTest!C:C, MATCH(B70, PointerTest!A:A, 0), 0), 'language&amp;DataTest'!A:A, 0), MATCH(HOME!$A$25, 'language&amp;DataTest'!$A$1:$H$1, 0))),                      IFERROR(INDEX('language&amp;DataTest'!A:J, MATCH(INDEX( PointerTest!D:D, MATCH(B70, PointerTest!A:A, 0), 0), 'language&amp;DataTest'!A:A, 0), MATCH(HOME!$A$25, 'language&amp;DataTest'!$A$1:$H$1, 0))),                                          
IFERROR(INDEX('language&amp;DataTest'!A:J, MATCH(INDEX( PointerTest!E:E, MATCH(B70, PointerTest!A:A, 0), 0), 'language&amp;DataTest'!A:A, 0), MATCH(HOME!$A$25, 'language&amp;DataTest'!$A$1:$H$1, 0))))</f>
        <v>Kirlia</v>
      </c>
      <c r="D70" s="69" t="str">
        <f t="array" ref="D70">TEXTJOIN("", TRUE, 
IFERROR(INDEX('language&amp;DataTest'!A:J, MATCH(INDEX( PointerTest!C:C, MATCH(INDEX(PointerTest!B:B, MATCH(B70, PointerTest!A:A, 0)), PointerTest!A:A, 0), 0), 'language&amp;DataTest'!A:A, 0), MATCH(HOME!$A$25, 'language&amp;DataTest'!$A$1:$H$1, 0))),                      
IFERROR(INDEX('language&amp;DataTest'!A:J, MATCH(INDEX( PointerTest!D:D, MATCH(INDEX(PointerTest!B:B, MATCH(B70, PointerTest!A:A, 0)), PointerTest!A:A, 0), 0), 'language&amp;DataTest'!A:A, 0), MATCH(HOME!$A$25, 'language&amp;DataTest'!$A$1:$H$1, 0))),                                          
IFERROR(INDEX('language&amp;DataTest'!A:J, MATCH(INDEX( PointerTest!E:E, MATCH(INDEX(PointerTest!B:B, MATCH(B70, PointerTest!A:A, 0)), PointerTest!A:A, 0), 0), 'language&amp;DataTest'!A:A, 0), MATCH(HOME!$A$25, 'language&amp;DataTest'!$A$1:$H$1, 0))))</f>
        <v>Dialga ex</v>
      </c>
      <c r="E70" s="69" t="str">
        <f t="array" ref="E70">INDEX( PointerTest!F:F, MATCH(B70, PointerTest!A:A, 0), 0)</f>
        <v>♢</v>
      </c>
      <c r="F70" s="70">
        <f t="array" ref="F70">LET(percentage,XLOOKUP($E70,$K$2:$K$10,L$2:L$10,"",0)/(COUNTIFS($E:$E,$E70,$D:$D,RegularFormula!$D$2)+COUNTIFS($E:$E,$E70,$D:$D,IF($D70=RegularFormula!$D$2,$K$15,$D70))),IFERROR(IF(percentage,percentage,""),""))</f>
        <v>0.02173913043</v>
      </c>
      <c r="G70" s="71" t="str">
        <f t="array" ref="G70">LET(percentage,XLOOKUP($E70,$K$2:$K$10,M$2:M$10,"",0)/(COUNTIFS($E:$E,$E70,$D:$D,RegularFormula!$D$2)+COUNTIFS($E:$E,$E70,$D:$D,IF($D70=RegularFormula!$D$2,$K$15,$D70))),IFERROR(IF(percentage,percentage,""),""))</f>
        <v/>
      </c>
      <c r="H70" s="71" t="str">
        <f t="array" ref="H70">LET(percentage,XLOOKUP($E70,$K$2:$K$10,N$2:N$10,"",0)/(COUNTIFS($E:$E,$E70,$D:$D,RegularFormula!$D$2)+COUNTIFS($E:$E,$E70,$D:$D,IF($D70=RegularFormula!$D$2,$K$15,$D70))),IFERROR(IF(percentage,percentage,""),""))</f>
        <v/>
      </c>
      <c r="I70" s="72" t="str">
        <f t="shared" si="1"/>
        <v/>
      </c>
      <c r="J70" s="73">
        <v>0.0</v>
      </c>
      <c r="K70" s="100"/>
      <c r="L70" s="192"/>
      <c r="M70" s="192"/>
      <c r="N70" s="55"/>
      <c r="P70" s="103"/>
      <c r="Q70" s="103"/>
      <c r="R70" s="103"/>
      <c r="S70" s="231" t="str">
        <f t="shared" si="2"/>
        <v/>
      </c>
    </row>
    <row r="71">
      <c r="A71" s="217" t="b">
        <v>1</v>
      </c>
      <c r="B71" s="230" t="s">
        <v>613</v>
      </c>
      <c r="C71" s="69" t="str">
        <f t="array" ref="C71">TEXTJOIN("", TRUE, IFERROR(INDEX('language&amp;DataTest'!A:J, MATCH(INDEX( PointerTest!C:C, MATCH(B71, PointerTest!A:A, 0), 0), 'language&amp;DataTest'!A:A, 0), MATCH(HOME!$A$25, 'language&amp;DataTest'!$A$1:$H$1, 0))),                      IFERROR(INDEX('language&amp;DataTest'!A:J, MATCH(INDEX( PointerTest!D:D, MATCH(B71, PointerTest!A:A, 0), 0), 'language&amp;DataTest'!A:A, 0), MATCH(HOME!$A$25, 'language&amp;DataTest'!$A$1:$H$1, 0))),                                          
IFERROR(INDEX('language&amp;DataTest'!A:J, MATCH(INDEX( PointerTest!E:E, MATCH(B71, PointerTest!A:A, 0), 0), 'language&amp;DataTest'!A:A, 0), MATCH(HOME!$A$25, 'language&amp;DataTest'!$A$1:$H$1, 0))))</f>
        <v>Duskull</v>
      </c>
      <c r="D71" s="69" t="str">
        <f t="array" ref="D71">TEXTJOIN("", TRUE, 
IFERROR(INDEX('language&amp;DataTest'!A:J, MATCH(INDEX( PointerTest!C:C, MATCH(INDEX(PointerTest!B:B, MATCH(B71, PointerTest!A:A, 0)), PointerTest!A:A, 0), 0), 'language&amp;DataTest'!A:A, 0), MATCH(HOME!$A$25, 'language&amp;DataTest'!$A$1:$H$1, 0))),                      
IFERROR(INDEX('language&amp;DataTest'!A:J, MATCH(INDEX( PointerTest!D:D, MATCH(INDEX(PointerTest!B:B, MATCH(B71, PointerTest!A:A, 0)), PointerTest!A:A, 0), 0), 'language&amp;DataTest'!A:A, 0), MATCH(HOME!$A$25, 'language&amp;DataTest'!$A$1:$H$1, 0))),                                          
IFERROR(INDEX('language&amp;DataTest'!A:J, MATCH(INDEX( PointerTest!E:E, MATCH(INDEX(PointerTest!B:B, MATCH(B71, PointerTest!A:A, 0)), PointerTest!A:A, 0), 0), 'language&amp;DataTest'!A:A, 0), MATCH(HOME!$A$25, 'language&amp;DataTest'!$A$1:$H$1, 0))))</f>
        <v>Dialga ex</v>
      </c>
      <c r="E71" s="69" t="str">
        <f t="array" ref="E71">INDEX( PointerTest!F:F, MATCH(B71, PointerTest!A:A, 0), 0)</f>
        <v>♢</v>
      </c>
      <c r="F71" s="70">
        <f t="array" ref="F71">LET(percentage,XLOOKUP($E71,$K$2:$K$10,L$2:L$10,"",0)/(COUNTIFS($E:$E,$E71,$D:$D,RegularFormula!$D$2)+COUNTIFS($E:$E,$E71,$D:$D,IF($D71=RegularFormula!$D$2,$K$15,$D71))),IFERROR(IF(percentage,percentage,""),""))</f>
        <v>0.02173913043</v>
      </c>
      <c r="G71" s="71" t="str">
        <f t="array" ref="G71">LET(percentage,XLOOKUP($E71,$K$2:$K$10,M$2:M$10,"",0)/(COUNTIFS($E:$E,$E71,$D:$D,RegularFormula!$D$2)+COUNTIFS($E:$E,$E71,$D:$D,IF($D71=RegularFormula!$D$2,$K$15,$D71))),IFERROR(IF(percentage,percentage,""),""))</f>
        <v/>
      </c>
      <c r="H71" s="71" t="str">
        <f t="array" ref="H71">LET(percentage,XLOOKUP($E71,$K$2:$K$10,N$2:N$10,"",0)/(COUNTIFS($E:$E,$E71,$D:$D,RegularFormula!$D$2)+COUNTIFS($E:$E,$E71,$D:$D,IF($D71=RegularFormula!$D$2,$K$15,$D71))),IFERROR(IF(percentage,percentage,""),""))</f>
        <v/>
      </c>
      <c r="I71" s="72" t="str">
        <f t="shared" si="1"/>
        <v/>
      </c>
      <c r="J71" s="73">
        <v>0.0</v>
      </c>
      <c r="K71" s="193"/>
      <c r="L71" s="192"/>
      <c r="M71" s="192"/>
      <c r="N71" s="55"/>
      <c r="P71" s="103"/>
      <c r="Q71" s="103"/>
      <c r="R71" s="103"/>
      <c r="S71" s="231" t="str">
        <f t="shared" si="2"/>
        <v/>
      </c>
    </row>
    <row r="72">
      <c r="A72" s="217" t="b">
        <v>1</v>
      </c>
      <c r="B72" s="230" t="s">
        <v>614</v>
      </c>
      <c r="C72" s="69" t="str">
        <f t="array" ref="C72">TEXTJOIN("", TRUE, IFERROR(INDEX('language&amp;DataTest'!A:J, MATCH(INDEX( PointerTest!C:C, MATCH(B72, PointerTest!A:A, 0), 0), 'language&amp;DataTest'!A:A, 0), MATCH(HOME!$A$25, 'language&amp;DataTest'!$A$1:$H$1, 0))),                      IFERROR(INDEX('language&amp;DataTest'!A:J, MATCH(INDEX( PointerTest!D:D, MATCH(B72, PointerTest!A:A, 0), 0), 'language&amp;DataTest'!A:A, 0), MATCH(HOME!$A$25, 'language&amp;DataTest'!$A$1:$H$1, 0))),                                          
IFERROR(INDEX('language&amp;DataTest'!A:J, MATCH(INDEX( PointerTest!E:E, MATCH(B72, PointerTest!A:A, 0), 0), 'language&amp;DataTest'!A:A, 0), MATCH(HOME!$A$25, 'language&amp;DataTest'!$A$1:$H$1, 0))))</f>
        <v>Dusclops</v>
      </c>
      <c r="D72" s="69" t="str">
        <f t="array" ref="D72">TEXTJOIN("", TRUE, 
IFERROR(INDEX('language&amp;DataTest'!A:J, MATCH(INDEX( PointerTest!C:C, MATCH(INDEX(PointerTest!B:B, MATCH(B72, PointerTest!A:A, 0)), PointerTest!A:A, 0), 0), 'language&amp;DataTest'!A:A, 0), MATCH(HOME!$A$25, 'language&amp;DataTest'!$A$1:$H$1, 0))),                      
IFERROR(INDEX('language&amp;DataTest'!A:J, MATCH(INDEX( PointerTest!D:D, MATCH(INDEX(PointerTest!B:B, MATCH(B72, PointerTest!A:A, 0)), PointerTest!A:A, 0), 0), 'language&amp;DataTest'!A:A, 0), MATCH(HOME!$A$25, 'language&amp;DataTest'!$A$1:$H$1, 0))),                                          
IFERROR(INDEX('language&amp;DataTest'!A:J, MATCH(INDEX( PointerTest!E:E, MATCH(INDEX(PointerTest!B:B, MATCH(B72, PointerTest!A:A, 0)), PointerTest!A:A, 0), 0), 'language&amp;DataTest'!A:A, 0), MATCH(HOME!$A$25, 'language&amp;DataTest'!$A$1:$H$1, 0))))</f>
        <v>Dialga ex</v>
      </c>
      <c r="E72" s="69" t="str">
        <f t="array" ref="E72">INDEX( PointerTest!F:F, MATCH(B72, PointerTest!A:A, 0), 0)</f>
        <v>♢♢</v>
      </c>
      <c r="F72" s="70" t="str">
        <f t="array" ref="F72">LET(percentage,XLOOKUP($E72,$K$2:$K$10,L$2:L$10,"",0)/(COUNTIFS($E:$E,$E72,$D:$D,RegularFormula!$D$2)+COUNTIFS($E:$E,$E72,$D:$D,IF($D72=RegularFormula!$D$2,$K$15,$D72))),IFERROR(IF(percentage,percentage,""),""))</f>
        <v/>
      </c>
      <c r="G72" s="71">
        <f t="array" ref="G72">LET(percentage,XLOOKUP($E72,$K$2:$K$10,M$2:M$10,"",0)/(COUNTIFS($E:$E,$E72,$D:$D,RegularFormula!$D$2)+COUNTIFS($E:$E,$E72,$D:$D,IF($D72=RegularFormula!$D$2,$K$15,$D72))),IFERROR(IF(percentage,percentage,""),""))</f>
        <v>0.02647058824</v>
      </c>
      <c r="H72" s="71">
        <f t="array" ref="H72">LET(percentage,XLOOKUP($E72,$K$2:$K$10,N$2:N$10,"",0)/(COUNTIFS($E:$E,$E72,$D:$D,RegularFormula!$D$2)+COUNTIFS($E:$E,$E72,$D:$D,IF($D72=RegularFormula!$D$2,$K$15,$D72))),IFERROR(IF(percentage,percentage,""),""))</f>
        <v>0.01764705882</v>
      </c>
      <c r="I72" s="72" t="str">
        <f t="shared" si="1"/>
        <v/>
      </c>
      <c r="J72" s="73">
        <v>0.0</v>
      </c>
      <c r="K72" s="194"/>
      <c r="L72" s="192"/>
      <c r="M72" s="192"/>
      <c r="N72" s="55"/>
      <c r="P72" s="103"/>
      <c r="Q72" s="103"/>
      <c r="R72" s="103"/>
      <c r="S72" s="231" t="str">
        <f t="shared" si="2"/>
        <v/>
      </c>
    </row>
    <row r="73">
      <c r="A73" s="217" t="b">
        <v>1</v>
      </c>
      <c r="B73" s="230" t="s">
        <v>615</v>
      </c>
      <c r="C73" s="69" t="str">
        <f t="array" ref="C73">TEXTJOIN("", TRUE, IFERROR(INDEX('language&amp;DataTest'!A:J, MATCH(INDEX( PointerTest!C:C, MATCH(B73, PointerTest!A:A, 0), 0), 'language&amp;DataTest'!A:A, 0), MATCH(HOME!$A$25, 'language&amp;DataTest'!$A$1:$H$1, 0))),                      IFERROR(INDEX('language&amp;DataTest'!A:J, MATCH(INDEX( PointerTest!D:D, MATCH(B73, PointerTest!A:A, 0), 0), 'language&amp;DataTest'!A:A, 0), MATCH(HOME!$A$25, 'language&amp;DataTest'!$A$1:$H$1, 0))),                                          
IFERROR(INDEX('language&amp;DataTest'!A:J, MATCH(INDEX( PointerTest!E:E, MATCH(B73, PointerTest!A:A, 0), 0), 'language&amp;DataTest'!A:A, 0), MATCH(HOME!$A$25, 'language&amp;DataTest'!$A$1:$H$1, 0))))</f>
        <v>Dusknoir</v>
      </c>
      <c r="D73" s="69" t="str">
        <f t="array" ref="D73">TEXTJOIN("", TRUE, 
IFERROR(INDEX('language&amp;DataTest'!A:J, MATCH(INDEX( PointerTest!C:C, MATCH(INDEX(PointerTest!B:B, MATCH(B73, PointerTest!A:A, 0)), PointerTest!A:A, 0), 0), 'language&amp;DataTest'!A:A, 0), MATCH(HOME!$A$25, 'language&amp;DataTest'!$A$1:$H$1, 0))),                      
IFERROR(INDEX('language&amp;DataTest'!A:J, MATCH(INDEX( PointerTest!D:D, MATCH(INDEX(PointerTest!B:B, MATCH(B73, PointerTest!A:A, 0)), PointerTest!A:A, 0), 0), 'language&amp;DataTest'!A:A, 0), MATCH(HOME!$A$25, 'language&amp;DataTest'!$A$1:$H$1, 0))),                                          
IFERROR(INDEX('language&amp;DataTest'!A:J, MATCH(INDEX( PointerTest!E:E, MATCH(INDEX(PointerTest!B:B, MATCH(B73, PointerTest!A:A, 0)), PointerTest!A:A, 0), 0), 'language&amp;DataTest'!A:A, 0), MATCH(HOME!$A$25, 'language&amp;DataTest'!$A$1:$H$1, 0))))</f>
        <v>Dialga ex</v>
      </c>
      <c r="E73" s="69" t="str">
        <f t="array" ref="E73">INDEX( PointerTest!F:F, MATCH(B73, PointerTest!A:A, 0), 0)</f>
        <v>♢♢♢</v>
      </c>
      <c r="F73" s="70" t="str">
        <f t="array" ref="F73">LET(percentage,XLOOKUP($E73,$K$2:$K$10,L$2:L$10,"",0)/(COUNTIFS($E:$E,$E73,$D:$D,RegularFormula!$D$2)+COUNTIFS($E:$E,$E73,$D:$D,IF($D73=RegularFormula!$D$2,$K$15,$D73))),IFERROR(IF(percentage,percentage,""),""))</f>
        <v/>
      </c>
      <c r="G73" s="71">
        <f t="array" ref="G73">LET(percentage,XLOOKUP($E73,$K$2:$K$10,M$2:M$10,"",0)/(COUNTIFS($E:$E,$E73,$D:$D,RegularFormula!$D$2)+COUNTIFS($E:$E,$E73,$D:$D,IF($D73=RegularFormula!$D$2,$K$15,$D73))),IFERROR(IF(percentage,percentage,""),""))</f>
        <v>0.003571428571</v>
      </c>
      <c r="H73" s="71">
        <f t="array" ref="H73">LET(percentage,XLOOKUP($E73,$K$2:$K$10,N$2:N$10,"",0)/(COUNTIFS($E:$E,$E73,$D:$D,RegularFormula!$D$2)+COUNTIFS($E:$E,$E73,$D:$D,IF($D73=RegularFormula!$D$2,$K$15,$D73))),IFERROR(IF(percentage,percentage,""),""))</f>
        <v>0.01428571429</v>
      </c>
      <c r="I73" s="72" t="str">
        <f t="shared" si="1"/>
        <v/>
      </c>
      <c r="J73" s="73">
        <v>0.0</v>
      </c>
      <c r="K73" s="194"/>
      <c r="L73" s="192"/>
      <c r="M73" s="192"/>
      <c r="N73" s="55"/>
      <c r="O73" s="229" t="s">
        <v>616</v>
      </c>
      <c r="P73" s="103"/>
      <c r="Q73" s="103"/>
      <c r="R73" s="103"/>
      <c r="S73" s="231" t="str">
        <f t="shared" si="2"/>
        <v/>
      </c>
    </row>
    <row r="74">
      <c r="A74" s="217" t="b">
        <v>1</v>
      </c>
      <c r="B74" s="230" t="s">
        <v>617</v>
      </c>
      <c r="C74" s="69" t="str">
        <f t="array" ref="C74">TEXTJOIN("", TRUE, IFERROR(INDEX('language&amp;DataTest'!A:J, MATCH(INDEX( PointerTest!C:C, MATCH(B74, PointerTest!A:A, 0), 0), 'language&amp;DataTest'!A:A, 0), MATCH(HOME!$A$25, 'language&amp;DataTest'!$A$1:$H$1, 0))),                      IFERROR(INDEX('language&amp;DataTest'!A:J, MATCH(INDEX( PointerTest!D:D, MATCH(B74, PointerTest!A:A, 0), 0), 'language&amp;DataTest'!A:A, 0), MATCH(HOME!$A$25, 'language&amp;DataTest'!$A$1:$H$1, 0))),                                          
IFERROR(INDEX('language&amp;DataTest'!A:J, MATCH(INDEX( PointerTest!E:E, MATCH(B74, PointerTest!A:A, 0), 0), 'language&amp;DataTest'!A:A, 0), MATCH(HOME!$A$25, 'language&amp;DataTest'!$A$1:$H$1, 0))))</f>
        <v>Drifloon</v>
      </c>
      <c r="D74" s="69" t="str">
        <f t="array" ref="D74">TEXTJOIN("", TRUE, 
IFERROR(INDEX('language&amp;DataTest'!A:J, MATCH(INDEX( PointerTest!C:C, MATCH(INDEX(PointerTest!B:B, MATCH(B74, PointerTest!A:A, 0)), PointerTest!A:A, 0), 0), 'language&amp;DataTest'!A:A, 0), MATCH(HOME!$A$25, 'language&amp;DataTest'!$A$1:$H$1, 0))),                      
IFERROR(INDEX('language&amp;DataTest'!A:J, MATCH(INDEX( PointerTest!D:D, MATCH(INDEX(PointerTest!B:B, MATCH(B74, PointerTest!A:A, 0)), PointerTest!A:A, 0), 0), 'language&amp;DataTest'!A:A, 0), MATCH(HOME!$A$25, 'language&amp;DataTest'!$A$1:$H$1, 0))),                                          
IFERROR(INDEX('language&amp;DataTest'!A:J, MATCH(INDEX( PointerTest!E:E, MATCH(INDEX(PointerTest!B:B, MATCH(B74, PointerTest!A:A, 0)), PointerTest!A:A, 0), 0), 'language&amp;DataTest'!A:A, 0), MATCH(HOME!$A$25, 'language&amp;DataTest'!$A$1:$H$1, 0))))</f>
        <v>Dialga ex</v>
      </c>
      <c r="E74" s="69" t="str">
        <f t="array" ref="E74">INDEX( PointerTest!F:F, MATCH(B74, PointerTest!A:A, 0), 0)</f>
        <v>♢</v>
      </c>
      <c r="F74" s="70">
        <f t="array" ref="F74">LET(percentage,XLOOKUP($E74,$K$2:$K$10,L$2:L$10,"",0)/(COUNTIFS($E:$E,$E74,$D:$D,RegularFormula!$D$2)+COUNTIFS($E:$E,$E74,$D:$D,IF($D74=RegularFormula!$D$2,$K$15,$D74))),IFERROR(IF(percentage,percentage,""),""))</f>
        <v>0.02173913043</v>
      </c>
      <c r="G74" s="71" t="str">
        <f t="array" ref="G74">LET(percentage,XLOOKUP($E74,$K$2:$K$10,M$2:M$10,"",0)/(COUNTIFS($E:$E,$E74,$D:$D,RegularFormula!$D$2)+COUNTIFS($E:$E,$E74,$D:$D,IF($D74=RegularFormula!$D$2,$K$15,$D74))),IFERROR(IF(percentage,percentage,""),""))</f>
        <v/>
      </c>
      <c r="H74" s="71" t="str">
        <f t="array" ref="H74">LET(percentage,XLOOKUP($E74,$K$2:$K$10,N$2:N$10,"",0)/(COUNTIFS($E:$E,$E74,$D:$D,RegularFormula!$D$2)+COUNTIFS($E:$E,$E74,$D:$D,IF($D74=RegularFormula!$D$2,$K$15,$D74))),IFERROR(IF(percentage,percentage,""),""))</f>
        <v/>
      </c>
      <c r="I74" s="72" t="str">
        <f t="shared" si="1"/>
        <v/>
      </c>
      <c r="J74" s="73">
        <v>0.0</v>
      </c>
      <c r="K74" s="194"/>
      <c r="L74" s="55"/>
      <c r="M74" s="55"/>
      <c r="N74" s="55"/>
      <c r="P74" s="103"/>
      <c r="Q74" s="103"/>
      <c r="R74" s="103"/>
      <c r="S74" s="231" t="str">
        <f t="shared" si="2"/>
        <v/>
      </c>
    </row>
    <row r="75">
      <c r="A75" s="217" t="b">
        <v>1</v>
      </c>
      <c r="B75" s="230" t="s">
        <v>618</v>
      </c>
      <c r="C75" s="69" t="str">
        <f t="array" ref="C75">TEXTJOIN("", TRUE, IFERROR(INDEX('language&amp;DataTest'!A:J, MATCH(INDEX( PointerTest!C:C, MATCH(B75, PointerTest!A:A, 0), 0), 'language&amp;DataTest'!A:A, 0), MATCH(HOME!$A$25, 'language&amp;DataTest'!$A$1:$H$1, 0))),                      IFERROR(INDEX('language&amp;DataTest'!A:J, MATCH(INDEX( PointerTest!D:D, MATCH(B75, PointerTest!A:A, 0), 0), 'language&amp;DataTest'!A:A, 0), MATCH(HOME!$A$25, 'language&amp;DataTest'!$A$1:$H$1, 0))),                                          
IFERROR(INDEX('language&amp;DataTest'!A:J, MATCH(INDEX( PointerTest!E:E, MATCH(B75, PointerTest!A:A, 0), 0), 'language&amp;DataTest'!A:A, 0), MATCH(HOME!$A$25, 'language&amp;DataTest'!$A$1:$H$1, 0))))</f>
        <v>Drifblim</v>
      </c>
      <c r="D75" s="69" t="str">
        <f t="array" ref="D75">TEXTJOIN("", TRUE, 
IFERROR(INDEX('language&amp;DataTest'!A:J, MATCH(INDEX( PointerTest!C:C, MATCH(INDEX(PointerTest!B:B, MATCH(B75, PointerTest!A:A, 0)), PointerTest!A:A, 0), 0), 'language&amp;DataTest'!A:A, 0), MATCH(HOME!$A$25, 'language&amp;DataTest'!$A$1:$H$1, 0))),                      
IFERROR(INDEX('language&amp;DataTest'!A:J, MATCH(INDEX( PointerTest!D:D, MATCH(INDEX(PointerTest!B:B, MATCH(B75, PointerTest!A:A, 0)), PointerTest!A:A, 0), 0), 'language&amp;DataTest'!A:A, 0), MATCH(HOME!$A$25, 'language&amp;DataTest'!$A$1:$H$1, 0))),                                          
IFERROR(INDEX('language&amp;DataTest'!A:J, MATCH(INDEX( PointerTest!E:E, MATCH(INDEX(PointerTest!B:B, MATCH(B75, PointerTest!A:A, 0)), PointerTest!A:A, 0), 0), 'language&amp;DataTest'!A:A, 0), MATCH(HOME!$A$25, 'language&amp;DataTest'!$A$1:$H$1, 0))))</f>
        <v>Dialga ex</v>
      </c>
      <c r="E75" s="69" t="str">
        <f t="array" ref="E75">INDEX( PointerTest!F:F, MATCH(B75, PointerTest!A:A, 0), 0)</f>
        <v>♢♢</v>
      </c>
      <c r="F75" s="70" t="str">
        <f t="array" ref="F75">LET(percentage,XLOOKUP($E75,$K$2:$K$10,L$2:L$10,"",0)/(COUNTIFS($E:$E,$E75,$D:$D,RegularFormula!$D$2)+COUNTIFS($E:$E,$E75,$D:$D,IF($D75=RegularFormula!$D$2,$K$15,$D75))),IFERROR(IF(percentage,percentage,""),""))</f>
        <v/>
      </c>
      <c r="G75" s="71">
        <f t="array" ref="G75">LET(percentage,XLOOKUP($E75,$K$2:$K$10,M$2:M$10,"",0)/(COUNTIFS($E:$E,$E75,$D:$D,RegularFormula!$D$2)+COUNTIFS($E:$E,$E75,$D:$D,IF($D75=RegularFormula!$D$2,$K$15,$D75))),IFERROR(IF(percentage,percentage,""),""))</f>
        <v>0.02647058824</v>
      </c>
      <c r="H75" s="71">
        <f t="array" ref="H75">LET(percentage,XLOOKUP($E75,$K$2:$K$10,N$2:N$10,"",0)/(COUNTIFS($E:$E,$E75,$D:$D,RegularFormula!$D$2)+COUNTIFS($E:$E,$E75,$D:$D,IF($D75=RegularFormula!$D$2,$K$15,$D75))),IFERROR(IF(percentage,percentage,""),""))</f>
        <v>0.01764705882</v>
      </c>
      <c r="I75" s="72" t="str">
        <f t="shared" si="1"/>
        <v/>
      </c>
      <c r="J75" s="73">
        <v>0.0</v>
      </c>
      <c r="K75" s="194"/>
      <c r="L75" s="55"/>
      <c r="M75" s="55"/>
      <c r="N75" s="55"/>
      <c r="P75" s="103"/>
      <c r="Q75" s="103"/>
      <c r="R75" s="103"/>
      <c r="S75" s="231" t="str">
        <f t="shared" si="2"/>
        <v/>
      </c>
    </row>
    <row r="76">
      <c r="A76" s="217" t="b">
        <v>1</v>
      </c>
      <c r="B76" s="230" t="s">
        <v>619</v>
      </c>
      <c r="C76" s="69" t="str">
        <f t="array" ref="C76">TEXTJOIN("", TRUE, IFERROR(INDEX('language&amp;DataTest'!A:J, MATCH(INDEX( PointerTest!C:C, MATCH(B76, PointerTest!A:A, 0), 0), 'language&amp;DataTest'!A:A, 0), MATCH(HOME!$A$25, 'language&amp;DataTest'!$A$1:$H$1, 0))),                      IFERROR(INDEX('language&amp;DataTest'!A:J, MATCH(INDEX( PointerTest!D:D, MATCH(B76, PointerTest!A:A, 0), 0), 'language&amp;DataTest'!A:A, 0), MATCH(HOME!$A$25, 'language&amp;DataTest'!$A$1:$H$1, 0))),                                          
IFERROR(INDEX('language&amp;DataTest'!A:J, MATCH(INDEX( PointerTest!E:E, MATCH(B76, PointerTest!A:A, 0), 0), 'language&amp;DataTest'!A:A, 0), MATCH(HOME!$A$25, 'language&amp;DataTest'!$A$1:$H$1, 0))))</f>
        <v>Uxie</v>
      </c>
      <c r="D76" s="69" t="str">
        <f t="array" ref="D76">TEXTJOIN("", TRUE, 
IFERROR(INDEX('language&amp;DataTest'!A:J, MATCH(INDEX( PointerTest!C:C, MATCH(INDEX(PointerTest!B:B, MATCH(B76, PointerTest!A:A, 0)), PointerTest!A:A, 0), 0), 'language&amp;DataTest'!A:A, 0), MATCH(HOME!$A$25, 'language&amp;DataTest'!$A$1:$H$1, 0))),                      
IFERROR(INDEX('language&amp;DataTest'!A:J, MATCH(INDEX( PointerTest!D:D, MATCH(INDEX(PointerTest!B:B, MATCH(B76, PointerTest!A:A, 0)), PointerTest!A:A, 0), 0), 'language&amp;DataTest'!A:A, 0), MATCH(HOME!$A$25, 'language&amp;DataTest'!$A$1:$H$1, 0))),                                          
IFERROR(INDEX('language&amp;DataTest'!A:J, MATCH(INDEX( PointerTest!E:E, MATCH(INDEX(PointerTest!B:B, MATCH(B76, PointerTest!A:A, 0)), PointerTest!A:A, 0), 0), 'language&amp;DataTest'!A:A, 0), MATCH(HOME!$A$25, 'language&amp;DataTest'!$A$1:$H$1, 0))))</f>
        <v>All</v>
      </c>
      <c r="E76" s="69" t="str">
        <f t="array" ref="E76">INDEX( PointerTest!F:F, MATCH(B76, PointerTest!A:A, 0), 0)</f>
        <v>♢♢</v>
      </c>
      <c r="F76" s="70" t="str">
        <f t="array" ref="F76">LET(percentage,XLOOKUP($E76,$K$2:$K$10,L$2:L$10,"",0)/(COUNTIFS($E:$E,$E76,$D:$D,RegularFormula!$D$2)+COUNTIFS($E:$E,$E76,$D:$D,IF($D76=RegularFormula!$D$2,$K$15,$D76))),IFERROR(IF(percentage,percentage,""),""))</f>
        <v/>
      </c>
      <c r="G76" s="71">
        <f t="array" ref="G76">LET(percentage,XLOOKUP($E76,$K$2:$K$10,M$2:M$10,"",0)/(COUNTIFS($E:$E,$E76,$D:$D,RegularFormula!$D$2)+COUNTIFS($E:$E,$E76,$D:$D,IF($D76=RegularFormula!$D$2,$K$15,$D76))),IFERROR(IF(percentage,percentage,""),""))</f>
        <v>0.025</v>
      </c>
      <c r="H76" s="71">
        <f t="array" ref="H76">LET(percentage,XLOOKUP($E76,$K$2:$K$10,N$2:N$10,"",0)/(COUNTIFS($E:$E,$E76,$D:$D,RegularFormula!$D$2)+COUNTIFS($E:$E,$E76,$D:$D,IF($D76=RegularFormula!$D$2,$K$15,$D76))),IFERROR(IF(percentage,percentage,""),""))</f>
        <v>0.01666666667</v>
      </c>
      <c r="I76" s="72" t="str">
        <f t="shared" si="1"/>
        <v>*Based on Palkia ex pack</v>
      </c>
      <c r="J76" s="73">
        <v>0.0</v>
      </c>
      <c r="K76" s="194"/>
      <c r="L76" s="55"/>
      <c r="M76" s="55"/>
      <c r="N76" s="55"/>
      <c r="P76" s="103"/>
      <c r="Q76" s="103"/>
      <c r="R76" s="103"/>
      <c r="S76" s="231" t="str">
        <f t="shared" si="2"/>
        <v/>
      </c>
    </row>
    <row r="77">
      <c r="A77" s="217" t="b">
        <v>1</v>
      </c>
      <c r="B77" s="230" t="s">
        <v>620</v>
      </c>
      <c r="C77" s="69" t="str">
        <f t="array" ref="C77">TEXTJOIN("", TRUE, IFERROR(INDEX('language&amp;DataTest'!A:J, MATCH(INDEX( PointerTest!C:C, MATCH(B77, PointerTest!A:A, 0), 0), 'language&amp;DataTest'!A:A, 0), MATCH(HOME!$A$25, 'language&amp;DataTest'!$A$1:$H$1, 0))),                      IFERROR(INDEX('language&amp;DataTest'!A:J, MATCH(INDEX( PointerTest!D:D, MATCH(B77, PointerTest!A:A, 0), 0), 'language&amp;DataTest'!A:A, 0), MATCH(HOME!$A$25, 'language&amp;DataTest'!$A$1:$H$1, 0))),                                          
IFERROR(INDEX('language&amp;DataTest'!A:J, MATCH(INDEX( PointerTest!E:E, MATCH(B77, PointerTest!A:A, 0), 0), 'language&amp;DataTest'!A:A, 0), MATCH(HOME!$A$25, 'language&amp;DataTest'!$A$1:$H$1, 0))))</f>
        <v>Mesprit</v>
      </c>
      <c r="D77" s="69" t="str">
        <f t="array" ref="D77">TEXTJOIN("", TRUE, 
IFERROR(INDEX('language&amp;DataTest'!A:J, MATCH(INDEX( PointerTest!C:C, MATCH(INDEX(PointerTest!B:B, MATCH(B77, PointerTest!A:A, 0)), PointerTest!A:A, 0), 0), 'language&amp;DataTest'!A:A, 0), MATCH(HOME!$A$25, 'language&amp;DataTest'!$A$1:$H$1, 0))),                      
IFERROR(INDEX('language&amp;DataTest'!A:J, MATCH(INDEX( PointerTest!D:D, MATCH(INDEX(PointerTest!B:B, MATCH(B77, PointerTest!A:A, 0)), PointerTest!A:A, 0), 0), 'language&amp;DataTest'!A:A, 0), MATCH(HOME!$A$25, 'language&amp;DataTest'!$A$1:$H$1, 0))),                                          
IFERROR(INDEX('language&amp;DataTest'!A:J, MATCH(INDEX( PointerTest!E:E, MATCH(INDEX(PointerTest!B:B, MATCH(B77, PointerTest!A:A, 0)), PointerTest!A:A, 0), 0), 'language&amp;DataTest'!A:A, 0), MATCH(HOME!$A$25, 'language&amp;DataTest'!$A$1:$H$1, 0))))</f>
        <v>All</v>
      </c>
      <c r="E77" s="69" t="str">
        <f t="array" ref="E77">INDEX( PointerTest!F:F, MATCH(B77, PointerTest!A:A, 0), 0)</f>
        <v>♢♢♢</v>
      </c>
      <c r="F77" s="70" t="str">
        <f t="array" ref="F77">LET(percentage,XLOOKUP($E77,$K$2:$K$10,L$2:L$10,"",0)/(COUNTIFS($E:$E,$E77,$D:$D,RegularFormula!$D$2)+COUNTIFS($E:$E,$E77,$D:$D,IF($D77=RegularFormula!$D$2,$K$15,$D77))),IFERROR(IF(percentage,percentage,""),""))</f>
        <v/>
      </c>
      <c r="G77" s="71">
        <f t="array" ref="G77">LET(percentage,XLOOKUP($E77,$K$2:$K$10,M$2:M$10,"",0)/(COUNTIFS($E:$E,$E77,$D:$D,RegularFormula!$D$2)+COUNTIFS($E:$E,$E77,$D:$D,IF($D77=RegularFormula!$D$2,$K$15,$D77))),IFERROR(IF(percentage,percentage,""),""))</f>
        <v>0.003571428571</v>
      </c>
      <c r="H77" s="71">
        <f t="array" ref="H77">LET(percentage,XLOOKUP($E77,$K$2:$K$10,N$2:N$10,"",0)/(COUNTIFS($E:$E,$E77,$D:$D,RegularFormula!$D$2)+COUNTIFS($E:$E,$E77,$D:$D,IF($D77=RegularFormula!$D$2,$K$15,$D77))),IFERROR(IF(percentage,percentage,""),""))</f>
        <v>0.01428571429</v>
      </c>
      <c r="I77" s="72" t="str">
        <f t="shared" si="1"/>
        <v>*Based on Palkia ex pack</v>
      </c>
      <c r="J77" s="73">
        <v>0.0</v>
      </c>
      <c r="K77" s="194"/>
      <c r="L77" s="55"/>
      <c r="M77" s="55"/>
      <c r="N77" s="55"/>
      <c r="P77" s="103"/>
      <c r="Q77" s="103"/>
      <c r="R77" s="103"/>
      <c r="S77" s="231" t="str">
        <f t="shared" si="2"/>
        <v/>
      </c>
    </row>
    <row r="78">
      <c r="A78" s="217" t="b">
        <v>1</v>
      </c>
      <c r="B78" s="230" t="s">
        <v>621</v>
      </c>
      <c r="C78" s="69" t="str">
        <f t="array" ref="C78">TEXTJOIN("", TRUE, IFERROR(INDEX('language&amp;DataTest'!A:J, MATCH(INDEX( PointerTest!C:C, MATCH(B78, PointerTest!A:A, 0), 0), 'language&amp;DataTest'!A:A, 0), MATCH(HOME!$A$25, 'language&amp;DataTest'!$A$1:$H$1, 0))),                      IFERROR(INDEX('language&amp;DataTest'!A:J, MATCH(INDEX( PointerTest!D:D, MATCH(B78, PointerTest!A:A, 0), 0), 'language&amp;DataTest'!A:A, 0), MATCH(HOME!$A$25, 'language&amp;DataTest'!$A$1:$H$1, 0))),                                          
IFERROR(INDEX('language&amp;DataTest'!A:J, MATCH(INDEX( PointerTest!E:E, MATCH(B78, PointerTest!A:A, 0), 0), 'language&amp;DataTest'!A:A, 0), MATCH(HOME!$A$25, 'language&amp;DataTest'!$A$1:$H$1, 0))))</f>
        <v>Azelf</v>
      </c>
      <c r="D78" s="69" t="str">
        <f t="array" ref="D78">TEXTJOIN("", TRUE, 
IFERROR(INDEX('language&amp;DataTest'!A:J, MATCH(INDEX( PointerTest!C:C, MATCH(INDEX(PointerTest!B:B, MATCH(B78, PointerTest!A:A, 0)), PointerTest!A:A, 0), 0), 'language&amp;DataTest'!A:A, 0), MATCH(HOME!$A$25, 'language&amp;DataTest'!$A$1:$H$1, 0))),                      
IFERROR(INDEX('language&amp;DataTest'!A:J, MATCH(INDEX( PointerTest!D:D, MATCH(INDEX(PointerTest!B:B, MATCH(B78, PointerTest!A:A, 0)), PointerTest!A:A, 0), 0), 'language&amp;DataTest'!A:A, 0), MATCH(HOME!$A$25, 'language&amp;DataTest'!$A$1:$H$1, 0))),                                          
IFERROR(INDEX('language&amp;DataTest'!A:J, MATCH(INDEX( PointerTest!E:E, MATCH(INDEX(PointerTest!B:B, MATCH(B78, PointerTest!A:A, 0)), PointerTest!A:A, 0), 0), 'language&amp;DataTest'!A:A, 0), MATCH(HOME!$A$25, 'language&amp;DataTest'!$A$1:$H$1, 0))))</f>
        <v>All</v>
      </c>
      <c r="E78" s="69" t="str">
        <f t="array" ref="E78">INDEX( PointerTest!F:F, MATCH(B78, PointerTest!A:A, 0), 0)</f>
        <v>♢♢</v>
      </c>
      <c r="F78" s="70" t="str">
        <f t="array" ref="F78">LET(percentage,XLOOKUP($E78,$K$2:$K$10,L$2:L$10,"",0)/(COUNTIFS($E:$E,$E78,$D:$D,RegularFormula!$D$2)+COUNTIFS($E:$E,$E78,$D:$D,IF($D78=RegularFormula!$D$2,$K$15,$D78))),IFERROR(IF(percentage,percentage,""),""))</f>
        <v/>
      </c>
      <c r="G78" s="71">
        <f t="array" ref="G78">LET(percentage,XLOOKUP($E78,$K$2:$K$10,M$2:M$10,"",0)/(COUNTIFS($E:$E,$E78,$D:$D,RegularFormula!$D$2)+COUNTIFS($E:$E,$E78,$D:$D,IF($D78=RegularFormula!$D$2,$K$15,$D78))),IFERROR(IF(percentage,percentage,""),""))</f>
        <v>0.025</v>
      </c>
      <c r="H78" s="71">
        <f t="array" ref="H78">LET(percentage,XLOOKUP($E78,$K$2:$K$10,N$2:N$10,"",0)/(COUNTIFS($E:$E,$E78,$D:$D,RegularFormula!$D$2)+COUNTIFS($E:$E,$E78,$D:$D,IF($D78=RegularFormula!$D$2,$K$15,$D78))),IFERROR(IF(percentage,percentage,""),""))</f>
        <v>0.01666666667</v>
      </c>
      <c r="I78" s="72" t="str">
        <f t="shared" si="1"/>
        <v>*Based on Palkia ex pack</v>
      </c>
      <c r="J78" s="73">
        <v>0.0</v>
      </c>
      <c r="K78" s="194"/>
      <c r="L78" s="55"/>
      <c r="M78" s="55"/>
      <c r="N78" s="55"/>
      <c r="P78" s="103"/>
      <c r="Q78" s="103"/>
      <c r="R78" s="103"/>
      <c r="S78" s="231" t="str">
        <f t="shared" si="2"/>
        <v/>
      </c>
    </row>
    <row r="79">
      <c r="A79" s="217" t="b">
        <v>1</v>
      </c>
      <c r="B79" s="230" t="s">
        <v>622</v>
      </c>
      <c r="C79" s="69" t="str">
        <f t="array" ref="C79">TEXTJOIN("", TRUE, IFERROR(INDEX('language&amp;DataTest'!A:J, MATCH(INDEX( PointerTest!C:C, MATCH(B79, PointerTest!A:A, 0), 0), 'language&amp;DataTest'!A:A, 0), MATCH(HOME!$A$25, 'language&amp;DataTest'!$A$1:$H$1, 0))),                      IFERROR(INDEX('language&amp;DataTest'!A:J, MATCH(INDEX( PointerTest!D:D, MATCH(B79, PointerTest!A:A, 0), 0), 'language&amp;DataTest'!A:A, 0), MATCH(HOME!$A$25, 'language&amp;DataTest'!$A$1:$H$1, 0))),                                          
IFERROR(INDEX('language&amp;DataTest'!A:J, MATCH(INDEX( PointerTest!E:E, MATCH(B79, PointerTest!A:A, 0), 0), 'language&amp;DataTest'!A:A, 0), MATCH(HOME!$A$25, 'language&amp;DataTest'!$A$1:$H$1, 0))))</f>
        <v>Giratina</v>
      </c>
      <c r="D79" s="69" t="str">
        <f t="array" ref="D79">TEXTJOIN("", TRUE, 
IFERROR(INDEX('language&amp;DataTest'!A:J, MATCH(INDEX( PointerTest!C:C, MATCH(INDEX(PointerTest!B:B, MATCH(B79, PointerTest!A:A, 0)), PointerTest!A:A, 0), 0), 'language&amp;DataTest'!A:A, 0), MATCH(HOME!$A$25, 'language&amp;DataTest'!$A$1:$H$1, 0))),                      
IFERROR(INDEX('language&amp;DataTest'!A:J, MATCH(INDEX( PointerTest!D:D, MATCH(INDEX(PointerTest!B:B, MATCH(B79, PointerTest!A:A, 0)), PointerTest!A:A, 0), 0), 'language&amp;DataTest'!A:A, 0), MATCH(HOME!$A$25, 'language&amp;DataTest'!$A$1:$H$1, 0))),                                          
IFERROR(INDEX('language&amp;DataTest'!A:J, MATCH(INDEX( PointerTest!E:E, MATCH(INDEX(PointerTest!B:B, MATCH(B79, PointerTest!A:A, 0)), PointerTest!A:A, 0), 0), 'language&amp;DataTest'!A:A, 0), MATCH(HOME!$A$25, 'language&amp;DataTest'!$A$1:$H$1, 0))))</f>
        <v>Palkia ex</v>
      </c>
      <c r="E79" s="69" t="str">
        <f t="array" ref="E79">INDEX( PointerTest!F:F, MATCH(B79, PointerTest!A:A, 0), 0)</f>
        <v>♢♢♢</v>
      </c>
      <c r="F79" s="70" t="str">
        <f t="array" ref="F79">LET(percentage,XLOOKUP($E79,$K$2:$K$10,L$2:L$10,"",0)/(COUNTIFS($E:$E,$E79,$D:$D,RegularFormula!$D$2)+COUNTIFS($E:$E,$E79,$D:$D,IF($D79=RegularFormula!$D$2,$K$15,$D79))),IFERROR(IF(percentage,percentage,""),""))</f>
        <v/>
      </c>
      <c r="G79" s="71">
        <f t="array" ref="G79">LET(percentage,XLOOKUP($E79,$K$2:$K$10,M$2:M$10,"",0)/(COUNTIFS($E:$E,$E79,$D:$D,RegularFormula!$D$2)+COUNTIFS($E:$E,$E79,$D:$D,IF($D79=RegularFormula!$D$2,$K$15,$D79))),IFERROR(IF(percentage,percentage,""),""))</f>
        <v>0.003571428571</v>
      </c>
      <c r="H79" s="71">
        <f t="array" ref="H79">LET(percentage,XLOOKUP($E79,$K$2:$K$10,N$2:N$10,"",0)/(COUNTIFS($E:$E,$E79,$D:$D,RegularFormula!$D$2)+COUNTIFS($E:$E,$E79,$D:$D,IF($D79=RegularFormula!$D$2,$K$15,$D79))),IFERROR(IF(percentage,percentage,""),""))</f>
        <v>0.01428571429</v>
      </c>
      <c r="I79" s="72" t="str">
        <f t="shared" si="1"/>
        <v/>
      </c>
      <c r="J79" s="73">
        <v>0.0</v>
      </c>
      <c r="K79" s="194"/>
      <c r="L79" s="55" t="str">
        <f t="array" ref="L79">TEXTJOIN("", TRUE, 
IFERROR(INDEX('language&amp;DataTest'!A:J, MATCH(INDEX( PointerTest!C:C, MATCH(INDEX(PointerTest!B:B, MATCH(B28, PointerTest!A:A, 0)), PointerTest!A:A, 0), 0), 'language&amp;DataTest'!A:A, 0), MATCH(HOME!$A$25, HOME!$C$2:$C208, 0))),                      
IFERROR(INDEX('language&amp;DataTest'!A:J, MATCH(INDEX( PointerTest!D:D, MATCH(INDEX(PointerTest!B:B, MATCH(B28, PointerTest!A:A, 0)), PointerTest!A:A, 0), 0), 'language&amp;DataTest'!A:A, 0), MATCH(HOME!$A$25, HOME!$C$2:$C208, 0))),                                          
IFERROR(INDEX('language&amp;DataTest'!A:J, MATCH(INDEX( PointerTest!E:E, MATCH(INDEX(PointerTest!B:B, MATCH(B28, PointerTest!A:A, 0)), PointerTest!A:A, 0), 0), 'language&amp;DataTest'!A:A, 0), MATCH(HOME!$A$25, HOME!$C$2:$C208, 0))))</f>
        <v/>
      </c>
      <c r="M79" s="55"/>
      <c r="N79" s="55"/>
      <c r="P79" s="103"/>
      <c r="Q79" s="103"/>
      <c r="R79" s="103"/>
      <c r="S79" s="231" t="str">
        <f t="shared" si="2"/>
        <v/>
      </c>
    </row>
    <row r="80">
      <c r="A80" s="217" t="b">
        <v>0</v>
      </c>
      <c r="B80" s="230" t="s">
        <v>623</v>
      </c>
      <c r="C80" s="69" t="str">
        <f t="array" ref="C80">TEXTJOIN("", TRUE, IFERROR(INDEX('language&amp;DataTest'!A:J, MATCH(INDEX( PointerTest!C:C, MATCH(B80, PointerTest!A:A, 0), 0), 'language&amp;DataTest'!A:A, 0), MATCH(HOME!$A$25, 'language&amp;DataTest'!$A$1:$H$1, 0))),                      IFERROR(INDEX('language&amp;DataTest'!A:J, MATCH(INDEX( PointerTest!D:D, MATCH(B80, PointerTest!A:A, 0), 0), 'language&amp;DataTest'!A:A, 0), MATCH(HOME!$A$25, 'language&amp;DataTest'!$A$1:$H$1, 0))),                                          
IFERROR(INDEX('language&amp;DataTest'!A:J, MATCH(INDEX( PointerTest!E:E, MATCH(B80, PointerTest!A:A, 0), 0), 'language&amp;DataTest'!A:A, 0), MATCH(HOME!$A$25, 'language&amp;DataTest'!$A$1:$H$1, 0))))</f>
        <v>Cresselia</v>
      </c>
      <c r="D80" s="69" t="str">
        <f t="array" ref="D80">TEXTJOIN("", TRUE, 
IFERROR(INDEX('language&amp;DataTest'!A:J, MATCH(INDEX( PointerTest!C:C, MATCH(INDEX(PointerTest!B:B, MATCH(B80, PointerTest!A:A, 0)), PointerTest!A:A, 0), 0), 'language&amp;DataTest'!A:A, 0), MATCH(HOME!$A$25, 'language&amp;DataTest'!$A$1:$H$1, 0))),                      
IFERROR(INDEX('language&amp;DataTest'!A:J, MATCH(INDEX( PointerTest!D:D, MATCH(INDEX(PointerTest!B:B, MATCH(B80, PointerTest!A:A, 0)), PointerTest!A:A, 0), 0), 'language&amp;DataTest'!A:A, 0), MATCH(HOME!$A$25, 'language&amp;DataTest'!$A$1:$H$1, 0))),                                          
IFERROR(INDEX('language&amp;DataTest'!A:J, MATCH(INDEX( PointerTest!E:E, MATCH(INDEX(PointerTest!B:B, MATCH(B80, PointerTest!A:A, 0)), PointerTest!A:A, 0), 0), 'language&amp;DataTest'!A:A, 0), MATCH(HOME!$A$25, 'language&amp;DataTest'!$A$1:$H$1, 0))))</f>
        <v>Palkia ex</v>
      </c>
      <c r="E80" s="69" t="str">
        <f t="array" ref="E80">INDEX( PointerTest!F:F, MATCH(B80, PointerTest!A:A, 0), 0)</f>
        <v>♢♢♢</v>
      </c>
      <c r="F80" s="70" t="str">
        <f t="array" ref="F80">LET(percentage,XLOOKUP($E80,$K$2:$K$10,L$2:L$10,"",0)/(COUNTIFS($E:$E,$E80,$D:$D,RegularFormula!$D$2)+COUNTIFS($E:$E,$E80,$D:$D,IF($D80=RegularFormula!$D$2,$K$15,$D80))),IFERROR(IF(percentage,percentage,""),""))</f>
        <v/>
      </c>
      <c r="G80" s="71">
        <f t="array" ref="G80">LET(percentage,XLOOKUP($E80,$K$2:$K$10,M$2:M$10,"",0)/(COUNTIFS($E:$E,$E80,$D:$D,RegularFormula!$D$2)+COUNTIFS($E:$E,$E80,$D:$D,IF($D80=RegularFormula!$D$2,$K$15,$D80))),IFERROR(IF(percentage,percentage,""),""))</f>
        <v>0.003571428571</v>
      </c>
      <c r="H80" s="71">
        <f t="array" ref="H80">LET(percentage,XLOOKUP($E80,$K$2:$K$10,N$2:N$10,"",0)/(COUNTIFS($E:$E,$E80,$D:$D,RegularFormula!$D$2)+COUNTIFS($E:$E,$E80,$D:$D,IF($D80=RegularFormula!$D$2,$K$15,$D80))),IFERROR(IF(percentage,percentage,""),""))</f>
        <v>0.01428571429</v>
      </c>
      <c r="I80" s="72" t="str">
        <f t="shared" si="1"/>
        <v/>
      </c>
      <c r="J80" s="73">
        <v>0.0</v>
      </c>
      <c r="K80" s="194"/>
      <c r="L80" s="55"/>
      <c r="M80" s="55"/>
      <c r="N80" s="55"/>
      <c r="P80" s="103"/>
      <c r="Q80" s="103"/>
      <c r="R80" s="103"/>
      <c r="S80" s="231" t="str">
        <f t="shared" si="2"/>
        <v/>
      </c>
    </row>
    <row r="81">
      <c r="A81" s="217" t="b">
        <v>1</v>
      </c>
      <c r="B81" s="230" t="s">
        <v>624</v>
      </c>
      <c r="C81" s="69" t="str">
        <f t="array" ref="C81">TEXTJOIN("", TRUE, IFERROR(INDEX('language&amp;DataTest'!A:J, MATCH(INDEX( PointerTest!C:C, MATCH(B81, PointerTest!A:A, 0), 0), 'language&amp;DataTest'!A:A, 0), MATCH(HOME!$A$25, 'language&amp;DataTest'!$A$1:$H$1, 0))),                      IFERROR(INDEX('language&amp;DataTest'!A:J, MATCH(INDEX( PointerTest!D:D, MATCH(B81, PointerTest!A:A, 0), 0), 'language&amp;DataTest'!A:A, 0), MATCH(HOME!$A$25, 'language&amp;DataTest'!$A$1:$H$1, 0))),                                          
IFERROR(INDEX('language&amp;DataTest'!A:J, MATCH(INDEX( PointerTest!E:E, MATCH(B81, PointerTest!A:A, 0), 0), 'language&amp;DataTest'!A:A, 0), MATCH(HOME!$A$25, 'language&amp;DataTest'!$A$1:$H$1, 0))))</f>
        <v>Rhyhorn</v>
      </c>
      <c r="D81" s="69" t="str">
        <f t="array" ref="D81">TEXTJOIN("", TRUE, 
IFERROR(INDEX('language&amp;DataTest'!A:J, MATCH(INDEX( PointerTest!C:C, MATCH(INDEX(PointerTest!B:B, MATCH(B81, PointerTest!A:A, 0)), PointerTest!A:A, 0), 0), 'language&amp;DataTest'!A:A, 0), MATCH(HOME!$A$25, 'language&amp;DataTest'!$A$1:$H$1, 0))),                      
IFERROR(INDEX('language&amp;DataTest'!A:J, MATCH(INDEX( PointerTest!D:D, MATCH(INDEX(PointerTest!B:B, MATCH(B81, PointerTest!A:A, 0)), PointerTest!A:A, 0), 0), 'language&amp;DataTest'!A:A, 0), MATCH(HOME!$A$25, 'language&amp;DataTest'!$A$1:$H$1, 0))),                                          
IFERROR(INDEX('language&amp;DataTest'!A:J, MATCH(INDEX( PointerTest!E:E, MATCH(INDEX(PointerTest!B:B, MATCH(B81, PointerTest!A:A, 0)), PointerTest!A:A, 0), 0), 'language&amp;DataTest'!A:A, 0), MATCH(HOME!$A$25, 'language&amp;DataTest'!$A$1:$H$1, 0))))</f>
        <v>Palkia ex</v>
      </c>
      <c r="E81" s="69" t="str">
        <f t="array" ref="E81">INDEX( PointerTest!F:F, MATCH(B81, PointerTest!A:A, 0), 0)</f>
        <v>♢</v>
      </c>
      <c r="F81" s="70">
        <f t="array" ref="F81">LET(percentage,XLOOKUP($E81,$K$2:$K$10,L$2:L$10,"",0)/(COUNTIFS($E:$E,$E81,$D:$D,RegularFormula!$D$2)+COUNTIFS($E:$E,$E81,$D:$D,IF($D81=RegularFormula!$D$2,$K$15,$D81))),IFERROR(IF(percentage,percentage,""),""))</f>
        <v>0.02272727273</v>
      </c>
      <c r="G81" s="71" t="str">
        <f t="array" ref="G81">LET(percentage,XLOOKUP($E81,$K$2:$K$10,M$2:M$10,"",0)/(COUNTIFS($E:$E,$E81,$D:$D,RegularFormula!$D$2)+COUNTIFS($E:$E,$E81,$D:$D,IF($D81=RegularFormula!$D$2,$K$15,$D81))),IFERROR(IF(percentage,percentage,""),""))</f>
        <v/>
      </c>
      <c r="H81" s="71" t="str">
        <f t="array" ref="H81">LET(percentage,XLOOKUP($E81,$K$2:$K$10,N$2:N$10,"",0)/(COUNTIFS($E:$E,$E81,$D:$D,RegularFormula!$D$2)+COUNTIFS($E:$E,$E81,$D:$D,IF($D81=RegularFormula!$D$2,$K$15,$D81))),IFERROR(IF(percentage,percentage,""),""))</f>
        <v/>
      </c>
      <c r="I81" s="72" t="str">
        <f t="shared" si="1"/>
        <v/>
      </c>
      <c r="J81" s="73">
        <v>0.0</v>
      </c>
      <c r="K81" s="194"/>
      <c r="L81" s="55"/>
      <c r="M81" s="55"/>
      <c r="N81" s="55"/>
      <c r="P81" s="103"/>
      <c r="Q81" s="103"/>
      <c r="R81" s="103"/>
      <c r="S81" s="231" t="str">
        <f t="shared" si="2"/>
        <v/>
      </c>
    </row>
    <row r="82">
      <c r="A82" s="217" t="b">
        <v>1</v>
      </c>
      <c r="B82" s="230" t="s">
        <v>625</v>
      </c>
      <c r="C82" s="69" t="str">
        <f t="array" ref="C82">TEXTJOIN("", TRUE, IFERROR(INDEX('language&amp;DataTest'!A:J, MATCH(INDEX( PointerTest!C:C, MATCH(B82, PointerTest!A:A, 0), 0), 'language&amp;DataTest'!A:A, 0), MATCH(HOME!$A$25, 'language&amp;DataTest'!$A$1:$H$1, 0))),                      IFERROR(INDEX('language&amp;DataTest'!A:J, MATCH(INDEX( PointerTest!D:D, MATCH(B82, PointerTest!A:A, 0), 0), 'language&amp;DataTest'!A:A, 0), MATCH(HOME!$A$25, 'language&amp;DataTest'!$A$1:$H$1, 0))),                                          
IFERROR(INDEX('language&amp;DataTest'!A:J, MATCH(INDEX( PointerTest!E:E, MATCH(B82, PointerTest!A:A, 0), 0), 'language&amp;DataTest'!A:A, 0), MATCH(HOME!$A$25, 'language&amp;DataTest'!$A$1:$H$1, 0))))</f>
        <v>Rhydon</v>
      </c>
      <c r="D82" s="69" t="str">
        <f t="array" ref="D82">TEXTJOIN("", TRUE, 
IFERROR(INDEX('language&amp;DataTest'!A:J, MATCH(INDEX( PointerTest!C:C, MATCH(INDEX(PointerTest!B:B, MATCH(B82, PointerTest!A:A, 0)), PointerTest!A:A, 0), 0), 'language&amp;DataTest'!A:A, 0), MATCH(HOME!$A$25, 'language&amp;DataTest'!$A$1:$H$1, 0))),                      
IFERROR(INDEX('language&amp;DataTest'!A:J, MATCH(INDEX( PointerTest!D:D, MATCH(INDEX(PointerTest!B:B, MATCH(B82, PointerTest!A:A, 0)), PointerTest!A:A, 0), 0), 'language&amp;DataTest'!A:A, 0), MATCH(HOME!$A$25, 'language&amp;DataTest'!$A$1:$H$1, 0))),                                          
IFERROR(INDEX('language&amp;DataTest'!A:J, MATCH(INDEX( PointerTest!E:E, MATCH(INDEX(PointerTest!B:B, MATCH(B82, PointerTest!A:A, 0)), PointerTest!A:A, 0), 0), 'language&amp;DataTest'!A:A, 0), MATCH(HOME!$A$25, 'language&amp;DataTest'!$A$1:$H$1, 0))))</f>
        <v>Palkia ex</v>
      </c>
      <c r="E82" s="69" t="str">
        <f t="array" ref="E82">INDEX( PointerTest!F:F, MATCH(B82, PointerTest!A:A, 0), 0)</f>
        <v>♢♢</v>
      </c>
      <c r="F82" s="70" t="str">
        <f t="array" ref="F82">LET(percentage,XLOOKUP($E82,$K$2:$K$10,L$2:L$10,"",0)/(COUNTIFS($E:$E,$E82,$D:$D,RegularFormula!$D$2)+COUNTIFS($E:$E,$E82,$D:$D,IF($D82=RegularFormula!$D$2,$K$15,$D82))),IFERROR(IF(percentage,percentage,""),""))</f>
        <v/>
      </c>
      <c r="G82" s="71">
        <f t="array" ref="G82">LET(percentage,XLOOKUP($E82,$K$2:$K$10,M$2:M$10,"",0)/(COUNTIFS($E:$E,$E82,$D:$D,RegularFormula!$D$2)+COUNTIFS($E:$E,$E82,$D:$D,IF($D82=RegularFormula!$D$2,$K$15,$D82))),IFERROR(IF(percentage,percentage,""),""))</f>
        <v>0.025</v>
      </c>
      <c r="H82" s="71">
        <f t="array" ref="H82">LET(percentage,XLOOKUP($E82,$K$2:$K$10,N$2:N$10,"",0)/(COUNTIFS($E:$E,$E82,$D:$D,RegularFormula!$D$2)+COUNTIFS($E:$E,$E82,$D:$D,IF($D82=RegularFormula!$D$2,$K$15,$D82))),IFERROR(IF(percentage,percentage,""),""))</f>
        <v>0.01666666667</v>
      </c>
      <c r="I82" s="72" t="str">
        <f t="shared" si="1"/>
        <v/>
      </c>
      <c r="J82" s="73">
        <v>0.0</v>
      </c>
      <c r="K82" s="194"/>
      <c r="L82" s="55"/>
      <c r="M82" s="55"/>
      <c r="N82" s="55"/>
      <c r="P82" s="103"/>
      <c r="Q82" s="103"/>
      <c r="R82" s="103"/>
      <c r="S82" s="231" t="str">
        <f t="shared" si="2"/>
        <v/>
      </c>
    </row>
    <row r="83">
      <c r="A83" s="217" t="b">
        <v>1</v>
      </c>
      <c r="B83" s="230" t="s">
        <v>626</v>
      </c>
      <c r="C83" s="69" t="str">
        <f t="array" ref="C83">TEXTJOIN("", TRUE, IFERROR(INDEX('language&amp;DataTest'!A:J, MATCH(INDEX( PointerTest!C:C, MATCH(B83, PointerTest!A:A, 0), 0), 'language&amp;DataTest'!A:A, 0), MATCH(HOME!$A$25, 'language&amp;DataTest'!$A$1:$H$1, 0))),                      IFERROR(INDEX('language&amp;DataTest'!A:J, MATCH(INDEX( PointerTest!D:D, MATCH(B83, PointerTest!A:A, 0), 0), 'language&amp;DataTest'!A:A, 0), MATCH(HOME!$A$25, 'language&amp;DataTest'!$A$1:$H$1, 0))),                                          
IFERROR(INDEX('language&amp;DataTest'!A:J, MATCH(INDEX( PointerTest!E:E, MATCH(B83, PointerTest!A:A, 0), 0), 'language&amp;DataTest'!A:A, 0), MATCH(HOME!$A$25, 'language&amp;DataTest'!$A$1:$H$1, 0))))</f>
        <v>Rhyperior</v>
      </c>
      <c r="D83" s="69" t="str">
        <f t="array" ref="D83">TEXTJOIN("", TRUE, 
IFERROR(INDEX('language&amp;DataTest'!A:J, MATCH(INDEX( PointerTest!C:C, MATCH(INDEX(PointerTest!B:B, MATCH(B83, PointerTest!A:A, 0)), PointerTest!A:A, 0), 0), 'language&amp;DataTest'!A:A, 0), MATCH(HOME!$A$25, 'language&amp;DataTest'!$A$1:$H$1, 0))),                      
IFERROR(INDEX('language&amp;DataTest'!A:J, MATCH(INDEX( PointerTest!D:D, MATCH(INDEX(PointerTest!B:B, MATCH(B83, PointerTest!A:A, 0)), PointerTest!A:A, 0), 0), 'language&amp;DataTest'!A:A, 0), MATCH(HOME!$A$25, 'language&amp;DataTest'!$A$1:$H$1, 0))),                                          
IFERROR(INDEX('language&amp;DataTest'!A:J, MATCH(INDEX( PointerTest!E:E, MATCH(INDEX(PointerTest!B:B, MATCH(B83, PointerTest!A:A, 0)), PointerTest!A:A, 0), 0), 'language&amp;DataTest'!A:A, 0), MATCH(HOME!$A$25, 'language&amp;DataTest'!$A$1:$H$1, 0))))</f>
        <v>Palkia ex</v>
      </c>
      <c r="E83" s="69" t="str">
        <f t="array" ref="E83">INDEX( PointerTest!F:F, MATCH(B83, PointerTest!A:A, 0), 0)</f>
        <v>♢♢♢</v>
      </c>
      <c r="F83" s="70" t="str">
        <f t="array" ref="F83">LET(percentage,XLOOKUP($E83,$K$2:$K$10,L$2:L$10,"",0)/(COUNTIFS($E:$E,$E83,$D:$D,RegularFormula!$D$2)+COUNTIFS($E:$E,$E83,$D:$D,IF($D83=RegularFormula!$D$2,$K$15,$D83))),IFERROR(IF(percentage,percentage,""),""))</f>
        <v/>
      </c>
      <c r="G83" s="71">
        <f t="array" ref="G83">LET(percentage,XLOOKUP($E83,$K$2:$K$10,M$2:M$10,"",0)/(COUNTIFS($E:$E,$E83,$D:$D,RegularFormula!$D$2)+COUNTIFS($E:$E,$E83,$D:$D,IF($D83=RegularFormula!$D$2,$K$15,$D83))),IFERROR(IF(percentage,percentage,""),""))</f>
        <v>0.003571428571</v>
      </c>
      <c r="H83" s="71">
        <f t="array" ref="H83">LET(percentage,XLOOKUP($E83,$K$2:$K$10,N$2:N$10,"",0)/(COUNTIFS($E:$E,$E83,$D:$D,RegularFormula!$D$2)+COUNTIFS($E:$E,$E83,$D:$D,IF($D83=RegularFormula!$D$2,$K$15,$D83))),IFERROR(IF(percentage,percentage,""),""))</f>
        <v>0.01428571429</v>
      </c>
      <c r="I83" s="72" t="str">
        <f t="shared" si="1"/>
        <v/>
      </c>
      <c r="J83" s="73">
        <v>0.0</v>
      </c>
      <c r="K83" s="194"/>
      <c r="L83" s="55"/>
      <c r="M83" s="55"/>
      <c r="N83" s="55"/>
      <c r="O83" s="229" t="s">
        <v>627</v>
      </c>
      <c r="P83" s="103"/>
      <c r="Q83" s="103"/>
      <c r="R83" s="103"/>
      <c r="S83" s="231" t="str">
        <f t="shared" si="2"/>
        <v/>
      </c>
    </row>
    <row r="84">
      <c r="A84" s="217" t="b">
        <v>1</v>
      </c>
      <c r="B84" s="230" t="s">
        <v>628</v>
      </c>
      <c r="C84" s="69" t="str">
        <f t="array" ref="C84">TEXTJOIN("", TRUE, IFERROR(INDEX('language&amp;DataTest'!A:J, MATCH(INDEX( PointerTest!C:C, MATCH(B84, PointerTest!A:A, 0), 0), 'language&amp;DataTest'!A:A, 0), MATCH(HOME!$A$25, 'language&amp;DataTest'!$A$1:$H$1, 0))),                      IFERROR(INDEX('language&amp;DataTest'!A:J, MATCH(INDEX( PointerTest!D:D, MATCH(B84, PointerTest!A:A, 0), 0), 'language&amp;DataTest'!A:A, 0), MATCH(HOME!$A$25, 'language&amp;DataTest'!$A$1:$H$1, 0))),                                          
IFERROR(INDEX('language&amp;DataTest'!A:J, MATCH(INDEX( PointerTest!E:E, MATCH(B84, PointerTest!A:A, 0), 0), 'language&amp;DataTest'!A:A, 0), MATCH(HOME!$A$25, 'language&amp;DataTest'!$A$1:$H$1, 0))))</f>
        <v>Gligar</v>
      </c>
      <c r="D84" s="69" t="str">
        <f t="array" ref="D84">TEXTJOIN("", TRUE, 
IFERROR(INDEX('language&amp;DataTest'!A:J, MATCH(INDEX( PointerTest!C:C, MATCH(INDEX(PointerTest!B:B, MATCH(B84, PointerTest!A:A, 0)), PointerTest!A:A, 0), 0), 'language&amp;DataTest'!A:A, 0), MATCH(HOME!$A$25, 'language&amp;DataTest'!$A$1:$H$1, 0))),                      
IFERROR(INDEX('language&amp;DataTest'!A:J, MATCH(INDEX( PointerTest!D:D, MATCH(INDEX(PointerTest!B:B, MATCH(B84, PointerTest!A:A, 0)), PointerTest!A:A, 0), 0), 'language&amp;DataTest'!A:A, 0), MATCH(HOME!$A$25, 'language&amp;DataTest'!$A$1:$H$1, 0))),                                          
IFERROR(INDEX('language&amp;DataTest'!A:J, MATCH(INDEX( PointerTest!E:E, MATCH(INDEX(PointerTest!B:B, MATCH(B84, PointerTest!A:A, 0)), PointerTest!A:A, 0), 0), 'language&amp;DataTest'!A:A, 0), MATCH(HOME!$A$25, 'language&amp;DataTest'!$A$1:$H$1, 0))))</f>
        <v>Dialga ex</v>
      </c>
      <c r="E84" s="69" t="str">
        <f t="array" ref="E84">INDEX( PointerTest!F:F, MATCH(B84, PointerTest!A:A, 0), 0)</f>
        <v>♢</v>
      </c>
      <c r="F84" s="70">
        <f t="array" ref="F84">LET(percentage,XLOOKUP($E84,$K$2:$K$10,L$2:L$10,"",0)/(COUNTIFS($E:$E,$E84,$D:$D,RegularFormula!$D$2)+COUNTIFS($E:$E,$E84,$D:$D,IF($D84=RegularFormula!$D$2,$K$15,$D84))),IFERROR(IF(percentage,percentage,""),""))</f>
        <v>0.02173913043</v>
      </c>
      <c r="G84" s="71" t="str">
        <f t="array" ref="G84">LET(percentage,XLOOKUP($E84,$K$2:$K$10,M$2:M$10,"",0)/(COUNTIFS($E:$E,$E84,$D:$D,RegularFormula!$D$2)+COUNTIFS($E:$E,$E84,$D:$D,IF($D84=RegularFormula!$D$2,$K$15,$D84))),IFERROR(IF(percentage,percentage,""),""))</f>
        <v/>
      </c>
      <c r="H84" s="71" t="str">
        <f t="array" ref="H84">LET(percentage,XLOOKUP($E84,$K$2:$K$10,N$2:N$10,"",0)/(COUNTIFS($E:$E,$E84,$D:$D,RegularFormula!$D$2)+COUNTIFS($E:$E,$E84,$D:$D,IF($D84=RegularFormula!$D$2,$K$15,$D84))),IFERROR(IF(percentage,percentage,""),""))</f>
        <v/>
      </c>
      <c r="I84" s="72" t="str">
        <f t="shared" si="1"/>
        <v/>
      </c>
      <c r="J84" s="73">
        <v>0.0</v>
      </c>
      <c r="K84" s="194"/>
      <c r="L84" s="55"/>
      <c r="M84" s="55"/>
      <c r="N84" s="55"/>
      <c r="P84" s="103"/>
      <c r="Q84" s="103"/>
      <c r="R84" s="103"/>
      <c r="S84" s="231" t="str">
        <f t="shared" si="2"/>
        <v/>
      </c>
    </row>
    <row r="85">
      <c r="A85" s="217" t="b">
        <v>1</v>
      </c>
      <c r="B85" s="230" t="s">
        <v>629</v>
      </c>
      <c r="C85" s="69" t="str">
        <f t="array" ref="C85">TEXTJOIN("", TRUE, IFERROR(INDEX('language&amp;DataTest'!A:J, MATCH(INDEX( PointerTest!C:C, MATCH(B85, PointerTest!A:A, 0), 0), 'language&amp;DataTest'!A:A, 0), MATCH(HOME!$A$25, 'language&amp;DataTest'!$A$1:$H$1, 0))),                      IFERROR(INDEX('language&amp;DataTest'!A:J, MATCH(INDEX( PointerTest!D:D, MATCH(B85, PointerTest!A:A, 0), 0), 'language&amp;DataTest'!A:A, 0), MATCH(HOME!$A$25, 'language&amp;DataTest'!$A$1:$H$1, 0))),                                          
IFERROR(INDEX('language&amp;DataTest'!A:J, MATCH(INDEX( PointerTest!E:E, MATCH(B85, PointerTest!A:A, 0), 0), 'language&amp;DataTest'!A:A, 0), MATCH(HOME!$A$25, 'language&amp;DataTest'!$A$1:$H$1, 0))))</f>
        <v>Gliscor</v>
      </c>
      <c r="D85" s="69" t="str">
        <f t="array" ref="D85">TEXTJOIN("", TRUE, 
IFERROR(INDEX('language&amp;DataTest'!A:J, MATCH(INDEX( PointerTest!C:C, MATCH(INDEX(PointerTest!B:B, MATCH(B85, PointerTest!A:A, 0)), PointerTest!A:A, 0), 0), 'language&amp;DataTest'!A:A, 0), MATCH(HOME!$A$25, 'language&amp;DataTest'!$A$1:$H$1, 0))),                      
IFERROR(INDEX('language&amp;DataTest'!A:J, MATCH(INDEX( PointerTest!D:D, MATCH(INDEX(PointerTest!B:B, MATCH(B85, PointerTest!A:A, 0)), PointerTest!A:A, 0), 0), 'language&amp;DataTest'!A:A, 0), MATCH(HOME!$A$25, 'language&amp;DataTest'!$A$1:$H$1, 0))),                                          
IFERROR(INDEX('language&amp;DataTest'!A:J, MATCH(INDEX( PointerTest!E:E, MATCH(INDEX(PointerTest!B:B, MATCH(B85, PointerTest!A:A, 0)), PointerTest!A:A, 0), 0), 'language&amp;DataTest'!A:A, 0), MATCH(HOME!$A$25, 'language&amp;DataTest'!$A$1:$H$1, 0))))</f>
        <v>Dialga ex</v>
      </c>
      <c r="E85" s="69" t="str">
        <f t="array" ref="E85">INDEX( PointerTest!F:F, MATCH(B85, PointerTest!A:A, 0), 0)</f>
        <v>♢♢</v>
      </c>
      <c r="F85" s="70" t="str">
        <f t="array" ref="F85">LET(percentage,XLOOKUP($E85,$K$2:$K$10,L$2:L$10,"",0)/(COUNTIFS($E:$E,$E85,$D:$D,RegularFormula!$D$2)+COUNTIFS($E:$E,$E85,$D:$D,IF($D85=RegularFormula!$D$2,$K$15,$D85))),IFERROR(IF(percentage,percentage,""),""))</f>
        <v/>
      </c>
      <c r="G85" s="71">
        <f t="array" ref="G85">LET(percentage,XLOOKUP($E85,$K$2:$K$10,M$2:M$10,"",0)/(COUNTIFS($E:$E,$E85,$D:$D,RegularFormula!$D$2)+COUNTIFS($E:$E,$E85,$D:$D,IF($D85=RegularFormula!$D$2,$K$15,$D85))),IFERROR(IF(percentage,percentage,""),""))</f>
        <v>0.02647058824</v>
      </c>
      <c r="H85" s="71">
        <f t="array" ref="H85">LET(percentage,XLOOKUP($E85,$K$2:$K$10,N$2:N$10,"",0)/(COUNTIFS($E:$E,$E85,$D:$D,RegularFormula!$D$2)+COUNTIFS($E:$E,$E85,$D:$D,IF($D85=RegularFormula!$D$2,$K$15,$D85))),IFERROR(IF(percentage,percentage,""),""))</f>
        <v>0.01764705882</v>
      </c>
      <c r="I85" s="72" t="str">
        <f t="shared" si="1"/>
        <v/>
      </c>
      <c r="J85" s="73">
        <v>0.0</v>
      </c>
      <c r="K85" s="194"/>
      <c r="L85" s="55"/>
      <c r="M85" s="55"/>
      <c r="N85" s="55"/>
      <c r="P85" s="103"/>
      <c r="Q85" s="103"/>
      <c r="R85" s="103"/>
      <c r="S85" s="231" t="str">
        <f t="shared" si="2"/>
        <v/>
      </c>
    </row>
    <row r="86">
      <c r="A86" s="217" t="b">
        <v>1</v>
      </c>
      <c r="B86" s="230" t="s">
        <v>630</v>
      </c>
      <c r="C86" s="69" t="str">
        <f t="array" ref="C86">TEXTJOIN("", TRUE, IFERROR(INDEX('language&amp;DataTest'!A:J, MATCH(INDEX( PointerTest!C:C, MATCH(B86, PointerTest!A:A, 0), 0), 'language&amp;DataTest'!A:A, 0), MATCH(HOME!$A$25, 'language&amp;DataTest'!$A$1:$H$1, 0))),                      IFERROR(INDEX('language&amp;DataTest'!A:J, MATCH(INDEX( PointerTest!D:D, MATCH(B86, PointerTest!A:A, 0), 0), 'language&amp;DataTest'!A:A, 0), MATCH(HOME!$A$25, 'language&amp;DataTest'!$A$1:$H$1, 0))),                                          
IFERROR(INDEX('language&amp;DataTest'!A:J, MATCH(INDEX( PointerTest!E:E, MATCH(B86, PointerTest!A:A, 0), 0), 'language&amp;DataTest'!A:A, 0), MATCH(HOME!$A$25, 'language&amp;DataTest'!$A$1:$H$1, 0))))</f>
        <v>Hitmontop</v>
      </c>
      <c r="D86" s="69" t="str">
        <f t="array" ref="D86">TEXTJOIN("", TRUE, 
IFERROR(INDEX('language&amp;DataTest'!A:J, MATCH(INDEX( PointerTest!C:C, MATCH(INDEX(PointerTest!B:B, MATCH(B86, PointerTest!A:A, 0)), PointerTest!A:A, 0), 0), 'language&amp;DataTest'!A:A, 0), MATCH(HOME!$A$25, 'language&amp;DataTest'!$A$1:$H$1, 0))),                      
IFERROR(INDEX('language&amp;DataTest'!A:J, MATCH(INDEX( PointerTest!D:D, MATCH(INDEX(PointerTest!B:B, MATCH(B86, PointerTest!A:A, 0)), PointerTest!A:A, 0), 0), 'language&amp;DataTest'!A:A, 0), MATCH(HOME!$A$25, 'language&amp;DataTest'!$A$1:$H$1, 0))),                                          
IFERROR(INDEX('language&amp;DataTest'!A:J, MATCH(INDEX( PointerTest!E:E, MATCH(INDEX(PointerTest!B:B, MATCH(B86, PointerTest!A:A, 0)), PointerTest!A:A, 0), 0), 'language&amp;DataTest'!A:A, 0), MATCH(HOME!$A$25, 'language&amp;DataTest'!$A$1:$H$1, 0))))</f>
        <v>Dialga ex</v>
      </c>
      <c r="E86" s="69" t="str">
        <f t="array" ref="E86">INDEX( PointerTest!F:F, MATCH(B86, PointerTest!A:A, 0), 0)</f>
        <v>♢</v>
      </c>
      <c r="F86" s="70">
        <f t="array" ref="F86">LET(percentage,XLOOKUP($E86,$K$2:$K$10,L$2:L$10,"",0)/(COUNTIFS($E:$E,$E86,$D:$D,RegularFormula!$D$2)+COUNTIFS($E:$E,$E86,$D:$D,IF($D86=RegularFormula!$D$2,$K$15,$D86))),IFERROR(IF(percentage,percentage,""),""))</f>
        <v>0.02173913043</v>
      </c>
      <c r="G86" s="71" t="str">
        <f t="array" ref="G86">LET(percentage,XLOOKUP($E86,$K$2:$K$10,M$2:M$10,"",0)/(COUNTIFS($E:$E,$E86,$D:$D,RegularFormula!$D$2)+COUNTIFS($E:$E,$E86,$D:$D,IF($D86=RegularFormula!$D$2,$K$15,$D86))),IFERROR(IF(percentage,percentage,""),""))</f>
        <v/>
      </c>
      <c r="H86" s="71" t="str">
        <f t="array" ref="H86">LET(percentage,XLOOKUP($E86,$K$2:$K$10,N$2:N$10,"",0)/(COUNTIFS($E:$E,$E86,$D:$D,RegularFormula!$D$2)+COUNTIFS($E:$E,$E86,$D:$D,IF($D86=RegularFormula!$D$2,$K$15,$D86))),IFERROR(IF(percentage,percentage,""),""))</f>
        <v/>
      </c>
      <c r="I86" s="72" t="str">
        <f t="shared" si="1"/>
        <v/>
      </c>
      <c r="J86" s="73">
        <v>0.0</v>
      </c>
      <c r="K86" s="194"/>
      <c r="L86" s="55"/>
      <c r="M86" s="55"/>
      <c r="N86" s="55"/>
      <c r="P86" s="103"/>
      <c r="Q86" s="103"/>
      <c r="R86" s="103"/>
      <c r="S86" s="231" t="str">
        <f t="shared" si="2"/>
        <v/>
      </c>
    </row>
    <row r="87">
      <c r="A87" s="217" t="b">
        <v>1</v>
      </c>
      <c r="B87" s="230" t="s">
        <v>631</v>
      </c>
      <c r="C87" s="69" t="str">
        <f t="array" ref="C87">TEXTJOIN("", TRUE, IFERROR(INDEX('language&amp;DataTest'!A:J, MATCH(INDEX( PointerTest!C:C, MATCH(B87, PointerTest!A:A, 0), 0), 'language&amp;DataTest'!A:A, 0), MATCH(HOME!$A$25, 'language&amp;DataTest'!$A$1:$H$1, 0))),                      IFERROR(INDEX('language&amp;DataTest'!A:J, MATCH(INDEX( PointerTest!D:D, MATCH(B87, PointerTest!A:A, 0), 0), 'language&amp;DataTest'!A:A, 0), MATCH(HOME!$A$25, 'language&amp;DataTest'!$A$1:$H$1, 0))),                                          
IFERROR(INDEX('language&amp;DataTest'!A:J, MATCH(INDEX( PointerTest!E:E, MATCH(B87, PointerTest!A:A, 0), 0), 'language&amp;DataTest'!A:A, 0), MATCH(HOME!$A$25, 'language&amp;DataTest'!$A$1:$H$1, 0))))</f>
        <v>Nosepass</v>
      </c>
      <c r="D87" s="69" t="str">
        <f t="array" ref="D87">TEXTJOIN("", TRUE, 
IFERROR(INDEX('language&amp;DataTest'!A:J, MATCH(INDEX( PointerTest!C:C, MATCH(INDEX(PointerTest!B:B, MATCH(B87, PointerTest!A:A, 0)), PointerTest!A:A, 0), 0), 'language&amp;DataTest'!A:A, 0), MATCH(HOME!$A$25, 'language&amp;DataTest'!$A$1:$H$1, 0))),                      
IFERROR(INDEX('language&amp;DataTest'!A:J, MATCH(INDEX( PointerTest!D:D, MATCH(INDEX(PointerTest!B:B, MATCH(B87, PointerTest!A:A, 0)), PointerTest!A:A, 0), 0), 'language&amp;DataTest'!A:A, 0), MATCH(HOME!$A$25, 'language&amp;DataTest'!$A$1:$H$1, 0))),                                          
IFERROR(INDEX('language&amp;DataTest'!A:J, MATCH(INDEX( PointerTest!E:E, MATCH(INDEX(PointerTest!B:B, MATCH(B87, PointerTest!A:A, 0)), PointerTest!A:A, 0), 0), 'language&amp;DataTest'!A:A, 0), MATCH(HOME!$A$25, 'language&amp;DataTest'!$A$1:$H$1, 0))))</f>
        <v>All</v>
      </c>
      <c r="E87" s="69" t="str">
        <f t="array" ref="E87">INDEX( PointerTest!F:F, MATCH(B87, PointerTest!A:A, 0), 0)</f>
        <v>♢</v>
      </c>
      <c r="F87" s="70">
        <f t="array" ref="F87">LET(percentage,XLOOKUP($E87,$K$2:$K$10,L$2:L$10,"",0)/(COUNTIFS($E:$E,$E87,$D:$D,RegularFormula!$D$2)+COUNTIFS($E:$E,$E87,$D:$D,IF($D87=RegularFormula!$D$2,$K$15,$D87))),IFERROR(IF(percentage,percentage,""),""))</f>
        <v>0.02272727273</v>
      </c>
      <c r="G87" s="71" t="str">
        <f t="array" ref="G87">LET(percentage,XLOOKUP($E87,$K$2:$K$10,M$2:M$10,"",0)/(COUNTIFS($E:$E,$E87,$D:$D,RegularFormula!$D$2)+COUNTIFS($E:$E,$E87,$D:$D,IF($D87=RegularFormula!$D$2,$K$15,$D87))),IFERROR(IF(percentage,percentage,""),""))</f>
        <v/>
      </c>
      <c r="H87" s="71" t="str">
        <f t="array" ref="H87">LET(percentage,XLOOKUP($E87,$K$2:$K$10,N$2:N$10,"",0)/(COUNTIFS($E:$E,$E87,$D:$D,RegularFormula!$D$2)+COUNTIFS($E:$E,$E87,$D:$D,IF($D87=RegularFormula!$D$2,$K$15,$D87))),IFERROR(IF(percentage,percentage,""),""))</f>
        <v/>
      </c>
      <c r="I87" s="72" t="str">
        <f t="shared" si="1"/>
        <v>*Based on Palkia ex pack</v>
      </c>
      <c r="J87" s="73">
        <v>0.0</v>
      </c>
      <c r="K87" s="194"/>
      <c r="L87" s="55"/>
      <c r="M87" s="55"/>
      <c r="N87" s="55"/>
      <c r="P87" s="103"/>
      <c r="Q87" s="103"/>
      <c r="R87" s="103"/>
      <c r="S87" s="231" t="str">
        <f t="shared" si="2"/>
        <v/>
      </c>
    </row>
    <row r="88">
      <c r="A88" s="217" t="b">
        <v>1</v>
      </c>
      <c r="B88" s="230" t="s">
        <v>632</v>
      </c>
      <c r="C88" s="69" t="str">
        <f t="array" ref="C88">TEXTJOIN("", TRUE, IFERROR(INDEX('language&amp;DataTest'!A:J, MATCH(INDEX( PointerTest!C:C, MATCH(B88, PointerTest!A:A, 0), 0), 'language&amp;DataTest'!A:A, 0), MATCH(HOME!$A$25, 'language&amp;DataTest'!$A$1:$H$1, 0))),                      IFERROR(INDEX('language&amp;DataTest'!A:J, MATCH(INDEX( PointerTest!D:D, MATCH(B88, PointerTest!A:A, 0), 0), 'language&amp;DataTest'!A:A, 0), MATCH(HOME!$A$25, 'language&amp;DataTest'!$A$1:$H$1, 0))),                                          
IFERROR(INDEX('language&amp;DataTest'!A:J, MATCH(INDEX( PointerTest!E:E, MATCH(B88, PointerTest!A:A, 0), 0), 'language&amp;DataTest'!A:A, 0), MATCH(HOME!$A$25, 'language&amp;DataTest'!$A$1:$H$1, 0))))</f>
        <v>Regirock</v>
      </c>
      <c r="D88" s="69" t="str">
        <f t="array" ref="D88">TEXTJOIN("", TRUE, 
IFERROR(INDEX('language&amp;DataTest'!A:J, MATCH(INDEX( PointerTest!C:C, MATCH(INDEX(PointerTest!B:B, MATCH(B88, PointerTest!A:A, 0)), PointerTest!A:A, 0), 0), 'language&amp;DataTest'!A:A, 0), MATCH(HOME!$A$25, 'language&amp;DataTest'!$A$1:$H$1, 0))),                      
IFERROR(INDEX('language&amp;DataTest'!A:J, MATCH(INDEX( PointerTest!D:D, MATCH(INDEX(PointerTest!B:B, MATCH(B88, PointerTest!A:A, 0)), PointerTest!A:A, 0), 0), 'language&amp;DataTest'!A:A, 0), MATCH(HOME!$A$25, 'language&amp;DataTest'!$A$1:$H$1, 0))),                                          
IFERROR(INDEX('language&amp;DataTest'!A:J, MATCH(INDEX( PointerTest!E:E, MATCH(INDEX(PointerTest!B:B, MATCH(B88, PointerTest!A:A, 0)), PointerTest!A:A, 0), 0), 'language&amp;DataTest'!A:A, 0), MATCH(HOME!$A$25, 'language&amp;DataTest'!$A$1:$H$1, 0))))</f>
        <v>All</v>
      </c>
      <c r="E88" s="69" t="str">
        <f t="array" ref="E88">INDEX( PointerTest!F:F, MATCH(B88, PointerTest!A:A, 0), 0)</f>
        <v>♢♢</v>
      </c>
      <c r="F88" s="70" t="str">
        <f t="array" ref="F88">LET(percentage,XLOOKUP($E88,$K$2:$K$10,L$2:L$10,"",0)/(COUNTIFS($E:$E,$E88,$D:$D,RegularFormula!$D$2)+COUNTIFS($E:$E,$E88,$D:$D,IF($D88=RegularFormula!$D$2,$K$15,$D88))),IFERROR(IF(percentage,percentage,""),""))</f>
        <v/>
      </c>
      <c r="G88" s="71">
        <f t="array" ref="G88">LET(percentage,XLOOKUP($E88,$K$2:$K$10,M$2:M$10,"",0)/(COUNTIFS($E:$E,$E88,$D:$D,RegularFormula!$D$2)+COUNTIFS($E:$E,$E88,$D:$D,IF($D88=RegularFormula!$D$2,$K$15,$D88))),IFERROR(IF(percentage,percentage,""),""))</f>
        <v>0.025</v>
      </c>
      <c r="H88" s="71">
        <f t="array" ref="H88">LET(percentage,XLOOKUP($E88,$K$2:$K$10,N$2:N$10,"",0)/(COUNTIFS($E:$E,$E88,$D:$D,RegularFormula!$D$2)+COUNTIFS($E:$E,$E88,$D:$D,IF($D88=RegularFormula!$D$2,$K$15,$D88))),IFERROR(IF(percentage,percentage,""),""))</f>
        <v>0.01666666667</v>
      </c>
      <c r="I88" s="72" t="str">
        <f t="shared" si="1"/>
        <v>*Based on Palkia ex pack</v>
      </c>
      <c r="J88" s="73">
        <v>0.0</v>
      </c>
      <c r="K88" s="194"/>
      <c r="L88" s="55"/>
      <c r="M88" s="55"/>
      <c r="N88" s="55"/>
      <c r="P88" s="103"/>
      <c r="Q88" s="103"/>
      <c r="R88" s="103"/>
      <c r="S88" s="231" t="str">
        <f t="shared" si="2"/>
        <v/>
      </c>
    </row>
    <row r="89">
      <c r="A89" s="217" t="b">
        <v>1</v>
      </c>
      <c r="B89" s="230" t="s">
        <v>633</v>
      </c>
      <c r="C89" s="69" t="str">
        <f t="array" ref="C89">TEXTJOIN("", TRUE, IFERROR(INDEX('language&amp;DataTest'!A:J, MATCH(INDEX( PointerTest!C:C, MATCH(B89, PointerTest!A:A, 0), 0), 'language&amp;DataTest'!A:A, 0), MATCH(HOME!$A$25, 'language&amp;DataTest'!$A$1:$H$1, 0))),                      IFERROR(INDEX('language&amp;DataTest'!A:J, MATCH(INDEX( PointerTest!D:D, MATCH(B89, PointerTest!A:A, 0), 0), 'language&amp;DataTest'!A:A, 0), MATCH(HOME!$A$25, 'language&amp;DataTest'!$A$1:$H$1, 0))),                                          
IFERROR(INDEX('language&amp;DataTest'!A:J, MATCH(INDEX( PointerTest!E:E, MATCH(B89, PointerTest!A:A, 0), 0), 'language&amp;DataTest'!A:A, 0), MATCH(HOME!$A$25, 'language&amp;DataTest'!$A$1:$H$1, 0))))</f>
        <v>Cranidos</v>
      </c>
      <c r="D89" s="69" t="str">
        <f t="array" ref="D89">TEXTJOIN("", TRUE, 
IFERROR(INDEX('language&amp;DataTest'!A:J, MATCH(INDEX( PointerTest!C:C, MATCH(INDEX(PointerTest!B:B, MATCH(B89, PointerTest!A:A, 0)), PointerTest!A:A, 0), 0), 'language&amp;DataTest'!A:A, 0), MATCH(HOME!$A$25, 'language&amp;DataTest'!$A$1:$H$1, 0))),                      
IFERROR(INDEX('language&amp;DataTest'!A:J, MATCH(INDEX( PointerTest!D:D, MATCH(INDEX(PointerTest!B:B, MATCH(B89, PointerTest!A:A, 0)), PointerTest!A:A, 0), 0), 'language&amp;DataTest'!A:A, 0), MATCH(HOME!$A$25, 'language&amp;DataTest'!$A$1:$H$1, 0))),                                          
IFERROR(INDEX('language&amp;DataTest'!A:J, MATCH(INDEX( PointerTest!E:E, MATCH(INDEX(PointerTest!B:B, MATCH(B89, PointerTest!A:A, 0)), PointerTest!A:A, 0), 0), 'language&amp;DataTest'!A:A, 0), MATCH(HOME!$A$25, 'language&amp;DataTest'!$A$1:$H$1, 0))))</f>
        <v>Dialga ex</v>
      </c>
      <c r="E89" s="69" t="str">
        <f t="array" ref="E89">INDEX( PointerTest!F:F, MATCH(B89, PointerTest!A:A, 0), 0)</f>
        <v>♢♢</v>
      </c>
      <c r="F89" s="70" t="str">
        <f t="array" ref="F89">LET(percentage,XLOOKUP($E89,$K$2:$K$10,L$2:L$10,"",0)/(COUNTIFS($E:$E,$E89,$D:$D,RegularFormula!$D$2)+COUNTIFS($E:$E,$E89,$D:$D,IF($D89=RegularFormula!$D$2,$K$15,$D89))),IFERROR(IF(percentage,percentage,""),""))</f>
        <v/>
      </c>
      <c r="G89" s="71">
        <f t="array" ref="G89">LET(percentage,XLOOKUP($E89,$K$2:$K$10,M$2:M$10,"",0)/(COUNTIFS($E:$E,$E89,$D:$D,RegularFormula!$D$2)+COUNTIFS($E:$E,$E89,$D:$D,IF($D89=RegularFormula!$D$2,$K$15,$D89))),IFERROR(IF(percentage,percentage,""),""))</f>
        <v>0.02647058824</v>
      </c>
      <c r="H89" s="71">
        <f t="array" ref="H89">LET(percentage,XLOOKUP($E89,$K$2:$K$10,N$2:N$10,"",0)/(COUNTIFS($E:$E,$E89,$D:$D,RegularFormula!$D$2)+COUNTIFS($E:$E,$E89,$D:$D,IF($D89=RegularFormula!$D$2,$K$15,$D89))),IFERROR(IF(percentage,percentage,""),""))</f>
        <v>0.01764705882</v>
      </c>
      <c r="I89" s="72" t="str">
        <f t="shared" si="1"/>
        <v/>
      </c>
      <c r="J89" s="73">
        <v>0.0</v>
      </c>
      <c r="K89" s="194"/>
      <c r="L89" s="55"/>
      <c r="M89" s="55"/>
      <c r="N89" s="55"/>
      <c r="P89" s="103"/>
      <c r="Q89" s="103"/>
      <c r="R89" s="103"/>
      <c r="S89" s="231" t="str">
        <f t="shared" si="2"/>
        <v/>
      </c>
    </row>
    <row r="90">
      <c r="A90" s="217" t="b">
        <v>1</v>
      </c>
      <c r="B90" s="230" t="s">
        <v>634</v>
      </c>
      <c r="C90" s="69" t="str">
        <f t="array" ref="C90">TEXTJOIN("", TRUE, IFERROR(INDEX('language&amp;DataTest'!A:J, MATCH(INDEX( PointerTest!C:C, MATCH(B90, PointerTest!A:A, 0), 0), 'language&amp;DataTest'!A:A, 0), MATCH(HOME!$A$25, 'language&amp;DataTest'!$A$1:$H$1, 0))),                      IFERROR(INDEX('language&amp;DataTest'!A:J, MATCH(INDEX( PointerTest!D:D, MATCH(B90, PointerTest!A:A, 0), 0), 'language&amp;DataTest'!A:A, 0), MATCH(HOME!$A$25, 'language&amp;DataTest'!$A$1:$H$1, 0))),                                          
IFERROR(INDEX('language&amp;DataTest'!A:J, MATCH(INDEX( PointerTest!E:E, MATCH(B90, PointerTest!A:A, 0), 0), 'language&amp;DataTest'!A:A, 0), MATCH(HOME!$A$25, 'language&amp;DataTest'!$A$1:$H$1, 0))))</f>
        <v>Rampardos</v>
      </c>
      <c r="D90" s="69" t="str">
        <f t="array" ref="D90">TEXTJOIN("", TRUE, 
IFERROR(INDEX('language&amp;DataTest'!A:J, MATCH(INDEX( PointerTest!C:C, MATCH(INDEX(PointerTest!B:B, MATCH(B90, PointerTest!A:A, 0)), PointerTest!A:A, 0), 0), 'language&amp;DataTest'!A:A, 0), MATCH(HOME!$A$25, 'language&amp;DataTest'!$A$1:$H$1, 0))),                      
IFERROR(INDEX('language&amp;DataTest'!A:J, MATCH(INDEX( PointerTest!D:D, MATCH(INDEX(PointerTest!B:B, MATCH(B90, PointerTest!A:A, 0)), PointerTest!A:A, 0), 0), 'language&amp;DataTest'!A:A, 0), MATCH(HOME!$A$25, 'language&amp;DataTest'!$A$1:$H$1, 0))),                                          
IFERROR(INDEX('language&amp;DataTest'!A:J, MATCH(INDEX( PointerTest!E:E, MATCH(INDEX(PointerTest!B:B, MATCH(B90, PointerTest!A:A, 0)), PointerTest!A:A, 0), 0), 'language&amp;DataTest'!A:A, 0), MATCH(HOME!$A$25, 'language&amp;DataTest'!$A$1:$H$1, 0))))</f>
        <v>Dialga ex</v>
      </c>
      <c r="E90" s="69" t="str">
        <f t="array" ref="E90">INDEX( PointerTest!F:F, MATCH(B90, PointerTest!A:A, 0), 0)</f>
        <v>♢♢♢</v>
      </c>
      <c r="F90" s="70" t="str">
        <f t="array" ref="F90">LET(percentage,XLOOKUP($E90,$K$2:$K$10,L$2:L$10,"",0)/(COUNTIFS($E:$E,$E90,$D:$D,RegularFormula!$D$2)+COUNTIFS($E:$E,$E90,$D:$D,IF($D90=RegularFormula!$D$2,$K$15,$D90))),IFERROR(IF(percentage,percentage,""),""))</f>
        <v/>
      </c>
      <c r="G90" s="71">
        <f t="array" ref="G90">LET(percentage,XLOOKUP($E90,$K$2:$K$10,M$2:M$10,"",0)/(COUNTIFS($E:$E,$E90,$D:$D,RegularFormula!$D$2)+COUNTIFS($E:$E,$E90,$D:$D,IF($D90=RegularFormula!$D$2,$K$15,$D90))),IFERROR(IF(percentage,percentage,""),""))</f>
        <v>0.003571428571</v>
      </c>
      <c r="H90" s="71">
        <f t="array" ref="H90">LET(percentage,XLOOKUP($E90,$K$2:$K$10,N$2:N$10,"",0)/(COUNTIFS($E:$E,$E90,$D:$D,RegularFormula!$D$2)+COUNTIFS($E:$E,$E90,$D:$D,IF($D90=RegularFormula!$D$2,$K$15,$D90))),IFERROR(IF(percentage,percentage,""),""))</f>
        <v>0.01428571429</v>
      </c>
      <c r="I90" s="72" t="str">
        <f t="shared" si="1"/>
        <v/>
      </c>
      <c r="J90" s="73">
        <v>0.0</v>
      </c>
      <c r="K90" s="194"/>
      <c r="L90" s="55"/>
      <c r="M90" s="55"/>
      <c r="N90" s="55"/>
      <c r="P90" s="103"/>
      <c r="Q90" s="103"/>
      <c r="R90" s="103"/>
      <c r="S90" s="231" t="str">
        <f t="shared" si="2"/>
        <v/>
      </c>
    </row>
    <row r="91">
      <c r="A91" s="217" t="b">
        <v>1</v>
      </c>
      <c r="B91" s="230" t="s">
        <v>635</v>
      </c>
      <c r="C91" s="69" t="str">
        <f t="array" ref="C91">TEXTJOIN("", TRUE, IFERROR(INDEX('language&amp;DataTest'!A:J, MATCH(INDEX( PointerTest!C:C, MATCH(B91, PointerTest!A:A, 0), 0), 'language&amp;DataTest'!A:A, 0), MATCH(HOME!$A$25, 'language&amp;DataTest'!$A$1:$H$1, 0))),                      IFERROR(INDEX('language&amp;DataTest'!A:J, MATCH(INDEX( PointerTest!D:D, MATCH(B91, PointerTest!A:A, 0), 0), 'language&amp;DataTest'!A:A, 0), MATCH(HOME!$A$25, 'language&amp;DataTest'!$A$1:$H$1, 0))),                                          
IFERROR(INDEX('language&amp;DataTest'!A:J, MATCH(INDEX( PointerTest!E:E, MATCH(B91, PointerTest!A:A, 0), 0), 'language&amp;DataTest'!A:A, 0), MATCH(HOME!$A$25, 'language&amp;DataTest'!$A$1:$H$1, 0))))</f>
        <v>Wormadam</v>
      </c>
      <c r="D91" s="69" t="str">
        <f t="array" ref="D91">TEXTJOIN("", TRUE, 
IFERROR(INDEX('language&amp;DataTest'!A:J, MATCH(INDEX( PointerTest!C:C, MATCH(INDEX(PointerTest!B:B, MATCH(B91, PointerTest!A:A, 0)), PointerTest!A:A, 0), 0), 'language&amp;DataTest'!A:A, 0), MATCH(HOME!$A$25, 'language&amp;DataTest'!$A$1:$H$1, 0))),                      
IFERROR(INDEX('language&amp;DataTest'!A:J, MATCH(INDEX( PointerTest!D:D, MATCH(INDEX(PointerTest!B:B, MATCH(B91, PointerTest!A:A, 0)), PointerTest!A:A, 0), 0), 'language&amp;DataTest'!A:A, 0), MATCH(HOME!$A$25, 'language&amp;DataTest'!$A$1:$H$1, 0))),                                          
IFERROR(INDEX('language&amp;DataTest'!A:J, MATCH(INDEX( PointerTest!E:E, MATCH(INDEX(PointerTest!B:B, MATCH(B91, PointerTest!A:A, 0)), PointerTest!A:A, 0), 0), 'language&amp;DataTest'!A:A, 0), MATCH(HOME!$A$25, 'language&amp;DataTest'!$A$1:$H$1, 0))))</f>
        <v>Dialga ex</v>
      </c>
      <c r="E91" s="69" t="str">
        <f t="array" ref="E91">INDEX( PointerTest!F:F, MATCH(B91, PointerTest!A:A, 0), 0)</f>
        <v>♢</v>
      </c>
      <c r="F91" s="70">
        <f t="array" ref="F91">LET(percentage,XLOOKUP($E91,$K$2:$K$10,L$2:L$10,"",0)/(COUNTIFS($E:$E,$E91,$D:$D,RegularFormula!$D$2)+COUNTIFS($E:$E,$E91,$D:$D,IF($D91=RegularFormula!$D$2,$K$15,$D91))),IFERROR(IF(percentage,percentage,""),""))</f>
        <v>0.02173913043</v>
      </c>
      <c r="G91" s="71" t="str">
        <f t="array" ref="G91">LET(percentage,XLOOKUP($E91,$K$2:$K$10,M$2:M$10,"",0)/(COUNTIFS($E:$E,$E91,$D:$D,RegularFormula!$D$2)+COUNTIFS($E:$E,$E91,$D:$D,IF($D91=RegularFormula!$D$2,$K$15,$D91))),IFERROR(IF(percentage,percentage,""),""))</f>
        <v/>
      </c>
      <c r="H91" s="71" t="str">
        <f t="array" ref="H91">LET(percentage,XLOOKUP($E91,$K$2:$K$10,N$2:N$10,"",0)/(COUNTIFS($E:$E,$E91,$D:$D,RegularFormula!$D$2)+COUNTIFS($E:$E,$E91,$D:$D,IF($D91=RegularFormula!$D$2,$K$15,$D91))),IFERROR(IF(percentage,percentage,""),""))</f>
        <v/>
      </c>
      <c r="I91" s="72" t="str">
        <f t="shared" si="1"/>
        <v/>
      </c>
      <c r="J91" s="73">
        <v>0.0</v>
      </c>
      <c r="K91" s="194"/>
      <c r="L91" s="55"/>
      <c r="M91" s="55"/>
      <c r="N91" s="55"/>
      <c r="P91" s="103"/>
      <c r="Q91" s="103"/>
      <c r="R91" s="103"/>
      <c r="S91" s="231" t="str">
        <f t="shared" si="2"/>
        <v/>
      </c>
    </row>
    <row r="92">
      <c r="A92" s="217" t="b">
        <v>1</v>
      </c>
      <c r="B92" s="230" t="s">
        <v>636</v>
      </c>
      <c r="C92" s="69" t="str">
        <f t="array" ref="C92">TEXTJOIN("", TRUE, IFERROR(INDEX('language&amp;DataTest'!A:J, MATCH(INDEX( PointerTest!C:C, MATCH(B92, PointerTest!A:A, 0), 0), 'language&amp;DataTest'!A:A, 0), MATCH(HOME!$A$25, 'language&amp;DataTest'!$A$1:$H$1, 0))),                      IFERROR(INDEX('language&amp;DataTest'!A:J, MATCH(INDEX( PointerTest!D:D, MATCH(B92, PointerTest!A:A, 0), 0), 'language&amp;DataTest'!A:A, 0), MATCH(HOME!$A$25, 'language&amp;DataTest'!$A$1:$H$1, 0))),                                          
IFERROR(INDEX('language&amp;DataTest'!A:J, MATCH(INDEX( PointerTest!E:E, MATCH(B92, PointerTest!A:A, 0), 0), 'language&amp;DataTest'!A:A, 0), MATCH(HOME!$A$25, 'language&amp;DataTest'!$A$1:$H$1, 0))))</f>
        <v>Riolu</v>
      </c>
      <c r="D92" s="69" t="str">
        <f t="array" ref="D92">TEXTJOIN("", TRUE, 
IFERROR(INDEX('language&amp;DataTest'!A:J, MATCH(INDEX( PointerTest!C:C, MATCH(INDEX(PointerTest!B:B, MATCH(B92, PointerTest!A:A, 0)), PointerTest!A:A, 0), 0), 'language&amp;DataTest'!A:A, 0), MATCH(HOME!$A$25, 'language&amp;DataTest'!$A$1:$H$1, 0))),                      
IFERROR(INDEX('language&amp;DataTest'!A:J, MATCH(INDEX( PointerTest!D:D, MATCH(INDEX(PointerTest!B:B, MATCH(B92, PointerTest!A:A, 0)), PointerTest!A:A, 0), 0), 'language&amp;DataTest'!A:A, 0), MATCH(HOME!$A$25, 'language&amp;DataTest'!$A$1:$H$1, 0))),                                          
IFERROR(INDEX('language&amp;DataTest'!A:J, MATCH(INDEX( PointerTest!E:E, MATCH(INDEX(PointerTest!B:B, MATCH(B92, PointerTest!A:A, 0)), PointerTest!A:A, 0), 0), 'language&amp;DataTest'!A:A, 0), MATCH(HOME!$A$25, 'language&amp;DataTest'!$A$1:$H$1, 0))))</f>
        <v>Dialga ex</v>
      </c>
      <c r="E92" s="69" t="str">
        <f t="array" ref="E92">INDEX( PointerTest!F:F, MATCH(B92, PointerTest!A:A, 0), 0)</f>
        <v>♢</v>
      </c>
      <c r="F92" s="70">
        <f t="array" ref="F92">LET(percentage,XLOOKUP($E92,$K$2:$K$10,L$2:L$10,"",0)/(COUNTIFS($E:$E,$E92,$D:$D,RegularFormula!$D$2)+COUNTIFS($E:$E,$E92,$D:$D,IF($D92=RegularFormula!$D$2,$K$15,$D92))),IFERROR(IF(percentage,percentage,""),""))</f>
        <v>0.02173913043</v>
      </c>
      <c r="G92" s="71" t="str">
        <f t="array" ref="G92">LET(percentage,XLOOKUP($E92,$K$2:$K$10,M$2:M$10,"",0)/(COUNTIFS($E:$E,$E92,$D:$D,RegularFormula!$D$2)+COUNTIFS($E:$E,$E92,$D:$D,IF($D92=RegularFormula!$D$2,$K$15,$D92))),IFERROR(IF(percentage,percentage,""),""))</f>
        <v/>
      </c>
      <c r="H92" s="71" t="str">
        <f t="array" ref="H92">LET(percentage,XLOOKUP($E92,$K$2:$K$10,N$2:N$10,"",0)/(COUNTIFS($E:$E,$E92,$D:$D,RegularFormula!$D$2)+COUNTIFS($E:$E,$E92,$D:$D,IF($D92=RegularFormula!$D$2,$K$15,$D92))),IFERROR(IF(percentage,percentage,""),""))</f>
        <v/>
      </c>
      <c r="I92" s="72" t="str">
        <f t="shared" si="1"/>
        <v/>
      </c>
      <c r="J92" s="73">
        <v>0.0</v>
      </c>
      <c r="K92" s="194"/>
      <c r="L92" s="55"/>
      <c r="M92" s="55"/>
      <c r="N92" s="55"/>
      <c r="P92" s="103"/>
      <c r="Q92" s="103"/>
      <c r="R92" s="103"/>
      <c r="S92" s="231" t="str">
        <f t="shared" si="2"/>
        <v/>
      </c>
    </row>
    <row r="93">
      <c r="A93" s="217" t="b">
        <v>1</v>
      </c>
      <c r="B93" s="230" t="s">
        <v>637</v>
      </c>
      <c r="C93" s="69" t="str">
        <f t="array" ref="C93">TEXTJOIN("", TRUE, IFERROR(INDEX('language&amp;DataTest'!A:J, MATCH(INDEX( PointerTest!C:C, MATCH(B93, PointerTest!A:A, 0), 0), 'language&amp;DataTest'!A:A, 0), MATCH(HOME!$A$25, 'language&amp;DataTest'!$A$1:$H$1, 0))),                      IFERROR(INDEX('language&amp;DataTest'!A:J, MATCH(INDEX( PointerTest!D:D, MATCH(B93, PointerTest!A:A, 0), 0), 'language&amp;DataTest'!A:A, 0), MATCH(HOME!$A$25, 'language&amp;DataTest'!$A$1:$H$1, 0))),                                          
IFERROR(INDEX('language&amp;DataTest'!A:J, MATCH(INDEX( PointerTest!E:E, MATCH(B93, PointerTest!A:A, 0), 0), 'language&amp;DataTest'!A:A, 0), MATCH(HOME!$A$25, 'language&amp;DataTest'!$A$1:$H$1, 0))))</f>
        <v>Lucario</v>
      </c>
      <c r="D93" s="69" t="str">
        <f t="array" ref="D93">TEXTJOIN("", TRUE, 
IFERROR(INDEX('language&amp;DataTest'!A:J, MATCH(INDEX( PointerTest!C:C, MATCH(INDEX(PointerTest!B:B, MATCH(B93, PointerTest!A:A, 0)), PointerTest!A:A, 0), 0), 'language&amp;DataTest'!A:A, 0), MATCH(HOME!$A$25, 'language&amp;DataTest'!$A$1:$H$1, 0))),                      
IFERROR(INDEX('language&amp;DataTest'!A:J, MATCH(INDEX( PointerTest!D:D, MATCH(INDEX(PointerTest!B:B, MATCH(B93, PointerTest!A:A, 0)), PointerTest!A:A, 0), 0), 'language&amp;DataTest'!A:A, 0), MATCH(HOME!$A$25, 'language&amp;DataTest'!$A$1:$H$1, 0))),                                          
IFERROR(INDEX('language&amp;DataTest'!A:J, MATCH(INDEX( PointerTest!E:E, MATCH(INDEX(PointerTest!B:B, MATCH(B93, PointerTest!A:A, 0)), PointerTest!A:A, 0), 0), 'language&amp;DataTest'!A:A, 0), MATCH(HOME!$A$25, 'language&amp;DataTest'!$A$1:$H$1, 0))))</f>
        <v>Dialga ex</v>
      </c>
      <c r="E93" s="69" t="str">
        <f t="array" ref="E93">INDEX( PointerTest!F:F, MATCH(B93, PointerTest!A:A, 0), 0)</f>
        <v>♢♢♢</v>
      </c>
      <c r="F93" s="70" t="str">
        <f t="array" ref="F93">LET(percentage,XLOOKUP($E93,$K$2:$K$10,L$2:L$10,"",0)/(COUNTIFS($E:$E,$E93,$D:$D,RegularFormula!$D$2)+COUNTIFS($E:$E,$E93,$D:$D,IF($D93=RegularFormula!$D$2,$K$15,$D93))),IFERROR(IF(percentage,percentage,""),""))</f>
        <v/>
      </c>
      <c r="G93" s="71">
        <f t="array" ref="G93">LET(percentage,XLOOKUP($E93,$K$2:$K$10,M$2:M$10,"",0)/(COUNTIFS($E:$E,$E93,$D:$D,RegularFormula!$D$2)+COUNTIFS($E:$E,$E93,$D:$D,IF($D93=RegularFormula!$D$2,$K$15,$D93))),IFERROR(IF(percentage,percentage,""),""))</f>
        <v>0.003571428571</v>
      </c>
      <c r="H93" s="71">
        <f t="array" ref="H93">LET(percentage,XLOOKUP($E93,$K$2:$K$10,N$2:N$10,"",0)/(COUNTIFS($E:$E,$E93,$D:$D,RegularFormula!$D$2)+COUNTIFS($E:$E,$E93,$D:$D,IF($D93=RegularFormula!$D$2,$K$15,$D93))),IFERROR(IF(percentage,percentage,""),""))</f>
        <v>0.01428571429</v>
      </c>
      <c r="I93" s="72" t="str">
        <f t="shared" si="1"/>
        <v/>
      </c>
      <c r="J93" s="73">
        <v>0.0</v>
      </c>
      <c r="K93" s="194"/>
      <c r="L93" s="55"/>
      <c r="M93" s="55"/>
      <c r="N93" s="55"/>
      <c r="P93" s="103"/>
      <c r="Q93" s="103"/>
      <c r="R93" s="103"/>
      <c r="S93" s="231" t="str">
        <f t="shared" si="2"/>
        <v/>
      </c>
    </row>
    <row r="94">
      <c r="A94" s="217" t="b">
        <v>1</v>
      </c>
      <c r="B94" s="230" t="s">
        <v>638</v>
      </c>
      <c r="C94" s="69" t="str">
        <f t="array" ref="C94">TEXTJOIN("", TRUE, IFERROR(INDEX('language&amp;DataTest'!A:J, MATCH(INDEX( PointerTest!C:C, MATCH(B94, PointerTest!A:A, 0), 0), 'language&amp;DataTest'!A:A, 0), MATCH(HOME!$A$25, 'language&amp;DataTest'!$A$1:$H$1, 0))),                      IFERROR(INDEX('language&amp;DataTest'!A:J, MATCH(INDEX( PointerTest!D:D, MATCH(B94, PointerTest!A:A, 0), 0), 'language&amp;DataTest'!A:A, 0), MATCH(HOME!$A$25, 'language&amp;DataTest'!$A$1:$H$1, 0))),                                          
IFERROR(INDEX('language&amp;DataTest'!A:J, MATCH(INDEX( PointerTest!E:E, MATCH(B94, PointerTest!A:A, 0), 0), 'language&amp;DataTest'!A:A, 0), MATCH(HOME!$A$25, 'language&amp;DataTest'!$A$1:$H$1, 0))))</f>
        <v>Hippopotas</v>
      </c>
      <c r="D94" s="69" t="str">
        <f t="array" ref="D94">TEXTJOIN("", TRUE, 
IFERROR(INDEX('language&amp;DataTest'!A:J, MATCH(INDEX( PointerTest!C:C, MATCH(INDEX(PointerTest!B:B, MATCH(B94, PointerTest!A:A, 0)), PointerTest!A:A, 0), 0), 'language&amp;DataTest'!A:A, 0), MATCH(HOME!$A$25, 'language&amp;DataTest'!$A$1:$H$1, 0))),                      
IFERROR(INDEX('language&amp;DataTest'!A:J, MATCH(INDEX( PointerTest!D:D, MATCH(INDEX(PointerTest!B:B, MATCH(B94, PointerTest!A:A, 0)), PointerTest!A:A, 0), 0), 'language&amp;DataTest'!A:A, 0), MATCH(HOME!$A$25, 'language&amp;DataTest'!$A$1:$H$1, 0))),                                          
IFERROR(INDEX('language&amp;DataTest'!A:J, MATCH(INDEX( PointerTest!E:E, MATCH(INDEX(PointerTest!B:B, MATCH(B94, PointerTest!A:A, 0)), PointerTest!A:A, 0), 0), 'language&amp;DataTest'!A:A, 0), MATCH(HOME!$A$25, 'language&amp;DataTest'!$A$1:$H$1, 0))))</f>
        <v>Palkia ex</v>
      </c>
      <c r="E94" s="69" t="str">
        <f t="array" ref="E94">INDEX( PointerTest!F:F, MATCH(B94, PointerTest!A:A, 0), 0)</f>
        <v>♢</v>
      </c>
      <c r="F94" s="70">
        <f t="array" ref="F94">LET(percentage,XLOOKUP($E94,$K$2:$K$10,L$2:L$10,"",0)/(COUNTIFS($E:$E,$E94,$D:$D,RegularFormula!$D$2)+COUNTIFS($E:$E,$E94,$D:$D,IF($D94=RegularFormula!$D$2,$K$15,$D94))),IFERROR(IF(percentage,percentage,""),""))</f>
        <v>0.02272727273</v>
      </c>
      <c r="G94" s="71" t="str">
        <f t="array" ref="G94">LET(percentage,XLOOKUP($E94,$K$2:$K$10,M$2:M$10,"",0)/(COUNTIFS($E:$E,$E94,$D:$D,RegularFormula!$D$2)+COUNTIFS($E:$E,$E94,$D:$D,IF($D94=RegularFormula!$D$2,$K$15,$D94))),IFERROR(IF(percentage,percentage,""),""))</f>
        <v/>
      </c>
      <c r="H94" s="71" t="str">
        <f t="array" ref="H94">LET(percentage,XLOOKUP($E94,$K$2:$K$10,N$2:N$10,"",0)/(COUNTIFS($E:$E,$E94,$D:$D,RegularFormula!$D$2)+COUNTIFS($E:$E,$E94,$D:$D,IF($D94=RegularFormula!$D$2,$K$15,$D94))),IFERROR(IF(percentage,percentage,""),""))</f>
        <v/>
      </c>
      <c r="I94" s="72" t="str">
        <f t="shared" si="1"/>
        <v/>
      </c>
      <c r="J94" s="73">
        <v>0.0</v>
      </c>
      <c r="K94" s="194"/>
      <c r="L94" s="55"/>
      <c r="M94" s="55"/>
      <c r="N94" s="55"/>
      <c r="P94" s="103"/>
      <c r="Q94" s="103"/>
      <c r="R94" s="103"/>
      <c r="S94" s="231" t="str">
        <f t="shared" si="2"/>
        <v/>
      </c>
    </row>
    <row r="95">
      <c r="A95" s="217" t="b">
        <v>1</v>
      </c>
      <c r="B95" s="230" t="s">
        <v>639</v>
      </c>
      <c r="C95" s="69" t="str">
        <f t="array" ref="C95">TEXTJOIN("", TRUE, IFERROR(INDEX('language&amp;DataTest'!A:J, MATCH(INDEX( PointerTest!C:C, MATCH(B95, PointerTest!A:A, 0), 0), 'language&amp;DataTest'!A:A, 0), MATCH(HOME!$A$25, 'language&amp;DataTest'!$A$1:$H$1, 0))),                      IFERROR(INDEX('language&amp;DataTest'!A:J, MATCH(INDEX( PointerTest!D:D, MATCH(B95, PointerTest!A:A, 0), 0), 'language&amp;DataTest'!A:A, 0), MATCH(HOME!$A$25, 'language&amp;DataTest'!$A$1:$H$1, 0))),                                          
IFERROR(INDEX('language&amp;DataTest'!A:J, MATCH(INDEX( PointerTest!E:E, MATCH(B95, PointerTest!A:A, 0), 0), 'language&amp;DataTest'!A:A, 0), MATCH(HOME!$A$25, 'language&amp;DataTest'!$A$1:$H$1, 0))))</f>
        <v>Hippowdon</v>
      </c>
      <c r="D95" s="69" t="str">
        <f t="array" ref="D95">TEXTJOIN("", TRUE, 
IFERROR(INDEX('language&amp;DataTest'!A:J, MATCH(INDEX( PointerTest!C:C, MATCH(INDEX(PointerTest!B:B, MATCH(B95, PointerTest!A:A, 0)), PointerTest!A:A, 0), 0), 'language&amp;DataTest'!A:A, 0), MATCH(HOME!$A$25, 'language&amp;DataTest'!$A$1:$H$1, 0))),                      
IFERROR(INDEX('language&amp;DataTest'!A:J, MATCH(INDEX( PointerTest!D:D, MATCH(INDEX(PointerTest!B:B, MATCH(B95, PointerTest!A:A, 0)), PointerTest!A:A, 0), 0), 'language&amp;DataTest'!A:A, 0), MATCH(HOME!$A$25, 'language&amp;DataTest'!$A$1:$H$1, 0))),                                          
IFERROR(INDEX('language&amp;DataTest'!A:J, MATCH(INDEX( PointerTest!E:E, MATCH(INDEX(PointerTest!B:B, MATCH(B95, PointerTest!A:A, 0)), PointerTest!A:A, 0), 0), 'language&amp;DataTest'!A:A, 0), MATCH(HOME!$A$25, 'language&amp;DataTest'!$A$1:$H$1, 0))))</f>
        <v>Palkia ex</v>
      </c>
      <c r="E95" s="69" t="str">
        <f t="array" ref="E95">INDEX( PointerTest!F:F, MATCH(B95, PointerTest!A:A, 0), 0)</f>
        <v>♢♢</v>
      </c>
      <c r="F95" s="70" t="str">
        <f t="array" ref="F95">LET(percentage,XLOOKUP($E95,$K$2:$K$10,L$2:L$10,"",0)/(COUNTIFS($E:$E,$E95,$D:$D,RegularFormula!$D$2)+COUNTIFS($E:$E,$E95,$D:$D,IF($D95=RegularFormula!$D$2,$K$15,$D95))),IFERROR(IF(percentage,percentage,""),""))</f>
        <v/>
      </c>
      <c r="G95" s="71">
        <f t="array" ref="G95">LET(percentage,XLOOKUP($E95,$K$2:$K$10,M$2:M$10,"",0)/(COUNTIFS($E:$E,$E95,$D:$D,RegularFormula!$D$2)+COUNTIFS($E:$E,$E95,$D:$D,IF($D95=RegularFormula!$D$2,$K$15,$D95))),IFERROR(IF(percentage,percentage,""),""))</f>
        <v>0.025</v>
      </c>
      <c r="H95" s="71">
        <f t="array" ref="H95">LET(percentage,XLOOKUP($E95,$K$2:$K$10,N$2:N$10,"",0)/(COUNTIFS($E:$E,$E95,$D:$D,RegularFormula!$D$2)+COUNTIFS($E:$E,$E95,$D:$D,IF($D95=RegularFormula!$D$2,$K$15,$D95))),IFERROR(IF(percentage,percentage,""),""))</f>
        <v>0.01666666667</v>
      </c>
      <c r="I95" s="72" t="str">
        <f t="shared" si="1"/>
        <v/>
      </c>
      <c r="J95" s="73">
        <v>0.0</v>
      </c>
      <c r="K95" s="194"/>
      <c r="L95" s="55"/>
      <c r="M95" s="55"/>
      <c r="N95" s="55"/>
      <c r="O95" s="229" t="s">
        <v>640</v>
      </c>
      <c r="P95" s="103"/>
      <c r="Q95" s="103"/>
      <c r="R95" s="103"/>
      <c r="S95" s="231" t="str">
        <f t="shared" si="2"/>
        <v/>
      </c>
    </row>
    <row r="96">
      <c r="A96" s="217" t="b">
        <v>1</v>
      </c>
      <c r="B96" s="230" t="s">
        <v>641</v>
      </c>
      <c r="C96" s="69" t="str">
        <f t="array" ref="C96">TEXTJOIN("", TRUE, IFERROR(INDEX('language&amp;DataTest'!A:J, MATCH(INDEX( PointerTest!C:C, MATCH(B96, PointerTest!A:A, 0), 0), 'language&amp;DataTest'!A:A, 0), MATCH(HOME!$A$25, 'language&amp;DataTest'!$A$1:$H$1, 0))),                      IFERROR(INDEX('language&amp;DataTest'!A:J, MATCH(INDEX( PointerTest!D:D, MATCH(B96, PointerTest!A:A, 0), 0), 'language&amp;DataTest'!A:A, 0), MATCH(HOME!$A$25, 'language&amp;DataTest'!$A$1:$H$1, 0))),                                          
IFERROR(INDEX('language&amp;DataTest'!A:J, MATCH(INDEX( PointerTest!E:E, MATCH(B96, PointerTest!A:A, 0), 0), 'language&amp;DataTest'!A:A, 0), MATCH(HOME!$A$25, 'language&amp;DataTest'!$A$1:$H$1, 0))))</f>
        <v>Gallade ex</v>
      </c>
      <c r="D96" s="69" t="str">
        <f t="array" ref="D96">TEXTJOIN("", TRUE, 
IFERROR(INDEX('language&amp;DataTest'!A:J, MATCH(INDEX( PointerTest!C:C, MATCH(INDEX(PointerTest!B:B, MATCH(B96, PointerTest!A:A, 0)), PointerTest!A:A, 0), 0), 'language&amp;DataTest'!A:A, 0), MATCH(HOME!$A$25, 'language&amp;DataTest'!$A$1:$H$1, 0))),                      
IFERROR(INDEX('language&amp;DataTest'!A:J, MATCH(INDEX( PointerTest!D:D, MATCH(INDEX(PointerTest!B:B, MATCH(B96, PointerTest!A:A, 0)), PointerTest!A:A, 0), 0), 'language&amp;DataTest'!A:A, 0), MATCH(HOME!$A$25, 'language&amp;DataTest'!$A$1:$H$1, 0))),                                          
IFERROR(INDEX('language&amp;DataTest'!A:J, MATCH(INDEX( PointerTest!E:E, MATCH(INDEX(PointerTest!B:B, MATCH(B96, PointerTest!A:A, 0)), PointerTest!A:A, 0), 0), 'language&amp;DataTest'!A:A, 0), MATCH(HOME!$A$25, 'language&amp;DataTest'!$A$1:$H$1, 0))))</f>
        <v>Dialga ex</v>
      </c>
      <c r="E96" s="69" t="str">
        <f t="array" ref="E96">INDEX( PointerTest!F:F, MATCH(B96, PointerTest!A:A, 0), 0)</f>
        <v>♢♢♢♢</v>
      </c>
      <c r="F96" s="70" t="str">
        <f t="array" ref="F96">LET(percentage,XLOOKUP($E96,$K$2:$K$10,L$2:L$10,"",0)/(COUNTIFS($E:$E,$E96,$D:$D,RegularFormula!$D$2)+COUNTIFS($E:$E,$E96,$D:$D,IF($D96=RegularFormula!$D$2,$K$15,$D96))),IFERROR(IF(percentage,percentage,""),""))</f>
        <v/>
      </c>
      <c r="G96" s="71">
        <f t="array" ref="G96">LET(percentage,XLOOKUP($E96,$K$2:$K$10,M$2:M$10,"",0)/(COUNTIFS($E:$E,$E96,$D:$D,RegularFormula!$D$2)+COUNTIFS($E:$E,$E96,$D:$D,IF($D96=RegularFormula!$D$2,$K$15,$D96))),IFERROR(IF(percentage,percentage,""),""))</f>
        <v>0.003332</v>
      </c>
      <c r="H96" s="71">
        <f t="array" ref="H96">LET(percentage,XLOOKUP($E96,$K$2:$K$10,N$2:N$10,"",0)/(COUNTIFS($E:$E,$E96,$D:$D,RegularFormula!$D$2)+COUNTIFS($E:$E,$E96,$D:$D,IF($D96=RegularFormula!$D$2,$K$15,$D96))),IFERROR(IF(percentage,percentage,""),""))</f>
        <v>0.013328</v>
      </c>
      <c r="I96" s="72" t="str">
        <f t="shared" si="1"/>
        <v/>
      </c>
      <c r="J96" s="73">
        <v>0.0</v>
      </c>
      <c r="K96" s="194"/>
      <c r="L96" s="55"/>
      <c r="M96" s="55"/>
      <c r="N96" s="55"/>
      <c r="P96" s="103"/>
      <c r="Q96" s="103"/>
      <c r="R96" s="103"/>
      <c r="S96" s="231" t="str">
        <f t="shared" si="2"/>
        <v/>
      </c>
    </row>
    <row r="97">
      <c r="A97" s="217" t="b">
        <v>1</v>
      </c>
      <c r="B97" s="230" t="s">
        <v>642</v>
      </c>
      <c r="C97" s="69" t="str">
        <f t="array" ref="C97">TEXTJOIN("", TRUE, IFERROR(INDEX('language&amp;DataTest'!A:J, MATCH(INDEX( PointerTest!C:C, MATCH(B97, PointerTest!A:A, 0), 0), 'language&amp;DataTest'!A:A, 0), MATCH(HOME!$A$25, 'language&amp;DataTest'!$A$1:$H$1, 0))),                      IFERROR(INDEX('language&amp;DataTest'!A:J, MATCH(INDEX( PointerTest!D:D, MATCH(B97, PointerTest!A:A, 0), 0), 'language&amp;DataTest'!A:A, 0), MATCH(HOME!$A$25, 'language&amp;DataTest'!$A$1:$H$1, 0))),                                          
IFERROR(INDEX('language&amp;DataTest'!A:J, MATCH(INDEX( PointerTest!E:E, MATCH(B97, PointerTest!A:A, 0), 0), 'language&amp;DataTest'!A:A, 0), MATCH(HOME!$A$25, 'language&amp;DataTest'!$A$1:$H$1, 0))))</f>
        <v>Murkrow</v>
      </c>
      <c r="D97" s="69" t="str">
        <f t="array" ref="D97">TEXTJOIN("", TRUE, 
IFERROR(INDEX('language&amp;DataTest'!A:J, MATCH(INDEX( PointerTest!C:C, MATCH(INDEX(PointerTest!B:B, MATCH(B97, PointerTest!A:A, 0)), PointerTest!A:A, 0), 0), 'language&amp;DataTest'!A:A, 0), MATCH(HOME!$A$25, 'language&amp;DataTest'!$A$1:$H$1, 0))),                      
IFERROR(INDEX('language&amp;DataTest'!A:J, MATCH(INDEX( PointerTest!D:D, MATCH(INDEX(PointerTest!B:B, MATCH(B97, PointerTest!A:A, 0)), PointerTest!A:A, 0), 0), 'language&amp;DataTest'!A:A, 0), MATCH(HOME!$A$25, 'language&amp;DataTest'!$A$1:$H$1, 0))),                                          
IFERROR(INDEX('language&amp;DataTest'!A:J, MATCH(INDEX( PointerTest!E:E, MATCH(INDEX(PointerTest!B:B, MATCH(B97, PointerTest!A:A, 0)), PointerTest!A:A, 0), 0), 'language&amp;DataTest'!A:A, 0), MATCH(HOME!$A$25, 'language&amp;DataTest'!$A$1:$H$1, 0))))</f>
        <v>Dialga ex</v>
      </c>
      <c r="E97" s="69" t="str">
        <f t="array" ref="E97">INDEX( PointerTest!F:F, MATCH(B97, PointerTest!A:A, 0), 0)</f>
        <v>♢</v>
      </c>
      <c r="F97" s="70">
        <f t="array" ref="F97">LET(percentage,XLOOKUP($E97,$K$2:$K$10,L$2:L$10,"",0)/(COUNTIFS($E:$E,$E97,$D:$D,RegularFormula!$D$2)+COUNTIFS($E:$E,$E97,$D:$D,IF($D97=RegularFormula!$D$2,$K$15,$D97))),IFERROR(IF(percentage,percentage,""),""))</f>
        <v>0.02173913043</v>
      </c>
      <c r="G97" s="71" t="str">
        <f t="array" ref="G97">LET(percentage,XLOOKUP($E97,$K$2:$K$10,M$2:M$10,"",0)/(COUNTIFS($E:$E,$E97,$D:$D,RegularFormula!$D$2)+COUNTIFS($E:$E,$E97,$D:$D,IF($D97=RegularFormula!$D$2,$K$15,$D97))),IFERROR(IF(percentage,percentage,""),""))</f>
        <v/>
      </c>
      <c r="H97" s="71" t="str">
        <f t="array" ref="H97">LET(percentage,XLOOKUP($E97,$K$2:$K$10,N$2:N$10,"",0)/(COUNTIFS($E:$E,$E97,$D:$D,RegularFormula!$D$2)+COUNTIFS($E:$E,$E97,$D:$D,IF($D97=RegularFormula!$D$2,$K$15,$D97))),IFERROR(IF(percentage,percentage,""),""))</f>
        <v/>
      </c>
      <c r="I97" s="72" t="str">
        <f t="shared" si="1"/>
        <v/>
      </c>
      <c r="J97" s="73">
        <v>0.0</v>
      </c>
      <c r="K97" s="194"/>
      <c r="L97" s="55"/>
      <c r="M97" s="55"/>
      <c r="N97" s="55"/>
      <c r="P97" s="103"/>
      <c r="Q97" s="103"/>
      <c r="R97" s="103"/>
      <c r="S97" s="231" t="str">
        <f t="shared" si="2"/>
        <v/>
      </c>
    </row>
    <row r="98">
      <c r="A98" s="217" t="b">
        <v>1</v>
      </c>
      <c r="B98" s="230" t="s">
        <v>643</v>
      </c>
      <c r="C98" s="69" t="str">
        <f t="array" ref="C98">TEXTJOIN("", TRUE, IFERROR(INDEX('language&amp;DataTest'!A:J, MATCH(INDEX( PointerTest!C:C, MATCH(B98, PointerTest!A:A, 0), 0), 'language&amp;DataTest'!A:A, 0), MATCH(HOME!$A$25, 'language&amp;DataTest'!$A$1:$H$1, 0))),                      IFERROR(INDEX('language&amp;DataTest'!A:J, MATCH(INDEX( PointerTest!D:D, MATCH(B98, PointerTest!A:A, 0), 0), 'language&amp;DataTest'!A:A, 0), MATCH(HOME!$A$25, 'language&amp;DataTest'!$A$1:$H$1, 0))),                                          
IFERROR(INDEX('language&amp;DataTest'!A:J, MATCH(INDEX( PointerTest!E:E, MATCH(B98, PointerTest!A:A, 0), 0), 'language&amp;DataTest'!A:A, 0), MATCH(HOME!$A$25, 'language&amp;DataTest'!$A$1:$H$1, 0))))</f>
        <v>Honchkrow</v>
      </c>
      <c r="D98" s="69" t="str">
        <f t="array" ref="D98">TEXTJOIN("", TRUE, 
IFERROR(INDEX('language&amp;DataTest'!A:J, MATCH(INDEX( PointerTest!C:C, MATCH(INDEX(PointerTest!B:B, MATCH(B98, PointerTest!A:A, 0)), PointerTest!A:A, 0), 0), 'language&amp;DataTest'!A:A, 0), MATCH(HOME!$A$25, 'language&amp;DataTest'!$A$1:$H$1, 0))),                      
IFERROR(INDEX('language&amp;DataTest'!A:J, MATCH(INDEX( PointerTest!D:D, MATCH(INDEX(PointerTest!B:B, MATCH(B98, PointerTest!A:A, 0)), PointerTest!A:A, 0), 0), 'language&amp;DataTest'!A:A, 0), MATCH(HOME!$A$25, 'language&amp;DataTest'!$A$1:$H$1, 0))),                                          
IFERROR(INDEX('language&amp;DataTest'!A:J, MATCH(INDEX( PointerTest!E:E, MATCH(INDEX(PointerTest!B:B, MATCH(B98, PointerTest!A:A, 0)), PointerTest!A:A, 0), 0), 'language&amp;DataTest'!A:A, 0), MATCH(HOME!$A$25, 'language&amp;DataTest'!$A$1:$H$1, 0))))</f>
        <v>Dialga ex</v>
      </c>
      <c r="E98" s="69" t="str">
        <f t="array" ref="E98">INDEX( PointerTest!F:F, MATCH(B98, PointerTest!A:A, 0), 0)</f>
        <v>♢♢</v>
      </c>
      <c r="F98" s="70" t="str">
        <f t="array" ref="F98">LET(percentage,XLOOKUP($E98,$K$2:$K$10,L$2:L$10,"",0)/(COUNTIFS($E:$E,$E98,$D:$D,RegularFormula!$D$2)+COUNTIFS($E:$E,$E98,$D:$D,IF($D98=RegularFormula!$D$2,$K$15,$D98))),IFERROR(IF(percentage,percentage,""),""))</f>
        <v/>
      </c>
      <c r="G98" s="71">
        <f t="array" ref="G98">LET(percentage,XLOOKUP($E98,$K$2:$K$10,M$2:M$10,"",0)/(COUNTIFS($E:$E,$E98,$D:$D,RegularFormula!$D$2)+COUNTIFS($E:$E,$E98,$D:$D,IF($D98=RegularFormula!$D$2,$K$15,$D98))),IFERROR(IF(percentage,percentage,""),""))</f>
        <v>0.02647058824</v>
      </c>
      <c r="H98" s="71">
        <f t="array" ref="H98">LET(percentage,XLOOKUP($E98,$K$2:$K$10,N$2:N$10,"",0)/(COUNTIFS($E:$E,$E98,$D:$D,RegularFormula!$D$2)+COUNTIFS($E:$E,$E98,$D:$D,IF($D98=RegularFormula!$D$2,$K$15,$D98))),IFERROR(IF(percentage,percentage,""),""))</f>
        <v>0.01764705882</v>
      </c>
      <c r="I98" s="72" t="str">
        <f t="shared" si="1"/>
        <v/>
      </c>
      <c r="J98" s="73">
        <v>0.0</v>
      </c>
      <c r="K98" s="194"/>
      <c r="L98" s="55"/>
      <c r="M98" s="55"/>
      <c r="N98" s="55"/>
      <c r="P98" s="103"/>
      <c r="Q98" s="103"/>
      <c r="R98" s="103"/>
      <c r="S98" s="231" t="str">
        <f t="shared" si="2"/>
        <v/>
      </c>
    </row>
    <row r="99">
      <c r="A99" s="217" t="b">
        <v>1</v>
      </c>
      <c r="B99" s="230" t="s">
        <v>644</v>
      </c>
      <c r="C99" s="69" t="str">
        <f t="array" ref="C99">TEXTJOIN("", TRUE, IFERROR(INDEX('language&amp;DataTest'!A:J, MATCH(INDEX( PointerTest!C:C, MATCH(B99, PointerTest!A:A, 0), 0), 'language&amp;DataTest'!A:A, 0), MATCH(HOME!$A$25, 'language&amp;DataTest'!$A$1:$H$1, 0))),                      IFERROR(INDEX('language&amp;DataTest'!A:J, MATCH(INDEX( PointerTest!D:D, MATCH(B99, PointerTest!A:A, 0), 0), 'language&amp;DataTest'!A:A, 0), MATCH(HOME!$A$25, 'language&amp;DataTest'!$A$1:$H$1, 0))),                                          
IFERROR(INDEX('language&amp;DataTest'!A:J, MATCH(INDEX( PointerTest!E:E, MATCH(B99, PointerTest!A:A, 0), 0), 'language&amp;DataTest'!A:A, 0), MATCH(HOME!$A$25, 'language&amp;DataTest'!$A$1:$H$1, 0))))</f>
        <v>Sneasel</v>
      </c>
      <c r="D99" s="69" t="str">
        <f t="array" ref="D99">TEXTJOIN("", TRUE, 
IFERROR(INDEX('language&amp;DataTest'!A:J, MATCH(INDEX( PointerTest!C:C, MATCH(INDEX(PointerTest!B:B, MATCH(B99, PointerTest!A:A, 0)), PointerTest!A:A, 0), 0), 'language&amp;DataTest'!A:A, 0), MATCH(HOME!$A$25, 'language&amp;DataTest'!$A$1:$H$1, 0))),                      
IFERROR(INDEX('language&amp;DataTest'!A:J, MATCH(INDEX( PointerTest!D:D, MATCH(INDEX(PointerTest!B:B, MATCH(B99, PointerTest!A:A, 0)), PointerTest!A:A, 0), 0), 'language&amp;DataTest'!A:A, 0), MATCH(HOME!$A$25, 'language&amp;DataTest'!$A$1:$H$1, 0))),                                          
IFERROR(INDEX('language&amp;DataTest'!A:J, MATCH(INDEX( PointerTest!E:E, MATCH(INDEX(PointerTest!B:B, MATCH(B99, PointerTest!A:A, 0)), PointerTest!A:A, 0), 0), 'language&amp;DataTest'!A:A, 0), MATCH(HOME!$A$25, 'language&amp;DataTest'!$A$1:$H$1, 0))))</f>
        <v>Palkia ex</v>
      </c>
      <c r="E99" s="69" t="str">
        <f t="array" ref="E99">INDEX( PointerTest!F:F, MATCH(B99, PointerTest!A:A, 0), 0)</f>
        <v>♢</v>
      </c>
      <c r="F99" s="70">
        <f t="array" ref="F99">LET(percentage,XLOOKUP($E99,$K$2:$K$10,L$2:L$10,"",0)/(COUNTIFS($E:$E,$E99,$D:$D,RegularFormula!$D$2)+COUNTIFS($E:$E,$E99,$D:$D,IF($D99=RegularFormula!$D$2,$K$15,$D99))),IFERROR(IF(percentage,percentage,""),""))</f>
        <v>0.02272727273</v>
      </c>
      <c r="G99" s="71" t="str">
        <f t="array" ref="G99">LET(percentage,XLOOKUP($E99,$K$2:$K$10,M$2:M$10,"",0)/(COUNTIFS($E:$E,$E99,$D:$D,RegularFormula!$D$2)+COUNTIFS($E:$E,$E99,$D:$D,IF($D99=RegularFormula!$D$2,$K$15,$D99))),IFERROR(IF(percentage,percentage,""),""))</f>
        <v/>
      </c>
      <c r="H99" s="71" t="str">
        <f t="array" ref="H99">LET(percentage,XLOOKUP($E99,$K$2:$K$10,N$2:N$10,"",0)/(COUNTIFS($E:$E,$E99,$D:$D,RegularFormula!$D$2)+COUNTIFS($E:$E,$E99,$D:$D,IF($D99=RegularFormula!$D$2,$K$15,$D99))),IFERROR(IF(percentage,percentage,""),""))</f>
        <v/>
      </c>
      <c r="I99" s="72" t="str">
        <f t="shared" si="1"/>
        <v/>
      </c>
      <c r="J99" s="73">
        <v>0.0</v>
      </c>
      <c r="K99" s="194"/>
      <c r="L99" s="55"/>
      <c r="M99" s="55"/>
      <c r="N99" s="55"/>
      <c r="P99" s="103"/>
      <c r="Q99" s="103"/>
      <c r="R99" s="103"/>
      <c r="S99" s="231" t="str">
        <f t="shared" si="2"/>
        <v/>
      </c>
    </row>
    <row r="100">
      <c r="A100" s="217" t="b">
        <v>1</v>
      </c>
      <c r="B100" s="230" t="s">
        <v>645</v>
      </c>
      <c r="C100" s="69" t="str">
        <f t="array" ref="C100">TEXTJOIN("", TRUE, IFERROR(INDEX('language&amp;DataTest'!A:J, MATCH(INDEX( PointerTest!C:C, MATCH(B100, PointerTest!A:A, 0), 0), 'language&amp;DataTest'!A:A, 0), MATCH(HOME!$A$25, 'language&amp;DataTest'!$A$1:$H$1, 0))),                      IFERROR(INDEX('language&amp;DataTest'!A:J, MATCH(INDEX( PointerTest!D:D, MATCH(B100, PointerTest!A:A, 0), 0), 'language&amp;DataTest'!A:A, 0), MATCH(HOME!$A$25, 'language&amp;DataTest'!$A$1:$H$1, 0))),                                          
IFERROR(INDEX('language&amp;DataTest'!A:J, MATCH(INDEX( PointerTest!E:E, MATCH(B100, PointerTest!A:A, 0), 0), 'language&amp;DataTest'!A:A, 0), MATCH(HOME!$A$25, 'language&amp;DataTest'!$A$1:$H$1, 0))))</f>
        <v>Weavile ex</v>
      </c>
      <c r="D100" s="69" t="str">
        <f t="array" ref="D100">TEXTJOIN("", TRUE, 
IFERROR(INDEX('language&amp;DataTest'!A:J, MATCH(INDEX( PointerTest!C:C, MATCH(INDEX(PointerTest!B:B, MATCH(B100, PointerTest!A:A, 0)), PointerTest!A:A, 0), 0), 'language&amp;DataTest'!A:A, 0), MATCH(HOME!$A$25, 'language&amp;DataTest'!$A$1:$H$1, 0))),                      
IFERROR(INDEX('language&amp;DataTest'!A:J, MATCH(INDEX( PointerTest!D:D, MATCH(INDEX(PointerTest!B:B, MATCH(B100, PointerTest!A:A, 0)), PointerTest!A:A, 0), 0), 'language&amp;DataTest'!A:A, 0), MATCH(HOME!$A$25, 'language&amp;DataTest'!$A$1:$H$1, 0))),                                          
IFERROR(INDEX('language&amp;DataTest'!A:J, MATCH(INDEX( PointerTest!E:E, MATCH(INDEX(PointerTest!B:B, MATCH(B100, PointerTest!A:A, 0)), PointerTest!A:A, 0), 0), 'language&amp;DataTest'!A:A, 0), MATCH(HOME!$A$25, 'language&amp;DataTest'!$A$1:$H$1, 0))))</f>
        <v>Palkia ex</v>
      </c>
      <c r="E100" s="69" t="str">
        <f t="array" ref="E100">INDEX( PointerTest!F:F, MATCH(B100, PointerTest!A:A, 0), 0)</f>
        <v>♢♢♢♢</v>
      </c>
      <c r="F100" s="70" t="str">
        <f t="array" ref="F100">LET(percentage,XLOOKUP($E100,$K$2:$K$10,L$2:L$10,"",0)/(COUNTIFS($E:$E,$E100,$D:$D,RegularFormula!$D$2)+COUNTIFS($E:$E,$E100,$D:$D,IF($D100=RegularFormula!$D$2,$K$15,$D100))),IFERROR(IF(percentage,percentage,""),""))</f>
        <v/>
      </c>
      <c r="G100" s="71">
        <f t="array" ref="G100">LET(percentage,XLOOKUP($E100,$K$2:$K$10,M$2:M$10,"",0)/(COUNTIFS($E:$E,$E100,$D:$D,RegularFormula!$D$2)+COUNTIFS($E:$E,$E100,$D:$D,IF($D100=RegularFormula!$D$2,$K$15,$D100))),IFERROR(IF(percentage,percentage,""),""))</f>
        <v>0.003332</v>
      </c>
      <c r="H100" s="71">
        <f t="array" ref="H100">LET(percentage,XLOOKUP($E100,$K$2:$K$10,N$2:N$10,"",0)/(COUNTIFS($E:$E,$E100,$D:$D,RegularFormula!$D$2)+COUNTIFS($E:$E,$E100,$D:$D,IF($D100=RegularFormula!$D$2,$K$15,$D100))),IFERROR(IF(percentage,percentage,""),""))</f>
        <v>0.013328</v>
      </c>
      <c r="I100" s="72" t="str">
        <f t="shared" si="1"/>
        <v/>
      </c>
      <c r="J100" s="73">
        <v>0.0</v>
      </c>
      <c r="K100" s="194"/>
      <c r="L100" s="55"/>
      <c r="M100" s="55"/>
      <c r="N100" s="55"/>
      <c r="P100" s="103"/>
      <c r="Q100" s="103"/>
      <c r="R100" s="103"/>
      <c r="S100" s="231" t="str">
        <f t="shared" si="2"/>
        <v/>
      </c>
    </row>
    <row r="101">
      <c r="A101" s="217" t="b">
        <v>1</v>
      </c>
      <c r="B101" s="230" t="s">
        <v>646</v>
      </c>
      <c r="C101" s="69" t="str">
        <f t="array" ref="C101">TEXTJOIN("", TRUE, IFERROR(INDEX('language&amp;DataTest'!A:J, MATCH(INDEX( PointerTest!C:C, MATCH(B101, PointerTest!A:A, 0), 0), 'language&amp;DataTest'!A:A, 0), MATCH(HOME!$A$25, 'language&amp;DataTest'!$A$1:$H$1, 0))),                      IFERROR(INDEX('language&amp;DataTest'!A:J, MATCH(INDEX( PointerTest!D:D, MATCH(B101, PointerTest!A:A, 0), 0), 'language&amp;DataTest'!A:A, 0), MATCH(HOME!$A$25, 'language&amp;DataTest'!$A$1:$H$1, 0))),                                          
IFERROR(INDEX('language&amp;DataTest'!A:J, MATCH(INDEX( PointerTest!E:E, MATCH(B101, PointerTest!A:A, 0), 0), 'language&amp;DataTest'!A:A, 0), MATCH(HOME!$A$25, 'language&amp;DataTest'!$A$1:$H$1, 0))))</f>
        <v>Poochyena</v>
      </c>
      <c r="D101" s="69" t="str">
        <f t="array" ref="D101">TEXTJOIN("", TRUE, 
IFERROR(INDEX('language&amp;DataTest'!A:J, MATCH(INDEX( PointerTest!C:C, MATCH(INDEX(PointerTest!B:B, MATCH(B101, PointerTest!A:A, 0)), PointerTest!A:A, 0), 0), 'language&amp;DataTest'!A:A, 0), MATCH(HOME!$A$25, 'language&amp;DataTest'!$A$1:$H$1, 0))),                      
IFERROR(INDEX('language&amp;DataTest'!A:J, MATCH(INDEX( PointerTest!D:D, MATCH(INDEX(PointerTest!B:B, MATCH(B101, PointerTest!A:A, 0)), PointerTest!A:A, 0), 0), 'language&amp;DataTest'!A:A, 0), MATCH(HOME!$A$25, 'language&amp;DataTest'!$A$1:$H$1, 0))),                                          
IFERROR(INDEX('language&amp;DataTest'!A:J, MATCH(INDEX( PointerTest!E:E, MATCH(INDEX(PointerTest!B:B, MATCH(B101, PointerTest!A:A, 0)), PointerTest!A:A, 0), 0), 'language&amp;DataTest'!A:A, 0), MATCH(HOME!$A$25, 'language&amp;DataTest'!$A$1:$H$1, 0))))</f>
        <v>All</v>
      </c>
      <c r="E101" s="69" t="str">
        <f t="array" ref="E101">INDEX( PointerTest!F:F, MATCH(B101, PointerTest!A:A, 0), 0)</f>
        <v>♢</v>
      </c>
      <c r="F101" s="70">
        <f t="array" ref="F101">LET(percentage,XLOOKUP($E101,$K$2:$K$10,L$2:L$10,"",0)/(COUNTIFS($E:$E,$E101,$D:$D,RegularFormula!$D$2)+COUNTIFS($E:$E,$E101,$D:$D,IF($D101=RegularFormula!$D$2,$K$15,$D101))),IFERROR(IF(percentage,percentage,""),""))</f>
        <v>0.02272727273</v>
      </c>
      <c r="G101" s="71" t="str">
        <f t="array" ref="G101">LET(percentage,XLOOKUP($E101,$K$2:$K$10,M$2:M$10,"",0)/(COUNTIFS($E:$E,$E101,$D:$D,RegularFormula!$D$2)+COUNTIFS($E:$E,$E101,$D:$D,IF($D101=RegularFormula!$D$2,$K$15,$D101))),IFERROR(IF(percentage,percentage,""),""))</f>
        <v/>
      </c>
      <c r="H101" s="71" t="str">
        <f t="array" ref="H101">LET(percentage,XLOOKUP($E101,$K$2:$K$10,N$2:N$10,"",0)/(COUNTIFS($E:$E,$E101,$D:$D,RegularFormula!$D$2)+COUNTIFS($E:$E,$E101,$D:$D,IF($D101=RegularFormula!$D$2,$K$15,$D101))),IFERROR(IF(percentage,percentage,""),""))</f>
        <v/>
      </c>
      <c r="I101" s="72" t="str">
        <f t="shared" si="1"/>
        <v>*Based on Palkia ex pack</v>
      </c>
      <c r="J101" s="73">
        <v>0.0</v>
      </c>
      <c r="K101" s="194"/>
      <c r="L101" s="55"/>
      <c r="M101" s="55"/>
      <c r="N101" s="55"/>
      <c r="O101" s="237" t="s">
        <v>240</v>
      </c>
      <c r="P101" s="103"/>
      <c r="Q101" s="103"/>
      <c r="R101" s="103"/>
      <c r="S101" s="231" t="str">
        <f t="shared" si="2"/>
        <v/>
      </c>
    </row>
    <row r="102">
      <c r="A102" s="217" t="b">
        <v>1</v>
      </c>
      <c r="B102" s="230" t="s">
        <v>647</v>
      </c>
      <c r="C102" s="69" t="str">
        <f t="array" ref="C102">TEXTJOIN("", TRUE, IFERROR(INDEX('language&amp;DataTest'!A:J, MATCH(INDEX( PointerTest!C:C, MATCH(B102, PointerTest!A:A, 0), 0), 'language&amp;DataTest'!A:A, 0), MATCH(HOME!$A$25, 'language&amp;DataTest'!$A$1:$H$1, 0))),                      IFERROR(INDEX('language&amp;DataTest'!A:J, MATCH(INDEX( PointerTest!D:D, MATCH(B102, PointerTest!A:A, 0), 0), 'language&amp;DataTest'!A:A, 0), MATCH(HOME!$A$25, 'language&amp;DataTest'!$A$1:$H$1, 0))),                                          
IFERROR(INDEX('language&amp;DataTest'!A:J, MATCH(INDEX( PointerTest!E:E, MATCH(B102, PointerTest!A:A, 0), 0), 'language&amp;DataTest'!A:A, 0), MATCH(HOME!$A$25, 'language&amp;DataTest'!$A$1:$H$1, 0))))</f>
        <v>Mightyena</v>
      </c>
      <c r="D102" s="69" t="str">
        <f t="array" ref="D102">TEXTJOIN("", TRUE, 
IFERROR(INDEX('language&amp;DataTest'!A:J, MATCH(INDEX( PointerTest!C:C, MATCH(INDEX(PointerTest!B:B, MATCH(B102, PointerTest!A:A, 0)), PointerTest!A:A, 0), 0), 'language&amp;DataTest'!A:A, 0), MATCH(HOME!$A$25, 'language&amp;DataTest'!$A$1:$H$1, 0))),                      
IFERROR(INDEX('language&amp;DataTest'!A:J, MATCH(INDEX( PointerTest!D:D, MATCH(INDEX(PointerTest!B:B, MATCH(B102, PointerTest!A:A, 0)), PointerTest!A:A, 0), 0), 'language&amp;DataTest'!A:A, 0), MATCH(HOME!$A$25, 'language&amp;DataTest'!$A$1:$H$1, 0))),                                          
IFERROR(INDEX('language&amp;DataTest'!A:J, MATCH(INDEX( PointerTest!E:E, MATCH(INDEX(PointerTest!B:B, MATCH(B102, PointerTest!A:A, 0)), PointerTest!A:A, 0), 0), 'language&amp;DataTest'!A:A, 0), MATCH(HOME!$A$25, 'language&amp;DataTest'!$A$1:$H$1, 0))))</f>
        <v>All</v>
      </c>
      <c r="E102" s="69" t="str">
        <f t="array" ref="E102">INDEX( PointerTest!F:F, MATCH(B102, PointerTest!A:A, 0), 0)</f>
        <v>♢♢</v>
      </c>
      <c r="F102" s="70" t="str">
        <f t="array" ref="F102">LET(percentage,XLOOKUP($E102,$K$2:$K$10,L$2:L$10,"",0)/(COUNTIFS($E:$E,$E102,$D:$D,RegularFormula!$D$2)+COUNTIFS($E:$E,$E102,$D:$D,IF($D102=RegularFormula!$D$2,$K$15,$D102))),IFERROR(IF(percentage,percentage,""),""))</f>
        <v/>
      </c>
      <c r="G102" s="71">
        <f t="array" ref="G102">LET(percentage,XLOOKUP($E102,$K$2:$K$10,M$2:M$10,"",0)/(COUNTIFS($E:$E,$E102,$D:$D,RegularFormula!$D$2)+COUNTIFS($E:$E,$E102,$D:$D,IF($D102=RegularFormula!$D$2,$K$15,$D102))),IFERROR(IF(percentage,percentage,""),""))</f>
        <v>0.025</v>
      </c>
      <c r="H102" s="71">
        <f t="array" ref="H102">LET(percentage,XLOOKUP($E102,$K$2:$K$10,N$2:N$10,"",0)/(COUNTIFS($E:$E,$E102,$D:$D,RegularFormula!$D$2)+COUNTIFS($E:$E,$E102,$D:$D,IF($D102=RegularFormula!$D$2,$K$15,$D102))),IFERROR(IF(percentage,percentage,""),""))</f>
        <v>0.01666666667</v>
      </c>
      <c r="I102" s="72" t="str">
        <f t="shared" si="1"/>
        <v>*Based on Palkia ex pack</v>
      </c>
      <c r="J102" s="73">
        <v>0.0</v>
      </c>
      <c r="K102" s="194"/>
      <c r="L102" s="55"/>
      <c r="M102" s="55"/>
      <c r="N102" s="55"/>
      <c r="P102" s="103"/>
      <c r="Q102" s="103"/>
      <c r="R102" s="103"/>
      <c r="S102" s="231" t="str">
        <f t="shared" si="2"/>
        <v/>
      </c>
    </row>
    <row r="103">
      <c r="A103" s="217" t="b">
        <v>1</v>
      </c>
      <c r="B103" s="230" t="s">
        <v>648</v>
      </c>
      <c r="C103" s="69" t="str">
        <f t="array" ref="C103">TEXTJOIN("", TRUE, IFERROR(INDEX('language&amp;DataTest'!A:J, MATCH(INDEX( PointerTest!C:C, MATCH(B103, PointerTest!A:A, 0), 0), 'language&amp;DataTest'!A:A, 0), MATCH(HOME!$A$25, 'language&amp;DataTest'!$A$1:$H$1, 0))),                      IFERROR(INDEX('language&amp;DataTest'!A:J, MATCH(INDEX( PointerTest!D:D, MATCH(B103, PointerTest!A:A, 0), 0), 'language&amp;DataTest'!A:A, 0), MATCH(HOME!$A$25, 'language&amp;DataTest'!$A$1:$H$1, 0))),                                          
IFERROR(INDEX('language&amp;DataTest'!A:J, MATCH(INDEX( PointerTest!E:E, MATCH(B103, PointerTest!A:A, 0), 0), 'language&amp;DataTest'!A:A, 0), MATCH(HOME!$A$25, 'language&amp;DataTest'!$A$1:$H$1, 0))))</f>
        <v>Stunky</v>
      </c>
      <c r="D103" s="69" t="str">
        <f t="array" ref="D103">TEXTJOIN("", TRUE, 
IFERROR(INDEX('language&amp;DataTest'!A:J, MATCH(INDEX( PointerTest!C:C, MATCH(INDEX(PointerTest!B:B, MATCH(B103, PointerTest!A:A, 0)), PointerTest!A:A, 0), 0), 'language&amp;DataTest'!A:A, 0), MATCH(HOME!$A$25, 'language&amp;DataTest'!$A$1:$H$1, 0))),                      
IFERROR(INDEX('language&amp;DataTest'!A:J, MATCH(INDEX( PointerTest!D:D, MATCH(INDEX(PointerTest!B:B, MATCH(B103, PointerTest!A:A, 0)), PointerTest!A:A, 0), 0), 'language&amp;DataTest'!A:A, 0), MATCH(HOME!$A$25, 'language&amp;DataTest'!$A$1:$H$1, 0))),                                          
IFERROR(INDEX('language&amp;DataTest'!A:J, MATCH(INDEX( PointerTest!E:E, MATCH(INDEX(PointerTest!B:B, MATCH(B103, PointerTest!A:A, 0)), PointerTest!A:A, 0), 0), 'language&amp;DataTest'!A:A, 0), MATCH(HOME!$A$25, 'language&amp;DataTest'!$A$1:$H$1, 0))))</f>
        <v>Dialga ex</v>
      </c>
      <c r="E103" s="69" t="str">
        <f t="array" ref="E103">INDEX( PointerTest!F:F, MATCH(B103, PointerTest!A:A, 0), 0)</f>
        <v>♢</v>
      </c>
      <c r="F103" s="70">
        <f t="array" ref="F103">LET(percentage,XLOOKUP($E103,$K$2:$K$10,L$2:L$10,"",0)/(COUNTIFS($E:$E,$E103,$D:$D,RegularFormula!$D$2)+COUNTIFS($E:$E,$E103,$D:$D,IF($D103=RegularFormula!$D$2,$K$15,$D103))),IFERROR(IF(percentage,percentage,""),""))</f>
        <v>0.02173913043</v>
      </c>
      <c r="G103" s="71" t="str">
        <f t="array" ref="G103">LET(percentage,XLOOKUP($E103,$K$2:$K$10,M$2:M$10,"",0)/(COUNTIFS($E:$E,$E103,$D:$D,RegularFormula!$D$2)+COUNTIFS($E:$E,$E103,$D:$D,IF($D103=RegularFormula!$D$2,$K$15,$D103))),IFERROR(IF(percentage,percentage,""),""))</f>
        <v/>
      </c>
      <c r="H103" s="71" t="str">
        <f t="array" ref="H103">LET(percentage,XLOOKUP($E103,$K$2:$K$10,N$2:N$10,"",0)/(COUNTIFS($E:$E,$E103,$D:$D,RegularFormula!$D$2)+COUNTIFS($E:$E,$E103,$D:$D,IF($D103=RegularFormula!$D$2,$K$15,$D103))),IFERROR(IF(percentage,percentage,""),""))</f>
        <v/>
      </c>
      <c r="I103" s="72" t="str">
        <f t="shared" si="1"/>
        <v/>
      </c>
      <c r="J103" s="73">
        <v>0.0</v>
      </c>
      <c r="K103" s="194"/>
      <c r="L103" s="55"/>
      <c r="M103" s="55"/>
      <c r="N103" s="55"/>
      <c r="O103" s="229" t="s">
        <v>649</v>
      </c>
      <c r="P103" s="103"/>
      <c r="Q103" s="103"/>
      <c r="R103" s="103"/>
      <c r="S103" s="231" t="str">
        <f t="shared" si="2"/>
        <v/>
      </c>
    </row>
    <row r="104">
      <c r="A104" s="217" t="b">
        <v>1</v>
      </c>
      <c r="B104" s="230" t="s">
        <v>650</v>
      </c>
      <c r="C104" s="69" t="str">
        <f t="array" ref="C104">TEXTJOIN("", TRUE, IFERROR(INDEX('language&amp;DataTest'!A:J, MATCH(INDEX( PointerTest!C:C, MATCH(B104, PointerTest!A:A, 0), 0), 'language&amp;DataTest'!A:A, 0), MATCH(HOME!$A$25, 'language&amp;DataTest'!$A$1:$H$1, 0))),                      IFERROR(INDEX('language&amp;DataTest'!A:J, MATCH(INDEX( PointerTest!D:D, MATCH(B104, PointerTest!A:A, 0), 0), 'language&amp;DataTest'!A:A, 0), MATCH(HOME!$A$25, 'language&amp;DataTest'!$A$1:$H$1, 0))),                                          
IFERROR(INDEX('language&amp;DataTest'!A:J, MATCH(INDEX( PointerTest!E:E, MATCH(B104, PointerTest!A:A, 0), 0), 'language&amp;DataTest'!A:A, 0), MATCH(HOME!$A$25, 'language&amp;DataTest'!$A$1:$H$1, 0))))</f>
        <v>Skuntank</v>
      </c>
      <c r="D104" s="69" t="str">
        <f t="array" ref="D104">TEXTJOIN("", TRUE, 
IFERROR(INDEX('language&amp;DataTest'!A:J, MATCH(INDEX( PointerTest!C:C, MATCH(INDEX(PointerTest!B:B, MATCH(B104, PointerTest!A:A, 0)), PointerTest!A:A, 0), 0), 'language&amp;DataTest'!A:A, 0), MATCH(HOME!$A$25, 'language&amp;DataTest'!$A$1:$H$1, 0))),                      
IFERROR(INDEX('language&amp;DataTest'!A:J, MATCH(INDEX( PointerTest!D:D, MATCH(INDEX(PointerTest!B:B, MATCH(B104, PointerTest!A:A, 0)), PointerTest!A:A, 0), 0), 'language&amp;DataTest'!A:A, 0), MATCH(HOME!$A$25, 'language&amp;DataTest'!$A$1:$H$1, 0))),                                          
IFERROR(INDEX('language&amp;DataTest'!A:J, MATCH(INDEX( PointerTest!E:E, MATCH(INDEX(PointerTest!B:B, MATCH(B104, PointerTest!A:A, 0)), PointerTest!A:A, 0), 0), 'language&amp;DataTest'!A:A, 0), MATCH(HOME!$A$25, 'language&amp;DataTest'!$A$1:$H$1, 0))))</f>
        <v>Dialga ex</v>
      </c>
      <c r="E104" s="69" t="str">
        <f t="array" ref="E104">INDEX( PointerTest!F:F, MATCH(B104, PointerTest!A:A, 0), 0)</f>
        <v>♢♢</v>
      </c>
      <c r="F104" s="70" t="str">
        <f t="array" ref="F104">LET(percentage,XLOOKUP($E104,$K$2:$K$10,L$2:L$10,"",0)/(COUNTIFS($E:$E,$E104,$D:$D,RegularFormula!$D$2)+COUNTIFS($E:$E,$E104,$D:$D,IF($D104=RegularFormula!$D$2,$K$15,$D104))),IFERROR(IF(percentage,percentage,""),""))</f>
        <v/>
      </c>
      <c r="G104" s="71">
        <f t="array" ref="G104">LET(percentage,XLOOKUP($E104,$K$2:$K$10,M$2:M$10,"",0)/(COUNTIFS($E:$E,$E104,$D:$D,RegularFormula!$D$2)+COUNTIFS($E:$E,$E104,$D:$D,IF($D104=RegularFormula!$D$2,$K$15,$D104))),IFERROR(IF(percentage,percentage,""),""))</f>
        <v>0.02647058824</v>
      </c>
      <c r="H104" s="71">
        <f t="array" ref="H104">LET(percentage,XLOOKUP($E104,$K$2:$K$10,N$2:N$10,"",0)/(COUNTIFS($E:$E,$E104,$D:$D,RegularFormula!$D$2)+COUNTIFS($E:$E,$E104,$D:$D,IF($D104=RegularFormula!$D$2,$K$15,$D104))),IFERROR(IF(percentage,percentage,""),""))</f>
        <v>0.01764705882</v>
      </c>
      <c r="I104" s="72" t="str">
        <f t="shared" si="1"/>
        <v/>
      </c>
      <c r="J104" s="73">
        <v>0.0</v>
      </c>
      <c r="K104" s="194"/>
      <c r="L104" s="55"/>
      <c r="M104" s="55"/>
      <c r="N104" s="55"/>
      <c r="P104" s="103"/>
      <c r="Q104" s="103"/>
      <c r="R104" s="103"/>
      <c r="S104" s="231" t="str">
        <f t="shared" si="2"/>
        <v/>
      </c>
    </row>
    <row r="105">
      <c r="A105" s="217" t="b">
        <v>1</v>
      </c>
      <c r="B105" s="230" t="s">
        <v>651</v>
      </c>
      <c r="C105" s="69" t="str">
        <f t="array" ref="C105">TEXTJOIN("", TRUE, IFERROR(INDEX('language&amp;DataTest'!A:J, MATCH(INDEX( PointerTest!C:C, MATCH(B105, PointerTest!A:A, 0), 0), 'language&amp;DataTest'!A:A, 0), MATCH(HOME!$A$25, 'language&amp;DataTest'!$A$1:$H$1, 0))),                      IFERROR(INDEX('language&amp;DataTest'!A:J, MATCH(INDEX( PointerTest!D:D, MATCH(B105, PointerTest!A:A, 0), 0), 'language&amp;DataTest'!A:A, 0), MATCH(HOME!$A$25, 'language&amp;DataTest'!$A$1:$H$1, 0))),                                          
IFERROR(INDEX('language&amp;DataTest'!A:J, MATCH(INDEX( PointerTest!E:E, MATCH(B105, PointerTest!A:A, 0), 0), 'language&amp;DataTest'!A:A, 0), MATCH(HOME!$A$25, 'language&amp;DataTest'!$A$1:$H$1, 0))))</f>
        <v>Spiritomb</v>
      </c>
      <c r="D105" s="69" t="str">
        <f t="array" ref="D105">TEXTJOIN("", TRUE, 
IFERROR(INDEX('language&amp;DataTest'!A:J, MATCH(INDEX( PointerTest!C:C, MATCH(INDEX(PointerTest!B:B, MATCH(B105, PointerTest!A:A, 0)), PointerTest!A:A, 0), 0), 'language&amp;DataTest'!A:A, 0), MATCH(HOME!$A$25, 'language&amp;DataTest'!$A$1:$H$1, 0))),                      
IFERROR(INDEX('language&amp;DataTest'!A:J, MATCH(INDEX( PointerTest!D:D, MATCH(INDEX(PointerTest!B:B, MATCH(B105, PointerTest!A:A, 0)), PointerTest!A:A, 0), 0), 'language&amp;DataTest'!A:A, 0), MATCH(HOME!$A$25, 'language&amp;DataTest'!$A$1:$H$1, 0))),                                          
IFERROR(INDEX('language&amp;DataTest'!A:J, MATCH(INDEX( PointerTest!E:E, MATCH(INDEX(PointerTest!B:B, MATCH(B105, PointerTest!A:A, 0)), PointerTest!A:A, 0), 0), 'language&amp;DataTest'!A:A, 0), MATCH(HOME!$A$25, 'language&amp;DataTest'!$A$1:$H$1, 0))))</f>
        <v>Palkia ex</v>
      </c>
      <c r="E105" s="69" t="str">
        <f t="array" ref="E105">INDEX( PointerTest!F:F, MATCH(B105, PointerTest!A:A, 0), 0)</f>
        <v>♢♢</v>
      </c>
      <c r="F105" s="70" t="str">
        <f t="array" ref="F105">LET(percentage,XLOOKUP($E105,$K$2:$K$10,L$2:L$10,"",0)/(COUNTIFS($E:$E,$E105,$D:$D,RegularFormula!$D$2)+COUNTIFS($E:$E,$E105,$D:$D,IF($D105=RegularFormula!$D$2,$K$15,$D105))),IFERROR(IF(percentage,percentage,""),""))</f>
        <v/>
      </c>
      <c r="G105" s="71">
        <f t="array" ref="G105">LET(percentage,XLOOKUP($E105,$K$2:$K$10,M$2:M$10,"",0)/(COUNTIFS($E:$E,$E105,$D:$D,RegularFormula!$D$2)+COUNTIFS($E:$E,$E105,$D:$D,IF($D105=RegularFormula!$D$2,$K$15,$D105))),IFERROR(IF(percentage,percentage,""),""))</f>
        <v>0.025</v>
      </c>
      <c r="H105" s="71">
        <f t="array" ref="H105">LET(percentage,XLOOKUP($E105,$K$2:$K$10,N$2:N$10,"",0)/(COUNTIFS($E:$E,$E105,$D:$D,RegularFormula!$D$2)+COUNTIFS($E:$E,$E105,$D:$D,IF($D105=RegularFormula!$D$2,$K$15,$D105))),IFERROR(IF(percentage,percentage,""),""))</f>
        <v>0.01666666667</v>
      </c>
      <c r="I105" s="72" t="str">
        <f t="shared" si="1"/>
        <v/>
      </c>
      <c r="J105" s="73">
        <v>0.0</v>
      </c>
      <c r="K105" s="194"/>
      <c r="L105" s="55"/>
      <c r="M105" s="55"/>
      <c r="N105" s="55"/>
      <c r="P105" s="103"/>
      <c r="Q105" s="103"/>
      <c r="R105" s="103"/>
      <c r="S105" s="231" t="str">
        <f t="shared" si="2"/>
        <v/>
      </c>
    </row>
    <row r="106">
      <c r="A106" s="217" t="b">
        <v>1</v>
      </c>
      <c r="B106" s="230" t="s">
        <v>652</v>
      </c>
      <c r="C106" s="69" t="str">
        <f t="array" ref="C106">TEXTJOIN("", TRUE, IFERROR(INDEX('language&amp;DataTest'!A:J, MATCH(INDEX( PointerTest!C:C, MATCH(B106, PointerTest!A:A, 0), 0), 'language&amp;DataTest'!A:A, 0), MATCH(HOME!$A$25, 'language&amp;DataTest'!$A$1:$H$1, 0))),                      IFERROR(INDEX('language&amp;DataTest'!A:J, MATCH(INDEX( PointerTest!D:D, MATCH(B106, PointerTest!A:A, 0), 0), 'language&amp;DataTest'!A:A, 0), MATCH(HOME!$A$25, 'language&amp;DataTest'!$A$1:$H$1, 0))),                                          
IFERROR(INDEX('language&amp;DataTest'!A:J, MATCH(INDEX( PointerTest!E:E, MATCH(B106, PointerTest!A:A, 0), 0), 'language&amp;DataTest'!A:A, 0), MATCH(HOME!$A$25, 'language&amp;DataTest'!$A$1:$H$1, 0))))</f>
        <v>Skorupi</v>
      </c>
      <c r="D106" s="69" t="str">
        <f t="array" ref="D106">TEXTJOIN("", TRUE, 
IFERROR(INDEX('language&amp;DataTest'!A:J, MATCH(INDEX( PointerTest!C:C, MATCH(INDEX(PointerTest!B:B, MATCH(B106, PointerTest!A:A, 0)), PointerTest!A:A, 0), 0), 'language&amp;DataTest'!A:A, 0), MATCH(HOME!$A$25, 'language&amp;DataTest'!$A$1:$H$1, 0))),                      
IFERROR(INDEX('language&amp;DataTest'!A:J, MATCH(INDEX( PointerTest!D:D, MATCH(INDEX(PointerTest!B:B, MATCH(B106, PointerTest!A:A, 0)), PointerTest!A:A, 0), 0), 'language&amp;DataTest'!A:A, 0), MATCH(HOME!$A$25, 'language&amp;DataTest'!$A$1:$H$1, 0))),                                          
IFERROR(INDEX('language&amp;DataTest'!A:J, MATCH(INDEX( PointerTest!E:E, MATCH(INDEX(PointerTest!B:B, MATCH(B106, PointerTest!A:A, 0)), PointerTest!A:A, 0), 0), 'language&amp;DataTest'!A:A, 0), MATCH(HOME!$A$25, 'language&amp;DataTest'!$A$1:$H$1, 0))))</f>
        <v>All</v>
      </c>
      <c r="E106" s="69" t="str">
        <f t="array" ref="E106">INDEX( PointerTest!F:F, MATCH(B106, PointerTest!A:A, 0), 0)</f>
        <v>♢</v>
      </c>
      <c r="F106" s="70">
        <f t="array" ref="F106">LET(percentage,XLOOKUP($E106,$K$2:$K$10,L$2:L$10,"",0)/(COUNTIFS($E:$E,$E106,$D:$D,RegularFormula!$D$2)+COUNTIFS($E:$E,$E106,$D:$D,IF($D106=RegularFormula!$D$2,$K$15,$D106))),IFERROR(IF(percentage,percentage,""),""))</f>
        <v>0.02272727273</v>
      </c>
      <c r="G106" s="71" t="str">
        <f t="array" ref="G106">LET(percentage,XLOOKUP($E106,$K$2:$K$10,M$2:M$10,"",0)/(COUNTIFS($E:$E,$E106,$D:$D,RegularFormula!$D$2)+COUNTIFS($E:$E,$E106,$D:$D,IF($D106=RegularFormula!$D$2,$K$15,$D106))),IFERROR(IF(percentage,percentage,""),""))</f>
        <v/>
      </c>
      <c r="H106" s="71" t="str">
        <f t="array" ref="H106">LET(percentage,XLOOKUP($E106,$K$2:$K$10,N$2:N$10,"",0)/(COUNTIFS($E:$E,$E106,$D:$D,RegularFormula!$D$2)+COUNTIFS($E:$E,$E106,$D:$D,IF($D106=RegularFormula!$D$2,$K$15,$D106))),IFERROR(IF(percentage,percentage,""),""))</f>
        <v/>
      </c>
      <c r="I106" s="72" t="str">
        <f t="shared" si="1"/>
        <v>*Based on Palkia ex pack</v>
      </c>
      <c r="J106" s="73">
        <v>0.0</v>
      </c>
      <c r="K106" s="194"/>
      <c r="L106" s="55"/>
      <c r="M106" s="55"/>
      <c r="N106" s="55"/>
      <c r="P106" s="103"/>
      <c r="Q106" s="103"/>
      <c r="R106" s="103"/>
      <c r="S106" s="231" t="str">
        <f t="shared" si="2"/>
        <v/>
      </c>
    </row>
    <row r="107">
      <c r="A107" s="217" t="b">
        <v>1</v>
      </c>
      <c r="B107" s="230" t="s">
        <v>653</v>
      </c>
      <c r="C107" s="69" t="str">
        <f t="array" ref="C107">TEXTJOIN("", TRUE, IFERROR(INDEX('language&amp;DataTest'!A:J, MATCH(INDEX( PointerTest!C:C, MATCH(B107, PointerTest!A:A, 0), 0), 'language&amp;DataTest'!A:A, 0), MATCH(HOME!$A$25, 'language&amp;DataTest'!$A$1:$H$1, 0))),                      IFERROR(INDEX('language&amp;DataTest'!A:J, MATCH(INDEX( PointerTest!D:D, MATCH(B107, PointerTest!A:A, 0), 0), 'language&amp;DataTest'!A:A, 0), MATCH(HOME!$A$25, 'language&amp;DataTest'!$A$1:$H$1, 0))),                                          
IFERROR(INDEX('language&amp;DataTest'!A:J, MATCH(INDEX( PointerTest!E:E, MATCH(B107, PointerTest!A:A, 0), 0), 'language&amp;DataTest'!A:A, 0), MATCH(HOME!$A$25, 'language&amp;DataTest'!$A$1:$H$1, 0))))</f>
        <v>Drapion</v>
      </c>
      <c r="D107" s="69" t="str">
        <f t="array" ref="D107">TEXTJOIN("", TRUE, 
IFERROR(INDEX('language&amp;DataTest'!A:J, MATCH(INDEX( PointerTest!C:C, MATCH(INDEX(PointerTest!B:B, MATCH(B107, PointerTest!A:A, 0)), PointerTest!A:A, 0), 0), 'language&amp;DataTest'!A:A, 0), MATCH(HOME!$A$25, 'language&amp;DataTest'!$A$1:$H$1, 0))),                      
IFERROR(INDEX('language&amp;DataTest'!A:J, MATCH(INDEX( PointerTest!D:D, MATCH(INDEX(PointerTest!B:B, MATCH(B107, PointerTest!A:A, 0)), PointerTest!A:A, 0), 0), 'language&amp;DataTest'!A:A, 0), MATCH(HOME!$A$25, 'language&amp;DataTest'!$A$1:$H$1, 0))),                                          
IFERROR(INDEX('language&amp;DataTest'!A:J, MATCH(INDEX( PointerTest!E:E, MATCH(INDEX(PointerTest!B:B, MATCH(B107, PointerTest!A:A, 0)), PointerTest!A:A, 0), 0), 'language&amp;DataTest'!A:A, 0), MATCH(HOME!$A$25, 'language&amp;DataTest'!$A$1:$H$1, 0))))</f>
        <v>All</v>
      </c>
      <c r="E107" s="69" t="str">
        <f t="array" ref="E107">INDEX( PointerTest!F:F, MATCH(B107, PointerTest!A:A, 0), 0)</f>
        <v>♢♢</v>
      </c>
      <c r="F107" s="70" t="str">
        <f t="array" ref="F107">LET(percentage,XLOOKUP($E107,$K$2:$K$10,L$2:L$10,"",0)/(COUNTIFS($E:$E,$E107,$D:$D,RegularFormula!$D$2)+COUNTIFS($E:$E,$E107,$D:$D,IF($D107=RegularFormula!$D$2,$K$15,$D107))),IFERROR(IF(percentage,percentage,""),""))</f>
        <v/>
      </c>
      <c r="G107" s="71">
        <f t="array" ref="G107">LET(percentage,XLOOKUP($E107,$K$2:$K$10,M$2:M$10,"",0)/(COUNTIFS($E:$E,$E107,$D:$D,RegularFormula!$D$2)+COUNTIFS($E:$E,$E107,$D:$D,IF($D107=RegularFormula!$D$2,$K$15,$D107))),IFERROR(IF(percentage,percentage,""),""))</f>
        <v>0.025</v>
      </c>
      <c r="H107" s="71">
        <f t="array" ref="H107">LET(percentage,XLOOKUP($E107,$K$2:$K$10,N$2:N$10,"",0)/(COUNTIFS($E:$E,$E107,$D:$D,RegularFormula!$D$2)+COUNTIFS($E:$E,$E107,$D:$D,IF($D107=RegularFormula!$D$2,$K$15,$D107))),IFERROR(IF(percentage,percentage,""),""))</f>
        <v>0.01666666667</v>
      </c>
      <c r="I107" s="72" t="str">
        <f t="shared" si="1"/>
        <v>*Based on Palkia ex pack</v>
      </c>
      <c r="J107" s="73">
        <v>0.0</v>
      </c>
      <c r="K107" s="194"/>
      <c r="L107" s="55"/>
      <c r="M107" s="55"/>
      <c r="N107" s="55"/>
      <c r="P107" s="103"/>
      <c r="Q107" s="103"/>
      <c r="R107" s="103"/>
      <c r="S107" s="231" t="str">
        <f t="shared" si="2"/>
        <v/>
      </c>
    </row>
    <row r="108">
      <c r="A108" s="217" t="b">
        <v>1</v>
      </c>
      <c r="B108" s="230" t="s">
        <v>654</v>
      </c>
      <c r="C108" s="69" t="str">
        <f t="array" ref="C108">TEXTJOIN("", TRUE, IFERROR(INDEX('language&amp;DataTest'!A:J, MATCH(INDEX( PointerTest!C:C, MATCH(B108, PointerTest!A:A, 0), 0), 'language&amp;DataTest'!A:A, 0), MATCH(HOME!$A$25, 'language&amp;DataTest'!$A$1:$H$1, 0))),                      IFERROR(INDEX('language&amp;DataTest'!A:J, MATCH(INDEX( PointerTest!D:D, MATCH(B108, PointerTest!A:A, 0), 0), 'language&amp;DataTest'!A:A, 0), MATCH(HOME!$A$25, 'language&amp;DataTest'!$A$1:$H$1, 0))),                                          
IFERROR(INDEX('language&amp;DataTest'!A:J, MATCH(INDEX( PointerTest!E:E, MATCH(B108, PointerTest!A:A, 0), 0), 'language&amp;DataTest'!A:A, 0), MATCH(HOME!$A$25, 'language&amp;DataTest'!$A$1:$H$1, 0))))</f>
        <v>Croagunk</v>
      </c>
      <c r="D108" s="69" t="str">
        <f t="array" ref="D108">TEXTJOIN("", TRUE, 
IFERROR(INDEX('language&amp;DataTest'!A:J, MATCH(INDEX( PointerTest!C:C, MATCH(INDEX(PointerTest!B:B, MATCH(B108, PointerTest!A:A, 0)), PointerTest!A:A, 0), 0), 'language&amp;DataTest'!A:A, 0), MATCH(HOME!$A$25, 'language&amp;DataTest'!$A$1:$H$1, 0))),                      
IFERROR(INDEX('language&amp;DataTest'!A:J, MATCH(INDEX( PointerTest!D:D, MATCH(INDEX(PointerTest!B:B, MATCH(B108, PointerTest!A:A, 0)), PointerTest!A:A, 0), 0), 'language&amp;DataTest'!A:A, 0), MATCH(HOME!$A$25, 'language&amp;DataTest'!$A$1:$H$1, 0))),                                          
IFERROR(INDEX('language&amp;DataTest'!A:J, MATCH(INDEX( PointerTest!E:E, MATCH(INDEX(PointerTest!B:B, MATCH(B108, PointerTest!A:A, 0)), PointerTest!A:A, 0), 0), 'language&amp;DataTest'!A:A, 0), MATCH(HOME!$A$25, 'language&amp;DataTest'!$A$1:$H$1, 0))))</f>
        <v>Dialga ex</v>
      </c>
      <c r="E108" s="69" t="str">
        <f t="array" ref="E108">INDEX( PointerTest!F:F, MATCH(B108, PointerTest!A:A, 0), 0)</f>
        <v>♢</v>
      </c>
      <c r="F108" s="70">
        <f t="array" ref="F108">LET(percentage,XLOOKUP($E108,$K$2:$K$10,L$2:L$10,"",0)/(COUNTIFS($E:$E,$E108,$D:$D,RegularFormula!$D$2)+COUNTIFS($E:$E,$E108,$D:$D,IF($D108=RegularFormula!$D$2,$K$15,$D108))),IFERROR(IF(percentage,percentage,""),""))</f>
        <v>0.02173913043</v>
      </c>
      <c r="G108" s="71" t="str">
        <f t="array" ref="G108">LET(percentage,XLOOKUP($E108,$K$2:$K$10,M$2:M$10,"",0)/(COUNTIFS($E:$E,$E108,$D:$D,RegularFormula!$D$2)+COUNTIFS($E:$E,$E108,$D:$D,IF($D108=RegularFormula!$D$2,$K$15,$D108))),IFERROR(IF(percentage,percentage,""),""))</f>
        <v/>
      </c>
      <c r="H108" s="71" t="str">
        <f t="array" ref="H108">LET(percentage,XLOOKUP($E108,$K$2:$K$10,N$2:N$10,"",0)/(COUNTIFS($E:$E,$E108,$D:$D,RegularFormula!$D$2)+COUNTIFS($E:$E,$E108,$D:$D,IF($D108=RegularFormula!$D$2,$K$15,$D108))),IFERROR(IF(percentage,percentage,""),""))</f>
        <v/>
      </c>
      <c r="I108" s="72" t="str">
        <f t="shared" si="1"/>
        <v/>
      </c>
      <c r="J108" s="73">
        <v>0.0</v>
      </c>
      <c r="K108" s="194"/>
      <c r="L108" s="55"/>
      <c r="M108" s="55"/>
      <c r="N108" s="55"/>
      <c r="P108" s="103"/>
      <c r="Q108" s="103"/>
      <c r="R108" s="103"/>
      <c r="S108" s="231" t="str">
        <f t="shared" si="2"/>
        <v/>
      </c>
    </row>
    <row r="109">
      <c r="A109" s="217" t="b">
        <v>1</v>
      </c>
      <c r="B109" s="230" t="s">
        <v>655</v>
      </c>
      <c r="C109" s="69" t="str">
        <f t="array" ref="C109">TEXTJOIN("", TRUE, IFERROR(INDEX('language&amp;DataTest'!A:J, MATCH(INDEX( PointerTest!C:C, MATCH(B109, PointerTest!A:A, 0), 0), 'language&amp;DataTest'!A:A, 0), MATCH(HOME!$A$25, 'language&amp;DataTest'!$A$1:$H$1, 0))),                      IFERROR(INDEX('language&amp;DataTest'!A:J, MATCH(INDEX( PointerTest!D:D, MATCH(B109, PointerTest!A:A, 0), 0), 'language&amp;DataTest'!A:A, 0), MATCH(HOME!$A$25, 'language&amp;DataTest'!$A$1:$H$1, 0))),                                          
IFERROR(INDEX('language&amp;DataTest'!A:J, MATCH(INDEX( PointerTest!E:E, MATCH(B109, PointerTest!A:A, 0), 0), 'language&amp;DataTest'!A:A, 0), MATCH(HOME!$A$25, 'language&amp;DataTest'!$A$1:$H$1, 0))))</f>
        <v>Toxicroak</v>
      </c>
      <c r="D109" s="69" t="str">
        <f t="array" ref="D109">TEXTJOIN("", TRUE, 
IFERROR(INDEX('language&amp;DataTest'!A:J, MATCH(INDEX( PointerTest!C:C, MATCH(INDEX(PointerTest!B:B, MATCH(B109, PointerTest!A:A, 0)), PointerTest!A:A, 0), 0), 'language&amp;DataTest'!A:A, 0), MATCH(HOME!$A$25, 'language&amp;DataTest'!$A$1:$H$1, 0))),                      
IFERROR(INDEX('language&amp;DataTest'!A:J, MATCH(INDEX( PointerTest!D:D, MATCH(INDEX(PointerTest!B:B, MATCH(B109, PointerTest!A:A, 0)), PointerTest!A:A, 0), 0), 'language&amp;DataTest'!A:A, 0), MATCH(HOME!$A$25, 'language&amp;DataTest'!$A$1:$H$1, 0))),                                          
IFERROR(INDEX('language&amp;DataTest'!A:J, MATCH(INDEX( PointerTest!E:E, MATCH(INDEX(PointerTest!B:B, MATCH(B109, PointerTest!A:A, 0)), PointerTest!A:A, 0), 0), 'language&amp;DataTest'!A:A, 0), MATCH(HOME!$A$25, 'language&amp;DataTest'!$A$1:$H$1, 0))))</f>
        <v>Dialga ex</v>
      </c>
      <c r="E109" s="69" t="str">
        <f t="array" ref="E109">INDEX( PointerTest!F:F, MATCH(B109, PointerTest!A:A, 0), 0)</f>
        <v>♢♢</v>
      </c>
      <c r="F109" s="70" t="str">
        <f t="array" ref="F109">LET(percentage,XLOOKUP($E109,$K$2:$K$10,L$2:L$10,"",0)/(COUNTIFS($E:$E,$E109,$D:$D,RegularFormula!$D$2)+COUNTIFS($E:$E,$E109,$D:$D,IF($D109=RegularFormula!$D$2,$K$15,$D109))),IFERROR(IF(percentage,percentage,""),""))</f>
        <v/>
      </c>
      <c r="G109" s="71">
        <f t="array" ref="G109">LET(percentage,XLOOKUP($E109,$K$2:$K$10,M$2:M$10,"",0)/(COUNTIFS($E:$E,$E109,$D:$D,RegularFormula!$D$2)+COUNTIFS($E:$E,$E109,$D:$D,IF($D109=RegularFormula!$D$2,$K$15,$D109))),IFERROR(IF(percentage,percentage,""),""))</f>
        <v>0.02647058824</v>
      </c>
      <c r="H109" s="71">
        <f t="array" ref="H109">LET(percentage,XLOOKUP($E109,$K$2:$K$10,N$2:N$10,"",0)/(COUNTIFS($E:$E,$E109,$D:$D,RegularFormula!$D$2)+COUNTIFS($E:$E,$E109,$D:$D,IF($D109=RegularFormula!$D$2,$K$15,$D109))),IFERROR(IF(percentage,percentage,""),""))</f>
        <v>0.01764705882</v>
      </c>
      <c r="I109" s="72" t="str">
        <f t="shared" si="1"/>
        <v/>
      </c>
      <c r="J109" s="73">
        <v>0.0</v>
      </c>
      <c r="K109" s="194"/>
      <c r="L109" s="55"/>
      <c r="M109" s="55"/>
      <c r="N109" s="55"/>
      <c r="P109" s="103"/>
      <c r="Q109" s="103"/>
      <c r="R109" s="103"/>
      <c r="S109" s="231" t="str">
        <f t="shared" si="2"/>
        <v/>
      </c>
    </row>
    <row r="110">
      <c r="A110" s="217" t="b">
        <v>1</v>
      </c>
      <c r="B110" s="230" t="s">
        <v>656</v>
      </c>
      <c r="C110" s="69" t="str">
        <f t="array" ref="C110">TEXTJOIN("", TRUE, IFERROR(INDEX('language&amp;DataTest'!A:J, MATCH(INDEX( PointerTest!C:C, MATCH(B110, PointerTest!A:A, 0), 0), 'language&amp;DataTest'!A:A, 0), MATCH(HOME!$A$25, 'language&amp;DataTest'!$A$1:$H$1, 0))),                      IFERROR(INDEX('language&amp;DataTest'!A:J, MATCH(INDEX( PointerTest!D:D, MATCH(B110, PointerTest!A:A, 0), 0), 'language&amp;DataTest'!A:A, 0), MATCH(HOME!$A$25, 'language&amp;DataTest'!$A$1:$H$1, 0))),                                          
IFERROR(INDEX('language&amp;DataTest'!A:J, MATCH(INDEX( PointerTest!E:E, MATCH(B110, PointerTest!A:A, 0), 0), 'language&amp;DataTest'!A:A, 0), MATCH(HOME!$A$25, 'language&amp;DataTest'!$A$1:$H$1, 0))))</f>
        <v>Darkrai</v>
      </c>
      <c r="D110" s="69" t="str">
        <f t="array" ref="D110">TEXTJOIN("", TRUE, 
IFERROR(INDEX('language&amp;DataTest'!A:J, MATCH(INDEX( PointerTest!C:C, MATCH(INDEX(PointerTest!B:B, MATCH(B110, PointerTest!A:A, 0)), PointerTest!A:A, 0), 0), 'language&amp;DataTest'!A:A, 0), MATCH(HOME!$A$25, 'language&amp;DataTest'!$A$1:$H$1, 0))),                      
IFERROR(INDEX('language&amp;DataTest'!A:J, MATCH(INDEX( PointerTest!D:D, MATCH(INDEX(PointerTest!B:B, MATCH(B110, PointerTest!A:A, 0)), PointerTest!A:A, 0), 0), 'language&amp;DataTest'!A:A, 0), MATCH(HOME!$A$25, 'language&amp;DataTest'!$A$1:$H$1, 0))),                                          
IFERROR(INDEX('language&amp;DataTest'!A:J, MATCH(INDEX( PointerTest!E:E, MATCH(INDEX(PointerTest!B:B, MATCH(B110, PointerTest!A:A, 0)), PointerTest!A:A, 0), 0), 'language&amp;DataTest'!A:A, 0), MATCH(HOME!$A$25, 'language&amp;DataTest'!$A$1:$H$1, 0))))</f>
        <v>Dialga ex</v>
      </c>
      <c r="E110" s="69" t="str">
        <f t="array" ref="E110">INDEX( PointerTest!F:F, MATCH(B110, PointerTest!A:A, 0), 0)</f>
        <v>♢♢♢</v>
      </c>
      <c r="F110" s="70" t="str">
        <f t="array" ref="F110">LET(percentage,XLOOKUP($E110,$K$2:$K$10,L$2:L$10,"",0)/(COUNTIFS($E:$E,$E110,$D:$D,RegularFormula!$D$2)+COUNTIFS($E:$E,$E110,$D:$D,IF($D110=RegularFormula!$D$2,$K$15,$D110))),IFERROR(IF(percentage,percentage,""),""))</f>
        <v/>
      </c>
      <c r="G110" s="71">
        <f t="array" ref="G110">LET(percentage,XLOOKUP($E110,$K$2:$K$10,M$2:M$10,"",0)/(COUNTIFS($E:$E,$E110,$D:$D,RegularFormula!$D$2)+COUNTIFS($E:$E,$E110,$D:$D,IF($D110=RegularFormula!$D$2,$K$15,$D110))),IFERROR(IF(percentage,percentage,""),""))</f>
        <v>0.003571428571</v>
      </c>
      <c r="H110" s="71">
        <f t="array" ref="H110">LET(percentage,XLOOKUP($E110,$K$2:$K$10,N$2:N$10,"",0)/(COUNTIFS($E:$E,$E110,$D:$D,RegularFormula!$D$2)+COUNTIFS($E:$E,$E110,$D:$D,IF($D110=RegularFormula!$D$2,$K$15,$D110))),IFERROR(IF(percentage,percentage,""),""))</f>
        <v>0.01428571429</v>
      </c>
      <c r="I110" s="72" t="str">
        <f t="shared" si="1"/>
        <v/>
      </c>
      <c r="J110" s="73">
        <v>0.0</v>
      </c>
      <c r="K110" s="194"/>
      <c r="L110" s="55"/>
      <c r="M110" s="55"/>
      <c r="N110" s="55"/>
      <c r="P110" s="103"/>
      <c r="Q110" s="103"/>
      <c r="R110" s="103"/>
      <c r="S110" s="231" t="str">
        <f t="shared" si="2"/>
        <v/>
      </c>
    </row>
    <row r="111">
      <c r="A111" s="217" t="b">
        <v>1</v>
      </c>
      <c r="B111" s="230" t="s">
        <v>657</v>
      </c>
      <c r="C111" s="69" t="str">
        <f t="array" ref="C111">TEXTJOIN("", TRUE, IFERROR(INDEX('language&amp;DataTest'!A:J, MATCH(INDEX( PointerTest!C:C, MATCH(B111, PointerTest!A:A, 0), 0), 'language&amp;DataTest'!A:A, 0), MATCH(HOME!$A$25, 'language&amp;DataTest'!$A$1:$H$1, 0))),                      IFERROR(INDEX('language&amp;DataTest'!A:J, MATCH(INDEX( PointerTest!D:D, MATCH(B111, PointerTest!A:A, 0), 0), 'language&amp;DataTest'!A:A, 0), MATCH(HOME!$A$25, 'language&amp;DataTest'!$A$1:$H$1, 0))),                                          
IFERROR(INDEX('language&amp;DataTest'!A:J, MATCH(INDEX( PointerTest!E:E, MATCH(B111, PointerTest!A:A, 0), 0), 'language&amp;DataTest'!A:A, 0), MATCH(HOME!$A$25, 'language&amp;DataTest'!$A$1:$H$1, 0))))</f>
        <v>Darkrai ex</v>
      </c>
      <c r="D111" s="69" t="str">
        <f t="array" ref="D111">TEXTJOIN("", TRUE, 
IFERROR(INDEX('language&amp;DataTest'!A:J, MATCH(INDEX( PointerTest!C:C, MATCH(INDEX(PointerTest!B:B, MATCH(B111, PointerTest!A:A, 0)), PointerTest!A:A, 0), 0), 'language&amp;DataTest'!A:A, 0), MATCH(HOME!$A$25, 'language&amp;DataTest'!$A$1:$H$1, 0))),                      
IFERROR(INDEX('language&amp;DataTest'!A:J, MATCH(INDEX( PointerTest!D:D, MATCH(INDEX(PointerTest!B:B, MATCH(B111, PointerTest!A:A, 0)), PointerTest!A:A, 0), 0), 'language&amp;DataTest'!A:A, 0), MATCH(HOME!$A$25, 'language&amp;DataTest'!$A$1:$H$1, 0))),                                          
IFERROR(INDEX('language&amp;DataTest'!A:J, MATCH(INDEX( PointerTest!E:E, MATCH(INDEX(PointerTest!B:B, MATCH(B111, PointerTest!A:A, 0)), PointerTest!A:A, 0), 0), 'language&amp;DataTest'!A:A, 0), MATCH(HOME!$A$25, 'language&amp;DataTest'!$A$1:$H$1, 0))))</f>
        <v>Dialga ex</v>
      </c>
      <c r="E111" s="69" t="str">
        <f t="array" ref="E111">INDEX( PointerTest!F:F, MATCH(B111, PointerTest!A:A, 0), 0)</f>
        <v>♢♢♢♢</v>
      </c>
      <c r="F111" s="70" t="str">
        <f t="array" ref="F111">LET(percentage,XLOOKUP($E111,$K$2:$K$10,L$2:L$10,"",0)/(COUNTIFS($E:$E,$E111,$D:$D,RegularFormula!$D$2)+COUNTIFS($E:$E,$E111,$D:$D,IF($D111=RegularFormula!$D$2,$K$15,$D111))),IFERROR(IF(percentage,percentage,""),""))</f>
        <v/>
      </c>
      <c r="G111" s="71">
        <f t="array" ref="G111">LET(percentage,XLOOKUP($E111,$K$2:$K$10,M$2:M$10,"",0)/(COUNTIFS($E:$E,$E111,$D:$D,RegularFormula!$D$2)+COUNTIFS($E:$E,$E111,$D:$D,IF($D111=RegularFormula!$D$2,$K$15,$D111))),IFERROR(IF(percentage,percentage,""),""))</f>
        <v>0.003332</v>
      </c>
      <c r="H111" s="71">
        <f t="array" ref="H111">LET(percentage,XLOOKUP($E111,$K$2:$K$10,N$2:N$10,"",0)/(COUNTIFS($E:$E,$E111,$D:$D,RegularFormula!$D$2)+COUNTIFS($E:$E,$E111,$D:$D,IF($D111=RegularFormula!$D$2,$K$15,$D111))),IFERROR(IF(percentage,percentage,""),""))</f>
        <v>0.013328</v>
      </c>
      <c r="I111" s="72" t="str">
        <f t="shared" si="1"/>
        <v/>
      </c>
      <c r="J111" s="73">
        <v>0.0</v>
      </c>
      <c r="K111" s="194"/>
      <c r="L111" s="55"/>
      <c r="M111" s="55"/>
      <c r="N111" s="55"/>
      <c r="P111" s="103"/>
      <c r="Q111" s="103"/>
      <c r="R111" s="103"/>
      <c r="S111" s="231" t="str">
        <f t="shared" si="2"/>
        <v/>
      </c>
    </row>
    <row r="112">
      <c r="A112" s="217" t="b">
        <v>1</v>
      </c>
      <c r="B112" s="230" t="s">
        <v>658</v>
      </c>
      <c r="C112" s="69" t="str">
        <f t="array" ref="C112">TEXTJOIN("", TRUE, IFERROR(INDEX('language&amp;DataTest'!A:J, MATCH(INDEX( PointerTest!C:C, MATCH(B112, PointerTest!A:A, 0), 0), 'language&amp;DataTest'!A:A, 0), MATCH(HOME!$A$25, 'language&amp;DataTest'!$A$1:$H$1, 0))),                      IFERROR(INDEX('language&amp;DataTest'!A:J, MATCH(INDEX( PointerTest!D:D, MATCH(B112, PointerTest!A:A, 0), 0), 'language&amp;DataTest'!A:A, 0), MATCH(HOME!$A$25, 'language&amp;DataTest'!$A$1:$H$1, 0))),                                          
IFERROR(INDEX('language&amp;DataTest'!A:J, MATCH(INDEX( PointerTest!E:E, MATCH(B112, PointerTest!A:A, 0), 0), 'language&amp;DataTest'!A:A, 0), MATCH(HOME!$A$25, 'language&amp;DataTest'!$A$1:$H$1, 0))))</f>
        <v>Skarmory</v>
      </c>
      <c r="D112" s="69" t="str">
        <f t="array" ref="D112">TEXTJOIN("", TRUE, 
IFERROR(INDEX('language&amp;DataTest'!A:J, MATCH(INDEX( PointerTest!C:C, MATCH(INDEX(PointerTest!B:B, MATCH(B112, PointerTest!A:A, 0)), PointerTest!A:A, 0), 0), 'language&amp;DataTest'!A:A, 0), MATCH(HOME!$A$25, 'language&amp;DataTest'!$A$1:$H$1, 0))),                      
IFERROR(INDEX('language&amp;DataTest'!A:J, MATCH(INDEX( PointerTest!D:D, MATCH(INDEX(PointerTest!B:B, MATCH(B112, PointerTest!A:A, 0)), PointerTest!A:A, 0), 0), 'language&amp;DataTest'!A:A, 0), MATCH(HOME!$A$25, 'language&amp;DataTest'!$A$1:$H$1, 0))),                                          
IFERROR(INDEX('language&amp;DataTest'!A:J, MATCH(INDEX( PointerTest!E:E, MATCH(INDEX(PointerTest!B:B, MATCH(B112, PointerTest!A:A, 0)), PointerTest!A:A, 0), 0), 'language&amp;DataTest'!A:A, 0), MATCH(HOME!$A$25, 'language&amp;DataTest'!$A$1:$H$1, 0))))</f>
        <v>All</v>
      </c>
      <c r="E112" s="69" t="str">
        <f t="array" ref="E112">INDEX( PointerTest!F:F, MATCH(B112, PointerTest!A:A, 0), 0)</f>
        <v>♢♢</v>
      </c>
      <c r="F112" s="70" t="str">
        <f t="array" ref="F112">LET(percentage,XLOOKUP($E112,$K$2:$K$10,L$2:L$10,"",0)/(COUNTIFS($E:$E,$E112,$D:$D,RegularFormula!$D$2)+COUNTIFS($E:$E,$E112,$D:$D,IF($D112=RegularFormula!$D$2,$K$15,$D112))),IFERROR(IF(percentage,percentage,""),""))</f>
        <v/>
      </c>
      <c r="G112" s="71">
        <f t="array" ref="G112">LET(percentage,XLOOKUP($E112,$K$2:$K$10,M$2:M$10,"",0)/(COUNTIFS($E:$E,$E112,$D:$D,RegularFormula!$D$2)+COUNTIFS($E:$E,$E112,$D:$D,IF($D112=RegularFormula!$D$2,$K$15,$D112))),IFERROR(IF(percentage,percentage,""),""))</f>
        <v>0.025</v>
      </c>
      <c r="H112" s="71">
        <f t="array" ref="H112">LET(percentage,XLOOKUP($E112,$K$2:$K$10,N$2:N$10,"",0)/(COUNTIFS($E:$E,$E112,$D:$D,RegularFormula!$D$2)+COUNTIFS($E:$E,$E112,$D:$D,IF($D112=RegularFormula!$D$2,$K$15,$D112))),IFERROR(IF(percentage,percentage,""),""))</f>
        <v>0.01666666667</v>
      </c>
      <c r="I112" s="72" t="str">
        <f t="shared" si="1"/>
        <v>*Based on Palkia ex pack</v>
      </c>
      <c r="J112" s="73">
        <v>0.0</v>
      </c>
      <c r="K112" s="194"/>
      <c r="L112" s="55"/>
      <c r="M112" s="55"/>
      <c r="N112" s="55"/>
      <c r="P112" s="103"/>
      <c r="Q112" s="103"/>
      <c r="R112" s="103"/>
      <c r="S112" s="231" t="str">
        <f t="shared" si="2"/>
        <v/>
      </c>
    </row>
    <row r="113">
      <c r="A113" s="217" t="b">
        <v>1</v>
      </c>
      <c r="B113" s="230" t="s">
        <v>659</v>
      </c>
      <c r="C113" s="69" t="str">
        <f t="array" ref="C113">TEXTJOIN("", TRUE, IFERROR(INDEX('language&amp;DataTest'!A:J, MATCH(INDEX( PointerTest!C:C, MATCH(B113, PointerTest!A:A, 0), 0), 'language&amp;DataTest'!A:A, 0), MATCH(HOME!$A$25, 'language&amp;DataTest'!$A$1:$H$1, 0))),                      IFERROR(INDEX('language&amp;DataTest'!A:J, MATCH(INDEX( PointerTest!D:D, MATCH(B113, PointerTest!A:A, 0), 0), 'language&amp;DataTest'!A:A, 0), MATCH(HOME!$A$25, 'language&amp;DataTest'!$A$1:$H$1, 0))),                                          
IFERROR(INDEX('language&amp;DataTest'!A:J, MATCH(INDEX( PointerTest!E:E, MATCH(B113, PointerTest!A:A, 0), 0), 'language&amp;DataTest'!A:A, 0), MATCH(HOME!$A$25, 'language&amp;DataTest'!$A$1:$H$1, 0))))</f>
        <v>Registeel</v>
      </c>
      <c r="D113" s="69" t="str">
        <f t="array" ref="D113">TEXTJOIN("", TRUE, 
IFERROR(INDEX('language&amp;DataTest'!A:J, MATCH(INDEX( PointerTest!C:C, MATCH(INDEX(PointerTest!B:B, MATCH(B113, PointerTest!A:A, 0)), PointerTest!A:A, 0), 0), 'language&amp;DataTest'!A:A, 0), MATCH(HOME!$A$25, 'language&amp;DataTest'!$A$1:$H$1, 0))),                      
IFERROR(INDEX('language&amp;DataTest'!A:J, MATCH(INDEX( PointerTest!D:D, MATCH(INDEX(PointerTest!B:B, MATCH(B113, PointerTest!A:A, 0)), PointerTest!A:A, 0), 0), 'language&amp;DataTest'!A:A, 0), MATCH(HOME!$A$25, 'language&amp;DataTest'!$A$1:$H$1, 0))),                                          
IFERROR(INDEX('language&amp;DataTest'!A:J, MATCH(INDEX( PointerTest!E:E, MATCH(INDEX(PointerTest!B:B, MATCH(B113, PointerTest!A:A, 0)), PointerTest!A:A, 0), 0), 'language&amp;DataTest'!A:A, 0), MATCH(HOME!$A$25, 'language&amp;DataTest'!$A$1:$H$1, 0))))</f>
        <v>Dialga ex</v>
      </c>
      <c r="E113" s="69" t="str">
        <f t="array" ref="E113">INDEX( PointerTest!F:F, MATCH(B113, PointerTest!A:A, 0), 0)</f>
        <v>♢♢</v>
      </c>
      <c r="F113" s="70" t="str">
        <f t="array" ref="F113">LET(percentage,XLOOKUP($E113,$K$2:$K$10,L$2:L$10,"",0)/(COUNTIFS($E:$E,$E113,$D:$D,RegularFormula!$D$2)+COUNTIFS($E:$E,$E113,$D:$D,IF($D113=RegularFormula!$D$2,$K$15,$D113))),IFERROR(IF(percentage,percentage,""),""))</f>
        <v/>
      </c>
      <c r="G113" s="71">
        <f t="array" ref="G113">LET(percentage,XLOOKUP($E113,$K$2:$K$10,M$2:M$10,"",0)/(COUNTIFS($E:$E,$E113,$D:$D,RegularFormula!$D$2)+COUNTIFS($E:$E,$E113,$D:$D,IF($D113=RegularFormula!$D$2,$K$15,$D113))),IFERROR(IF(percentage,percentage,""),""))</f>
        <v>0.02647058824</v>
      </c>
      <c r="H113" s="71">
        <f t="array" ref="H113">LET(percentage,XLOOKUP($E113,$K$2:$K$10,N$2:N$10,"",0)/(COUNTIFS($E:$E,$E113,$D:$D,RegularFormula!$D$2)+COUNTIFS($E:$E,$E113,$D:$D,IF($D113=RegularFormula!$D$2,$K$15,$D113))),IFERROR(IF(percentage,percentage,""),""))</f>
        <v>0.01764705882</v>
      </c>
      <c r="I113" s="72" t="str">
        <f t="shared" si="1"/>
        <v/>
      </c>
      <c r="J113" s="73">
        <v>0.0</v>
      </c>
      <c r="K113" s="194"/>
      <c r="L113" s="55"/>
      <c r="M113" s="55"/>
      <c r="N113" s="55"/>
      <c r="P113" s="103"/>
      <c r="Q113" s="103"/>
      <c r="R113" s="103"/>
      <c r="S113" s="231" t="str">
        <f t="shared" si="2"/>
        <v/>
      </c>
    </row>
    <row r="114">
      <c r="A114" s="217" t="b">
        <v>1</v>
      </c>
      <c r="B114" s="230" t="s">
        <v>660</v>
      </c>
      <c r="C114" s="69" t="str">
        <f t="array" ref="C114">TEXTJOIN("", TRUE, IFERROR(INDEX('language&amp;DataTest'!A:J, MATCH(INDEX( PointerTest!C:C, MATCH(B114, PointerTest!A:A, 0), 0), 'language&amp;DataTest'!A:A, 0), MATCH(HOME!$A$25, 'language&amp;DataTest'!$A$1:$H$1, 0))),                      IFERROR(INDEX('language&amp;DataTest'!A:J, MATCH(INDEX( PointerTest!D:D, MATCH(B114, PointerTest!A:A, 0), 0), 'language&amp;DataTest'!A:A, 0), MATCH(HOME!$A$25, 'language&amp;DataTest'!$A$1:$H$1, 0))),                                          
IFERROR(INDEX('language&amp;DataTest'!A:J, MATCH(INDEX( PointerTest!E:E, MATCH(B114, PointerTest!A:A, 0), 0), 'language&amp;DataTest'!A:A, 0), MATCH(HOME!$A$25, 'language&amp;DataTest'!$A$1:$H$1, 0))))</f>
        <v>Shieldon</v>
      </c>
      <c r="D114" s="69" t="str">
        <f t="array" ref="D114">TEXTJOIN("", TRUE, 
IFERROR(INDEX('language&amp;DataTest'!A:J, MATCH(INDEX( PointerTest!C:C, MATCH(INDEX(PointerTest!B:B, MATCH(B114, PointerTest!A:A, 0)), PointerTest!A:A, 0), 0), 'language&amp;DataTest'!A:A, 0), MATCH(HOME!$A$25, 'language&amp;DataTest'!$A$1:$H$1, 0))),                      
IFERROR(INDEX('language&amp;DataTest'!A:J, MATCH(INDEX( PointerTest!D:D, MATCH(INDEX(PointerTest!B:B, MATCH(B114, PointerTest!A:A, 0)), PointerTest!A:A, 0), 0), 'language&amp;DataTest'!A:A, 0), MATCH(HOME!$A$25, 'language&amp;DataTest'!$A$1:$H$1, 0))),                                          
IFERROR(INDEX('language&amp;DataTest'!A:J, MATCH(INDEX( PointerTest!E:E, MATCH(INDEX(PointerTest!B:B, MATCH(B114, PointerTest!A:A, 0)), PointerTest!A:A, 0), 0), 'language&amp;DataTest'!A:A, 0), MATCH(HOME!$A$25, 'language&amp;DataTest'!$A$1:$H$1, 0))))</f>
        <v>Palkia ex</v>
      </c>
      <c r="E114" s="69" t="str">
        <f t="array" ref="E114">INDEX( PointerTest!F:F, MATCH(B114, PointerTest!A:A, 0), 0)</f>
        <v>♢♢</v>
      </c>
      <c r="F114" s="70" t="str">
        <f t="array" ref="F114">LET(percentage,XLOOKUP($E114,$K$2:$K$10,L$2:L$10,"",0)/(COUNTIFS($E:$E,$E114,$D:$D,RegularFormula!$D$2)+COUNTIFS($E:$E,$E114,$D:$D,IF($D114=RegularFormula!$D$2,$K$15,$D114))),IFERROR(IF(percentage,percentage,""),""))</f>
        <v/>
      </c>
      <c r="G114" s="71">
        <f t="array" ref="G114">LET(percentage,XLOOKUP($E114,$K$2:$K$10,M$2:M$10,"",0)/(COUNTIFS($E:$E,$E114,$D:$D,RegularFormula!$D$2)+COUNTIFS($E:$E,$E114,$D:$D,IF($D114=RegularFormula!$D$2,$K$15,$D114))),IFERROR(IF(percentage,percentage,""),""))</f>
        <v>0.025</v>
      </c>
      <c r="H114" s="71">
        <f t="array" ref="H114">LET(percentage,XLOOKUP($E114,$K$2:$K$10,N$2:N$10,"",0)/(COUNTIFS($E:$E,$E114,$D:$D,RegularFormula!$D$2)+COUNTIFS($E:$E,$E114,$D:$D,IF($D114=RegularFormula!$D$2,$K$15,$D114))),IFERROR(IF(percentage,percentage,""),""))</f>
        <v>0.01666666667</v>
      </c>
      <c r="I114" s="72" t="str">
        <f t="shared" si="1"/>
        <v/>
      </c>
      <c r="J114" s="73">
        <v>0.0</v>
      </c>
      <c r="K114" s="194"/>
      <c r="L114" s="55"/>
      <c r="M114" s="55"/>
      <c r="N114" s="55"/>
      <c r="O114" s="229" t="s">
        <v>661</v>
      </c>
      <c r="P114" s="103"/>
      <c r="Q114" s="103"/>
      <c r="R114" s="103"/>
      <c r="S114" s="231" t="str">
        <f t="shared" si="2"/>
        <v/>
      </c>
    </row>
    <row r="115">
      <c r="A115" s="217" t="b">
        <v>1</v>
      </c>
      <c r="B115" s="230" t="s">
        <v>662</v>
      </c>
      <c r="C115" s="69" t="str">
        <f t="array" ref="C115">TEXTJOIN("", TRUE, IFERROR(INDEX('language&amp;DataTest'!A:J, MATCH(INDEX( PointerTest!C:C, MATCH(B115, PointerTest!A:A, 0), 0), 'language&amp;DataTest'!A:A, 0), MATCH(HOME!$A$25, 'language&amp;DataTest'!$A$1:$H$1, 0))),                      IFERROR(INDEX('language&amp;DataTest'!A:J, MATCH(INDEX( PointerTest!D:D, MATCH(B115, PointerTest!A:A, 0), 0), 'language&amp;DataTest'!A:A, 0), MATCH(HOME!$A$25, 'language&amp;DataTest'!$A$1:$H$1, 0))),                                          
IFERROR(INDEX('language&amp;DataTest'!A:J, MATCH(INDEX( PointerTest!E:E, MATCH(B115, PointerTest!A:A, 0), 0), 'language&amp;DataTest'!A:A, 0), MATCH(HOME!$A$25, 'language&amp;DataTest'!$A$1:$H$1, 0))))</f>
        <v>Bastiodon</v>
      </c>
      <c r="D115" s="69" t="str">
        <f t="array" ref="D115">TEXTJOIN("", TRUE, 
IFERROR(INDEX('language&amp;DataTest'!A:J, MATCH(INDEX( PointerTest!C:C, MATCH(INDEX(PointerTest!B:B, MATCH(B115, PointerTest!A:A, 0)), PointerTest!A:A, 0), 0), 'language&amp;DataTest'!A:A, 0), MATCH(HOME!$A$25, 'language&amp;DataTest'!$A$1:$H$1, 0))),                      
IFERROR(INDEX('language&amp;DataTest'!A:J, MATCH(INDEX( PointerTest!D:D, MATCH(INDEX(PointerTest!B:B, MATCH(B115, PointerTest!A:A, 0)), PointerTest!A:A, 0), 0), 'language&amp;DataTest'!A:A, 0), MATCH(HOME!$A$25, 'language&amp;DataTest'!$A$1:$H$1, 0))),                                          
IFERROR(INDEX('language&amp;DataTest'!A:J, MATCH(INDEX( PointerTest!E:E, MATCH(INDEX(PointerTest!B:B, MATCH(B115, PointerTest!A:A, 0)), PointerTest!A:A, 0), 0), 'language&amp;DataTest'!A:A, 0), MATCH(HOME!$A$25, 'language&amp;DataTest'!$A$1:$H$1, 0))))</f>
        <v>Palkia ex</v>
      </c>
      <c r="E115" s="69" t="str">
        <f t="array" ref="E115">INDEX( PointerTest!F:F, MATCH(B115, PointerTest!A:A, 0), 0)</f>
        <v>♢♢♢</v>
      </c>
      <c r="F115" s="70" t="str">
        <f t="array" ref="F115">LET(percentage,XLOOKUP($E115,$K$2:$K$10,L$2:L$10,"",0)/(COUNTIFS($E:$E,$E115,$D:$D,RegularFormula!$D$2)+COUNTIFS($E:$E,$E115,$D:$D,IF($D115=RegularFormula!$D$2,$K$15,$D115))),IFERROR(IF(percentage,percentage,""),""))</f>
        <v/>
      </c>
      <c r="G115" s="71">
        <f t="array" ref="G115">LET(percentage,XLOOKUP($E115,$K$2:$K$10,M$2:M$10,"",0)/(COUNTIFS($E:$E,$E115,$D:$D,RegularFormula!$D$2)+COUNTIFS($E:$E,$E115,$D:$D,IF($D115=RegularFormula!$D$2,$K$15,$D115))),IFERROR(IF(percentage,percentage,""),""))</f>
        <v>0.003571428571</v>
      </c>
      <c r="H115" s="71">
        <f t="array" ref="H115">LET(percentage,XLOOKUP($E115,$K$2:$K$10,N$2:N$10,"",0)/(COUNTIFS($E:$E,$E115,$D:$D,RegularFormula!$D$2)+COUNTIFS($E:$E,$E115,$D:$D,IF($D115=RegularFormula!$D$2,$K$15,$D115))),IFERROR(IF(percentage,percentage,""),""))</f>
        <v>0.01428571429</v>
      </c>
      <c r="I115" s="72" t="str">
        <f t="shared" si="1"/>
        <v/>
      </c>
      <c r="J115" s="73">
        <v>0.0</v>
      </c>
      <c r="K115" s="194"/>
      <c r="L115" s="55"/>
      <c r="M115" s="55"/>
      <c r="N115" s="55"/>
      <c r="P115" s="103"/>
      <c r="Q115" s="103"/>
      <c r="R115" s="103"/>
      <c r="S115" s="231" t="str">
        <f t="shared" si="2"/>
        <v/>
      </c>
    </row>
    <row r="116">
      <c r="A116" s="217" t="b">
        <v>1</v>
      </c>
      <c r="B116" s="230" t="s">
        <v>663</v>
      </c>
      <c r="C116" s="69" t="str">
        <f t="array" ref="C116">TEXTJOIN("", TRUE, IFERROR(INDEX('language&amp;DataTest'!A:J, MATCH(INDEX( PointerTest!C:C, MATCH(B116, PointerTest!A:A, 0), 0), 'language&amp;DataTest'!A:A, 0), MATCH(HOME!$A$25, 'language&amp;DataTest'!$A$1:$H$1, 0))),                      IFERROR(INDEX('language&amp;DataTest'!A:J, MATCH(INDEX( PointerTest!D:D, MATCH(B116, PointerTest!A:A, 0), 0), 'language&amp;DataTest'!A:A, 0), MATCH(HOME!$A$25, 'language&amp;DataTest'!$A$1:$H$1, 0))),                                          
IFERROR(INDEX('language&amp;DataTest'!A:J, MATCH(INDEX( PointerTest!E:E, MATCH(B116, PointerTest!A:A, 0), 0), 'language&amp;DataTest'!A:A, 0), MATCH(HOME!$A$25, 'language&amp;DataTest'!$A$1:$H$1, 0))))</f>
        <v>Wormadam</v>
      </c>
      <c r="D116" s="69" t="str">
        <f t="array" ref="D116">TEXTJOIN("", TRUE, 
IFERROR(INDEX('language&amp;DataTest'!A:J, MATCH(INDEX( PointerTest!C:C, MATCH(INDEX(PointerTest!B:B, MATCH(B116, PointerTest!A:A, 0)), PointerTest!A:A, 0), 0), 'language&amp;DataTest'!A:A, 0), MATCH(HOME!$A$25, 'language&amp;DataTest'!$A$1:$H$1, 0))),                      
IFERROR(INDEX('language&amp;DataTest'!A:J, MATCH(INDEX( PointerTest!D:D, MATCH(INDEX(PointerTest!B:B, MATCH(B116, PointerTest!A:A, 0)), PointerTest!A:A, 0), 0), 'language&amp;DataTest'!A:A, 0), MATCH(HOME!$A$25, 'language&amp;DataTest'!$A$1:$H$1, 0))),                                          
IFERROR(INDEX('language&amp;DataTest'!A:J, MATCH(INDEX( PointerTest!E:E, MATCH(INDEX(PointerTest!B:B, MATCH(B116, PointerTest!A:A, 0)), PointerTest!A:A, 0), 0), 'language&amp;DataTest'!A:A, 0), MATCH(HOME!$A$25, 'language&amp;DataTest'!$A$1:$H$1, 0))))</f>
        <v>Palkia ex</v>
      </c>
      <c r="E116" s="69" t="str">
        <f t="array" ref="E116">INDEX( PointerTest!F:F, MATCH(B116, PointerTest!A:A, 0), 0)</f>
        <v>♢</v>
      </c>
      <c r="F116" s="70">
        <f t="array" ref="F116">LET(percentage,XLOOKUP($E116,$K$2:$K$10,L$2:L$10,"",0)/(COUNTIFS($E:$E,$E116,$D:$D,RegularFormula!$D$2)+COUNTIFS($E:$E,$E116,$D:$D,IF($D116=RegularFormula!$D$2,$K$15,$D116))),IFERROR(IF(percentage,percentage,""),""))</f>
        <v>0.02272727273</v>
      </c>
      <c r="G116" s="71" t="str">
        <f t="array" ref="G116">LET(percentage,XLOOKUP($E116,$K$2:$K$10,M$2:M$10,"",0)/(COUNTIFS($E:$E,$E116,$D:$D,RegularFormula!$D$2)+COUNTIFS($E:$E,$E116,$D:$D,IF($D116=RegularFormula!$D$2,$K$15,$D116))),IFERROR(IF(percentage,percentage,""),""))</f>
        <v/>
      </c>
      <c r="H116" s="71" t="str">
        <f t="array" ref="H116">LET(percentage,XLOOKUP($E116,$K$2:$K$10,N$2:N$10,"",0)/(COUNTIFS($E:$E,$E116,$D:$D,RegularFormula!$D$2)+COUNTIFS($E:$E,$E116,$D:$D,IF($D116=RegularFormula!$D$2,$K$15,$D116))),IFERROR(IF(percentage,percentage,""),""))</f>
        <v/>
      </c>
      <c r="I116" s="72" t="str">
        <f t="shared" si="1"/>
        <v/>
      </c>
      <c r="J116" s="73">
        <v>0.0</v>
      </c>
      <c r="K116" s="194"/>
      <c r="L116" s="55"/>
      <c r="M116" s="55"/>
      <c r="N116" s="55"/>
      <c r="P116" s="103"/>
      <c r="Q116" s="103"/>
      <c r="R116" s="103"/>
      <c r="S116" s="231" t="str">
        <f t="shared" si="2"/>
        <v/>
      </c>
    </row>
    <row r="117">
      <c r="A117" s="217" t="b">
        <v>1</v>
      </c>
      <c r="B117" s="230" t="s">
        <v>664</v>
      </c>
      <c r="C117" s="69" t="str">
        <f t="array" ref="C117">TEXTJOIN("", TRUE, IFERROR(INDEX('language&amp;DataTest'!A:J, MATCH(INDEX( PointerTest!C:C, MATCH(B117, PointerTest!A:A, 0), 0), 'language&amp;DataTest'!A:A, 0), MATCH(HOME!$A$25, 'language&amp;DataTest'!$A$1:$H$1, 0))),                      IFERROR(INDEX('language&amp;DataTest'!A:J, MATCH(INDEX( PointerTest!D:D, MATCH(B117, PointerTest!A:A, 0), 0), 'language&amp;DataTest'!A:A, 0), MATCH(HOME!$A$25, 'language&amp;DataTest'!$A$1:$H$1, 0))),                                          
IFERROR(INDEX('language&amp;DataTest'!A:J, MATCH(INDEX( PointerTest!E:E, MATCH(B117, PointerTest!A:A, 0), 0), 'language&amp;DataTest'!A:A, 0), MATCH(HOME!$A$25, 'language&amp;DataTest'!$A$1:$H$1, 0))))</f>
        <v>Bronzor</v>
      </c>
      <c r="D117" s="69" t="str">
        <f t="array" ref="D117">TEXTJOIN("", TRUE, 
IFERROR(INDEX('language&amp;DataTest'!A:J, MATCH(INDEX( PointerTest!C:C, MATCH(INDEX(PointerTest!B:B, MATCH(B117, PointerTest!A:A, 0)), PointerTest!A:A, 0), 0), 'language&amp;DataTest'!A:A, 0), MATCH(HOME!$A$25, 'language&amp;DataTest'!$A$1:$H$1, 0))),                      
IFERROR(INDEX('language&amp;DataTest'!A:J, MATCH(INDEX( PointerTest!D:D, MATCH(INDEX(PointerTest!B:B, MATCH(B117, PointerTest!A:A, 0)), PointerTest!A:A, 0), 0), 'language&amp;DataTest'!A:A, 0), MATCH(HOME!$A$25, 'language&amp;DataTest'!$A$1:$H$1, 0))),                                          
IFERROR(INDEX('language&amp;DataTest'!A:J, MATCH(INDEX( PointerTest!E:E, MATCH(INDEX(PointerTest!B:B, MATCH(B117, PointerTest!A:A, 0)), PointerTest!A:A, 0), 0), 'language&amp;DataTest'!A:A, 0), MATCH(HOME!$A$25, 'language&amp;DataTest'!$A$1:$H$1, 0))))</f>
        <v>Dialga ex</v>
      </c>
      <c r="E117" s="69" t="str">
        <f t="array" ref="E117">INDEX( PointerTest!F:F, MATCH(B117, PointerTest!A:A, 0), 0)</f>
        <v>♢</v>
      </c>
      <c r="F117" s="70">
        <f t="array" ref="F117">LET(percentage,XLOOKUP($E117,$K$2:$K$10,L$2:L$10,"",0)/(COUNTIFS($E:$E,$E117,$D:$D,RegularFormula!$D$2)+COUNTIFS($E:$E,$E117,$D:$D,IF($D117=RegularFormula!$D$2,$K$15,$D117))),IFERROR(IF(percentage,percentage,""),""))</f>
        <v>0.02173913043</v>
      </c>
      <c r="G117" s="71" t="str">
        <f t="array" ref="G117">LET(percentage,XLOOKUP($E117,$K$2:$K$10,M$2:M$10,"",0)/(COUNTIFS($E:$E,$E117,$D:$D,RegularFormula!$D$2)+COUNTIFS($E:$E,$E117,$D:$D,IF($D117=RegularFormula!$D$2,$K$15,$D117))),IFERROR(IF(percentage,percentage,""),""))</f>
        <v/>
      </c>
      <c r="H117" s="71" t="str">
        <f t="array" ref="H117">LET(percentage,XLOOKUP($E117,$K$2:$K$10,N$2:N$10,"",0)/(COUNTIFS($E:$E,$E117,$D:$D,RegularFormula!$D$2)+COUNTIFS($E:$E,$E117,$D:$D,IF($D117=RegularFormula!$D$2,$K$15,$D117))),IFERROR(IF(percentage,percentage,""),""))</f>
        <v/>
      </c>
      <c r="I117" s="72" t="str">
        <f t="shared" si="1"/>
        <v/>
      </c>
      <c r="J117" s="73">
        <v>0.0</v>
      </c>
      <c r="K117" s="194"/>
      <c r="L117" s="55"/>
      <c r="M117" s="55"/>
      <c r="N117" s="55"/>
      <c r="P117" s="103"/>
      <c r="Q117" s="103"/>
      <c r="R117" s="103"/>
      <c r="S117" s="231" t="str">
        <f t="shared" si="2"/>
        <v/>
      </c>
    </row>
    <row r="118">
      <c r="A118" s="217" t="b">
        <v>1</v>
      </c>
      <c r="B118" s="230" t="s">
        <v>665</v>
      </c>
      <c r="C118" s="69" t="str">
        <f t="array" ref="C118">TEXTJOIN("", TRUE, IFERROR(INDEX('language&amp;DataTest'!A:J, MATCH(INDEX( PointerTest!C:C, MATCH(B118, PointerTest!A:A, 0), 0), 'language&amp;DataTest'!A:A, 0), MATCH(HOME!$A$25, 'language&amp;DataTest'!$A$1:$H$1, 0))),                      IFERROR(INDEX('language&amp;DataTest'!A:J, MATCH(INDEX( PointerTest!D:D, MATCH(B118, PointerTest!A:A, 0), 0), 'language&amp;DataTest'!A:A, 0), MATCH(HOME!$A$25, 'language&amp;DataTest'!$A$1:$H$1, 0))),                                          
IFERROR(INDEX('language&amp;DataTest'!A:J, MATCH(INDEX( PointerTest!E:E, MATCH(B118, PointerTest!A:A, 0), 0), 'language&amp;DataTest'!A:A, 0), MATCH(HOME!$A$25, 'language&amp;DataTest'!$A$1:$H$1, 0))))</f>
        <v>Bronzong</v>
      </c>
      <c r="D118" s="69" t="str">
        <f t="array" ref="D118">TEXTJOIN("", TRUE, 
IFERROR(INDEX('language&amp;DataTest'!A:J, MATCH(INDEX( PointerTest!C:C, MATCH(INDEX(PointerTest!B:B, MATCH(B118, PointerTest!A:A, 0)), PointerTest!A:A, 0), 0), 'language&amp;DataTest'!A:A, 0), MATCH(HOME!$A$25, 'language&amp;DataTest'!$A$1:$H$1, 0))),                      
IFERROR(INDEX('language&amp;DataTest'!A:J, MATCH(INDEX( PointerTest!D:D, MATCH(INDEX(PointerTest!B:B, MATCH(B118, PointerTest!A:A, 0)), PointerTest!A:A, 0), 0), 'language&amp;DataTest'!A:A, 0), MATCH(HOME!$A$25, 'language&amp;DataTest'!$A$1:$H$1, 0))),                                          
IFERROR(INDEX('language&amp;DataTest'!A:J, MATCH(INDEX( PointerTest!E:E, MATCH(INDEX(PointerTest!B:B, MATCH(B118, PointerTest!A:A, 0)), PointerTest!A:A, 0), 0), 'language&amp;DataTest'!A:A, 0), MATCH(HOME!$A$25, 'language&amp;DataTest'!$A$1:$H$1, 0))))</f>
        <v>Dialga ex</v>
      </c>
      <c r="E118" s="69" t="str">
        <f t="array" ref="E118">INDEX( PointerTest!F:F, MATCH(B118, PointerTest!A:A, 0), 0)</f>
        <v>♢♢</v>
      </c>
      <c r="F118" s="70" t="str">
        <f t="array" ref="F118">LET(percentage,XLOOKUP($E118,$K$2:$K$10,L$2:L$10,"",0)/(COUNTIFS($E:$E,$E118,$D:$D,RegularFormula!$D$2)+COUNTIFS($E:$E,$E118,$D:$D,IF($D118=RegularFormula!$D$2,$K$15,$D118))),IFERROR(IF(percentage,percentage,""),""))</f>
        <v/>
      </c>
      <c r="G118" s="71">
        <f t="array" ref="G118">LET(percentage,XLOOKUP($E118,$K$2:$K$10,M$2:M$10,"",0)/(COUNTIFS($E:$E,$E118,$D:$D,RegularFormula!$D$2)+COUNTIFS($E:$E,$E118,$D:$D,IF($D118=RegularFormula!$D$2,$K$15,$D118))),IFERROR(IF(percentage,percentage,""),""))</f>
        <v>0.02647058824</v>
      </c>
      <c r="H118" s="71">
        <f t="array" ref="H118">LET(percentage,XLOOKUP($E118,$K$2:$K$10,N$2:N$10,"",0)/(COUNTIFS($E:$E,$E118,$D:$D,RegularFormula!$D$2)+COUNTIFS($E:$E,$E118,$D:$D,IF($D118=RegularFormula!$D$2,$K$15,$D118))),IFERROR(IF(percentage,percentage,""),""))</f>
        <v>0.01764705882</v>
      </c>
      <c r="I118" s="72" t="str">
        <f t="shared" si="1"/>
        <v/>
      </c>
      <c r="J118" s="73">
        <v>0.0</v>
      </c>
      <c r="K118" s="194"/>
      <c r="L118" s="55"/>
      <c r="M118" s="55"/>
      <c r="N118" s="55"/>
      <c r="P118" s="103"/>
      <c r="Q118" s="103"/>
      <c r="R118" s="103"/>
      <c r="S118" s="231" t="str">
        <f t="shared" si="2"/>
        <v/>
      </c>
    </row>
    <row r="119">
      <c r="A119" s="217" t="b">
        <v>1</v>
      </c>
      <c r="B119" s="230" t="s">
        <v>666</v>
      </c>
      <c r="C119" s="69" t="str">
        <f t="array" ref="C119">TEXTJOIN("", TRUE, IFERROR(INDEX('language&amp;DataTest'!A:J, MATCH(INDEX( PointerTest!C:C, MATCH(B119, PointerTest!A:A, 0), 0), 'language&amp;DataTest'!A:A, 0), MATCH(HOME!$A$25, 'language&amp;DataTest'!$A$1:$H$1, 0))),                      IFERROR(INDEX('language&amp;DataTest'!A:J, MATCH(INDEX( PointerTest!D:D, MATCH(B119, PointerTest!A:A, 0), 0), 'language&amp;DataTest'!A:A, 0), MATCH(HOME!$A$25, 'language&amp;DataTest'!$A$1:$H$1, 0))),                                          
IFERROR(INDEX('language&amp;DataTest'!A:J, MATCH(INDEX( PointerTest!E:E, MATCH(B119, PointerTest!A:A, 0), 0), 'language&amp;DataTest'!A:A, 0), MATCH(HOME!$A$25, 'language&amp;DataTest'!$A$1:$H$1, 0))))</f>
        <v>Probopass</v>
      </c>
      <c r="D119" s="69" t="str">
        <f t="array" ref="D119">TEXTJOIN("", TRUE, 
IFERROR(INDEX('language&amp;DataTest'!A:J, MATCH(INDEX( PointerTest!C:C, MATCH(INDEX(PointerTest!B:B, MATCH(B119, PointerTest!A:A, 0)), PointerTest!A:A, 0), 0), 'language&amp;DataTest'!A:A, 0), MATCH(HOME!$A$25, 'language&amp;DataTest'!$A$1:$H$1, 0))),                      
IFERROR(INDEX('language&amp;DataTest'!A:J, MATCH(INDEX( PointerTest!D:D, MATCH(INDEX(PointerTest!B:B, MATCH(B119, PointerTest!A:A, 0)), PointerTest!A:A, 0), 0), 'language&amp;DataTest'!A:A, 0), MATCH(HOME!$A$25, 'language&amp;DataTest'!$A$1:$H$1, 0))),                                          
IFERROR(INDEX('language&amp;DataTest'!A:J, MATCH(INDEX( PointerTest!E:E, MATCH(INDEX(PointerTest!B:B, MATCH(B119, PointerTest!A:A, 0)), PointerTest!A:A, 0), 0), 'language&amp;DataTest'!A:A, 0), MATCH(HOME!$A$25, 'language&amp;DataTest'!$A$1:$H$1, 0))))</f>
        <v>All</v>
      </c>
      <c r="E119" s="69" t="str">
        <f t="array" ref="E119">INDEX( PointerTest!F:F, MATCH(B119, PointerTest!A:A, 0), 0)</f>
        <v>♢♢</v>
      </c>
      <c r="F119" s="70" t="str">
        <f t="array" ref="F119">LET(percentage,XLOOKUP($E119,$K$2:$K$10,L$2:L$10,"",0)/(COUNTIFS($E:$E,$E119,$D:$D,RegularFormula!$D$2)+COUNTIFS($E:$E,$E119,$D:$D,IF($D119=RegularFormula!$D$2,$K$15,$D119))),IFERROR(IF(percentage,percentage,""),""))</f>
        <v/>
      </c>
      <c r="G119" s="71">
        <f t="array" ref="G119">LET(percentage,XLOOKUP($E119,$K$2:$K$10,M$2:M$10,"",0)/(COUNTIFS($E:$E,$E119,$D:$D,RegularFormula!$D$2)+COUNTIFS($E:$E,$E119,$D:$D,IF($D119=RegularFormula!$D$2,$K$15,$D119))),IFERROR(IF(percentage,percentage,""),""))</f>
        <v>0.025</v>
      </c>
      <c r="H119" s="71">
        <f t="array" ref="H119">LET(percentage,XLOOKUP($E119,$K$2:$K$10,N$2:N$10,"",0)/(COUNTIFS($E:$E,$E119,$D:$D,RegularFormula!$D$2)+COUNTIFS($E:$E,$E119,$D:$D,IF($D119=RegularFormula!$D$2,$K$15,$D119))),IFERROR(IF(percentage,percentage,""),""))</f>
        <v>0.01666666667</v>
      </c>
      <c r="I119" s="72" t="str">
        <f t="shared" si="1"/>
        <v>*Based on Palkia ex pack</v>
      </c>
      <c r="J119" s="73">
        <v>0.0</v>
      </c>
      <c r="K119" s="194"/>
      <c r="L119" s="55"/>
      <c r="M119" s="55"/>
      <c r="N119" s="55"/>
      <c r="P119" s="103"/>
      <c r="Q119" s="103"/>
      <c r="R119" s="103"/>
      <c r="S119" s="231" t="str">
        <f t="shared" si="2"/>
        <v/>
      </c>
    </row>
    <row r="120">
      <c r="A120" s="217" t="b">
        <v>1</v>
      </c>
      <c r="B120" s="230" t="s">
        <v>667</v>
      </c>
      <c r="C120" s="69" t="str">
        <f t="array" ref="C120">TEXTJOIN("", TRUE, IFERROR(INDEX('language&amp;DataTest'!A:J, MATCH(INDEX( PointerTest!C:C, MATCH(B120, PointerTest!A:A, 0), 0), 'language&amp;DataTest'!A:A, 0), MATCH(HOME!$A$25, 'language&amp;DataTest'!$A$1:$H$1, 0))),                      IFERROR(INDEX('language&amp;DataTest'!A:J, MATCH(INDEX( PointerTest!D:D, MATCH(B120, PointerTest!A:A, 0), 0), 'language&amp;DataTest'!A:A, 0), MATCH(HOME!$A$25, 'language&amp;DataTest'!$A$1:$H$1, 0))),                                          
IFERROR(INDEX('language&amp;DataTest'!A:J, MATCH(INDEX( PointerTest!E:E, MATCH(B120, PointerTest!A:A, 0), 0), 'language&amp;DataTest'!A:A, 0), MATCH(HOME!$A$25, 'language&amp;DataTest'!$A$1:$H$1, 0))))</f>
        <v>Dialga ex</v>
      </c>
      <c r="D120" s="69" t="str">
        <f t="array" ref="D120">TEXTJOIN("", TRUE, 
IFERROR(INDEX('language&amp;DataTest'!A:J, MATCH(INDEX( PointerTest!C:C, MATCH(INDEX(PointerTest!B:B, MATCH(B120, PointerTest!A:A, 0)), PointerTest!A:A, 0), 0), 'language&amp;DataTest'!A:A, 0), MATCH(HOME!$A$25, 'language&amp;DataTest'!$A$1:$H$1, 0))),                      
IFERROR(INDEX('language&amp;DataTest'!A:J, MATCH(INDEX( PointerTest!D:D, MATCH(INDEX(PointerTest!B:B, MATCH(B120, PointerTest!A:A, 0)), PointerTest!A:A, 0), 0), 'language&amp;DataTest'!A:A, 0), MATCH(HOME!$A$25, 'language&amp;DataTest'!$A$1:$H$1, 0))),                                          
IFERROR(INDEX('language&amp;DataTest'!A:J, MATCH(INDEX( PointerTest!E:E, MATCH(INDEX(PointerTest!B:B, MATCH(B120, PointerTest!A:A, 0)), PointerTest!A:A, 0), 0), 'language&amp;DataTest'!A:A, 0), MATCH(HOME!$A$25, 'language&amp;DataTest'!$A$1:$H$1, 0))))</f>
        <v>Dialga ex</v>
      </c>
      <c r="E120" s="69" t="str">
        <f t="array" ref="E120">INDEX( PointerTest!F:F, MATCH(B120, PointerTest!A:A, 0), 0)</f>
        <v>♢♢♢♢</v>
      </c>
      <c r="F120" s="70" t="str">
        <f t="array" ref="F120">LET(percentage,XLOOKUP($E120,$K$2:$K$10,L$2:L$10,"",0)/(COUNTIFS($E:$E,$E120,$D:$D,RegularFormula!$D$2)+COUNTIFS($E:$E,$E120,$D:$D,IF($D120=RegularFormula!$D$2,$K$15,$D120))),IFERROR(IF(percentage,percentage,""),""))</f>
        <v/>
      </c>
      <c r="G120" s="71">
        <f t="array" ref="G120">LET(percentage,XLOOKUP($E120,$K$2:$K$10,M$2:M$10,"",0)/(COUNTIFS($E:$E,$E120,$D:$D,RegularFormula!$D$2)+COUNTIFS($E:$E,$E120,$D:$D,IF($D120=RegularFormula!$D$2,$K$15,$D120))),IFERROR(IF(percentage,percentage,""),""))</f>
        <v>0.003332</v>
      </c>
      <c r="H120" s="71">
        <f t="array" ref="H120">LET(percentage,XLOOKUP($E120,$K$2:$K$10,N$2:N$10,"",0)/(COUNTIFS($E:$E,$E120,$D:$D,RegularFormula!$D$2)+COUNTIFS($E:$E,$E120,$D:$D,IF($D120=RegularFormula!$D$2,$K$15,$D120))),IFERROR(IF(percentage,percentage,""),""))</f>
        <v>0.013328</v>
      </c>
      <c r="I120" s="72" t="str">
        <f t="shared" si="1"/>
        <v/>
      </c>
      <c r="J120" s="73">
        <v>0.0</v>
      </c>
      <c r="K120" s="194"/>
      <c r="L120" s="55"/>
      <c r="M120" s="55"/>
      <c r="N120" s="55"/>
      <c r="O120" s="98"/>
      <c r="P120" s="103"/>
      <c r="Q120" s="103"/>
      <c r="R120" s="103"/>
      <c r="S120" s="231" t="str">
        <f t="shared" si="2"/>
        <v/>
      </c>
    </row>
    <row r="121">
      <c r="A121" s="217" t="b">
        <v>1</v>
      </c>
      <c r="B121" s="230" t="s">
        <v>668</v>
      </c>
      <c r="C121" s="69" t="str">
        <f t="array" ref="C121">TEXTJOIN("", TRUE, IFERROR(INDEX('language&amp;DataTest'!A:J, MATCH(INDEX( PointerTest!C:C, MATCH(B121, PointerTest!A:A, 0), 0), 'language&amp;DataTest'!A:A, 0), MATCH(HOME!$A$25, 'language&amp;DataTest'!$A$1:$H$1, 0))),                      IFERROR(INDEX('language&amp;DataTest'!A:J, MATCH(INDEX( PointerTest!D:D, MATCH(B121, PointerTest!A:A, 0), 0), 'language&amp;DataTest'!A:A, 0), MATCH(HOME!$A$25, 'language&amp;DataTest'!$A$1:$H$1, 0))),                                          
IFERROR(INDEX('language&amp;DataTest'!A:J, MATCH(INDEX( PointerTest!E:E, MATCH(B121, PointerTest!A:A, 0), 0), 'language&amp;DataTest'!A:A, 0), MATCH(HOME!$A$25, 'language&amp;DataTest'!$A$1:$H$1, 0))))</f>
        <v>Heatran</v>
      </c>
      <c r="D121" s="69" t="str">
        <f t="array" ref="D121">TEXTJOIN("", TRUE, 
IFERROR(INDEX('language&amp;DataTest'!A:J, MATCH(INDEX( PointerTest!C:C, MATCH(INDEX(PointerTest!B:B, MATCH(B121, PointerTest!A:A, 0)), PointerTest!A:A, 0), 0), 'language&amp;DataTest'!A:A, 0), MATCH(HOME!$A$25, 'language&amp;DataTest'!$A$1:$H$1, 0))),                      
IFERROR(INDEX('language&amp;DataTest'!A:J, MATCH(INDEX( PointerTest!D:D, MATCH(INDEX(PointerTest!B:B, MATCH(B121, PointerTest!A:A, 0)), PointerTest!A:A, 0), 0), 'language&amp;DataTest'!A:A, 0), MATCH(HOME!$A$25, 'language&amp;DataTest'!$A$1:$H$1, 0))),                                          
IFERROR(INDEX('language&amp;DataTest'!A:J, MATCH(INDEX( PointerTest!E:E, MATCH(INDEX(PointerTest!B:B, MATCH(B121, PointerTest!A:A, 0)), PointerTest!A:A, 0), 0), 'language&amp;DataTest'!A:A, 0), MATCH(HOME!$A$25, 'language&amp;DataTest'!$A$1:$H$1, 0))))</f>
        <v>Dialga ex</v>
      </c>
      <c r="E121" s="69" t="str">
        <f t="array" ref="E121">INDEX( PointerTest!F:F, MATCH(B121, PointerTest!A:A, 0), 0)</f>
        <v>♢♢♢</v>
      </c>
      <c r="F121" s="70" t="str">
        <f t="array" ref="F121">LET(percentage,XLOOKUP($E121,$K$2:$K$10,L$2:L$10,"",0)/(COUNTIFS($E:$E,$E121,$D:$D,RegularFormula!$D$2)+COUNTIFS($E:$E,$E121,$D:$D,IF($D121=RegularFormula!$D$2,$K$15,$D121))),IFERROR(IF(percentage,percentage,""),""))</f>
        <v/>
      </c>
      <c r="G121" s="71">
        <f t="array" ref="G121">LET(percentage,XLOOKUP($E121,$K$2:$K$10,M$2:M$10,"",0)/(COUNTIFS($E:$E,$E121,$D:$D,RegularFormula!$D$2)+COUNTIFS($E:$E,$E121,$D:$D,IF($D121=RegularFormula!$D$2,$K$15,$D121))),IFERROR(IF(percentage,percentage,""),""))</f>
        <v>0.003571428571</v>
      </c>
      <c r="H121" s="71">
        <f t="array" ref="H121">LET(percentage,XLOOKUP($E121,$K$2:$K$10,N$2:N$10,"",0)/(COUNTIFS($E:$E,$E121,$D:$D,RegularFormula!$D$2)+COUNTIFS($E:$E,$E121,$D:$D,IF($D121=RegularFormula!$D$2,$K$15,$D121))),IFERROR(IF(percentage,percentage,""),""))</f>
        <v>0.01428571429</v>
      </c>
      <c r="I121" s="72" t="str">
        <f t="shared" si="1"/>
        <v/>
      </c>
      <c r="J121" s="73">
        <v>0.0</v>
      </c>
      <c r="K121" s="194"/>
      <c r="L121" s="55"/>
      <c r="M121" s="55"/>
      <c r="N121" s="55"/>
      <c r="O121" s="98"/>
      <c r="P121" s="103"/>
      <c r="Q121" s="103"/>
      <c r="R121" s="103"/>
      <c r="S121" s="231" t="str">
        <f t="shared" si="2"/>
        <v/>
      </c>
    </row>
    <row r="122">
      <c r="A122" s="217" t="b">
        <v>1</v>
      </c>
      <c r="B122" s="230" t="s">
        <v>669</v>
      </c>
      <c r="C122" s="69" t="str">
        <f t="array" ref="C122">TEXTJOIN("", TRUE, IFERROR(INDEX('language&amp;DataTest'!A:J, MATCH(INDEX( PointerTest!C:C, MATCH(B122, PointerTest!A:A, 0), 0), 'language&amp;DataTest'!A:A, 0), MATCH(HOME!$A$25, 'language&amp;DataTest'!$A$1:$H$1, 0))),                      IFERROR(INDEX('language&amp;DataTest'!A:J, MATCH(INDEX( PointerTest!D:D, MATCH(B122, PointerTest!A:A, 0), 0), 'language&amp;DataTest'!A:A, 0), MATCH(HOME!$A$25, 'language&amp;DataTest'!$A$1:$H$1, 0))),                                          
IFERROR(INDEX('language&amp;DataTest'!A:J, MATCH(INDEX( PointerTest!E:E, MATCH(B122, PointerTest!A:A, 0), 0), 'language&amp;DataTest'!A:A, 0), MATCH(HOME!$A$25, 'language&amp;DataTest'!$A$1:$H$1, 0))))</f>
        <v>Gible</v>
      </c>
      <c r="D122" s="69" t="str">
        <f t="array" ref="D122">TEXTJOIN("", TRUE, 
IFERROR(INDEX('language&amp;DataTest'!A:J, MATCH(INDEX( PointerTest!C:C, MATCH(INDEX(PointerTest!B:B, MATCH(B122, PointerTest!A:A, 0)), PointerTest!A:A, 0), 0), 'language&amp;DataTest'!A:A, 0), MATCH(HOME!$A$25, 'language&amp;DataTest'!$A$1:$H$1, 0))),                      
IFERROR(INDEX('language&amp;DataTest'!A:J, MATCH(INDEX( PointerTest!D:D, MATCH(INDEX(PointerTest!B:B, MATCH(B122, PointerTest!A:A, 0)), PointerTest!A:A, 0), 0), 'language&amp;DataTest'!A:A, 0), MATCH(HOME!$A$25, 'language&amp;DataTest'!$A$1:$H$1, 0))),                                          
IFERROR(INDEX('language&amp;DataTest'!A:J, MATCH(INDEX( PointerTest!E:E, MATCH(INDEX(PointerTest!B:B, MATCH(B122, PointerTest!A:A, 0)), PointerTest!A:A, 0), 0), 'language&amp;DataTest'!A:A, 0), MATCH(HOME!$A$25, 'language&amp;DataTest'!$A$1:$H$1, 0))))</f>
        <v>Palkia ex</v>
      </c>
      <c r="E122" s="69" t="str">
        <f t="array" ref="E122">INDEX( PointerTest!F:F, MATCH(B122, PointerTest!A:A, 0), 0)</f>
        <v>♢</v>
      </c>
      <c r="F122" s="70">
        <f t="array" ref="F122">LET(percentage,XLOOKUP($E122,$K$2:$K$10,L$2:L$10,"",0)/(COUNTIFS($E:$E,$E122,$D:$D,RegularFormula!$D$2)+COUNTIFS($E:$E,$E122,$D:$D,IF($D122=RegularFormula!$D$2,$K$15,$D122))),IFERROR(IF(percentage,percentage,""),""))</f>
        <v>0.02272727273</v>
      </c>
      <c r="G122" s="71" t="str">
        <f t="array" ref="G122">LET(percentage,XLOOKUP($E122,$K$2:$K$10,M$2:M$10,"",0)/(COUNTIFS($E:$E,$E122,$D:$D,RegularFormula!$D$2)+COUNTIFS($E:$E,$E122,$D:$D,IF($D122=RegularFormula!$D$2,$K$15,$D122))),IFERROR(IF(percentage,percentage,""),""))</f>
        <v/>
      </c>
      <c r="H122" s="71" t="str">
        <f t="array" ref="H122">LET(percentage,XLOOKUP($E122,$K$2:$K$10,N$2:N$10,"",0)/(COUNTIFS($E:$E,$E122,$D:$D,RegularFormula!$D$2)+COUNTIFS($E:$E,$E122,$D:$D,IF($D122=RegularFormula!$D$2,$K$15,$D122))),IFERROR(IF(percentage,percentage,""),""))</f>
        <v/>
      </c>
      <c r="I122" s="72" t="str">
        <f t="shared" si="1"/>
        <v/>
      </c>
      <c r="J122" s="73">
        <v>0.0</v>
      </c>
      <c r="K122" s="194"/>
      <c r="L122" s="55"/>
      <c r="M122" s="55"/>
      <c r="N122" s="55"/>
      <c r="O122" s="98"/>
      <c r="P122" s="103"/>
      <c r="Q122" s="103"/>
      <c r="R122" s="103"/>
      <c r="S122" s="231" t="str">
        <f t="shared" si="2"/>
        <v/>
      </c>
    </row>
    <row r="123">
      <c r="A123" s="217" t="b">
        <v>1</v>
      </c>
      <c r="B123" s="230" t="s">
        <v>670</v>
      </c>
      <c r="C123" s="69" t="str">
        <f t="array" ref="C123">TEXTJOIN("", TRUE, IFERROR(INDEX('language&amp;DataTest'!A:J, MATCH(INDEX( PointerTest!C:C, MATCH(B123, PointerTest!A:A, 0), 0), 'language&amp;DataTest'!A:A, 0), MATCH(HOME!$A$25, 'language&amp;DataTest'!$A$1:$H$1, 0))),                      IFERROR(INDEX('language&amp;DataTest'!A:J, MATCH(INDEX( PointerTest!D:D, MATCH(B123, PointerTest!A:A, 0), 0), 'language&amp;DataTest'!A:A, 0), MATCH(HOME!$A$25, 'language&amp;DataTest'!$A$1:$H$1, 0))),                                          
IFERROR(INDEX('language&amp;DataTest'!A:J, MATCH(INDEX( PointerTest!E:E, MATCH(B123, PointerTest!A:A, 0), 0), 'language&amp;DataTest'!A:A, 0), MATCH(HOME!$A$25, 'language&amp;DataTest'!$A$1:$H$1, 0))))</f>
        <v>Gabite</v>
      </c>
      <c r="D123" s="69" t="str">
        <f t="array" ref="D123">TEXTJOIN("", TRUE, 
IFERROR(INDEX('language&amp;DataTest'!A:J, MATCH(INDEX( PointerTest!C:C, MATCH(INDEX(PointerTest!B:B, MATCH(B123, PointerTest!A:A, 0)), PointerTest!A:A, 0), 0), 'language&amp;DataTest'!A:A, 0), MATCH(HOME!$A$25, 'language&amp;DataTest'!$A$1:$H$1, 0))),                      
IFERROR(INDEX('language&amp;DataTest'!A:J, MATCH(INDEX( PointerTest!D:D, MATCH(INDEX(PointerTest!B:B, MATCH(B123, PointerTest!A:A, 0)), PointerTest!A:A, 0), 0), 'language&amp;DataTest'!A:A, 0), MATCH(HOME!$A$25, 'language&amp;DataTest'!$A$1:$H$1, 0))),                                          
IFERROR(INDEX('language&amp;DataTest'!A:J, MATCH(INDEX( PointerTest!E:E, MATCH(INDEX(PointerTest!B:B, MATCH(B123, PointerTest!A:A, 0)), PointerTest!A:A, 0), 0), 'language&amp;DataTest'!A:A, 0), MATCH(HOME!$A$25, 'language&amp;DataTest'!$A$1:$H$1, 0))))</f>
        <v>Palkia ex</v>
      </c>
      <c r="E123" s="69" t="str">
        <f t="array" ref="E123">INDEX( PointerTest!F:F, MATCH(B123, PointerTest!A:A, 0), 0)</f>
        <v>♢♢</v>
      </c>
      <c r="F123" s="70" t="str">
        <f t="array" ref="F123">LET(percentage,XLOOKUP($E123,$K$2:$K$10,L$2:L$10,"",0)/(COUNTIFS($E:$E,$E123,$D:$D,RegularFormula!$D$2)+COUNTIFS($E:$E,$E123,$D:$D,IF($D123=RegularFormula!$D$2,$K$15,$D123))),IFERROR(IF(percentage,percentage,""),""))</f>
        <v/>
      </c>
      <c r="G123" s="71">
        <f t="array" ref="G123">LET(percentage,XLOOKUP($E123,$K$2:$K$10,M$2:M$10,"",0)/(COUNTIFS($E:$E,$E123,$D:$D,RegularFormula!$D$2)+COUNTIFS($E:$E,$E123,$D:$D,IF($D123=RegularFormula!$D$2,$K$15,$D123))),IFERROR(IF(percentage,percentage,""),""))</f>
        <v>0.025</v>
      </c>
      <c r="H123" s="71">
        <f t="array" ref="H123">LET(percentage,XLOOKUP($E123,$K$2:$K$10,N$2:N$10,"",0)/(COUNTIFS($E:$E,$E123,$D:$D,RegularFormula!$D$2)+COUNTIFS($E:$E,$E123,$D:$D,IF($D123=RegularFormula!$D$2,$K$15,$D123))),IFERROR(IF(percentage,percentage,""),""))</f>
        <v>0.01666666667</v>
      </c>
      <c r="I123" s="72" t="str">
        <f t="shared" si="1"/>
        <v/>
      </c>
      <c r="J123" s="73">
        <v>0.0</v>
      </c>
      <c r="K123" s="194"/>
      <c r="L123" s="55"/>
      <c r="M123" s="55"/>
      <c r="N123" s="55"/>
      <c r="O123" s="98"/>
      <c r="P123" s="103"/>
      <c r="Q123" s="103"/>
      <c r="R123" s="103"/>
      <c r="S123" s="231" t="str">
        <f t="shared" si="2"/>
        <v/>
      </c>
    </row>
    <row r="124">
      <c r="A124" s="217" t="b">
        <v>1</v>
      </c>
      <c r="B124" s="230" t="s">
        <v>671</v>
      </c>
      <c r="C124" s="69" t="str">
        <f t="array" ref="C124">TEXTJOIN("", TRUE, IFERROR(INDEX('language&amp;DataTest'!A:J, MATCH(INDEX( PointerTest!C:C, MATCH(B124, PointerTest!A:A, 0), 0), 'language&amp;DataTest'!A:A, 0), MATCH(HOME!$A$25, 'language&amp;DataTest'!$A$1:$H$1, 0))),                      IFERROR(INDEX('language&amp;DataTest'!A:J, MATCH(INDEX( PointerTest!D:D, MATCH(B124, PointerTest!A:A, 0), 0), 'language&amp;DataTest'!A:A, 0), MATCH(HOME!$A$25, 'language&amp;DataTest'!$A$1:$H$1, 0))),                                          
IFERROR(INDEX('language&amp;DataTest'!A:J, MATCH(INDEX( PointerTest!E:E, MATCH(B124, PointerTest!A:A, 0), 0), 'language&amp;DataTest'!A:A, 0), MATCH(HOME!$A$25, 'language&amp;DataTest'!$A$1:$H$1, 0))))</f>
        <v>Garchomp</v>
      </c>
      <c r="D124" s="69" t="str">
        <f t="array" ref="D124">TEXTJOIN("", TRUE, 
IFERROR(INDEX('language&amp;DataTest'!A:J, MATCH(INDEX( PointerTest!C:C, MATCH(INDEX(PointerTest!B:B, MATCH(B124, PointerTest!A:A, 0)), PointerTest!A:A, 0), 0), 'language&amp;DataTest'!A:A, 0), MATCH(HOME!$A$25, 'language&amp;DataTest'!$A$1:$H$1, 0))),                      
IFERROR(INDEX('language&amp;DataTest'!A:J, MATCH(INDEX( PointerTest!D:D, MATCH(INDEX(PointerTest!B:B, MATCH(B124, PointerTest!A:A, 0)), PointerTest!A:A, 0), 0), 'language&amp;DataTest'!A:A, 0), MATCH(HOME!$A$25, 'language&amp;DataTest'!$A$1:$H$1, 0))),                                          
IFERROR(INDEX('language&amp;DataTest'!A:J, MATCH(INDEX( PointerTest!E:E, MATCH(INDEX(PointerTest!B:B, MATCH(B124, PointerTest!A:A, 0)), PointerTest!A:A, 0), 0), 'language&amp;DataTest'!A:A, 0), MATCH(HOME!$A$25, 'language&amp;DataTest'!$A$1:$H$1, 0))))</f>
        <v>Palkia ex</v>
      </c>
      <c r="E124" s="69" t="str">
        <f t="array" ref="E124">INDEX( PointerTest!F:F, MATCH(B124, PointerTest!A:A, 0), 0)</f>
        <v>♢♢♢</v>
      </c>
      <c r="F124" s="70" t="str">
        <f t="array" ref="F124">LET(percentage,XLOOKUP($E124,$K$2:$K$10,L$2:L$10,"",0)/(COUNTIFS($E:$E,$E124,$D:$D,RegularFormula!$D$2)+COUNTIFS($E:$E,$E124,$D:$D,IF($D124=RegularFormula!$D$2,$K$15,$D124))),IFERROR(IF(percentage,percentage,""),""))</f>
        <v/>
      </c>
      <c r="G124" s="71">
        <f t="array" ref="G124">LET(percentage,XLOOKUP($E124,$K$2:$K$10,M$2:M$10,"",0)/(COUNTIFS($E:$E,$E124,$D:$D,RegularFormula!$D$2)+COUNTIFS($E:$E,$E124,$D:$D,IF($D124=RegularFormula!$D$2,$K$15,$D124))),IFERROR(IF(percentage,percentage,""),""))</f>
        <v>0.003571428571</v>
      </c>
      <c r="H124" s="71">
        <f t="array" ref="H124">LET(percentage,XLOOKUP($E124,$K$2:$K$10,N$2:N$10,"",0)/(COUNTIFS($E:$E,$E124,$D:$D,RegularFormula!$D$2)+COUNTIFS($E:$E,$E124,$D:$D,IF($D124=RegularFormula!$D$2,$K$15,$D124))),IFERROR(IF(percentage,percentage,""),""))</f>
        <v>0.01428571429</v>
      </c>
      <c r="I124" s="72" t="str">
        <f t="shared" si="1"/>
        <v/>
      </c>
      <c r="J124" s="73">
        <v>0.0</v>
      </c>
      <c r="K124" s="194"/>
      <c r="L124" s="55"/>
      <c r="M124" s="55"/>
      <c r="N124" s="55"/>
      <c r="O124" s="98"/>
      <c r="P124" s="103"/>
      <c r="Q124" s="103"/>
      <c r="R124" s="103"/>
      <c r="S124" s="231" t="str">
        <f t="shared" si="2"/>
        <v/>
      </c>
    </row>
    <row r="125">
      <c r="A125" s="217" t="b">
        <v>1</v>
      </c>
      <c r="B125" s="230" t="s">
        <v>672</v>
      </c>
      <c r="C125" s="69" t="str">
        <f t="array" ref="C125">TEXTJOIN("", TRUE, IFERROR(INDEX('language&amp;DataTest'!A:J, MATCH(INDEX( PointerTest!C:C, MATCH(B125, PointerTest!A:A, 0), 0), 'language&amp;DataTest'!A:A, 0), MATCH(HOME!$A$25, 'language&amp;DataTest'!$A$1:$H$1, 0))),                      IFERROR(INDEX('language&amp;DataTest'!A:J, MATCH(INDEX( PointerTest!D:D, MATCH(B125, PointerTest!A:A, 0), 0), 'language&amp;DataTest'!A:A, 0), MATCH(HOME!$A$25, 'language&amp;DataTest'!$A$1:$H$1, 0))),                                          
IFERROR(INDEX('language&amp;DataTest'!A:J, MATCH(INDEX( PointerTest!E:E, MATCH(B125, PointerTest!A:A, 0), 0), 'language&amp;DataTest'!A:A, 0), MATCH(HOME!$A$25, 'language&amp;DataTest'!$A$1:$H$1, 0))))</f>
        <v>Lickitung</v>
      </c>
      <c r="D125" s="69" t="str">
        <f t="array" ref="D125">TEXTJOIN("", TRUE, 
IFERROR(INDEX('language&amp;DataTest'!A:J, MATCH(INDEX( PointerTest!C:C, MATCH(INDEX(PointerTest!B:B, MATCH(B125, PointerTest!A:A, 0)), PointerTest!A:A, 0), 0), 'language&amp;DataTest'!A:A, 0), MATCH(HOME!$A$25, 'language&amp;DataTest'!$A$1:$H$1, 0))),                      
IFERROR(INDEX('language&amp;DataTest'!A:J, MATCH(INDEX( PointerTest!D:D, MATCH(INDEX(PointerTest!B:B, MATCH(B125, PointerTest!A:A, 0)), PointerTest!A:A, 0), 0), 'language&amp;DataTest'!A:A, 0), MATCH(HOME!$A$25, 'language&amp;DataTest'!$A$1:$H$1, 0))),                                          
IFERROR(INDEX('language&amp;DataTest'!A:J, MATCH(INDEX( PointerTest!E:E, MATCH(INDEX(PointerTest!B:B, MATCH(B125, PointerTest!A:A, 0)), PointerTest!A:A, 0), 0), 'language&amp;DataTest'!A:A, 0), MATCH(HOME!$A$25, 'language&amp;DataTest'!$A$1:$H$1, 0))))</f>
        <v>Palkia ex</v>
      </c>
      <c r="E125" s="69" t="str">
        <f t="array" ref="E125">INDEX( PointerTest!F:F, MATCH(B125, PointerTest!A:A, 0), 0)</f>
        <v>♢</v>
      </c>
      <c r="F125" s="70">
        <f t="array" ref="F125">LET(percentage,XLOOKUP($E125,$K$2:$K$10,L$2:L$10,"",0)/(COUNTIFS($E:$E,$E125,$D:$D,RegularFormula!$D$2)+COUNTIFS($E:$E,$E125,$D:$D,IF($D125=RegularFormula!$D$2,$K$15,$D125))),IFERROR(IF(percentage,percentage,""),""))</f>
        <v>0.02272727273</v>
      </c>
      <c r="G125" s="71" t="str">
        <f t="array" ref="G125">LET(percentage,XLOOKUP($E125,$K$2:$K$10,M$2:M$10,"",0)/(COUNTIFS($E:$E,$E125,$D:$D,RegularFormula!$D$2)+COUNTIFS($E:$E,$E125,$D:$D,IF($D125=RegularFormula!$D$2,$K$15,$D125))),IFERROR(IF(percentage,percentage,""),""))</f>
        <v/>
      </c>
      <c r="H125" s="71" t="str">
        <f t="array" ref="H125">LET(percentage,XLOOKUP($E125,$K$2:$K$10,N$2:N$10,"",0)/(COUNTIFS($E:$E,$E125,$D:$D,RegularFormula!$D$2)+COUNTIFS($E:$E,$E125,$D:$D,IF($D125=RegularFormula!$D$2,$K$15,$D125))),IFERROR(IF(percentage,percentage,""),""))</f>
        <v/>
      </c>
      <c r="I125" s="72" t="str">
        <f t="shared" si="1"/>
        <v/>
      </c>
      <c r="J125" s="73">
        <v>0.0</v>
      </c>
      <c r="K125" s="194"/>
      <c r="L125" s="55"/>
      <c r="M125" s="55"/>
      <c r="N125" s="55"/>
      <c r="O125" s="98"/>
      <c r="P125" s="103"/>
      <c r="Q125" s="103"/>
      <c r="R125" s="103"/>
      <c r="S125" s="231" t="str">
        <f t="shared" si="2"/>
        <v/>
      </c>
    </row>
    <row r="126">
      <c r="A126" s="217" t="b">
        <v>1</v>
      </c>
      <c r="B126" s="230" t="s">
        <v>673</v>
      </c>
      <c r="C126" s="69" t="str">
        <f t="array" ref="C126">TEXTJOIN("", TRUE, IFERROR(INDEX('language&amp;DataTest'!A:J, MATCH(INDEX( PointerTest!C:C, MATCH(B126, PointerTest!A:A, 0), 0), 'language&amp;DataTest'!A:A, 0), MATCH(HOME!$A$25, 'language&amp;DataTest'!$A$1:$H$1, 0))),                      IFERROR(INDEX('language&amp;DataTest'!A:J, MATCH(INDEX( PointerTest!D:D, MATCH(B126, PointerTest!A:A, 0), 0), 'language&amp;DataTest'!A:A, 0), MATCH(HOME!$A$25, 'language&amp;DataTest'!$A$1:$H$1, 0))),                                          
IFERROR(INDEX('language&amp;DataTest'!A:J, MATCH(INDEX( PointerTest!E:E, MATCH(B126, PointerTest!A:A, 0), 0), 'language&amp;DataTest'!A:A, 0), MATCH(HOME!$A$25, 'language&amp;DataTest'!$A$1:$H$1, 0))))</f>
        <v>Lickilicky ex</v>
      </c>
      <c r="D126" s="69" t="str">
        <f t="array" ref="D126">TEXTJOIN("", TRUE, 
IFERROR(INDEX('language&amp;DataTest'!A:J, MATCH(INDEX( PointerTest!C:C, MATCH(INDEX(PointerTest!B:B, MATCH(B126, PointerTest!A:A, 0)), PointerTest!A:A, 0), 0), 'language&amp;DataTest'!A:A, 0), MATCH(HOME!$A$25, 'language&amp;DataTest'!$A$1:$H$1, 0))),                      
IFERROR(INDEX('language&amp;DataTest'!A:J, MATCH(INDEX( PointerTest!D:D, MATCH(INDEX(PointerTest!B:B, MATCH(B126, PointerTest!A:A, 0)), PointerTest!A:A, 0), 0), 'language&amp;DataTest'!A:A, 0), MATCH(HOME!$A$25, 'language&amp;DataTest'!$A$1:$H$1, 0))),                                          
IFERROR(INDEX('language&amp;DataTest'!A:J, MATCH(INDEX( PointerTest!E:E, MATCH(INDEX(PointerTest!B:B, MATCH(B126, PointerTest!A:A, 0)), PointerTest!A:A, 0), 0), 'language&amp;DataTest'!A:A, 0), MATCH(HOME!$A$25, 'language&amp;DataTest'!$A$1:$H$1, 0))))</f>
        <v>Palkia ex</v>
      </c>
      <c r="E126" s="69" t="str">
        <f t="array" ref="E126">INDEX( PointerTest!F:F, MATCH(B126, PointerTest!A:A, 0), 0)</f>
        <v>♢♢♢♢</v>
      </c>
      <c r="F126" s="70" t="str">
        <f t="array" ref="F126">LET(percentage,XLOOKUP($E126,$K$2:$K$10,L$2:L$10,"",0)/(COUNTIFS($E:$E,$E126,$D:$D,RegularFormula!$D$2)+COUNTIFS($E:$E,$E126,$D:$D,IF($D126=RegularFormula!$D$2,$K$15,$D126))),IFERROR(IF(percentage,percentage,""),""))</f>
        <v/>
      </c>
      <c r="G126" s="71">
        <f t="array" ref="G126">LET(percentage,XLOOKUP($E126,$K$2:$K$10,M$2:M$10,"",0)/(COUNTIFS($E:$E,$E126,$D:$D,RegularFormula!$D$2)+COUNTIFS($E:$E,$E126,$D:$D,IF($D126=RegularFormula!$D$2,$K$15,$D126))),IFERROR(IF(percentage,percentage,""),""))</f>
        <v>0.003332</v>
      </c>
      <c r="H126" s="71">
        <f t="array" ref="H126">LET(percentage,XLOOKUP($E126,$K$2:$K$10,N$2:N$10,"",0)/(COUNTIFS($E:$E,$E126,$D:$D,RegularFormula!$D$2)+COUNTIFS($E:$E,$E126,$D:$D,IF($D126=RegularFormula!$D$2,$K$15,$D126))),IFERROR(IF(percentage,percentage,""),""))</f>
        <v>0.013328</v>
      </c>
      <c r="I126" s="72" t="str">
        <f t="shared" si="1"/>
        <v/>
      </c>
      <c r="J126" s="73">
        <v>0.0</v>
      </c>
      <c r="K126" s="194"/>
      <c r="L126" s="55"/>
      <c r="M126" s="55"/>
      <c r="N126" s="55"/>
      <c r="O126" s="98"/>
      <c r="P126" s="103"/>
      <c r="Q126" s="103"/>
      <c r="R126" s="103"/>
      <c r="S126" s="231" t="str">
        <f t="shared" si="2"/>
        <v/>
      </c>
    </row>
    <row r="127">
      <c r="A127" s="217" t="b">
        <v>1</v>
      </c>
      <c r="B127" s="230" t="s">
        <v>674</v>
      </c>
      <c r="C127" s="69" t="str">
        <f t="array" ref="C127">TEXTJOIN("", TRUE, IFERROR(INDEX('language&amp;DataTest'!A:J, MATCH(INDEX( PointerTest!C:C, MATCH(B127, PointerTest!A:A, 0), 0), 'language&amp;DataTest'!A:A, 0), MATCH(HOME!$A$25, 'language&amp;DataTest'!$A$1:$H$1, 0))),                      IFERROR(INDEX('language&amp;DataTest'!A:J, MATCH(INDEX( PointerTest!D:D, MATCH(B127, PointerTest!A:A, 0), 0), 'language&amp;DataTest'!A:A, 0), MATCH(HOME!$A$25, 'language&amp;DataTest'!$A$1:$H$1, 0))),                                          
IFERROR(INDEX('language&amp;DataTest'!A:J, MATCH(INDEX( PointerTest!E:E, MATCH(B127, PointerTest!A:A, 0), 0), 'language&amp;DataTest'!A:A, 0), MATCH(HOME!$A$25, 'language&amp;DataTest'!$A$1:$H$1, 0))))</f>
        <v>Eevee</v>
      </c>
      <c r="D127" s="69" t="str">
        <f t="array" ref="D127">TEXTJOIN("", TRUE, 
IFERROR(INDEX('language&amp;DataTest'!A:J, MATCH(INDEX( PointerTest!C:C, MATCH(INDEX(PointerTest!B:B, MATCH(B127, PointerTest!A:A, 0)), PointerTest!A:A, 0), 0), 'language&amp;DataTest'!A:A, 0), MATCH(HOME!$A$25, 'language&amp;DataTest'!$A$1:$H$1, 0))),                      
IFERROR(INDEX('language&amp;DataTest'!A:J, MATCH(INDEX( PointerTest!D:D, MATCH(INDEX(PointerTest!B:B, MATCH(B127, PointerTest!A:A, 0)), PointerTest!A:A, 0), 0), 'language&amp;DataTest'!A:A, 0), MATCH(HOME!$A$25, 'language&amp;DataTest'!$A$1:$H$1, 0))),                                          
IFERROR(INDEX('language&amp;DataTest'!A:J, MATCH(INDEX( PointerTest!E:E, MATCH(INDEX(PointerTest!B:B, MATCH(B127, PointerTest!A:A, 0)), PointerTest!A:A, 0), 0), 'language&amp;DataTest'!A:A, 0), MATCH(HOME!$A$25, 'language&amp;DataTest'!$A$1:$H$1, 0))))</f>
        <v>All</v>
      </c>
      <c r="E127" s="69" t="str">
        <f t="array" ref="E127">INDEX( PointerTest!F:F, MATCH(B127, PointerTest!A:A, 0), 0)</f>
        <v>♢</v>
      </c>
      <c r="F127" s="70">
        <f t="array" ref="F127">LET(percentage,XLOOKUP($E127,$K$2:$K$10,L$2:L$10,"",0)/(COUNTIFS($E:$E,$E127,$D:$D,RegularFormula!$D$2)+COUNTIFS($E:$E,$E127,$D:$D,IF($D127=RegularFormula!$D$2,$K$15,$D127))),IFERROR(IF(percentage,percentage,""),""))</f>
        <v>0.02272727273</v>
      </c>
      <c r="G127" s="71" t="str">
        <f t="array" ref="G127">LET(percentage,XLOOKUP($E127,$K$2:$K$10,M$2:M$10,"",0)/(COUNTIFS($E:$E,$E127,$D:$D,RegularFormula!$D$2)+COUNTIFS($E:$E,$E127,$D:$D,IF($D127=RegularFormula!$D$2,$K$15,$D127))),IFERROR(IF(percentage,percentage,""),""))</f>
        <v/>
      </c>
      <c r="H127" s="71" t="str">
        <f t="array" ref="H127">LET(percentage,XLOOKUP($E127,$K$2:$K$10,N$2:N$10,"",0)/(COUNTIFS($E:$E,$E127,$D:$D,RegularFormula!$D$2)+COUNTIFS($E:$E,$E127,$D:$D,IF($D127=RegularFormula!$D$2,$K$15,$D127))),IFERROR(IF(percentage,percentage,""),""))</f>
        <v/>
      </c>
      <c r="I127" s="72" t="str">
        <f t="shared" si="1"/>
        <v>*Based on Palkia ex pack</v>
      </c>
      <c r="J127" s="73">
        <v>0.0</v>
      </c>
      <c r="K127" s="194"/>
      <c r="L127" s="55"/>
      <c r="M127" s="55"/>
      <c r="N127" s="55"/>
      <c r="O127" s="98"/>
      <c r="P127" s="103"/>
      <c r="Q127" s="103"/>
      <c r="R127" s="103"/>
      <c r="S127" s="231" t="str">
        <f t="shared" si="2"/>
        <v/>
      </c>
    </row>
    <row r="128">
      <c r="A128" s="217" t="b">
        <v>1</v>
      </c>
      <c r="B128" s="230" t="s">
        <v>675</v>
      </c>
      <c r="C128" s="69" t="str">
        <f t="array" ref="C128">TEXTJOIN("", TRUE, IFERROR(INDEX('language&amp;DataTest'!A:J, MATCH(INDEX( PointerTest!C:C, MATCH(B128, PointerTest!A:A, 0), 0), 'language&amp;DataTest'!A:A, 0), MATCH(HOME!$A$25, 'language&amp;DataTest'!$A$1:$H$1, 0))),                      IFERROR(INDEX('language&amp;DataTest'!A:J, MATCH(INDEX( PointerTest!D:D, MATCH(B128, PointerTest!A:A, 0), 0), 'language&amp;DataTest'!A:A, 0), MATCH(HOME!$A$25, 'language&amp;DataTest'!$A$1:$H$1, 0))),                                          
IFERROR(INDEX('language&amp;DataTest'!A:J, MATCH(INDEX( PointerTest!E:E, MATCH(B128, PointerTest!A:A, 0), 0), 'language&amp;DataTest'!A:A, 0), MATCH(HOME!$A$25, 'language&amp;DataTest'!$A$1:$H$1, 0))))</f>
        <v>Porygon</v>
      </c>
      <c r="D128" s="69" t="str">
        <f t="array" ref="D128">TEXTJOIN("", TRUE, 
IFERROR(INDEX('language&amp;DataTest'!A:J, MATCH(INDEX( PointerTest!C:C, MATCH(INDEX(PointerTest!B:B, MATCH(B128, PointerTest!A:A, 0)), PointerTest!A:A, 0), 0), 'language&amp;DataTest'!A:A, 0), MATCH(HOME!$A$25, 'language&amp;DataTest'!$A$1:$H$1, 0))),                      
IFERROR(INDEX('language&amp;DataTest'!A:J, MATCH(INDEX( PointerTest!D:D, MATCH(INDEX(PointerTest!B:B, MATCH(B128, PointerTest!A:A, 0)), PointerTest!A:A, 0), 0), 'language&amp;DataTest'!A:A, 0), MATCH(HOME!$A$25, 'language&amp;DataTest'!$A$1:$H$1, 0))),                                          
IFERROR(INDEX('language&amp;DataTest'!A:J, MATCH(INDEX( PointerTest!E:E, MATCH(INDEX(PointerTest!B:B, MATCH(B128, PointerTest!A:A, 0)), PointerTest!A:A, 0), 0), 'language&amp;DataTest'!A:A, 0), MATCH(HOME!$A$25, 'language&amp;DataTest'!$A$1:$H$1, 0))))</f>
        <v>Palkia ex</v>
      </c>
      <c r="E128" s="69" t="str">
        <f t="array" ref="E128">INDEX( PointerTest!F:F, MATCH(B128, PointerTest!A:A, 0), 0)</f>
        <v>♢</v>
      </c>
      <c r="F128" s="70">
        <f t="array" ref="F128">LET(percentage,XLOOKUP($E128,$K$2:$K$10,L$2:L$10,"",0)/(COUNTIFS($E:$E,$E128,$D:$D,RegularFormula!$D$2)+COUNTIFS($E:$E,$E128,$D:$D,IF($D128=RegularFormula!$D$2,$K$15,$D128))),IFERROR(IF(percentage,percentage,""),""))</f>
        <v>0.02272727273</v>
      </c>
      <c r="G128" s="71" t="str">
        <f t="array" ref="G128">LET(percentage,XLOOKUP($E128,$K$2:$K$10,M$2:M$10,"",0)/(COUNTIFS($E:$E,$E128,$D:$D,RegularFormula!$D$2)+COUNTIFS($E:$E,$E128,$D:$D,IF($D128=RegularFormula!$D$2,$K$15,$D128))),IFERROR(IF(percentage,percentage,""),""))</f>
        <v/>
      </c>
      <c r="H128" s="71" t="str">
        <f t="array" ref="H128">LET(percentage,XLOOKUP($E128,$K$2:$K$10,N$2:N$10,"",0)/(COUNTIFS($E:$E,$E128,$D:$D,RegularFormula!$D$2)+COUNTIFS($E:$E,$E128,$D:$D,IF($D128=RegularFormula!$D$2,$K$15,$D128))),IFERROR(IF(percentage,percentage,""),""))</f>
        <v/>
      </c>
      <c r="I128" s="72" t="str">
        <f t="shared" si="1"/>
        <v/>
      </c>
      <c r="J128" s="73">
        <v>0.0</v>
      </c>
      <c r="K128" s="194"/>
      <c r="L128" s="55"/>
      <c r="M128" s="55"/>
      <c r="N128" s="55"/>
      <c r="O128" s="98"/>
      <c r="P128" s="103"/>
      <c r="Q128" s="103"/>
      <c r="R128" s="103"/>
      <c r="S128" s="231" t="str">
        <f t="shared" si="2"/>
        <v/>
      </c>
    </row>
    <row r="129">
      <c r="A129" s="217" t="b">
        <v>1</v>
      </c>
      <c r="B129" s="230" t="s">
        <v>676</v>
      </c>
      <c r="C129" s="69" t="str">
        <f t="array" ref="C129">TEXTJOIN("", TRUE, IFERROR(INDEX('language&amp;DataTest'!A:J, MATCH(INDEX( PointerTest!C:C, MATCH(B129, PointerTest!A:A, 0), 0), 'language&amp;DataTest'!A:A, 0), MATCH(HOME!$A$25, 'language&amp;DataTest'!$A$1:$H$1, 0))),                      IFERROR(INDEX('language&amp;DataTest'!A:J, MATCH(INDEX( PointerTest!D:D, MATCH(B129, PointerTest!A:A, 0), 0), 'language&amp;DataTest'!A:A, 0), MATCH(HOME!$A$25, 'language&amp;DataTest'!$A$1:$H$1, 0))),                                          
IFERROR(INDEX('language&amp;DataTest'!A:J, MATCH(INDEX( PointerTest!E:E, MATCH(B129, PointerTest!A:A, 0), 0), 'language&amp;DataTest'!A:A, 0), MATCH(HOME!$A$25, 'language&amp;DataTest'!$A$1:$H$1, 0))))</f>
        <v>Porygon2</v>
      </c>
      <c r="D129" s="69" t="str">
        <f t="array" ref="D129">TEXTJOIN("", TRUE, 
IFERROR(INDEX('language&amp;DataTest'!A:J, MATCH(INDEX( PointerTest!C:C, MATCH(INDEX(PointerTest!B:B, MATCH(B129, PointerTest!A:A, 0)), PointerTest!A:A, 0), 0), 'language&amp;DataTest'!A:A, 0), MATCH(HOME!$A$25, 'language&amp;DataTest'!$A$1:$H$1, 0))),                      
IFERROR(INDEX('language&amp;DataTest'!A:J, MATCH(INDEX( PointerTest!D:D, MATCH(INDEX(PointerTest!B:B, MATCH(B129, PointerTest!A:A, 0)), PointerTest!A:A, 0), 0), 'language&amp;DataTest'!A:A, 0), MATCH(HOME!$A$25, 'language&amp;DataTest'!$A$1:$H$1, 0))),                                          
IFERROR(INDEX('language&amp;DataTest'!A:J, MATCH(INDEX( PointerTest!E:E, MATCH(INDEX(PointerTest!B:B, MATCH(B129, PointerTest!A:A, 0)), PointerTest!A:A, 0), 0), 'language&amp;DataTest'!A:A, 0), MATCH(HOME!$A$25, 'language&amp;DataTest'!$A$1:$H$1, 0))))</f>
        <v>Palkia ex</v>
      </c>
      <c r="E129" s="69" t="str">
        <f t="array" ref="E129">INDEX( PointerTest!F:F, MATCH(B129, PointerTest!A:A, 0), 0)</f>
        <v>♢♢</v>
      </c>
      <c r="F129" s="70" t="str">
        <f t="array" ref="F129">LET(percentage,XLOOKUP($E129,$K$2:$K$10,L$2:L$10,"",0)/(COUNTIFS($E:$E,$E129,$D:$D,RegularFormula!$D$2)+COUNTIFS($E:$E,$E129,$D:$D,IF($D129=RegularFormula!$D$2,$K$15,$D129))),IFERROR(IF(percentage,percentage,""),""))</f>
        <v/>
      </c>
      <c r="G129" s="71">
        <f t="array" ref="G129">LET(percentage,XLOOKUP($E129,$K$2:$K$10,M$2:M$10,"",0)/(COUNTIFS($E:$E,$E129,$D:$D,RegularFormula!$D$2)+COUNTIFS($E:$E,$E129,$D:$D,IF($D129=RegularFormula!$D$2,$K$15,$D129))),IFERROR(IF(percentage,percentage,""),""))</f>
        <v>0.025</v>
      </c>
      <c r="H129" s="71">
        <f t="array" ref="H129">LET(percentage,XLOOKUP($E129,$K$2:$K$10,N$2:N$10,"",0)/(COUNTIFS($E:$E,$E129,$D:$D,RegularFormula!$D$2)+COUNTIFS($E:$E,$E129,$D:$D,IF($D129=RegularFormula!$D$2,$K$15,$D129))),IFERROR(IF(percentage,percentage,""),""))</f>
        <v>0.01666666667</v>
      </c>
      <c r="I129" s="72" t="str">
        <f t="shared" si="1"/>
        <v/>
      </c>
      <c r="J129" s="73">
        <v>0.0</v>
      </c>
      <c r="K129" s="194"/>
      <c r="L129" s="55"/>
      <c r="M129" s="55"/>
      <c r="N129" s="55"/>
      <c r="O129" s="98"/>
      <c r="P129" s="103"/>
      <c r="Q129" s="103"/>
      <c r="R129" s="103"/>
      <c r="S129" s="231" t="str">
        <f t="shared" si="2"/>
        <v/>
      </c>
    </row>
    <row r="130">
      <c r="A130" s="217" t="b">
        <v>1</v>
      </c>
      <c r="B130" s="230" t="s">
        <v>677</v>
      </c>
      <c r="C130" s="69" t="str">
        <f t="array" ref="C130">TEXTJOIN("", TRUE, IFERROR(INDEX('language&amp;DataTest'!A:J, MATCH(INDEX( PointerTest!C:C, MATCH(B130, PointerTest!A:A, 0), 0), 'language&amp;DataTest'!A:A, 0), MATCH(HOME!$A$25, 'language&amp;DataTest'!$A$1:$H$1, 0))),                      IFERROR(INDEX('language&amp;DataTest'!A:J, MATCH(INDEX( PointerTest!D:D, MATCH(B130, PointerTest!A:A, 0), 0), 'language&amp;DataTest'!A:A, 0), MATCH(HOME!$A$25, 'language&amp;DataTest'!$A$1:$H$1, 0))),                                          
IFERROR(INDEX('language&amp;DataTest'!A:J, MATCH(INDEX( PointerTest!E:E, MATCH(B130, PointerTest!A:A, 0), 0), 'language&amp;DataTest'!A:A, 0), MATCH(HOME!$A$25, 'language&amp;DataTest'!$A$1:$H$1, 0))))</f>
        <v>Porygon-Z</v>
      </c>
      <c r="D130" s="69" t="str">
        <f t="array" ref="D130">TEXTJOIN("", TRUE, 
IFERROR(INDEX('language&amp;DataTest'!A:J, MATCH(INDEX( PointerTest!C:C, MATCH(INDEX(PointerTest!B:B, MATCH(B130, PointerTest!A:A, 0)), PointerTest!A:A, 0), 0), 'language&amp;DataTest'!A:A, 0), MATCH(HOME!$A$25, 'language&amp;DataTest'!$A$1:$H$1, 0))),                      
IFERROR(INDEX('language&amp;DataTest'!A:J, MATCH(INDEX( PointerTest!D:D, MATCH(INDEX(PointerTest!B:B, MATCH(B130, PointerTest!A:A, 0)), PointerTest!A:A, 0), 0), 'language&amp;DataTest'!A:A, 0), MATCH(HOME!$A$25, 'language&amp;DataTest'!$A$1:$H$1, 0))),                                          
IFERROR(INDEX('language&amp;DataTest'!A:J, MATCH(INDEX( PointerTest!E:E, MATCH(INDEX(PointerTest!B:B, MATCH(B130, PointerTest!A:A, 0)), PointerTest!A:A, 0), 0), 'language&amp;DataTest'!A:A, 0), MATCH(HOME!$A$25, 'language&amp;DataTest'!$A$1:$H$1, 0))))</f>
        <v>Palkia ex</v>
      </c>
      <c r="E130" s="69" t="str">
        <f t="array" ref="E130">INDEX( PointerTest!F:F, MATCH(B130, PointerTest!A:A, 0), 0)</f>
        <v>♢♢♢</v>
      </c>
      <c r="F130" s="70" t="str">
        <f t="array" ref="F130">LET(percentage,XLOOKUP($E130,$K$2:$K$10,L$2:L$10,"",0)/(COUNTIFS($E:$E,$E130,$D:$D,RegularFormula!$D$2)+COUNTIFS($E:$E,$E130,$D:$D,IF($D130=RegularFormula!$D$2,$K$15,$D130))),IFERROR(IF(percentage,percentage,""),""))</f>
        <v/>
      </c>
      <c r="G130" s="71">
        <f t="array" ref="G130">LET(percentage,XLOOKUP($E130,$K$2:$K$10,M$2:M$10,"",0)/(COUNTIFS($E:$E,$E130,$D:$D,RegularFormula!$D$2)+COUNTIFS($E:$E,$E130,$D:$D,IF($D130=RegularFormula!$D$2,$K$15,$D130))),IFERROR(IF(percentage,percentage,""),""))</f>
        <v>0.003571428571</v>
      </c>
      <c r="H130" s="71">
        <f t="array" ref="H130">LET(percentage,XLOOKUP($E130,$K$2:$K$10,N$2:N$10,"",0)/(COUNTIFS($E:$E,$E130,$D:$D,RegularFormula!$D$2)+COUNTIFS($E:$E,$E130,$D:$D,IF($D130=RegularFormula!$D$2,$K$15,$D130))),IFERROR(IF(percentage,percentage,""),""))</f>
        <v>0.01428571429</v>
      </c>
      <c r="I130" s="72" t="str">
        <f t="shared" si="1"/>
        <v/>
      </c>
      <c r="J130" s="73">
        <v>0.0</v>
      </c>
      <c r="K130" s="194"/>
      <c r="L130" s="55"/>
      <c r="M130" s="55"/>
      <c r="N130" s="55"/>
      <c r="O130" s="98"/>
      <c r="P130" s="103"/>
      <c r="Q130" s="103"/>
      <c r="R130" s="103"/>
      <c r="S130" s="231" t="str">
        <f t="shared" si="2"/>
        <v/>
      </c>
    </row>
    <row r="131">
      <c r="A131" s="217" t="b">
        <v>1</v>
      </c>
      <c r="B131" s="230" t="s">
        <v>678</v>
      </c>
      <c r="C131" s="69" t="str">
        <f t="array" ref="C131">TEXTJOIN("", TRUE, IFERROR(INDEX('language&amp;DataTest'!A:J, MATCH(INDEX( PointerTest!C:C, MATCH(B131, PointerTest!A:A, 0), 0), 'language&amp;DataTest'!A:A, 0), MATCH(HOME!$A$25, 'language&amp;DataTest'!$A$1:$H$1, 0))),                      IFERROR(INDEX('language&amp;DataTest'!A:J, MATCH(INDEX( PointerTest!D:D, MATCH(B131, PointerTest!A:A, 0), 0), 'language&amp;DataTest'!A:A, 0), MATCH(HOME!$A$25, 'language&amp;DataTest'!$A$1:$H$1, 0))),                                          
IFERROR(INDEX('language&amp;DataTest'!A:J, MATCH(INDEX( PointerTest!E:E, MATCH(B131, PointerTest!A:A, 0), 0), 'language&amp;DataTest'!A:A, 0), MATCH(HOME!$A$25, 'language&amp;DataTest'!$A$1:$H$1, 0))))</f>
        <v>Aipom</v>
      </c>
      <c r="D131" s="69" t="str">
        <f t="array" ref="D131">TEXTJOIN("", TRUE, 
IFERROR(INDEX('language&amp;DataTest'!A:J, MATCH(INDEX( PointerTest!C:C, MATCH(INDEX(PointerTest!B:B, MATCH(B131, PointerTest!A:A, 0)), PointerTest!A:A, 0), 0), 'language&amp;DataTest'!A:A, 0), MATCH(HOME!$A$25, 'language&amp;DataTest'!$A$1:$H$1, 0))),                      
IFERROR(INDEX('language&amp;DataTest'!A:J, MATCH(INDEX( PointerTest!D:D, MATCH(INDEX(PointerTest!B:B, MATCH(B131, PointerTest!A:A, 0)), PointerTest!A:A, 0), 0), 'language&amp;DataTest'!A:A, 0), MATCH(HOME!$A$25, 'language&amp;DataTest'!$A$1:$H$1, 0))),                                          
IFERROR(INDEX('language&amp;DataTest'!A:J, MATCH(INDEX( PointerTest!E:E, MATCH(INDEX(PointerTest!B:B, MATCH(B131, PointerTest!A:A, 0)), PointerTest!A:A, 0), 0), 'language&amp;DataTest'!A:A, 0), MATCH(HOME!$A$25, 'language&amp;DataTest'!$A$1:$H$1, 0))))</f>
        <v>All</v>
      </c>
      <c r="E131" s="69" t="str">
        <f t="array" ref="E131">INDEX( PointerTest!F:F, MATCH(B131, PointerTest!A:A, 0), 0)</f>
        <v>♢</v>
      </c>
      <c r="F131" s="70">
        <f t="array" ref="F131">LET(percentage,XLOOKUP($E131,$K$2:$K$10,L$2:L$10,"",0)/(COUNTIFS($E:$E,$E131,$D:$D,RegularFormula!$D$2)+COUNTIFS($E:$E,$E131,$D:$D,IF($D131=RegularFormula!$D$2,$K$15,$D131))),IFERROR(IF(percentage,percentage,""),""))</f>
        <v>0.02272727273</v>
      </c>
      <c r="G131" s="71" t="str">
        <f t="array" ref="G131">LET(percentage,XLOOKUP($E131,$K$2:$K$10,M$2:M$10,"",0)/(COUNTIFS($E:$E,$E131,$D:$D,RegularFormula!$D$2)+COUNTIFS($E:$E,$E131,$D:$D,IF($D131=RegularFormula!$D$2,$K$15,$D131))),IFERROR(IF(percentage,percentage,""),""))</f>
        <v/>
      </c>
      <c r="H131" s="71" t="str">
        <f t="array" ref="H131">LET(percentage,XLOOKUP($E131,$K$2:$K$10,N$2:N$10,"",0)/(COUNTIFS($E:$E,$E131,$D:$D,RegularFormula!$D$2)+COUNTIFS($E:$E,$E131,$D:$D,IF($D131=RegularFormula!$D$2,$K$15,$D131))),IFERROR(IF(percentage,percentage,""),""))</f>
        <v/>
      </c>
      <c r="I131" s="72" t="str">
        <f t="shared" si="1"/>
        <v>*Based on Palkia ex pack</v>
      </c>
      <c r="J131" s="73">
        <v>0.0</v>
      </c>
      <c r="K131" s="194"/>
      <c r="L131" s="55"/>
      <c r="M131" s="55"/>
      <c r="N131" s="55"/>
      <c r="O131" s="98"/>
      <c r="P131" s="103"/>
      <c r="Q131" s="103"/>
      <c r="R131" s="103"/>
      <c r="S131" s="231" t="str">
        <f t="shared" si="2"/>
        <v/>
      </c>
    </row>
    <row r="132">
      <c r="A132" s="217" t="b">
        <v>1</v>
      </c>
      <c r="B132" s="230" t="s">
        <v>679</v>
      </c>
      <c r="C132" s="69" t="str">
        <f t="array" ref="C132">TEXTJOIN("", TRUE, IFERROR(INDEX('language&amp;DataTest'!A:J, MATCH(INDEX( PointerTest!C:C, MATCH(B132, PointerTest!A:A, 0), 0), 'language&amp;DataTest'!A:A, 0), MATCH(HOME!$A$25, 'language&amp;DataTest'!$A$1:$H$1, 0))),                      IFERROR(INDEX('language&amp;DataTest'!A:J, MATCH(INDEX( PointerTest!D:D, MATCH(B132, PointerTest!A:A, 0), 0), 'language&amp;DataTest'!A:A, 0), MATCH(HOME!$A$25, 'language&amp;DataTest'!$A$1:$H$1, 0))),                                          
IFERROR(INDEX('language&amp;DataTest'!A:J, MATCH(INDEX( PointerTest!E:E, MATCH(B132, PointerTest!A:A, 0), 0), 'language&amp;DataTest'!A:A, 0), MATCH(HOME!$A$25, 'language&amp;DataTest'!$A$1:$H$1, 0))))</f>
        <v>Ambipom</v>
      </c>
      <c r="D132" s="69" t="str">
        <f t="array" ref="D132">TEXTJOIN("", TRUE, 
IFERROR(INDEX('language&amp;DataTest'!A:J, MATCH(INDEX( PointerTest!C:C, MATCH(INDEX(PointerTest!B:B, MATCH(B132, PointerTest!A:A, 0)), PointerTest!A:A, 0), 0), 'language&amp;DataTest'!A:A, 0), MATCH(HOME!$A$25, 'language&amp;DataTest'!$A$1:$H$1, 0))),                      
IFERROR(INDEX('language&amp;DataTest'!A:J, MATCH(INDEX( PointerTest!D:D, MATCH(INDEX(PointerTest!B:B, MATCH(B132, PointerTest!A:A, 0)), PointerTest!A:A, 0), 0), 'language&amp;DataTest'!A:A, 0), MATCH(HOME!$A$25, 'language&amp;DataTest'!$A$1:$H$1, 0))),                                          
IFERROR(INDEX('language&amp;DataTest'!A:J, MATCH(INDEX( PointerTest!E:E, MATCH(INDEX(PointerTest!B:B, MATCH(B132, PointerTest!A:A, 0)), PointerTest!A:A, 0), 0), 'language&amp;DataTest'!A:A, 0), MATCH(HOME!$A$25, 'language&amp;DataTest'!$A$1:$H$1, 0))))</f>
        <v>All</v>
      </c>
      <c r="E132" s="69" t="str">
        <f t="array" ref="E132">INDEX( PointerTest!F:F, MATCH(B132, PointerTest!A:A, 0), 0)</f>
        <v>♢</v>
      </c>
      <c r="F132" s="70">
        <f t="array" ref="F132">LET(percentage,XLOOKUP($E132,$K$2:$K$10,L$2:L$10,"",0)/(COUNTIFS($E:$E,$E132,$D:$D,RegularFormula!$D$2)+COUNTIFS($E:$E,$E132,$D:$D,IF($D132=RegularFormula!$D$2,$K$15,$D132))),IFERROR(IF(percentage,percentage,""),""))</f>
        <v>0.02272727273</v>
      </c>
      <c r="G132" s="71" t="str">
        <f t="array" ref="G132">LET(percentage,XLOOKUP($E132,$K$2:$K$10,M$2:M$10,"",0)/(COUNTIFS($E:$E,$E132,$D:$D,RegularFormula!$D$2)+COUNTIFS($E:$E,$E132,$D:$D,IF($D132=RegularFormula!$D$2,$K$15,$D132))),IFERROR(IF(percentage,percentage,""),""))</f>
        <v/>
      </c>
      <c r="H132" s="71" t="str">
        <f t="array" ref="H132">LET(percentage,XLOOKUP($E132,$K$2:$K$10,N$2:N$10,"",0)/(COUNTIFS($E:$E,$E132,$D:$D,RegularFormula!$D$2)+COUNTIFS($E:$E,$E132,$D:$D,IF($D132=RegularFormula!$D$2,$K$15,$D132))),IFERROR(IF(percentage,percentage,""),""))</f>
        <v/>
      </c>
      <c r="I132" s="72" t="str">
        <f t="shared" si="1"/>
        <v>*Based on Palkia ex pack</v>
      </c>
      <c r="J132" s="73">
        <v>0.0</v>
      </c>
      <c r="K132" s="194"/>
      <c r="L132" s="55"/>
      <c r="M132" s="55"/>
      <c r="N132" s="55"/>
      <c r="O132" s="98"/>
      <c r="P132" s="103"/>
      <c r="Q132" s="103"/>
      <c r="R132" s="103"/>
      <c r="S132" s="231" t="str">
        <f t="shared" si="2"/>
        <v/>
      </c>
    </row>
    <row r="133">
      <c r="A133" s="217" t="b">
        <v>1</v>
      </c>
      <c r="B133" s="230" t="s">
        <v>680</v>
      </c>
      <c r="C133" s="69" t="str">
        <f t="array" ref="C133">TEXTJOIN("", TRUE, IFERROR(INDEX('language&amp;DataTest'!A:J, MATCH(INDEX( PointerTest!C:C, MATCH(B133, PointerTest!A:A, 0), 0), 'language&amp;DataTest'!A:A, 0), MATCH(HOME!$A$25, 'language&amp;DataTest'!$A$1:$H$1, 0))),                      IFERROR(INDEX('language&amp;DataTest'!A:J, MATCH(INDEX( PointerTest!D:D, MATCH(B133, PointerTest!A:A, 0), 0), 'language&amp;DataTest'!A:A, 0), MATCH(HOME!$A$25, 'language&amp;DataTest'!$A$1:$H$1, 0))),                                          
IFERROR(INDEX('language&amp;DataTest'!A:J, MATCH(INDEX( PointerTest!E:E, MATCH(B133, PointerTest!A:A, 0), 0), 'language&amp;DataTest'!A:A, 0), MATCH(HOME!$A$25, 'language&amp;DataTest'!$A$1:$H$1, 0))))</f>
        <v>Starly</v>
      </c>
      <c r="D133" s="69" t="str">
        <f t="array" ref="D133">TEXTJOIN("", TRUE, 
IFERROR(INDEX('language&amp;DataTest'!A:J, MATCH(INDEX( PointerTest!C:C, MATCH(INDEX(PointerTest!B:B, MATCH(B133, PointerTest!A:A, 0)), PointerTest!A:A, 0), 0), 'language&amp;DataTest'!A:A, 0), MATCH(HOME!$A$25, 'language&amp;DataTest'!$A$1:$H$1, 0))),                      
IFERROR(INDEX('language&amp;DataTest'!A:J, MATCH(INDEX( PointerTest!D:D, MATCH(INDEX(PointerTest!B:B, MATCH(B133, PointerTest!A:A, 0)), PointerTest!A:A, 0), 0), 'language&amp;DataTest'!A:A, 0), MATCH(HOME!$A$25, 'language&amp;DataTest'!$A$1:$H$1, 0))),                                          
IFERROR(INDEX('language&amp;DataTest'!A:J, MATCH(INDEX( PointerTest!E:E, MATCH(INDEX(PointerTest!B:B, MATCH(B133, PointerTest!A:A, 0)), PointerTest!A:A, 0), 0), 'language&amp;DataTest'!A:A, 0), MATCH(HOME!$A$25, 'language&amp;DataTest'!$A$1:$H$1, 0))))</f>
        <v>Palkia ex</v>
      </c>
      <c r="E133" s="69" t="str">
        <f t="array" ref="E133">INDEX( PointerTest!F:F, MATCH(B133, PointerTest!A:A, 0), 0)</f>
        <v>♢</v>
      </c>
      <c r="F133" s="70">
        <f t="array" ref="F133">LET(percentage,XLOOKUP($E133,$K$2:$K$10,L$2:L$10,"",0)/(COUNTIFS($E:$E,$E133,$D:$D,RegularFormula!$D$2)+COUNTIFS($E:$E,$E133,$D:$D,IF($D133=RegularFormula!$D$2,$K$15,$D133))),IFERROR(IF(percentage,percentage,""),""))</f>
        <v>0.02272727273</v>
      </c>
      <c r="G133" s="71" t="str">
        <f t="array" ref="G133">LET(percentage,XLOOKUP($E133,$K$2:$K$10,M$2:M$10,"",0)/(COUNTIFS($E:$E,$E133,$D:$D,RegularFormula!$D$2)+COUNTIFS($E:$E,$E133,$D:$D,IF($D133=RegularFormula!$D$2,$K$15,$D133))),IFERROR(IF(percentage,percentage,""),""))</f>
        <v/>
      </c>
      <c r="H133" s="71" t="str">
        <f t="array" ref="H133">LET(percentage,XLOOKUP($E133,$K$2:$K$10,N$2:N$10,"",0)/(COUNTIFS($E:$E,$E133,$D:$D,RegularFormula!$D$2)+COUNTIFS($E:$E,$E133,$D:$D,IF($D133=RegularFormula!$D$2,$K$15,$D133))),IFERROR(IF(percentage,percentage,""),""))</f>
        <v/>
      </c>
      <c r="I133" s="72" t="str">
        <f t="shared" si="1"/>
        <v/>
      </c>
      <c r="J133" s="73">
        <v>0.0</v>
      </c>
      <c r="K133" s="194"/>
      <c r="L133" s="55"/>
      <c r="M133" s="55"/>
      <c r="N133" s="55"/>
      <c r="O133" s="98"/>
      <c r="P133" s="103"/>
      <c r="Q133" s="103"/>
      <c r="R133" s="103"/>
      <c r="S133" s="231" t="str">
        <f t="shared" si="2"/>
        <v/>
      </c>
    </row>
    <row r="134">
      <c r="A134" s="217" t="b">
        <v>1</v>
      </c>
      <c r="B134" s="230" t="s">
        <v>681</v>
      </c>
      <c r="C134" s="69" t="str">
        <f t="array" ref="C134">TEXTJOIN("", TRUE, IFERROR(INDEX('language&amp;DataTest'!A:J, MATCH(INDEX( PointerTest!C:C, MATCH(B134, PointerTest!A:A, 0), 0), 'language&amp;DataTest'!A:A, 0), MATCH(HOME!$A$25, 'language&amp;DataTest'!$A$1:$H$1, 0))),                      IFERROR(INDEX('language&amp;DataTest'!A:J, MATCH(INDEX( PointerTest!D:D, MATCH(B134, PointerTest!A:A, 0), 0), 'language&amp;DataTest'!A:A, 0), MATCH(HOME!$A$25, 'language&amp;DataTest'!$A$1:$H$1, 0))),                                          
IFERROR(INDEX('language&amp;DataTest'!A:J, MATCH(INDEX( PointerTest!E:E, MATCH(B134, PointerTest!A:A, 0), 0), 'language&amp;DataTest'!A:A, 0), MATCH(HOME!$A$25, 'language&amp;DataTest'!$A$1:$H$1, 0))))</f>
        <v>Staravia</v>
      </c>
      <c r="D134" s="69" t="str">
        <f t="array" ref="D134">TEXTJOIN("", TRUE, 
IFERROR(INDEX('language&amp;DataTest'!A:J, MATCH(INDEX( PointerTest!C:C, MATCH(INDEX(PointerTest!B:B, MATCH(B134, PointerTest!A:A, 0)), PointerTest!A:A, 0), 0), 'language&amp;DataTest'!A:A, 0), MATCH(HOME!$A$25, 'language&amp;DataTest'!$A$1:$H$1, 0))),                      
IFERROR(INDEX('language&amp;DataTest'!A:J, MATCH(INDEX( PointerTest!D:D, MATCH(INDEX(PointerTest!B:B, MATCH(B134, PointerTest!A:A, 0)), PointerTest!A:A, 0), 0), 'language&amp;DataTest'!A:A, 0), MATCH(HOME!$A$25, 'language&amp;DataTest'!$A$1:$H$1, 0))),                                          
IFERROR(INDEX('language&amp;DataTest'!A:J, MATCH(INDEX( PointerTest!E:E, MATCH(INDEX(PointerTest!B:B, MATCH(B134, PointerTest!A:A, 0)), PointerTest!A:A, 0), 0), 'language&amp;DataTest'!A:A, 0), MATCH(HOME!$A$25, 'language&amp;DataTest'!$A$1:$H$1, 0))))</f>
        <v>Palkia ex</v>
      </c>
      <c r="E134" s="69" t="str">
        <f t="array" ref="E134">INDEX( PointerTest!F:F, MATCH(B134, PointerTest!A:A, 0), 0)</f>
        <v>♢</v>
      </c>
      <c r="F134" s="70">
        <f t="array" ref="F134">LET(percentage,XLOOKUP($E134,$K$2:$K$10,L$2:L$10,"",0)/(COUNTIFS($E:$E,$E134,$D:$D,RegularFormula!$D$2)+COUNTIFS($E:$E,$E134,$D:$D,IF($D134=RegularFormula!$D$2,$K$15,$D134))),IFERROR(IF(percentage,percentage,""),""))</f>
        <v>0.02272727273</v>
      </c>
      <c r="G134" s="71" t="str">
        <f t="array" ref="G134">LET(percentage,XLOOKUP($E134,$K$2:$K$10,M$2:M$10,"",0)/(COUNTIFS($E:$E,$E134,$D:$D,RegularFormula!$D$2)+COUNTIFS($E:$E,$E134,$D:$D,IF($D134=RegularFormula!$D$2,$K$15,$D134))),IFERROR(IF(percentage,percentage,""),""))</f>
        <v/>
      </c>
      <c r="H134" s="71" t="str">
        <f t="array" ref="H134">LET(percentage,XLOOKUP($E134,$K$2:$K$10,N$2:N$10,"",0)/(COUNTIFS($E:$E,$E134,$D:$D,RegularFormula!$D$2)+COUNTIFS($E:$E,$E134,$D:$D,IF($D134=RegularFormula!$D$2,$K$15,$D134))),IFERROR(IF(percentage,percentage,""),""))</f>
        <v/>
      </c>
      <c r="I134" s="72" t="str">
        <f t="shared" si="1"/>
        <v/>
      </c>
      <c r="J134" s="73">
        <v>0.0</v>
      </c>
      <c r="K134" s="194"/>
      <c r="L134" s="55"/>
      <c r="M134" s="55"/>
      <c r="N134" s="55"/>
      <c r="O134" s="98"/>
      <c r="P134" s="103"/>
      <c r="Q134" s="103"/>
      <c r="R134" s="103"/>
      <c r="S134" s="231" t="str">
        <f t="shared" si="2"/>
        <v/>
      </c>
    </row>
    <row r="135">
      <c r="A135" s="217" t="b">
        <v>1</v>
      </c>
      <c r="B135" s="230" t="s">
        <v>682</v>
      </c>
      <c r="C135" s="69" t="str">
        <f t="array" ref="C135">TEXTJOIN("", TRUE, IFERROR(INDEX('language&amp;DataTest'!A:J, MATCH(INDEX( PointerTest!C:C, MATCH(B135, PointerTest!A:A, 0), 0), 'language&amp;DataTest'!A:A, 0), MATCH(HOME!$A$25, 'language&amp;DataTest'!$A$1:$H$1, 0))),                      IFERROR(INDEX('language&amp;DataTest'!A:J, MATCH(INDEX( PointerTest!D:D, MATCH(B135, PointerTest!A:A, 0), 0), 'language&amp;DataTest'!A:A, 0), MATCH(HOME!$A$25, 'language&amp;DataTest'!$A$1:$H$1, 0))),                                          
IFERROR(INDEX('language&amp;DataTest'!A:J, MATCH(INDEX( PointerTest!E:E, MATCH(B135, PointerTest!A:A, 0), 0), 'language&amp;DataTest'!A:A, 0), MATCH(HOME!$A$25, 'language&amp;DataTest'!$A$1:$H$1, 0))))</f>
        <v>Staraptor</v>
      </c>
      <c r="D135" s="69" t="str">
        <f t="array" ref="D135">TEXTJOIN("", TRUE, 
IFERROR(INDEX('language&amp;DataTest'!A:J, MATCH(INDEX( PointerTest!C:C, MATCH(INDEX(PointerTest!B:B, MATCH(B135, PointerTest!A:A, 0)), PointerTest!A:A, 0), 0), 'language&amp;DataTest'!A:A, 0), MATCH(HOME!$A$25, 'language&amp;DataTest'!$A$1:$H$1, 0))),                      
IFERROR(INDEX('language&amp;DataTest'!A:J, MATCH(INDEX( PointerTest!D:D, MATCH(INDEX(PointerTest!B:B, MATCH(B135, PointerTest!A:A, 0)), PointerTest!A:A, 0), 0), 'language&amp;DataTest'!A:A, 0), MATCH(HOME!$A$25, 'language&amp;DataTest'!$A$1:$H$1, 0))),                                          
IFERROR(INDEX('language&amp;DataTest'!A:J, MATCH(INDEX( PointerTest!E:E, MATCH(INDEX(PointerTest!B:B, MATCH(B135, PointerTest!A:A, 0)), PointerTest!A:A, 0), 0), 'language&amp;DataTest'!A:A, 0), MATCH(HOME!$A$25, 'language&amp;DataTest'!$A$1:$H$1, 0))))</f>
        <v>Palkia ex</v>
      </c>
      <c r="E135" s="69" t="str">
        <f t="array" ref="E135">INDEX( PointerTest!F:F, MATCH(B135, PointerTest!A:A, 0), 0)</f>
        <v>♢♢</v>
      </c>
      <c r="F135" s="70" t="str">
        <f t="array" ref="F135">LET(percentage,XLOOKUP($E135,$K$2:$K$10,L$2:L$10,"",0)/(COUNTIFS($E:$E,$E135,$D:$D,RegularFormula!$D$2)+COUNTIFS($E:$E,$E135,$D:$D,IF($D135=RegularFormula!$D$2,$K$15,$D135))),IFERROR(IF(percentage,percentage,""),""))</f>
        <v/>
      </c>
      <c r="G135" s="71">
        <f t="array" ref="G135">LET(percentage,XLOOKUP($E135,$K$2:$K$10,M$2:M$10,"",0)/(COUNTIFS($E:$E,$E135,$D:$D,RegularFormula!$D$2)+COUNTIFS($E:$E,$E135,$D:$D,IF($D135=RegularFormula!$D$2,$K$15,$D135))),IFERROR(IF(percentage,percentage,""),""))</f>
        <v>0.025</v>
      </c>
      <c r="H135" s="71">
        <f t="array" ref="H135">LET(percentage,XLOOKUP($E135,$K$2:$K$10,N$2:N$10,"",0)/(COUNTIFS($E:$E,$E135,$D:$D,RegularFormula!$D$2)+COUNTIFS($E:$E,$E135,$D:$D,IF($D135=RegularFormula!$D$2,$K$15,$D135))),IFERROR(IF(percentage,percentage,""),""))</f>
        <v>0.01666666667</v>
      </c>
      <c r="I135" s="72" t="str">
        <f t="shared" si="1"/>
        <v/>
      </c>
      <c r="J135" s="73">
        <v>0.0</v>
      </c>
      <c r="K135" s="194"/>
      <c r="L135" s="55"/>
      <c r="M135" s="55"/>
      <c r="N135" s="55"/>
      <c r="O135" s="98"/>
      <c r="P135" s="103"/>
      <c r="Q135" s="103"/>
      <c r="R135" s="103"/>
      <c r="S135" s="231" t="str">
        <f t="shared" si="2"/>
        <v/>
      </c>
    </row>
    <row r="136">
      <c r="A136" s="217" t="b">
        <v>1</v>
      </c>
      <c r="B136" s="230" t="s">
        <v>683</v>
      </c>
      <c r="C136" s="69" t="str">
        <f t="array" ref="C136">TEXTJOIN("", TRUE, IFERROR(INDEX('language&amp;DataTest'!A:J, MATCH(INDEX( PointerTest!C:C, MATCH(B136, PointerTest!A:A, 0), 0), 'language&amp;DataTest'!A:A, 0), MATCH(HOME!$A$25, 'language&amp;DataTest'!$A$1:$H$1, 0))),                      IFERROR(INDEX('language&amp;DataTest'!A:J, MATCH(INDEX( PointerTest!D:D, MATCH(B136, PointerTest!A:A, 0), 0), 'language&amp;DataTest'!A:A, 0), MATCH(HOME!$A$25, 'language&amp;DataTest'!$A$1:$H$1, 0))),                                          
IFERROR(INDEX('language&amp;DataTest'!A:J, MATCH(INDEX( PointerTest!E:E, MATCH(B136, PointerTest!A:A, 0), 0), 'language&amp;DataTest'!A:A, 0), MATCH(HOME!$A$25, 'language&amp;DataTest'!$A$1:$H$1, 0))))</f>
        <v>Bidoof</v>
      </c>
      <c r="D136" s="69" t="str">
        <f t="array" ref="D136">TEXTJOIN("", TRUE, 
IFERROR(INDEX('language&amp;DataTest'!A:J, MATCH(INDEX( PointerTest!C:C, MATCH(INDEX(PointerTest!B:B, MATCH(B136, PointerTest!A:A, 0)), PointerTest!A:A, 0), 0), 'language&amp;DataTest'!A:A, 0), MATCH(HOME!$A$25, 'language&amp;DataTest'!$A$1:$H$1, 0))),                      
IFERROR(INDEX('language&amp;DataTest'!A:J, MATCH(INDEX( PointerTest!D:D, MATCH(INDEX(PointerTest!B:B, MATCH(B136, PointerTest!A:A, 0)), PointerTest!A:A, 0), 0), 'language&amp;DataTest'!A:A, 0), MATCH(HOME!$A$25, 'language&amp;DataTest'!$A$1:$H$1, 0))),                                          
IFERROR(INDEX('language&amp;DataTest'!A:J, MATCH(INDEX( PointerTest!E:E, MATCH(INDEX(PointerTest!B:B, MATCH(B136, PointerTest!A:A, 0)), PointerTest!A:A, 0), 0), 'language&amp;DataTest'!A:A, 0), MATCH(HOME!$A$25, 'language&amp;DataTest'!$A$1:$H$1, 0))))</f>
        <v>Dialga ex</v>
      </c>
      <c r="E136" s="69" t="str">
        <f t="array" ref="E136">INDEX( PointerTest!F:F, MATCH(B136, PointerTest!A:A, 0), 0)</f>
        <v>♢</v>
      </c>
      <c r="F136" s="70">
        <f t="array" ref="F136">LET(percentage,XLOOKUP($E136,$K$2:$K$10,L$2:L$10,"",0)/(COUNTIFS($E:$E,$E136,$D:$D,RegularFormula!$D$2)+COUNTIFS($E:$E,$E136,$D:$D,IF($D136=RegularFormula!$D$2,$K$15,$D136))),IFERROR(IF(percentage,percentage,""),""))</f>
        <v>0.02173913043</v>
      </c>
      <c r="G136" s="71" t="str">
        <f t="array" ref="G136">LET(percentage,XLOOKUP($E136,$K$2:$K$10,M$2:M$10,"",0)/(COUNTIFS($E:$E,$E136,$D:$D,RegularFormula!$D$2)+COUNTIFS($E:$E,$E136,$D:$D,IF($D136=RegularFormula!$D$2,$K$15,$D136))),IFERROR(IF(percentage,percentage,""),""))</f>
        <v/>
      </c>
      <c r="H136" s="71" t="str">
        <f t="array" ref="H136">LET(percentage,XLOOKUP($E136,$K$2:$K$10,N$2:N$10,"",0)/(COUNTIFS($E:$E,$E136,$D:$D,RegularFormula!$D$2)+COUNTIFS($E:$E,$E136,$D:$D,IF($D136=RegularFormula!$D$2,$K$15,$D136))),IFERROR(IF(percentage,percentage,""),""))</f>
        <v/>
      </c>
      <c r="I136" s="72" t="str">
        <f t="shared" si="1"/>
        <v/>
      </c>
      <c r="J136" s="73">
        <v>0.0</v>
      </c>
      <c r="K136" s="194"/>
      <c r="L136" s="55"/>
      <c r="M136" s="55"/>
      <c r="N136" s="55"/>
      <c r="O136" s="98"/>
      <c r="P136" s="103"/>
      <c r="Q136" s="103"/>
      <c r="R136" s="103"/>
      <c r="S136" s="231" t="str">
        <f t="shared" si="2"/>
        <v/>
      </c>
    </row>
    <row r="137">
      <c r="A137" s="217" t="b">
        <v>1</v>
      </c>
      <c r="B137" s="230" t="s">
        <v>684</v>
      </c>
      <c r="C137" s="69" t="str">
        <f t="array" ref="C137">TEXTJOIN("", TRUE, IFERROR(INDEX('language&amp;DataTest'!A:J, MATCH(INDEX( PointerTest!C:C, MATCH(B137, PointerTest!A:A, 0), 0), 'language&amp;DataTest'!A:A, 0), MATCH(HOME!$A$25, 'language&amp;DataTest'!$A$1:$H$1, 0))),                      IFERROR(INDEX('language&amp;DataTest'!A:J, MATCH(INDEX( PointerTest!D:D, MATCH(B137, PointerTest!A:A, 0), 0), 'language&amp;DataTest'!A:A, 0), MATCH(HOME!$A$25, 'language&amp;DataTest'!$A$1:$H$1, 0))),                                          
IFERROR(INDEX('language&amp;DataTest'!A:J, MATCH(INDEX( PointerTest!E:E, MATCH(B137, PointerTest!A:A, 0), 0), 'language&amp;DataTest'!A:A, 0), MATCH(HOME!$A$25, 'language&amp;DataTest'!$A$1:$H$1, 0))))</f>
        <v>Bibarel</v>
      </c>
      <c r="D137" s="69" t="str">
        <f t="array" ref="D137">TEXTJOIN("", TRUE, 
IFERROR(INDEX('language&amp;DataTest'!A:J, MATCH(INDEX( PointerTest!C:C, MATCH(INDEX(PointerTest!B:B, MATCH(B137, PointerTest!A:A, 0)), PointerTest!A:A, 0), 0), 'language&amp;DataTest'!A:A, 0), MATCH(HOME!$A$25, 'language&amp;DataTest'!$A$1:$H$1, 0))),                      
IFERROR(INDEX('language&amp;DataTest'!A:J, MATCH(INDEX( PointerTest!D:D, MATCH(INDEX(PointerTest!B:B, MATCH(B137, PointerTest!A:A, 0)), PointerTest!A:A, 0), 0), 'language&amp;DataTest'!A:A, 0), MATCH(HOME!$A$25, 'language&amp;DataTest'!$A$1:$H$1, 0))),                                          
IFERROR(INDEX('language&amp;DataTest'!A:J, MATCH(INDEX( PointerTest!E:E, MATCH(INDEX(PointerTest!B:B, MATCH(B137, PointerTest!A:A, 0)), PointerTest!A:A, 0), 0), 'language&amp;DataTest'!A:A, 0), MATCH(HOME!$A$25, 'language&amp;DataTest'!$A$1:$H$1, 0))))</f>
        <v>Dialga ex</v>
      </c>
      <c r="E137" s="69" t="str">
        <f t="array" ref="E137">INDEX( PointerTest!F:F, MATCH(B137, PointerTest!A:A, 0), 0)</f>
        <v>♢</v>
      </c>
      <c r="F137" s="70">
        <f t="array" ref="F137">LET(percentage,XLOOKUP($E137,$K$2:$K$10,L$2:L$10,"",0)/(COUNTIFS($E:$E,$E137,$D:$D,RegularFormula!$D$2)+COUNTIFS($E:$E,$E137,$D:$D,IF($D137=RegularFormula!$D$2,$K$15,$D137))),IFERROR(IF(percentage,percentage,""),""))</f>
        <v>0.02173913043</v>
      </c>
      <c r="G137" s="71" t="str">
        <f t="array" ref="G137">LET(percentage,XLOOKUP($E137,$K$2:$K$10,M$2:M$10,"",0)/(COUNTIFS($E:$E,$E137,$D:$D,RegularFormula!$D$2)+COUNTIFS($E:$E,$E137,$D:$D,IF($D137=RegularFormula!$D$2,$K$15,$D137))),IFERROR(IF(percentage,percentage,""),""))</f>
        <v/>
      </c>
      <c r="H137" s="71" t="str">
        <f t="array" ref="H137">LET(percentage,XLOOKUP($E137,$K$2:$K$10,N$2:N$10,"",0)/(COUNTIFS($E:$E,$E137,$D:$D,RegularFormula!$D$2)+COUNTIFS($E:$E,$E137,$D:$D,IF($D137=RegularFormula!$D$2,$K$15,$D137))),IFERROR(IF(percentage,percentage,""),""))</f>
        <v/>
      </c>
      <c r="I137" s="72" t="str">
        <f t="shared" si="1"/>
        <v/>
      </c>
      <c r="J137" s="73">
        <v>0.0</v>
      </c>
      <c r="K137" s="194"/>
      <c r="L137" s="55"/>
      <c r="M137" s="55"/>
      <c r="N137" s="55"/>
      <c r="O137" s="98"/>
      <c r="P137" s="103"/>
      <c r="Q137" s="103"/>
      <c r="R137" s="103"/>
      <c r="S137" s="231" t="str">
        <f t="shared" si="2"/>
        <v/>
      </c>
    </row>
    <row r="138">
      <c r="A138" s="217" t="b">
        <v>1</v>
      </c>
      <c r="B138" s="230" t="s">
        <v>685</v>
      </c>
      <c r="C138" s="69" t="str">
        <f t="array" ref="C138">TEXTJOIN("", TRUE, IFERROR(INDEX('language&amp;DataTest'!A:J, MATCH(INDEX( PointerTest!C:C, MATCH(B138, PointerTest!A:A, 0), 0), 'language&amp;DataTest'!A:A, 0), MATCH(HOME!$A$25, 'language&amp;DataTest'!$A$1:$H$1, 0))),                      IFERROR(INDEX('language&amp;DataTest'!A:J, MATCH(INDEX( PointerTest!D:D, MATCH(B138, PointerTest!A:A, 0), 0), 'language&amp;DataTest'!A:A, 0), MATCH(HOME!$A$25, 'language&amp;DataTest'!$A$1:$H$1, 0))),                                          
IFERROR(INDEX('language&amp;DataTest'!A:J, MATCH(INDEX( PointerTest!E:E, MATCH(B138, PointerTest!A:A, 0), 0), 'language&amp;DataTest'!A:A, 0), MATCH(HOME!$A$25, 'language&amp;DataTest'!$A$1:$H$1, 0))))</f>
        <v>Buneary</v>
      </c>
      <c r="D138" s="69" t="str">
        <f t="array" ref="D138">TEXTJOIN("", TRUE, 
IFERROR(INDEX('language&amp;DataTest'!A:J, MATCH(INDEX( PointerTest!C:C, MATCH(INDEX(PointerTest!B:B, MATCH(B138, PointerTest!A:A, 0)), PointerTest!A:A, 0), 0), 'language&amp;DataTest'!A:A, 0), MATCH(HOME!$A$25, 'language&amp;DataTest'!$A$1:$H$1, 0))),                      
IFERROR(INDEX('language&amp;DataTest'!A:J, MATCH(INDEX( PointerTest!D:D, MATCH(INDEX(PointerTest!B:B, MATCH(B138, PointerTest!A:A, 0)), PointerTest!A:A, 0), 0), 'language&amp;DataTest'!A:A, 0), MATCH(HOME!$A$25, 'language&amp;DataTest'!$A$1:$H$1, 0))),                                          
IFERROR(INDEX('language&amp;DataTest'!A:J, MATCH(INDEX( PointerTest!E:E, MATCH(INDEX(PointerTest!B:B, MATCH(B138, PointerTest!A:A, 0)), PointerTest!A:A, 0), 0), 'language&amp;DataTest'!A:A, 0), MATCH(HOME!$A$25, 'language&amp;DataTest'!$A$1:$H$1, 0))))</f>
        <v>Dialga ex</v>
      </c>
      <c r="E138" s="69" t="str">
        <f t="array" ref="E138">INDEX( PointerTest!F:F, MATCH(B138, PointerTest!A:A, 0), 0)</f>
        <v>♢</v>
      </c>
      <c r="F138" s="70">
        <f t="array" ref="F138">LET(percentage,XLOOKUP($E138,$K$2:$K$10,L$2:L$10,"",0)/(COUNTIFS($E:$E,$E138,$D:$D,RegularFormula!$D$2)+COUNTIFS($E:$E,$E138,$D:$D,IF($D138=RegularFormula!$D$2,$K$15,$D138))),IFERROR(IF(percentage,percentage,""),""))</f>
        <v>0.02173913043</v>
      </c>
      <c r="G138" s="71" t="str">
        <f t="array" ref="G138">LET(percentage,XLOOKUP($E138,$K$2:$K$10,M$2:M$10,"",0)/(COUNTIFS($E:$E,$E138,$D:$D,RegularFormula!$D$2)+COUNTIFS($E:$E,$E138,$D:$D,IF($D138=RegularFormula!$D$2,$K$15,$D138))),IFERROR(IF(percentage,percentage,""),""))</f>
        <v/>
      </c>
      <c r="H138" s="71" t="str">
        <f t="array" ref="H138">LET(percentage,XLOOKUP($E138,$K$2:$K$10,N$2:N$10,"",0)/(COUNTIFS($E:$E,$E138,$D:$D,RegularFormula!$D$2)+COUNTIFS($E:$E,$E138,$D:$D,IF($D138=RegularFormula!$D$2,$K$15,$D138))),IFERROR(IF(percentage,percentage,""),""))</f>
        <v/>
      </c>
      <c r="I138" s="72" t="str">
        <f t="shared" si="1"/>
        <v/>
      </c>
      <c r="J138" s="73">
        <v>0.0</v>
      </c>
      <c r="K138" s="194"/>
      <c r="L138" s="55"/>
      <c r="M138" s="55"/>
      <c r="N138" s="55"/>
      <c r="O138" s="98"/>
      <c r="P138" s="103"/>
      <c r="Q138" s="103"/>
      <c r="R138" s="103"/>
      <c r="S138" s="231" t="str">
        <f t="shared" si="2"/>
        <v/>
      </c>
    </row>
    <row r="139">
      <c r="A139" s="217" t="b">
        <v>1</v>
      </c>
      <c r="B139" s="230" t="s">
        <v>686</v>
      </c>
      <c r="C139" s="69" t="str">
        <f t="array" ref="C139">TEXTJOIN("", TRUE, IFERROR(INDEX('language&amp;DataTest'!A:J, MATCH(INDEX( PointerTest!C:C, MATCH(B139, PointerTest!A:A, 0), 0), 'language&amp;DataTest'!A:A, 0), MATCH(HOME!$A$25, 'language&amp;DataTest'!$A$1:$H$1, 0))),                      IFERROR(INDEX('language&amp;DataTest'!A:J, MATCH(INDEX( PointerTest!D:D, MATCH(B139, PointerTest!A:A, 0), 0), 'language&amp;DataTest'!A:A, 0), MATCH(HOME!$A$25, 'language&amp;DataTest'!$A$1:$H$1, 0))),                                          
IFERROR(INDEX('language&amp;DataTest'!A:J, MATCH(INDEX( PointerTest!E:E, MATCH(B139, PointerTest!A:A, 0), 0), 'language&amp;DataTest'!A:A, 0), MATCH(HOME!$A$25, 'language&amp;DataTest'!$A$1:$H$1, 0))))</f>
        <v>Lopunny</v>
      </c>
      <c r="D139" s="69" t="str">
        <f t="array" ref="D139">TEXTJOIN("", TRUE, 
IFERROR(INDEX('language&amp;DataTest'!A:J, MATCH(INDEX( PointerTest!C:C, MATCH(INDEX(PointerTest!B:B, MATCH(B139, PointerTest!A:A, 0)), PointerTest!A:A, 0), 0), 'language&amp;DataTest'!A:A, 0), MATCH(HOME!$A$25, 'language&amp;DataTest'!$A$1:$H$1, 0))),                      
IFERROR(INDEX('language&amp;DataTest'!A:J, MATCH(INDEX( PointerTest!D:D, MATCH(INDEX(PointerTest!B:B, MATCH(B139, PointerTest!A:A, 0)), PointerTest!A:A, 0), 0), 'language&amp;DataTest'!A:A, 0), MATCH(HOME!$A$25, 'language&amp;DataTest'!$A$1:$H$1, 0))),                                          
IFERROR(INDEX('language&amp;DataTest'!A:J, MATCH(INDEX( PointerTest!E:E, MATCH(INDEX(PointerTest!B:B, MATCH(B139, PointerTest!A:A, 0)), PointerTest!A:A, 0), 0), 'language&amp;DataTest'!A:A, 0), MATCH(HOME!$A$25, 'language&amp;DataTest'!$A$1:$H$1, 0))))</f>
        <v>Dialga ex</v>
      </c>
      <c r="E139" s="69" t="str">
        <f t="array" ref="E139">INDEX( PointerTest!F:F, MATCH(B139, PointerTest!A:A, 0), 0)</f>
        <v>♢</v>
      </c>
      <c r="F139" s="70">
        <f t="array" ref="F139">LET(percentage,XLOOKUP($E139,$K$2:$K$10,L$2:L$10,"",0)/(COUNTIFS($E:$E,$E139,$D:$D,RegularFormula!$D$2)+COUNTIFS($E:$E,$E139,$D:$D,IF($D139=RegularFormula!$D$2,$K$15,$D139))),IFERROR(IF(percentage,percentage,""),""))</f>
        <v>0.02173913043</v>
      </c>
      <c r="G139" s="71" t="str">
        <f t="array" ref="G139">LET(percentage,XLOOKUP($E139,$K$2:$K$10,M$2:M$10,"",0)/(COUNTIFS($E:$E,$E139,$D:$D,RegularFormula!$D$2)+COUNTIFS($E:$E,$E139,$D:$D,IF($D139=RegularFormula!$D$2,$K$15,$D139))),IFERROR(IF(percentage,percentage,""),""))</f>
        <v/>
      </c>
      <c r="H139" s="71" t="str">
        <f t="array" ref="H139">LET(percentage,XLOOKUP($E139,$K$2:$K$10,N$2:N$10,"",0)/(COUNTIFS($E:$E,$E139,$D:$D,RegularFormula!$D$2)+COUNTIFS($E:$E,$E139,$D:$D,IF($D139=RegularFormula!$D$2,$K$15,$D139))),IFERROR(IF(percentage,percentage,""),""))</f>
        <v/>
      </c>
      <c r="I139" s="72" t="str">
        <f t="shared" si="1"/>
        <v/>
      </c>
      <c r="J139" s="73">
        <v>0.0</v>
      </c>
      <c r="K139" s="194"/>
      <c r="L139" s="55"/>
      <c r="M139" s="55"/>
      <c r="N139" s="55"/>
      <c r="O139" s="98"/>
      <c r="P139" s="103"/>
      <c r="Q139" s="103"/>
      <c r="R139" s="103"/>
      <c r="S139" s="231" t="str">
        <f t="shared" si="2"/>
        <v/>
      </c>
    </row>
    <row r="140">
      <c r="A140" s="217" t="b">
        <v>1</v>
      </c>
      <c r="B140" s="230" t="s">
        <v>687</v>
      </c>
      <c r="C140" s="69" t="str">
        <f t="array" ref="C140">TEXTJOIN("", TRUE, IFERROR(INDEX('language&amp;DataTest'!A:J, MATCH(INDEX( PointerTest!C:C, MATCH(B140, PointerTest!A:A, 0), 0), 'language&amp;DataTest'!A:A, 0), MATCH(HOME!$A$25, 'language&amp;DataTest'!$A$1:$H$1, 0))),                      IFERROR(INDEX('language&amp;DataTest'!A:J, MATCH(INDEX( PointerTest!D:D, MATCH(B140, PointerTest!A:A, 0), 0), 'language&amp;DataTest'!A:A, 0), MATCH(HOME!$A$25, 'language&amp;DataTest'!$A$1:$H$1, 0))),                                          
IFERROR(INDEX('language&amp;DataTest'!A:J, MATCH(INDEX( PointerTest!E:E, MATCH(B140, PointerTest!A:A, 0), 0), 'language&amp;DataTest'!A:A, 0), MATCH(HOME!$A$25, 'language&amp;DataTest'!$A$1:$H$1, 0))))</f>
        <v>Glameow</v>
      </c>
      <c r="D140" s="69" t="str">
        <f t="array" ref="D140">TEXTJOIN("", TRUE, 
IFERROR(INDEX('language&amp;DataTest'!A:J, MATCH(INDEX( PointerTest!C:C, MATCH(INDEX(PointerTest!B:B, MATCH(B140, PointerTest!A:A, 0)), PointerTest!A:A, 0), 0), 'language&amp;DataTest'!A:A, 0), MATCH(HOME!$A$25, 'language&amp;DataTest'!$A$1:$H$1, 0))),                      
IFERROR(INDEX('language&amp;DataTest'!A:J, MATCH(INDEX( PointerTest!D:D, MATCH(INDEX(PointerTest!B:B, MATCH(B140, PointerTest!A:A, 0)), PointerTest!A:A, 0), 0), 'language&amp;DataTest'!A:A, 0), MATCH(HOME!$A$25, 'language&amp;DataTest'!$A$1:$H$1, 0))),                                          
IFERROR(INDEX('language&amp;DataTest'!A:J, MATCH(INDEX( PointerTest!E:E, MATCH(INDEX(PointerTest!B:B, MATCH(B140, PointerTest!A:A, 0)), PointerTest!A:A, 0), 0), 'language&amp;DataTest'!A:A, 0), MATCH(HOME!$A$25, 'language&amp;DataTest'!$A$1:$H$1, 0))))</f>
        <v>Palkia ex</v>
      </c>
      <c r="E140" s="69" t="str">
        <f t="array" ref="E140">INDEX( PointerTest!F:F, MATCH(B140, PointerTest!A:A, 0), 0)</f>
        <v>♢</v>
      </c>
      <c r="F140" s="70">
        <f t="array" ref="F140">LET(percentage,XLOOKUP($E140,$K$2:$K$10,L$2:L$10,"",0)/(COUNTIFS($E:$E,$E140,$D:$D,RegularFormula!$D$2)+COUNTIFS($E:$E,$E140,$D:$D,IF($D140=RegularFormula!$D$2,$K$15,$D140))),IFERROR(IF(percentage,percentage,""),""))</f>
        <v>0.02272727273</v>
      </c>
      <c r="G140" s="71" t="str">
        <f t="array" ref="G140">LET(percentage,XLOOKUP($E140,$K$2:$K$10,M$2:M$10,"",0)/(COUNTIFS($E:$E,$E140,$D:$D,RegularFormula!$D$2)+COUNTIFS($E:$E,$E140,$D:$D,IF($D140=RegularFormula!$D$2,$K$15,$D140))),IFERROR(IF(percentage,percentage,""),""))</f>
        <v/>
      </c>
      <c r="H140" s="71" t="str">
        <f t="array" ref="H140">LET(percentage,XLOOKUP($E140,$K$2:$K$10,N$2:N$10,"",0)/(COUNTIFS($E:$E,$E140,$D:$D,RegularFormula!$D$2)+COUNTIFS($E:$E,$E140,$D:$D,IF($D140=RegularFormula!$D$2,$K$15,$D140))),IFERROR(IF(percentage,percentage,""),""))</f>
        <v/>
      </c>
      <c r="I140" s="72" t="str">
        <f t="shared" si="1"/>
        <v/>
      </c>
      <c r="J140" s="73">
        <v>0.0</v>
      </c>
      <c r="K140" s="194"/>
      <c r="L140" s="55"/>
      <c r="M140" s="55"/>
      <c r="N140" s="55"/>
      <c r="O140" s="98"/>
      <c r="P140" s="103"/>
      <c r="Q140" s="103"/>
      <c r="R140" s="103"/>
      <c r="S140" s="231" t="str">
        <f t="shared" si="2"/>
        <v/>
      </c>
    </row>
    <row r="141">
      <c r="A141" s="217" t="b">
        <v>1</v>
      </c>
      <c r="B141" s="230" t="s">
        <v>688</v>
      </c>
      <c r="C141" s="69" t="str">
        <f t="array" ref="C141">TEXTJOIN("", TRUE, IFERROR(INDEX('language&amp;DataTest'!A:J, MATCH(INDEX( PointerTest!C:C, MATCH(B141, PointerTest!A:A, 0), 0), 'language&amp;DataTest'!A:A, 0), MATCH(HOME!$A$25, 'language&amp;DataTest'!$A$1:$H$1, 0))),                      IFERROR(INDEX('language&amp;DataTest'!A:J, MATCH(INDEX( PointerTest!D:D, MATCH(B141, PointerTest!A:A, 0), 0), 'language&amp;DataTest'!A:A, 0), MATCH(HOME!$A$25, 'language&amp;DataTest'!$A$1:$H$1, 0))),                                          
IFERROR(INDEX('language&amp;DataTest'!A:J, MATCH(INDEX( PointerTest!E:E, MATCH(B141, PointerTest!A:A, 0), 0), 'language&amp;DataTest'!A:A, 0), MATCH(HOME!$A$25, 'language&amp;DataTest'!$A$1:$H$1, 0))))</f>
        <v>Purugly</v>
      </c>
      <c r="D141" s="69" t="str">
        <f t="array" ref="D141">TEXTJOIN("", TRUE, 
IFERROR(INDEX('language&amp;DataTest'!A:J, MATCH(INDEX( PointerTest!C:C, MATCH(INDEX(PointerTest!B:B, MATCH(B141, PointerTest!A:A, 0)), PointerTest!A:A, 0), 0), 'language&amp;DataTest'!A:A, 0), MATCH(HOME!$A$25, 'language&amp;DataTest'!$A$1:$H$1, 0))),                      
IFERROR(INDEX('language&amp;DataTest'!A:J, MATCH(INDEX( PointerTest!D:D, MATCH(INDEX(PointerTest!B:B, MATCH(B141, PointerTest!A:A, 0)), PointerTest!A:A, 0), 0), 'language&amp;DataTest'!A:A, 0), MATCH(HOME!$A$25, 'language&amp;DataTest'!$A$1:$H$1, 0))),                                          
IFERROR(INDEX('language&amp;DataTest'!A:J, MATCH(INDEX( PointerTest!E:E, MATCH(INDEX(PointerTest!B:B, MATCH(B141, PointerTest!A:A, 0)), PointerTest!A:A, 0), 0), 'language&amp;DataTest'!A:A, 0), MATCH(HOME!$A$25, 'language&amp;DataTest'!$A$1:$H$1, 0))))</f>
        <v>Palkia ex</v>
      </c>
      <c r="E141" s="69" t="str">
        <f t="array" ref="E141">INDEX( PointerTest!F:F, MATCH(B141, PointerTest!A:A, 0), 0)</f>
        <v>♢♢</v>
      </c>
      <c r="F141" s="70" t="str">
        <f t="array" ref="F141">LET(percentage,XLOOKUP($E141,$K$2:$K$10,L$2:L$10,"",0)/(COUNTIFS($E:$E,$E141,$D:$D,RegularFormula!$D$2)+COUNTIFS($E:$E,$E141,$D:$D,IF($D141=RegularFormula!$D$2,$K$15,$D141))),IFERROR(IF(percentage,percentage,""),""))</f>
        <v/>
      </c>
      <c r="G141" s="71">
        <f t="array" ref="G141">LET(percentage,XLOOKUP($E141,$K$2:$K$10,M$2:M$10,"",0)/(COUNTIFS($E:$E,$E141,$D:$D,RegularFormula!$D$2)+COUNTIFS($E:$E,$E141,$D:$D,IF($D141=RegularFormula!$D$2,$K$15,$D141))),IFERROR(IF(percentage,percentage,""),""))</f>
        <v>0.025</v>
      </c>
      <c r="H141" s="71">
        <f t="array" ref="H141">LET(percentage,XLOOKUP($E141,$K$2:$K$10,N$2:N$10,"",0)/(COUNTIFS($E:$E,$E141,$D:$D,RegularFormula!$D$2)+COUNTIFS($E:$E,$E141,$D:$D,IF($D141=RegularFormula!$D$2,$K$15,$D141))),IFERROR(IF(percentage,percentage,""),""))</f>
        <v>0.01666666667</v>
      </c>
      <c r="I141" s="72" t="str">
        <f t="shared" si="1"/>
        <v/>
      </c>
      <c r="J141" s="73">
        <v>0.0</v>
      </c>
      <c r="K141" s="194"/>
      <c r="L141" s="55"/>
      <c r="M141" s="55"/>
      <c r="N141" s="55"/>
      <c r="O141" s="98"/>
      <c r="P141" s="103"/>
      <c r="Q141" s="103"/>
      <c r="R141" s="103"/>
      <c r="S141" s="231" t="str">
        <f t="shared" si="2"/>
        <v/>
      </c>
    </row>
    <row r="142">
      <c r="A142" s="217" t="b">
        <v>1</v>
      </c>
      <c r="B142" s="230" t="s">
        <v>689</v>
      </c>
      <c r="C142" s="69" t="str">
        <f t="array" ref="C142">TEXTJOIN("", TRUE, IFERROR(INDEX('language&amp;DataTest'!A:J, MATCH(INDEX( PointerTest!C:C, MATCH(B142, PointerTest!A:A, 0), 0), 'language&amp;DataTest'!A:A, 0), MATCH(HOME!$A$25, 'language&amp;DataTest'!$A$1:$H$1, 0))),                      IFERROR(INDEX('language&amp;DataTest'!A:J, MATCH(INDEX( PointerTest!D:D, MATCH(B142, PointerTest!A:A, 0), 0), 'language&amp;DataTest'!A:A, 0), MATCH(HOME!$A$25, 'language&amp;DataTest'!$A$1:$H$1, 0))),                                          
IFERROR(INDEX('language&amp;DataTest'!A:J, MATCH(INDEX( PointerTest!E:E, MATCH(B142, PointerTest!A:A, 0), 0), 'language&amp;DataTest'!A:A, 0), MATCH(HOME!$A$25, 'language&amp;DataTest'!$A$1:$H$1, 0))))</f>
        <v>Chatot</v>
      </c>
      <c r="D142" s="69" t="str">
        <f t="array" ref="D142">TEXTJOIN("", TRUE, 
IFERROR(INDEX('language&amp;DataTest'!A:J, MATCH(INDEX( PointerTest!C:C, MATCH(INDEX(PointerTest!B:B, MATCH(B142, PointerTest!A:A, 0)), PointerTest!A:A, 0), 0), 'language&amp;DataTest'!A:A, 0), MATCH(HOME!$A$25, 'language&amp;DataTest'!$A$1:$H$1, 0))),                      
IFERROR(INDEX('language&amp;DataTest'!A:J, MATCH(INDEX( PointerTest!D:D, MATCH(INDEX(PointerTest!B:B, MATCH(B142, PointerTest!A:A, 0)), PointerTest!A:A, 0), 0), 'language&amp;DataTest'!A:A, 0), MATCH(HOME!$A$25, 'language&amp;DataTest'!$A$1:$H$1, 0))),                                          
IFERROR(INDEX('language&amp;DataTest'!A:J, MATCH(INDEX( PointerTest!E:E, MATCH(INDEX(PointerTest!B:B, MATCH(B142, PointerTest!A:A, 0)), PointerTest!A:A, 0), 0), 'language&amp;DataTest'!A:A, 0), MATCH(HOME!$A$25, 'language&amp;DataTest'!$A$1:$H$1, 0))))</f>
        <v>Palkia ex</v>
      </c>
      <c r="E142" s="69" t="str">
        <f t="array" ref="E142">INDEX( PointerTest!F:F, MATCH(B142, PointerTest!A:A, 0), 0)</f>
        <v>♢</v>
      </c>
      <c r="F142" s="70">
        <f t="array" ref="F142">LET(percentage,XLOOKUP($E142,$K$2:$K$10,L$2:L$10,"",0)/(COUNTIFS($E:$E,$E142,$D:$D,RegularFormula!$D$2)+COUNTIFS($E:$E,$E142,$D:$D,IF($D142=RegularFormula!$D$2,$K$15,$D142))),IFERROR(IF(percentage,percentage,""),""))</f>
        <v>0.02272727273</v>
      </c>
      <c r="G142" s="71" t="str">
        <f t="array" ref="G142">LET(percentage,XLOOKUP($E142,$K$2:$K$10,M$2:M$10,"",0)/(COUNTIFS($E:$E,$E142,$D:$D,RegularFormula!$D$2)+COUNTIFS($E:$E,$E142,$D:$D,IF($D142=RegularFormula!$D$2,$K$15,$D142))),IFERROR(IF(percentage,percentage,""),""))</f>
        <v/>
      </c>
      <c r="H142" s="71" t="str">
        <f t="array" ref="H142">LET(percentage,XLOOKUP($E142,$K$2:$K$10,N$2:N$10,"",0)/(COUNTIFS($E:$E,$E142,$D:$D,RegularFormula!$D$2)+COUNTIFS($E:$E,$E142,$D:$D,IF($D142=RegularFormula!$D$2,$K$15,$D142))),IFERROR(IF(percentage,percentage,""),""))</f>
        <v/>
      </c>
      <c r="I142" s="72" t="str">
        <f t="shared" si="1"/>
        <v/>
      </c>
      <c r="J142" s="73">
        <v>0.0</v>
      </c>
      <c r="K142" s="194"/>
      <c r="L142" s="55"/>
      <c r="M142" s="55"/>
      <c r="N142" s="55"/>
      <c r="O142" s="98"/>
      <c r="P142" s="103"/>
      <c r="Q142" s="103"/>
      <c r="R142" s="103"/>
      <c r="S142" s="231" t="str">
        <f t="shared" si="2"/>
        <v/>
      </c>
    </row>
    <row r="143">
      <c r="A143" s="217" t="b">
        <v>1</v>
      </c>
      <c r="B143" s="230" t="s">
        <v>690</v>
      </c>
      <c r="C143" s="69" t="str">
        <f t="array" ref="C143">TEXTJOIN("", TRUE, IFERROR(INDEX('language&amp;DataTest'!A:J, MATCH(INDEX( PointerTest!C:C, MATCH(B143, PointerTest!A:A, 0), 0), 'language&amp;DataTest'!A:A, 0), MATCH(HOME!$A$25, 'language&amp;DataTest'!$A$1:$H$1, 0))),                      IFERROR(INDEX('language&amp;DataTest'!A:J, MATCH(INDEX( PointerTest!D:D, MATCH(B143, PointerTest!A:A, 0), 0), 'language&amp;DataTest'!A:A, 0), MATCH(HOME!$A$25, 'language&amp;DataTest'!$A$1:$H$1, 0))),                                          
IFERROR(INDEX('language&amp;DataTest'!A:J, MATCH(INDEX( PointerTest!E:E, MATCH(B143, PointerTest!A:A, 0), 0), 'language&amp;DataTest'!A:A, 0), MATCH(HOME!$A$25, 'language&amp;DataTest'!$A$1:$H$1, 0))))</f>
        <v>Fan Rotom</v>
      </c>
      <c r="D143" s="69" t="str">
        <f t="array" ref="D143">TEXTJOIN("", TRUE, 
IFERROR(INDEX('language&amp;DataTest'!A:J, MATCH(INDEX( PointerTest!C:C, MATCH(INDEX(PointerTest!B:B, MATCH(B143, PointerTest!A:A, 0)), PointerTest!A:A, 0), 0), 'language&amp;DataTest'!A:A, 0), MATCH(HOME!$A$25, 'language&amp;DataTest'!$A$1:$H$1, 0))),                      
IFERROR(INDEX('language&amp;DataTest'!A:J, MATCH(INDEX( PointerTest!D:D, MATCH(INDEX(PointerTest!B:B, MATCH(B143, PointerTest!A:A, 0)), PointerTest!A:A, 0), 0), 'language&amp;DataTest'!A:A, 0), MATCH(HOME!$A$25, 'language&amp;DataTest'!$A$1:$H$1, 0))),                                          
IFERROR(INDEX('language&amp;DataTest'!A:J, MATCH(INDEX( PointerTest!E:E, MATCH(INDEX(PointerTest!B:B, MATCH(B143, PointerTest!A:A, 0)), PointerTest!A:A, 0), 0), 'language&amp;DataTest'!A:A, 0), MATCH(HOME!$A$25, 'language&amp;DataTest'!$A$1:$H$1, 0))))</f>
        <v>All</v>
      </c>
      <c r="E143" s="69" t="str">
        <f t="array" ref="E143">INDEX( PointerTest!F:F, MATCH(B143, PointerTest!A:A, 0), 0)</f>
        <v>♢</v>
      </c>
      <c r="F143" s="70">
        <f t="array" ref="F143">LET(percentage,XLOOKUP($E143,$K$2:$K$10,L$2:L$10,"",0)/(COUNTIFS($E:$E,$E143,$D:$D,RegularFormula!$D$2)+COUNTIFS($E:$E,$E143,$D:$D,IF($D143=RegularFormula!$D$2,$K$15,$D143))),IFERROR(IF(percentage,percentage,""),""))</f>
        <v>0.02272727273</v>
      </c>
      <c r="G143" s="71" t="str">
        <f t="array" ref="G143">LET(percentage,XLOOKUP($E143,$K$2:$K$10,M$2:M$10,"",0)/(COUNTIFS($E:$E,$E143,$D:$D,RegularFormula!$D$2)+COUNTIFS($E:$E,$E143,$D:$D,IF($D143=RegularFormula!$D$2,$K$15,$D143))),IFERROR(IF(percentage,percentage,""),""))</f>
        <v/>
      </c>
      <c r="H143" s="71" t="str">
        <f t="array" ref="H143">LET(percentage,XLOOKUP($E143,$K$2:$K$10,N$2:N$10,"",0)/(COUNTIFS($E:$E,$E143,$D:$D,RegularFormula!$D$2)+COUNTIFS($E:$E,$E143,$D:$D,IF($D143=RegularFormula!$D$2,$K$15,$D143))),IFERROR(IF(percentage,percentage,""),""))</f>
        <v/>
      </c>
      <c r="I143" s="72" t="str">
        <f t="shared" si="1"/>
        <v>*Based on Palkia ex pack</v>
      </c>
      <c r="J143" s="73">
        <v>0.0</v>
      </c>
      <c r="K143" s="194"/>
      <c r="L143" s="55"/>
      <c r="M143" s="55"/>
      <c r="N143" s="55"/>
      <c r="O143" s="98"/>
      <c r="P143" s="103"/>
      <c r="Q143" s="103"/>
      <c r="R143" s="103"/>
      <c r="S143" s="231" t="str">
        <f t="shared" si="2"/>
        <v/>
      </c>
    </row>
    <row r="144">
      <c r="A144" s="217" t="b">
        <v>1</v>
      </c>
      <c r="B144" s="230" t="s">
        <v>691</v>
      </c>
      <c r="C144" s="69" t="str">
        <f t="array" ref="C144">TEXTJOIN("", TRUE, IFERROR(INDEX('language&amp;DataTest'!A:J, MATCH(INDEX( PointerTest!C:C, MATCH(B144, PointerTest!A:A, 0), 0), 'language&amp;DataTest'!A:A, 0), MATCH(HOME!$A$25, 'language&amp;DataTest'!$A$1:$H$1, 0))),                      IFERROR(INDEX('language&amp;DataTest'!A:J, MATCH(INDEX( PointerTest!D:D, MATCH(B144, PointerTest!A:A, 0), 0), 'language&amp;DataTest'!A:A, 0), MATCH(HOME!$A$25, 'language&amp;DataTest'!$A$1:$H$1, 0))),                                          
IFERROR(INDEX('language&amp;DataTest'!A:J, MATCH(INDEX( PointerTest!E:E, MATCH(B144, PointerTest!A:A, 0), 0), 'language&amp;DataTest'!A:A, 0), MATCH(HOME!$A$25, 'language&amp;DataTest'!$A$1:$H$1, 0))))</f>
        <v>Regigigas</v>
      </c>
      <c r="D144" s="69" t="str">
        <f t="array" ref="D144">TEXTJOIN("", TRUE, 
IFERROR(INDEX('language&amp;DataTest'!A:J, MATCH(INDEX( PointerTest!C:C, MATCH(INDEX(PointerTest!B:B, MATCH(B144, PointerTest!A:A, 0)), PointerTest!A:A, 0), 0), 'language&amp;DataTest'!A:A, 0), MATCH(HOME!$A$25, 'language&amp;DataTest'!$A$1:$H$1, 0))),                      
IFERROR(INDEX('language&amp;DataTest'!A:J, MATCH(INDEX( PointerTest!D:D, MATCH(INDEX(PointerTest!B:B, MATCH(B144, PointerTest!A:A, 0)), PointerTest!A:A, 0), 0), 'language&amp;DataTest'!A:A, 0), MATCH(HOME!$A$25, 'language&amp;DataTest'!$A$1:$H$1, 0))),                                          
IFERROR(INDEX('language&amp;DataTest'!A:J, MATCH(INDEX( PointerTest!E:E, MATCH(INDEX(PointerTest!B:B, MATCH(B144, PointerTest!A:A, 0)), PointerTest!A:A, 0), 0), 'language&amp;DataTest'!A:A, 0), MATCH(HOME!$A$25, 'language&amp;DataTest'!$A$1:$H$1, 0))))</f>
        <v>All</v>
      </c>
      <c r="E144" s="69" t="str">
        <f t="array" ref="E144">INDEX( PointerTest!F:F, MATCH(B144, PointerTest!A:A, 0), 0)</f>
        <v>♢♢♢</v>
      </c>
      <c r="F144" s="70" t="str">
        <f t="array" ref="F144">LET(percentage,XLOOKUP($E144,$K$2:$K$10,L$2:L$10,"",0)/(COUNTIFS($E:$E,$E144,$D:$D,RegularFormula!$D$2)+COUNTIFS($E:$E,$E144,$D:$D,IF($D144=RegularFormula!$D$2,$K$15,$D144))),IFERROR(IF(percentage,percentage,""),""))</f>
        <v/>
      </c>
      <c r="G144" s="71">
        <f t="array" ref="G144">LET(percentage,XLOOKUP($E144,$K$2:$K$10,M$2:M$10,"",0)/(COUNTIFS($E:$E,$E144,$D:$D,RegularFormula!$D$2)+COUNTIFS($E:$E,$E144,$D:$D,IF($D144=RegularFormula!$D$2,$K$15,$D144))),IFERROR(IF(percentage,percentage,""),""))</f>
        <v>0.003571428571</v>
      </c>
      <c r="H144" s="71">
        <f t="array" ref="H144">LET(percentage,XLOOKUP($E144,$K$2:$K$10,N$2:N$10,"",0)/(COUNTIFS($E:$E,$E144,$D:$D,RegularFormula!$D$2)+COUNTIFS($E:$E,$E144,$D:$D,IF($D144=RegularFormula!$D$2,$K$15,$D144))),IFERROR(IF(percentage,percentage,""),""))</f>
        <v>0.01428571429</v>
      </c>
      <c r="I144" s="72" t="str">
        <f t="shared" si="1"/>
        <v>*Based on Palkia ex pack</v>
      </c>
      <c r="J144" s="73">
        <v>0.0</v>
      </c>
      <c r="K144" s="194"/>
      <c r="L144" s="55"/>
      <c r="M144" s="55"/>
      <c r="N144" s="55"/>
      <c r="O144" s="98"/>
      <c r="P144" s="103"/>
      <c r="Q144" s="103"/>
      <c r="R144" s="103"/>
      <c r="S144" s="231" t="str">
        <f t="shared" si="2"/>
        <v/>
      </c>
    </row>
    <row r="145">
      <c r="A145" s="217" t="b">
        <v>1</v>
      </c>
      <c r="B145" s="230" t="s">
        <v>692</v>
      </c>
      <c r="C145" s="69" t="str">
        <f t="array" ref="C145">TEXTJOIN("", TRUE, IFERROR(INDEX('language&amp;DataTest'!A:J, MATCH(INDEX( PointerTest!C:C, MATCH(B145, PointerTest!A:A, 0), 0), 'language&amp;DataTest'!A:A, 0), MATCH(HOME!$A$25, 'language&amp;DataTest'!$A$1:$H$1, 0))),                      IFERROR(INDEX('language&amp;DataTest'!A:J, MATCH(INDEX( PointerTest!D:D, MATCH(B145, PointerTest!A:A, 0), 0), 'language&amp;DataTest'!A:A, 0), MATCH(HOME!$A$25, 'language&amp;DataTest'!$A$1:$H$1, 0))),                                          
IFERROR(INDEX('language&amp;DataTest'!A:J, MATCH(INDEX( PointerTest!E:E, MATCH(B145, PointerTest!A:A, 0), 0), 'language&amp;DataTest'!A:A, 0), MATCH(HOME!$A$25, 'language&amp;DataTest'!$A$1:$H$1, 0))))</f>
        <v>Skull Fossil</v>
      </c>
      <c r="D145" s="69" t="str">
        <f t="array" ref="D145">TEXTJOIN("", TRUE, 
IFERROR(INDEX('language&amp;DataTest'!A:J, MATCH(INDEX( PointerTest!C:C, MATCH(INDEX(PointerTest!B:B, MATCH(B145, PointerTest!A:A, 0)), PointerTest!A:A, 0), 0), 'language&amp;DataTest'!A:A, 0), MATCH(HOME!$A$25, 'language&amp;DataTest'!$A$1:$H$1, 0))),                      
IFERROR(INDEX('language&amp;DataTest'!A:J, MATCH(INDEX( PointerTest!D:D, MATCH(INDEX(PointerTest!B:B, MATCH(B145, PointerTest!A:A, 0)), PointerTest!A:A, 0), 0), 'language&amp;DataTest'!A:A, 0), MATCH(HOME!$A$25, 'language&amp;DataTest'!$A$1:$H$1, 0))),                                          
IFERROR(INDEX('language&amp;DataTest'!A:J, MATCH(INDEX( PointerTest!E:E, MATCH(INDEX(PointerTest!B:B, MATCH(B145, PointerTest!A:A, 0)), PointerTest!A:A, 0), 0), 'language&amp;DataTest'!A:A, 0), MATCH(HOME!$A$25, 'language&amp;DataTest'!$A$1:$H$1, 0))))</f>
        <v>Dialga ex</v>
      </c>
      <c r="E145" s="69" t="str">
        <f t="array" ref="E145">INDEX( PointerTest!F:F, MATCH(B145, PointerTest!A:A, 0), 0)</f>
        <v>♢</v>
      </c>
      <c r="F145" s="70">
        <f t="array" ref="F145">LET(percentage,XLOOKUP($E145,$K$2:$K$10,L$2:L$10,"",0)/(COUNTIFS($E:$E,$E145,$D:$D,RegularFormula!$D$2)+COUNTIFS($E:$E,$E145,$D:$D,IF($D145=RegularFormula!$D$2,$K$15,$D145))),IFERROR(IF(percentage,percentage,""),""))</f>
        <v>0.02173913043</v>
      </c>
      <c r="G145" s="71" t="str">
        <f t="array" ref="G145">LET(percentage,XLOOKUP($E145,$K$2:$K$10,M$2:M$10,"",0)/(COUNTIFS($E:$E,$E145,$D:$D,RegularFormula!$D$2)+COUNTIFS($E:$E,$E145,$D:$D,IF($D145=RegularFormula!$D$2,$K$15,$D145))),IFERROR(IF(percentage,percentage,""),""))</f>
        <v/>
      </c>
      <c r="H145" s="71" t="str">
        <f t="array" ref="H145">LET(percentage,XLOOKUP($E145,$K$2:$K$10,N$2:N$10,"",0)/(COUNTIFS($E:$E,$E145,$D:$D,RegularFormula!$D$2)+COUNTIFS($E:$E,$E145,$D:$D,IF($D145=RegularFormula!$D$2,$K$15,$D145))),IFERROR(IF(percentage,percentage,""),""))</f>
        <v/>
      </c>
      <c r="I145" s="72" t="str">
        <f t="shared" si="1"/>
        <v/>
      </c>
      <c r="J145" s="73">
        <v>0.0</v>
      </c>
      <c r="K145" s="194"/>
      <c r="L145" s="55"/>
      <c r="M145" s="55"/>
      <c r="N145" s="55"/>
      <c r="O145" s="238"/>
      <c r="P145" s="103"/>
      <c r="Q145" s="103"/>
      <c r="R145" s="103"/>
      <c r="S145" s="231" t="str">
        <f t="shared" si="2"/>
        <v/>
      </c>
    </row>
    <row r="146">
      <c r="A146" s="217" t="b">
        <v>1</v>
      </c>
      <c r="B146" s="230" t="s">
        <v>693</v>
      </c>
      <c r="C146" s="69" t="str">
        <f t="array" ref="C146">TEXTJOIN("", TRUE, IFERROR(INDEX('language&amp;DataTest'!A:J, MATCH(INDEX( PointerTest!C:C, MATCH(B146, PointerTest!A:A, 0), 0), 'language&amp;DataTest'!A:A, 0), MATCH(HOME!$A$25, 'language&amp;DataTest'!$A$1:$H$1, 0))),                      IFERROR(INDEX('language&amp;DataTest'!A:J, MATCH(INDEX( PointerTest!D:D, MATCH(B146, PointerTest!A:A, 0), 0), 'language&amp;DataTest'!A:A, 0), MATCH(HOME!$A$25, 'language&amp;DataTest'!$A$1:$H$1, 0))),                                          
IFERROR(INDEX('language&amp;DataTest'!A:J, MATCH(INDEX( PointerTest!E:E, MATCH(B146, PointerTest!A:A, 0), 0), 'language&amp;DataTest'!A:A, 0), MATCH(HOME!$A$25, 'language&amp;DataTest'!$A$1:$H$1, 0))))</f>
        <v>Armor Fossil</v>
      </c>
      <c r="D146" s="69" t="str">
        <f t="array" ref="D146">TEXTJOIN("", TRUE, 
IFERROR(INDEX('language&amp;DataTest'!A:J, MATCH(INDEX( PointerTest!C:C, MATCH(INDEX(PointerTest!B:B, MATCH(B146, PointerTest!A:A, 0)), PointerTest!A:A, 0), 0), 'language&amp;DataTest'!A:A, 0), MATCH(HOME!$A$25, 'language&amp;DataTest'!$A$1:$H$1, 0))),                      
IFERROR(INDEX('language&amp;DataTest'!A:J, MATCH(INDEX( PointerTest!D:D, MATCH(INDEX(PointerTest!B:B, MATCH(B146, PointerTest!A:A, 0)), PointerTest!A:A, 0), 0), 'language&amp;DataTest'!A:A, 0), MATCH(HOME!$A$25, 'language&amp;DataTest'!$A$1:$H$1, 0))),                                          
IFERROR(INDEX('language&amp;DataTest'!A:J, MATCH(INDEX( PointerTest!E:E, MATCH(INDEX(PointerTest!B:B, MATCH(B146, PointerTest!A:A, 0)), PointerTest!A:A, 0), 0), 'language&amp;DataTest'!A:A, 0), MATCH(HOME!$A$25, 'language&amp;DataTest'!$A$1:$H$1, 0))))</f>
        <v>Palkia ex</v>
      </c>
      <c r="E146" s="69" t="str">
        <f t="array" ref="E146">INDEX( PointerTest!F:F, MATCH(B146, PointerTest!A:A, 0), 0)</f>
        <v>♢</v>
      </c>
      <c r="F146" s="70">
        <f t="array" ref="F146">LET(percentage,XLOOKUP($E146,$K$2:$K$10,L$2:L$10,"",0)/(COUNTIFS($E:$E,$E146,$D:$D,RegularFormula!$D$2)+COUNTIFS($E:$E,$E146,$D:$D,IF($D146=RegularFormula!$D$2,$K$15,$D146))),IFERROR(IF(percentage,percentage,""),""))</f>
        <v>0.02272727273</v>
      </c>
      <c r="G146" s="71" t="str">
        <f t="array" ref="G146">LET(percentage,XLOOKUP($E146,$K$2:$K$10,M$2:M$10,"",0)/(COUNTIFS($E:$E,$E146,$D:$D,RegularFormula!$D$2)+COUNTIFS($E:$E,$E146,$D:$D,IF($D146=RegularFormula!$D$2,$K$15,$D146))),IFERROR(IF(percentage,percentage,""),""))</f>
        <v/>
      </c>
      <c r="H146" s="71" t="str">
        <f t="array" ref="H146">LET(percentage,XLOOKUP($E146,$K$2:$K$10,N$2:N$10,"",0)/(COUNTIFS($E:$E,$E146,$D:$D,RegularFormula!$D$2)+COUNTIFS($E:$E,$E146,$D:$D,IF($D146=RegularFormula!$D$2,$K$15,$D146))),IFERROR(IF(percentage,percentage,""),""))</f>
        <v/>
      </c>
      <c r="I146" s="72" t="str">
        <f t="shared" si="1"/>
        <v/>
      </c>
      <c r="J146" s="73">
        <v>0.0</v>
      </c>
      <c r="K146" s="194"/>
      <c r="L146" s="55"/>
      <c r="M146" s="55"/>
      <c r="N146" s="55"/>
      <c r="O146" s="238"/>
      <c r="P146" s="103"/>
      <c r="Q146" s="103"/>
      <c r="R146" s="103"/>
      <c r="S146" s="231" t="str">
        <f t="shared" si="2"/>
        <v/>
      </c>
    </row>
    <row r="147">
      <c r="A147" s="217" t="b">
        <v>1</v>
      </c>
      <c r="B147" s="230" t="s">
        <v>694</v>
      </c>
      <c r="C147" s="69" t="str">
        <f t="array" ref="C147">TEXTJOIN("", TRUE, IFERROR(INDEX('language&amp;DataTest'!A:J, MATCH(INDEX( PointerTest!C:C, MATCH(B147, PointerTest!A:A, 0), 0), 'language&amp;DataTest'!A:A, 0), MATCH(HOME!$A$25, 'language&amp;DataTest'!$A$1:$H$1, 0))),                      IFERROR(INDEX('language&amp;DataTest'!A:J, MATCH(INDEX( PointerTest!D:D, MATCH(B147, PointerTest!A:A, 0), 0), 'language&amp;DataTest'!A:A, 0), MATCH(HOME!$A$25, 'language&amp;DataTest'!$A$1:$H$1, 0))),                                          
IFERROR(INDEX('language&amp;DataTest'!A:J, MATCH(INDEX( PointerTest!E:E, MATCH(B147, PointerTest!A:A, 0), 0), 'language&amp;DataTest'!A:A, 0), MATCH(HOME!$A$25, 'language&amp;DataTest'!$A$1:$H$1, 0))))</f>
        <v>Pokemon Communication</v>
      </c>
      <c r="D147" s="69" t="str">
        <f t="array" ref="D147">TEXTJOIN("", TRUE, 
IFERROR(INDEX('language&amp;DataTest'!A:J, MATCH(INDEX( PointerTest!C:C, MATCH(INDEX(PointerTest!B:B, MATCH(B147, PointerTest!A:A, 0)), PointerTest!A:A, 0), 0), 'language&amp;DataTest'!A:A, 0), MATCH(HOME!$A$25, 'language&amp;DataTest'!$A$1:$H$1, 0))),                      
IFERROR(INDEX('language&amp;DataTest'!A:J, MATCH(INDEX( PointerTest!D:D, MATCH(INDEX(PointerTest!B:B, MATCH(B147, PointerTest!A:A, 0)), PointerTest!A:A, 0), 0), 'language&amp;DataTest'!A:A, 0), MATCH(HOME!$A$25, 'language&amp;DataTest'!$A$1:$H$1, 0))),                                          
IFERROR(INDEX('language&amp;DataTest'!A:J, MATCH(INDEX( PointerTest!E:E, MATCH(INDEX(PointerTest!B:B, MATCH(B147, PointerTest!A:A, 0)), PointerTest!A:A, 0), 0), 'language&amp;DataTest'!A:A, 0), MATCH(HOME!$A$25, 'language&amp;DataTest'!$A$1:$H$1, 0))))</f>
        <v>Dialga ex</v>
      </c>
      <c r="E147" s="69" t="str">
        <f t="array" ref="E147">INDEX( PointerTest!F:F, MATCH(B147, PointerTest!A:A, 0), 0)</f>
        <v>♢♢</v>
      </c>
      <c r="F147" s="70" t="str">
        <f t="array" ref="F147">LET(percentage,XLOOKUP($E147,$K$2:$K$10,L$2:L$10,"",0)/(COUNTIFS($E:$E,$E147,$D:$D,RegularFormula!$D$2)+COUNTIFS($E:$E,$E147,$D:$D,IF($D147=RegularFormula!$D$2,$K$15,$D147))),IFERROR(IF(percentage,percentage,""),""))</f>
        <v/>
      </c>
      <c r="G147" s="71">
        <f t="array" ref="G147">LET(percentage,XLOOKUP($E147,$K$2:$K$10,M$2:M$10,"",0)/(COUNTIFS($E:$E,$E147,$D:$D,RegularFormula!$D$2)+COUNTIFS($E:$E,$E147,$D:$D,IF($D147=RegularFormula!$D$2,$K$15,$D147))),IFERROR(IF(percentage,percentage,""),""))</f>
        <v>0.02647058824</v>
      </c>
      <c r="H147" s="71">
        <f t="array" ref="H147">LET(percentage,XLOOKUP($E147,$K$2:$K$10,N$2:N$10,"",0)/(COUNTIFS($E:$E,$E147,$D:$D,RegularFormula!$D$2)+COUNTIFS($E:$E,$E147,$D:$D,IF($D147=RegularFormula!$D$2,$K$15,$D147))),IFERROR(IF(percentage,percentage,""),""))</f>
        <v>0.01764705882</v>
      </c>
      <c r="I147" s="72" t="str">
        <f t="shared" si="1"/>
        <v/>
      </c>
      <c r="J147" s="73">
        <v>0.0</v>
      </c>
      <c r="K147" s="194"/>
      <c r="L147" s="55"/>
      <c r="M147" s="55"/>
      <c r="N147" s="55"/>
      <c r="O147" s="238"/>
      <c r="P147" s="103"/>
      <c r="Q147" s="103"/>
      <c r="R147" s="103"/>
      <c r="S147" s="231" t="str">
        <f t="shared" si="2"/>
        <v/>
      </c>
    </row>
    <row r="148">
      <c r="A148" s="217" t="b">
        <v>1</v>
      </c>
      <c r="B148" s="230" t="s">
        <v>695</v>
      </c>
      <c r="C148" s="69" t="str">
        <f t="array" ref="C148">TEXTJOIN("", TRUE, IFERROR(INDEX('language&amp;DataTest'!A:J, MATCH(INDEX( PointerTest!C:C, MATCH(B148, PointerTest!A:A, 0), 0), 'language&amp;DataTest'!A:A, 0), MATCH(HOME!$A$25, 'language&amp;DataTest'!$A$1:$H$1, 0))),                      IFERROR(INDEX('language&amp;DataTest'!A:J, MATCH(INDEX( PointerTest!D:D, MATCH(B148, PointerTest!A:A, 0), 0), 'language&amp;DataTest'!A:A, 0), MATCH(HOME!$A$25, 'language&amp;DataTest'!$A$1:$H$1, 0))),                                          
IFERROR(INDEX('language&amp;DataTest'!A:J, MATCH(INDEX( PointerTest!E:E, MATCH(B148, PointerTest!A:A, 0), 0), 'language&amp;DataTest'!A:A, 0), MATCH(HOME!$A$25, 'language&amp;DataTest'!$A$1:$H$1, 0))))</f>
        <v>Giant Cape</v>
      </c>
      <c r="D148" s="69" t="str">
        <f t="array" ref="D148">TEXTJOIN("", TRUE, 
IFERROR(INDEX('language&amp;DataTest'!A:J, MATCH(INDEX( PointerTest!C:C, MATCH(INDEX(PointerTest!B:B, MATCH(B148, PointerTest!A:A, 0)), PointerTest!A:A, 0), 0), 'language&amp;DataTest'!A:A, 0), MATCH(HOME!$A$25, 'language&amp;DataTest'!$A$1:$H$1, 0))),                      
IFERROR(INDEX('language&amp;DataTest'!A:J, MATCH(INDEX( PointerTest!D:D, MATCH(INDEX(PointerTest!B:B, MATCH(B148, PointerTest!A:A, 0)), PointerTest!A:A, 0), 0), 'language&amp;DataTest'!A:A, 0), MATCH(HOME!$A$25, 'language&amp;DataTest'!$A$1:$H$1, 0))),                                          
IFERROR(INDEX('language&amp;DataTest'!A:J, MATCH(INDEX( PointerTest!E:E, MATCH(INDEX(PointerTest!B:B, MATCH(B148, PointerTest!A:A, 0)), PointerTest!A:A, 0), 0), 'language&amp;DataTest'!A:A, 0), MATCH(HOME!$A$25, 'language&amp;DataTest'!$A$1:$H$1, 0))))</f>
        <v>Dialga ex</v>
      </c>
      <c r="E148" s="69" t="str">
        <f t="array" ref="E148">INDEX( PointerTest!F:F, MATCH(B148, PointerTest!A:A, 0), 0)</f>
        <v>♢♢</v>
      </c>
      <c r="F148" s="70" t="str">
        <f t="array" ref="F148">LET(percentage,XLOOKUP($E148,$K$2:$K$10,L$2:L$10,"",0)/(COUNTIFS($E:$E,$E148,$D:$D,RegularFormula!$D$2)+COUNTIFS($E:$E,$E148,$D:$D,IF($D148=RegularFormula!$D$2,$K$15,$D148))),IFERROR(IF(percentage,percentage,""),""))</f>
        <v/>
      </c>
      <c r="G148" s="71">
        <f t="array" ref="G148">LET(percentage,XLOOKUP($E148,$K$2:$K$10,M$2:M$10,"",0)/(COUNTIFS($E:$E,$E148,$D:$D,RegularFormula!$D$2)+COUNTIFS($E:$E,$E148,$D:$D,IF($D148=RegularFormula!$D$2,$K$15,$D148))),IFERROR(IF(percentage,percentage,""),""))</f>
        <v>0.02647058824</v>
      </c>
      <c r="H148" s="71">
        <f t="array" ref="H148">LET(percentage,XLOOKUP($E148,$K$2:$K$10,N$2:N$10,"",0)/(COUNTIFS($E:$E,$E148,$D:$D,RegularFormula!$D$2)+COUNTIFS($E:$E,$E148,$D:$D,IF($D148=RegularFormula!$D$2,$K$15,$D148))),IFERROR(IF(percentage,percentage,""),""))</f>
        <v>0.01764705882</v>
      </c>
      <c r="I148" s="72" t="str">
        <f t="shared" si="1"/>
        <v/>
      </c>
      <c r="J148" s="73">
        <v>0.0</v>
      </c>
      <c r="K148" s="194"/>
      <c r="L148" s="55"/>
      <c r="M148" s="55"/>
      <c r="N148" s="55"/>
      <c r="O148" s="238"/>
      <c r="P148" s="103"/>
      <c r="Q148" s="103"/>
      <c r="R148" s="103"/>
      <c r="S148" s="231" t="str">
        <f t="shared" si="2"/>
        <v/>
      </c>
    </row>
    <row r="149">
      <c r="A149" s="217" t="b">
        <v>1</v>
      </c>
      <c r="B149" s="230" t="s">
        <v>696</v>
      </c>
      <c r="C149" s="69" t="str">
        <f t="array" ref="C149">TEXTJOIN("", TRUE, IFERROR(INDEX('language&amp;DataTest'!A:J, MATCH(INDEX( PointerTest!C:C, MATCH(B149, PointerTest!A:A, 0), 0), 'language&amp;DataTest'!A:A, 0), MATCH(HOME!$A$25, 'language&amp;DataTest'!$A$1:$H$1, 0))),                      IFERROR(INDEX('language&amp;DataTest'!A:J, MATCH(INDEX( PointerTest!D:D, MATCH(B149, PointerTest!A:A, 0), 0), 'language&amp;DataTest'!A:A, 0), MATCH(HOME!$A$25, 'language&amp;DataTest'!$A$1:$H$1, 0))),                                          
IFERROR(INDEX('language&amp;DataTest'!A:J, MATCH(INDEX( PointerTest!E:E, MATCH(B149, PointerTest!A:A, 0), 0), 'language&amp;DataTest'!A:A, 0), MATCH(HOME!$A$25, 'language&amp;DataTest'!$A$1:$H$1, 0))))</f>
        <v>Rocky Helmet</v>
      </c>
      <c r="D149" s="69" t="str">
        <f t="array" ref="D149">TEXTJOIN("", TRUE, 
IFERROR(INDEX('language&amp;DataTest'!A:J, MATCH(INDEX( PointerTest!C:C, MATCH(INDEX(PointerTest!B:B, MATCH(B149, PointerTest!A:A, 0)), PointerTest!A:A, 0), 0), 'language&amp;DataTest'!A:A, 0), MATCH(HOME!$A$25, 'language&amp;DataTest'!$A$1:$H$1, 0))),                      
IFERROR(INDEX('language&amp;DataTest'!A:J, MATCH(INDEX( PointerTest!D:D, MATCH(INDEX(PointerTest!B:B, MATCH(B149, PointerTest!A:A, 0)), PointerTest!A:A, 0), 0), 'language&amp;DataTest'!A:A, 0), MATCH(HOME!$A$25, 'language&amp;DataTest'!$A$1:$H$1, 0))),                                          
IFERROR(INDEX('language&amp;DataTest'!A:J, MATCH(INDEX( PointerTest!E:E, MATCH(INDEX(PointerTest!B:B, MATCH(B149, PointerTest!A:A, 0)), PointerTest!A:A, 0), 0), 'language&amp;DataTest'!A:A, 0), MATCH(HOME!$A$25, 'language&amp;DataTest'!$A$1:$H$1, 0))))</f>
        <v>Palkia ex</v>
      </c>
      <c r="E149" s="69" t="str">
        <f t="array" ref="E149">INDEX( PointerTest!F:F, MATCH(B149, PointerTest!A:A, 0), 0)</f>
        <v>♢♢</v>
      </c>
      <c r="F149" s="70" t="str">
        <f t="array" ref="F149">LET(percentage,XLOOKUP($E149,$K$2:$K$10,L$2:L$10,"",0)/(COUNTIFS($E:$E,$E149,$D:$D,RegularFormula!$D$2)+COUNTIFS($E:$E,$E149,$D:$D,IF($D149=RegularFormula!$D$2,$K$15,$D149))),IFERROR(IF(percentage,percentage,""),""))</f>
        <v/>
      </c>
      <c r="G149" s="71">
        <f t="array" ref="G149">LET(percentage,XLOOKUP($E149,$K$2:$K$10,M$2:M$10,"",0)/(COUNTIFS($E:$E,$E149,$D:$D,RegularFormula!$D$2)+COUNTIFS($E:$E,$E149,$D:$D,IF($D149=RegularFormula!$D$2,$K$15,$D149))),IFERROR(IF(percentage,percentage,""),""))</f>
        <v>0.025</v>
      </c>
      <c r="H149" s="71">
        <f t="array" ref="H149">LET(percentage,XLOOKUP($E149,$K$2:$K$10,N$2:N$10,"",0)/(COUNTIFS($E:$E,$E149,$D:$D,RegularFormula!$D$2)+COUNTIFS($E:$E,$E149,$D:$D,IF($D149=RegularFormula!$D$2,$K$15,$D149))),IFERROR(IF(percentage,percentage,""),""))</f>
        <v>0.01666666667</v>
      </c>
      <c r="I149" s="72" t="str">
        <f t="shared" si="1"/>
        <v/>
      </c>
      <c r="J149" s="73">
        <v>0.0</v>
      </c>
      <c r="K149" s="194"/>
      <c r="L149" s="55"/>
      <c r="M149" s="55"/>
      <c r="N149" s="55"/>
      <c r="O149" s="238"/>
      <c r="P149" s="103"/>
      <c r="Q149" s="103"/>
      <c r="R149" s="103"/>
      <c r="S149" s="231" t="str">
        <f t="shared" si="2"/>
        <v/>
      </c>
    </row>
    <row r="150">
      <c r="A150" s="217" t="b">
        <v>1</v>
      </c>
      <c r="B150" s="230" t="s">
        <v>697</v>
      </c>
      <c r="C150" s="69" t="str">
        <f t="array" ref="C150">TEXTJOIN("", TRUE, IFERROR(INDEX('language&amp;DataTest'!A:J, MATCH(INDEX( PointerTest!C:C, MATCH(B150, PointerTest!A:A, 0), 0), 'language&amp;DataTest'!A:A, 0), MATCH(HOME!$A$25, 'language&amp;DataTest'!$A$1:$H$1, 0))),                      IFERROR(INDEX('language&amp;DataTest'!A:J, MATCH(INDEX( PointerTest!D:D, MATCH(B150, PointerTest!A:A, 0), 0), 'language&amp;DataTest'!A:A, 0), MATCH(HOME!$A$25, 'language&amp;DataTest'!$A$1:$H$1, 0))),                                          
IFERROR(INDEX('language&amp;DataTest'!A:J, MATCH(INDEX( PointerTest!E:E, MATCH(B150, PointerTest!A:A, 0), 0), 'language&amp;DataTest'!A:A, 0), MATCH(HOME!$A$25, 'language&amp;DataTest'!$A$1:$H$1, 0))))</f>
        <v>Lum Berry</v>
      </c>
      <c r="D150" s="69" t="str">
        <f t="array" ref="D150">TEXTJOIN("", TRUE, 
IFERROR(INDEX('language&amp;DataTest'!A:J, MATCH(INDEX( PointerTest!C:C, MATCH(INDEX(PointerTest!B:B, MATCH(B150, PointerTest!A:A, 0)), PointerTest!A:A, 0), 0), 'language&amp;DataTest'!A:A, 0), MATCH(HOME!$A$25, 'language&amp;DataTest'!$A$1:$H$1, 0))),                      
IFERROR(INDEX('language&amp;DataTest'!A:J, MATCH(INDEX( PointerTest!D:D, MATCH(INDEX(PointerTest!B:B, MATCH(B150, PointerTest!A:A, 0)), PointerTest!A:A, 0), 0), 'language&amp;DataTest'!A:A, 0), MATCH(HOME!$A$25, 'language&amp;DataTest'!$A$1:$H$1, 0))),                                          
IFERROR(INDEX('language&amp;DataTest'!A:J, MATCH(INDEX( PointerTest!E:E, MATCH(INDEX(PointerTest!B:B, MATCH(B150, PointerTest!A:A, 0)), PointerTest!A:A, 0), 0), 'language&amp;DataTest'!A:A, 0), MATCH(HOME!$A$25, 'language&amp;DataTest'!$A$1:$H$1, 0))))</f>
        <v>Palkia ex</v>
      </c>
      <c r="E150" s="69" t="str">
        <f t="array" ref="E150">INDEX( PointerTest!F:F, MATCH(B150, PointerTest!A:A, 0), 0)</f>
        <v>♢♢</v>
      </c>
      <c r="F150" s="70" t="str">
        <f t="array" ref="F150">LET(percentage,XLOOKUP($E150,$K$2:$K$10,L$2:L$10,"",0)/(COUNTIFS($E:$E,$E150,$D:$D,RegularFormula!$D$2)+COUNTIFS($E:$E,$E150,$D:$D,IF($D150=RegularFormula!$D$2,$K$15,$D150))),IFERROR(IF(percentage,percentage,""),""))</f>
        <v/>
      </c>
      <c r="G150" s="71">
        <f t="array" ref="G150">LET(percentage,XLOOKUP($E150,$K$2:$K$10,M$2:M$10,"",0)/(COUNTIFS($E:$E,$E150,$D:$D,RegularFormula!$D$2)+COUNTIFS($E:$E,$E150,$D:$D,IF($D150=RegularFormula!$D$2,$K$15,$D150))),IFERROR(IF(percentage,percentage,""),""))</f>
        <v>0.025</v>
      </c>
      <c r="H150" s="71">
        <f t="array" ref="H150">LET(percentage,XLOOKUP($E150,$K$2:$K$10,N$2:N$10,"",0)/(COUNTIFS($E:$E,$E150,$D:$D,RegularFormula!$D$2)+COUNTIFS($E:$E,$E150,$D:$D,IF($D150=RegularFormula!$D$2,$K$15,$D150))),IFERROR(IF(percentage,percentage,""),""))</f>
        <v>0.01666666667</v>
      </c>
      <c r="I150" s="72" t="str">
        <f t="shared" si="1"/>
        <v/>
      </c>
      <c r="J150" s="73">
        <v>0.0</v>
      </c>
      <c r="K150" s="194"/>
      <c r="L150" s="55"/>
      <c r="M150" s="55"/>
      <c r="N150" s="55"/>
      <c r="O150" s="238"/>
      <c r="P150" s="103"/>
      <c r="Q150" s="103"/>
      <c r="R150" s="103"/>
      <c r="S150" s="231" t="str">
        <f t="shared" si="2"/>
        <v/>
      </c>
    </row>
    <row r="151">
      <c r="A151" s="217" t="b">
        <v>1</v>
      </c>
      <c r="B151" s="230" t="s">
        <v>698</v>
      </c>
      <c r="C151" s="69" t="str">
        <f t="array" ref="C151">TEXTJOIN("", TRUE, IFERROR(INDEX('language&amp;DataTest'!A:J, MATCH(INDEX( PointerTest!C:C, MATCH(B151, PointerTest!A:A, 0), 0), 'language&amp;DataTest'!A:A, 0), MATCH(HOME!$A$25, 'language&amp;DataTest'!$A$1:$H$1, 0))),                      IFERROR(INDEX('language&amp;DataTest'!A:J, MATCH(INDEX( PointerTest!D:D, MATCH(B151, PointerTest!A:A, 0), 0), 'language&amp;DataTest'!A:A, 0), MATCH(HOME!$A$25, 'language&amp;DataTest'!$A$1:$H$1, 0))),                                          
IFERROR(INDEX('language&amp;DataTest'!A:J, MATCH(INDEX( PointerTest!E:E, MATCH(B151, PointerTest!A:A, 0), 0), 'language&amp;DataTest'!A:A, 0), MATCH(HOME!$A$25, 'language&amp;DataTest'!$A$1:$H$1, 0))))</f>
        <v>Cyrus</v>
      </c>
      <c r="D151" s="69" t="str">
        <f t="array" ref="D151">TEXTJOIN("", TRUE, 
IFERROR(INDEX('language&amp;DataTest'!A:J, MATCH(INDEX( PointerTest!C:C, MATCH(INDEX(PointerTest!B:B, MATCH(B151, PointerTest!A:A, 0)), PointerTest!A:A, 0), 0), 'language&amp;DataTest'!A:A, 0), MATCH(HOME!$A$25, 'language&amp;DataTest'!$A$1:$H$1, 0))),                      
IFERROR(INDEX('language&amp;DataTest'!A:J, MATCH(INDEX( PointerTest!D:D, MATCH(INDEX(PointerTest!B:B, MATCH(B151, PointerTest!A:A, 0)), PointerTest!A:A, 0), 0), 'language&amp;DataTest'!A:A, 0), MATCH(HOME!$A$25, 'language&amp;DataTest'!$A$1:$H$1, 0))),                                          
IFERROR(INDEX('language&amp;DataTest'!A:J, MATCH(INDEX( PointerTest!E:E, MATCH(INDEX(PointerTest!B:B, MATCH(B151, PointerTest!A:A, 0)), PointerTest!A:A, 0), 0), 'language&amp;DataTest'!A:A, 0), MATCH(HOME!$A$25, 'language&amp;DataTest'!$A$1:$H$1, 0))))</f>
        <v>Palkia ex</v>
      </c>
      <c r="E151" s="69" t="str">
        <f t="array" ref="E151">INDEX( PointerTest!F:F, MATCH(B151, PointerTest!A:A, 0), 0)</f>
        <v>♢♢</v>
      </c>
      <c r="F151" s="70" t="str">
        <f t="array" ref="F151">LET(percentage,XLOOKUP($E151,$K$2:$K$10,L$2:L$10,"",0)/(COUNTIFS($E:$E,$E151,$D:$D,RegularFormula!$D$2)+COUNTIFS($E:$E,$E151,$D:$D,IF($D151=RegularFormula!$D$2,$K$15,$D151))),IFERROR(IF(percentage,percentage,""),""))</f>
        <v/>
      </c>
      <c r="G151" s="71">
        <f t="array" ref="G151">LET(percentage,XLOOKUP($E151,$K$2:$K$10,M$2:M$10,"",0)/(COUNTIFS($E:$E,$E151,$D:$D,RegularFormula!$D$2)+COUNTIFS($E:$E,$E151,$D:$D,IF($D151=RegularFormula!$D$2,$K$15,$D151))),IFERROR(IF(percentage,percentage,""),""))</f>
        <v>0.025</v>
      </c>
      <c r="H151" s="71">
        <f t="array" ref="H151">LET(percentage,XLOOKUP($E151,$K$2:$K$10,N$2:N$10,"",0)/(COUNTIFS($E:$E,$E151,$D:$D,RegularFormula!$D$2)+COUNTIFS($E:$E,$E151,$D:$D,IF($D151=RegularFormula!$D$2,$K$15,$D151))),IFERROR(IF(percentage,percentage,""),""))</f>
        <v>0.01666666667</v>
      </c>
      <c r="I151" s="72" t="str">
        <f t="shared" si="1"/>
        <v/>
      </c>
      <c r="J151" s="73">
        <v>0.0</v>
      </c>
      <c r="K151" s="194"/>
      <c r="L151" s="55"/>
      <c r="M151" s="55"/>
      <c r="N151" s="55"/>
      <c r="O151" s="238"/>
      <c r="P151" s="103"/>
      <c r="Q151" s="103"/>
      <c r="R151" s="103"/>
      <c r="S151" s="231" t="str">
        <f t="shared" si="2"/>
        <v/>
      </c>
    </row>
    <row r="152">
      <c r="A152" s="217" t="b">
        <v>1</v>
      </c>
      <c r="B152" s="230" t="s">
        <v>699</v>
      </c>
      <c r="C152" s="69" t="str">
        <f t="array" ref="C152">TEXTJOIN("", TRUE, IFERROR(INDEX('language&amp;DataTest'!A:J, MATCH(INDEX( PointerTest!C:C, MATCH(B152, PointerTest!A:A, 0), 0), 'language&amp;DataTest'!A:A, 0), MATCH(HOME!$A$25, 'language&amp;DataTest'!$A$1:$H$1, 0))),                      IFERROR(INDEX('language&amp;DataTest'!A:J, MATCH(INDEX( PointerTest!D:D, MATCH(B152, PointerTest!A:A, 0), 0), 'language&amp;DataTest'!A:A, 0), MATCH(HOME!$A$25, 'language&amp;DataTest'!$A$1:$H$1, 0))),                                          
IFERROR(INDEX('language&amp;DataTest'!A:J, MATCH(INDEX( PointerTest!E:E, MATCH(B152, PointerTest!A:A, 0), 0), 'language&amp;DataTest'!A:A, 0), MATCH(HOME!$A$25, 'language&amp;DataTest'!$A$1:$H$1, 0))))</f>
        <v>Team Galactic Grunt</v>
      </c>
      <c r="D152" s="69" t="str">
        <f t="array" ref="D152">TEXTJOIN("", TRUE, 
IFERROR(INDEX('language&amp;DataTest'!A:J, MATCH(INDEX( PointerTest!C:C, MATCH(INDEX(PointerTest!B:B, MATCH(B152, PointerTest!A:A, 0)), PointerTest!A:A, 0), 0), 'language&amp;DataTest'!A:A, 0), MATCH(HOME!$A$25, 'language&amp;DataTest'!$A$1:$H$1, 0))),                      
IFERROR(INDEX('language&amp;DataTest'!A:J, MATCH(INDEX( PointerTest!D:D, MATCH(INDEX(PointerTest!B:B, MATCH(B152, PointerTest!A:A, 0)), PointerTest!A:A, 0), 0), 'language&amp;DataTest'!A:A, 0), MATCH(HOME!$A$25, 'language&amp;DataTest'!$A$1:$H$1, 0))),                                          
IFERROR(INDEX('language&amp;DataTest'!A:J, MATCH(INDEX( PointerTest!E:E, MATCH(INDEX(PointerTest!B:B, MATCH(B152, PointerTest!A:A, 0)), PointerTest!A:A, 0), 0), 'language&amp;DataTest'!A:A, 0), MATCH(HOME!$A$25, 'language&amp;DataTest'!$A$1:$H$1, 0))))</f>
        <v>Dialga ex</v>
      </c>
      <c r="E152" s="69" t="str">
        <f t="array" ref="E152">INDEX( PointerTest!F:F, MATCH(B152, PointerTest!A:A, 0), 0)</f>
        <v>♢♢</v>
      </c>
      <c r="F152" s="70" t="str">
        <f t="array" ref="F152">LET(percentage,XLOOKUP($E152,$K$2:$K$10,L$2:L$10,"",0)/(COUNTIFS($E:$E,$E152,$D:$D,RegularFormula!$D$2)+COUNTIFS($E:$E,$E152,$D:$D,IF($D152=RegularFormula!$D$2,$K$15,$D152))),IFERROR(IF(percentage,percentage,""),""))</f>
        <v/>
      </c>
      <c r="G152" s="71">
        <f t="array" ref="G152">LET(percentage,XLOOKUP($E152,$K$2:$K$10,M$2:M$10,"",0)/(COUNTIFS($E:$E,$E152,$D:$D,RegularFormula!$D$2)+COUNTIFS($E:$E,$E152,$D:$D,IF($D152=RegularFormula!$D$2,$K$15,$D152))),IFERROR(IF(percentage,percentage,""),""))</f>
        <v>0.02647058824</v>
      </c>
      <c r="H152" s="71">
        <f t="array" ref="H152">LET(percentage,XLOOKUP($E152,$K$2:$K$10,N$2:N$10,"",0)/(COUNTIFS($E:$E,$E152,$D:$D,RegularFormula!$D$2)+COUNTIFS($E:$E,$E152,$D:$D,IF($D152=RegularFormula!$D$2,$K$15,$D152))),IFERROR(IF(percentage,percentage,""),""))</f>
        <v>0.01764705882</v>
      </c>
      <c r="I152" s="72" t="str">
        <f t="shared" si="1"/>
        <v/>
      </c>
      <c r="J152" s="73">
        <v>0.0</v>
      </c>
      <c r="K152" s="194"/>
      <c r="L152" s="55"/>
      <c r="M152" s="55"/>
      <c r="N152" s="55"/>
      <c r="O152" s="238"/>
      <c r="P152" s="103"/>
      <c r="Q152" s="103"/>
      <c r="R152" s="103"/>
      <c r="S152" s="231" t="str">
        <f t="shared" si="2"/>
        <v/>
      </c>
    </row>
    <row r="153">
      <c r="A153" s="217" t="b">
        <v>1</v>
      </c>
      <c r="B153" s="230" t="s">
        <v>700</v>
      </c>
      <c r="C153" s="69" t="str">
        <f t="array" ref="C153">TEXTJOIN("", TRUE, IFERROR(INDEX('language&amp;DataTest'!A:J, MATCH(INDEX( PointerTest!C:C, MATCH(B153, PointerTest!A:A, 0), 0), 'language&amp;DataTest'!A:A, 0), MATCH(HOME!$A$25, 'language&amp;DataTest'!$A$1:$H$1, 0))),                      IFERROR(INDEX('language&amp;DataTest'!A:J, MATCH(INDEX( PointerTest!D:D, MATCH(B153, PointerTest!A:A, 0), 0), 'language&amp;DataTest'!A:A, 0), MATCH(HOME!$A$25, 'language&amp;DataTest'!$A$1:$H$1, 0))),                                          
IFERROR(INDEX('language&amp;DataTest'!A:J, MATCH(INDEX( PointerTest!E:E, MATCH(B153, PointerTest!A:A, 0), 0), 'language&amp;DataTest'!A:A, 0), MATCH(HOME!$A$25, 'language&amp;DataTest'!$A$1:$H$1, 0))))</f>
        <v>Cynthia</v>
      </c>
      <c r="D153" s="69" t="str">
        <f t="array" ref="D153">TEXTJOIN("", TRUE, 
IFERROR(INDEX('language&amp;DataTest'!A:J, MATCH(INDEX( PointerTest!C:C, MATCH(INDEX(PointerTest!B:B, MATCH(B153, PointerTest!A:A, 0)), PointerTest!A:A, 0), 0), 'language&amp;DataTest'!A:A, 0), MATCH(HOME!$A$25, 'language&amp;DataTest'!$A$1:$H$1, 0))),                      
IFERROR(INDEX('language&amp;DataTest'!A:J, MATCH(INDEX( PointerTest!D:D, MATCH(INDEX(PointerTest!B:B, MATCH(B153, PointerTest!A:A, 0)), PointerTest!A:A, 0), 0), 'language&amp;DataTest'!A:A, 0), MATCH(HOME!$A$25, 'language&amp;DataTest'!$A$1:$H$1, 0))),                                          
IFERROR(INDEX('language&amp;DataTest'!A:J, MATCH(INDEX( PointerTest!E:E, MATCH(INDEX(PointerTest!B:B, MATCH(B153, PointerTest!A:A, 0)), PointerTest!A:A, 0), 0), 'language&amp;DataTest'!A:A, 0), MATCH(HOME!$A$25, 'language&amp;DataTest'!$A$1:$H$1, 0))))</f>
        <v>Palkia ex</v>
      </c>
      <c r="E153" s="69" t="str">
        <f t="array" ref="E153">INDEX( PointerTest!F:F, MATCH(B153, PointerTest!A:A, 0), 0)</f>
        <v>♢♢</v>
      </c>
      <c r="F153" s="70" t="str">
        <f t="array" ref="F153">LET(percentage,XLOOKUP($E153,$K$2:$K$10,L$2:L$10,"",0)/(COUNTIFS($E:$E,$E153,$D:$D,RegularFormula!$D$2)+COUNTIFS($E:$E,$E153,$D:$D,IF($D153=RegularFormula!$D$2,$K$15,$D153))),IFERROR(IF(percentage,percentage,""),""))</f>
        <v/>
      </c>
      <c r="G153" s="71">
        <f t="array" ref="G153">LET(percentage,XLOOKUP($E153,$K$2:$K$10,M$2:M$10,"",0)/(COUNTIFS($E:$E,$E153,$D:$D,RegularFormula!$D$2)+COUNTIFS($E:$E,$E153,$D:$D,IF($D153=RegularFormula!$D$2,$K$15,$D153))),IFERROR(IF(percentage,percentage,""),""))</f>
        <v>0.025</v>
      </c>
      <c r="H153" s="71">
        <f t="array" ref="H153">LET(percentage,XLOOKUP($E153,$K$2:$K$10,N$2:N$10,"",0)/(COUNTIFS($E:$E,$E153,$D:$D,RegularFormula!$D$2)+COUNTIFS($E:$E,$E153,$D:$D,IF($D153=RegularFormula!$D$2,$K$15,$D153))),IFERROR(IF(percentage,percentage,""),""))</f>
        <v>0.01666666667</v>
      </c>
      <c r="I153" s="72" t="str">
        <f t="shared" si="1"/>
        <v/>
      </c>
      <c r="J153" s="73">
        <v>0.0</v>
      </c>
      <c r="K153" s="194"/>
      <c r="L153" s="55"/>
      <c r="M153" s="55"/>
      <c r="N153" s="55"/>
      <c r="O153" s="238"/>
      <c r="P153" s="103"/>
      <c r="Q153" s="103"/>
      <c r="R153" s="103"/>
      <c r="S153" s="231" t="str">
        <f t="shared" si="2"/>
        <v/>
      </c>
    </row>
    <row r="154">
      <c r="A154" s="217" t="b">
        <v>1</v>
      </c>
      <c r="B154" s="230" t="s">
        <v>701</v>
      </c>
      <c r="C154" s="69" t="str">
        <f t="array" ref="C154">TEXTJOIN("", TRUE, IFERROR(INDEX('language&amp;DataTest'!A:J, MATCH(INDEX( PointerTest!C:C, MATCH(B154, PointerTest!A:A, 0), 0), 'language&amp;DataTest'!A:A, 0), MATCH(HOME!$A$25, 'language&amp;DataTest'!$A$1:$H$1, 0))),                      IFERROR(INDEX('language&amp;DataTest'!A:J, MATCH(INDEX( PointerTest!D:D, MATCH(B154, PointerTest!A:A, 0), 0), 'language&amp;DataTest'!A:A, 0), MATCH(HOME!$A$25, 'language&amp;DataTest'!$A$1:$H$1, 0))),                                          
IFERROR(INDEX('language&amp;DataTest'!A:J, MATCH(INDEX( PointerTest!E:E, MATCH(B154, PointerTest!A:A, 0), 0), 'language&amp;DataTest'!A:A, 0), MATCH(HOME!$A$25, 'language&amp;DataTest'!$A$1:$H$1, 0))))</f>
        <v>Volkner</v>
      </c>
      <c r="D154" s="69" t="str">
        <f t="array" ref="D154">TEXTJOIN("", TRUE, 
IFERROR(INDEX('language&amp;DataTest'!A:J, MATCH(INDEX( PointerTest!C:C, MATCH(INDEX(PointerTest!B:B, MATCH(B154, PointerTest!A:A, 0)), PointerTest!A:A, 0), 0), 'language&amp;DataTest'!A:A, 0), MATCH(HOME!$A$25, 'language&amp;DataTest'!$A$1:$H$1, 0))),                      
IFERROR(INDEX('language&amp;DataTest'!A:J, MATCH(INDEX( PointerTest!D:D, MATCH(INDEX(PointerTest!B:B, MATCH(B154, PointerTest!A:A, 0)), PointerTest!A:A, 0), 0), 'language&amp;DataTest'!A:A, 0), MATCH(HOME!$A$25, 'language&amp;DataTest'!$A$1:$H$1, 0))),                                          
IFERROR(INDEX('language&amp;DataTest'!A:J, MATCH(INDEX( PointerTest!E:E, MATCH(INDEX(PointerTest!B:B, MATCH(B154, PointerTest!A:A, 0)), PointerTest!A:A, 0), 0), 'language&amp;DataTest'!A:A, 0), MATCH(HOME!$A$25, 'language&amp;DataTest'!$A$1:$H$1, 0))))</f>
        <v>Dialga ex</v>
      </c>
      <c r="E154" s="69" t="str">
        <f t="array" ref="E154">INDEX( PointerTest!F:F, MATCH(B154, PointerTest!A:A, 0), 0)</f>
        <v>♢♢</v>
      </c>
      <c r="F154" s="70" t="str">
        <f t="array" ref="F154">LET(percentage,XLOOKUP($E154,$K$2:$K$10,L$2:L$10,"",0)/(COUNTIFS($E:$E,$E154,$D:$D,RegularFormula!$D$2)+COUNTIFS($E:$E,$E154,$D:$D,IF($D154=RegularFormula!$D$2,$K$15,$D154))),IFERROR(IF(percentage,percentage,""),""))</f>
        <v/>
      </c>
      <c r="G154" s="71">
        <f t="array" ref="G154">LET(percentage,XLOOKUP($E154,$K$2:$K$10,M$2:M$10,"",0)/(COUNTIFS($E:$E,$E154,$D:$D,RegularFormula!$D$2)+COUNTIFS($E:$E,$E154,$D:$D,IF($D154=RegularFormula!$D$2,$K$15,$D154))),IFERROR(IF(percentage,percentage,""),""))</f>
        <v>0.02647058824</v>
      </c>
      <c r="H154" s="71">
        <f t="array" ref="H154">LET(percentage,XLOOKUP($E154,$K$2:$K$10,N$2:N$10,"",0)/(COUNTIFS($E:$E,$E154,$D:$D,RegularFormula!$D$2)+COUNTIFS($E:$E,$E154,$D:$D,IF($D154=RegularFormula!$D$2,$K$15,$D154))),IFERROR(IF(percentage,percentage,""),""))</f>
        <v>0.01764705882</v>
      </c>
      <c r="I154" s="72" t="str">
        <f t="shared" si="1"/>
        <v/>
      </c>
      <c r="J154" s="73">
        <v>0.0</v>
      </c>
      <c r="K154" s="194"/>
      <c r="L154" s="55"/>
      <c r="M154" s="55"/>
      <c r="N154" s="55"/>
      <c r="O154" s="238"/>
      <c r="P154" s="103"/>
      <c r="Q154" s="103"/>
      <c r="R154" s="103"/>
      <c r="S154" s="231" t="str">
        <f t="shared" si="2"/>
        <v/>
      </c>
    </row>
    <row r="155">
      <c r="A155" s="217" t="b">
        <v>1</v>
      </c>
      <c r="B155" s="230" t="s">
        <v>702</v>
      </c>
      <c r="C155" s="69" t="str">
        <f t="array" ref="C155">TEXTJOIN("", TRUE, IFERROR(INDEX('language&amp;DataTest'!A:J, MATCH(INDEX( PointerTest!C:C, MATCH(B155, PointerTest!A:A, 0), 0), 'language&amp;DataTest'!A:A, 0), MATCH(HOME!$A$25, 'language&amp;DataTest'!$A$1:$H$1, 0))),                      IFERROR(INDEX('language&amp;DataTest'!A:J, MATCH(INDEX( PointerTest!D:D, MATCH(B155, PointerTest!A:A, 0), 0), 'language&amp;DataTest'!A:A, 0), MATCH(HOME!$A$25, 'language&amp;DataTest'!$A$1:$H$1, 0))),                                          
IFERROR(INDEX('language&amp;DataTest'!A:J, MATCH(INDEX( PointerTest!E:E, MATCH(B155, PointerTest!A:A, 0), 0), 'language&amp;DataTest'!A:A, 0), MATCH(HOME!$A$25, 'language&amp;DataTest'!$A$1:$H$1, 0))))</f>
        <v>Dawn</v>
      </c>
      <c r="D155" s="69" t="str">
        <f t="array" ref="D155">TEXTJOIN("", TRUE, 
IFERROR(INDEX('language&amp;DataTest'!A:J, MATCH(INDEX( PointerTest!C:C, MATCH(INDEX(PointerTest!B:B, MATCH(B155, PointerTest!A:A, 0)), PointerTest!A:A, 0), 0), 'language&amp;DataTest'!A:A, 0), MATCH(HOME!$A$25, 'language&amp;DataTest'!$A$1:$H$1, 0))),                      
IFERROR(INDEX('language&amp;DataTest'!A:J, MATCH(INDEX( PointerTest!D:D, MATCH(INDEX(PointerTest!B:B, MATCH(B155, PointerTest!A:A, 0)), PointerTest!A:A, 0), 0), 'language&amp;DataTest'!A:A, 0), MATCH(HOME!$A$25, 'language&amp;DataTest'!$A$1:$H$1, 0))),                                          
IFERROR(INDEX('language&amp;DataTest'!A:J, MATCH(INDEX( PointerTest!E:E, MATCH(INDEX(PointerTest!B:B, MATCH(B155, PointerTest!A:A, 0)), PointerTest!A:A, 0), 0), 'language&amp;DataTest'!A:A, 0), MATCH(HOME!$A$25, 'language&amp;DataTest'!$A$1:$H$1, 0))))</f>
        <v>Dialga ex</v>
      </c>
      <c r="E155" s="69" t="str">
        <f t="array" ref="E155">INDEX( PointerTest!F:F, MATCH(B155, PointerTest!A:A, 0), 0)</f>
        <v>♢♢</v>
      </c>
      <c r="F155" s="70" t="str">
        <f t="array" ref="F155">LET(percentage,XLOOKUP($E155,$K$2:$K$10,L$2:L$10,"",0)/(COUNTIFS($E:$E,$E155,$D:$D,RegularFormula!$D$2)+COUNTIFS($E:$E,$E155,$D:$D,IF($D155=RegularFormula!$D$2,$K$15,$D155))),IFERROR(IF(percentage,percentage,""),""))</f>
        <v/>
      </c>
      <c r="G155" s="71">
        <f t="array" ref="G155">LET(percentage,XLOOKUP($E155,$K$2:$K$10,M$2:M$10,"",0)/(COUNTIFS($E:$E,$E155,$D:$D,RegularFormula!$D$2)+COUNTIFS($E:$E,$E155,$D:$D,IF($D155=RegularFormula!$D$2,$K$15,$D155))),IFERROR(IF(percentage,percentage,""),""))</f>
        <v>0.02647058824</v>
      </c>
      <c r="H155" s="71">
        <f t="array" ref="H155">LET(percentage,XLOOKUP($E155,$K$2:$K$10,N$2:N$10,"",0)/(COUNTIFS($E:$E,$E155,$D:$D,RegularFormula!$D$2)+COUNTIFS($E:$E,$E155,$D:$D,IF($D155=RegularFormula!$D$2,$K$15,$D155))),IFERROR(IF(percentage,percentage,""),""))</f>
        <v>0.01764705882</v>
      </c>
      <c r="I155" s="72" t="str">
        <f t="shared" si="1"/>
        <v/>
      </c>
      <c r="J155" s="73">
        <v>0.0</v>
      </c>
      <c r="K155" s="194"/>
      <c r="L155" s="55"/>
      <c r="M155" s="55"/>
      <c r="N155" s="55"/>
      <c r="O155" s="238"/>
      <c r="P155" s="103"/>
      <c r="Q155" s="103"/>
      <c r="R155" s="103"/>
      <c r="S155" s="231" t="str">
        <f t="shared" si="2"/>
        <v/>
      </c>
    </row>
    <row r="156">
      <c r="A156" s="217" t="b">
        <v>1</v>
      </c>
      <c r="B156" s="230" t="s">
        <v>703</v>
      </c>
      <c r="C156" s="69" t="str">
        <f t="array" ref="C156">TEXTJOIN("", TRUE, IFERROR(INDEX('language&amp;DataTest'!A:J, MATCH(INDEX( PointerTest!C:C, MATCH(B156, PointerTest!A:A, 0), 0), 'language&amp;DataTest'!A:A, 0), MATCH(HOME!$A$25, 'language&amp;DataTest'!$A$1:$H$1, 0))),                      IFERROR(INDEX('language&amp;DataTest'!A:J, MATCH(INDEX( PointerTest!D:D, MATCH(B156, PointerTest!A:A, 0), 0), 'language&amp;DataTest'!A:A, 0), MATCH(HOME!$A$25, 'language&amp;DataTest'!$A$1:$H$1, 0))),                                          
IFERROR(INDEX('language&amp;DataTest'!A:J, MATCH(INDEX( PointerTest!E:E, MATCH(B156, PointerTest!A:A, 0), 0), 'language&amp;DataTest'!A:A, 0), MATCH(HOME!$A$25, 'language&amp;DataTest'!$A$1:$H$1, 0))))</f>
        <v>Mars</v>
      </c>
      <c r="D156" s="69" t="str">
        <f t="array" ref="D156">TEXTJOIN("", TRUE, 
IFERROR(INDEX('language&amp;DataTest'!A:J, MATCH(INDEX( PointerTest!C:C, MATCH(INDEX(PointerTest!B:B, MATCH(B156, PointerTest!A:A, 0)), PointerTest!A:A, 0), 0), 'language&amp;DataTest'!A:A, 0), MATCH(HOME!$A$25, 'language&amp;DataTest'!$A$1:$H$1, 0))),                      
IFERROR(INDEX('language&amp;DataTest'!A:J, MATCH(INDEX( PointerTest!D:D, MATCH(INDEX(PointerTest!B:B, MATCH(B156, PointerTest!A:A, 0)), PointerTest!A:A, 0), 0), 'language&amp;DataTest'!A:A, 0), MATCH(HOME!$A$25, 'language&amp;DataTest'!$A$1:$H$1, 0))),                                          
IFERROR(INDEX('language&amp;DataTest'!A:J, MATCH(INDEX( PointerTest!E:E, MATCH(INDEX(PointerTest!B:B, MATCH(B156, PointerTest!A:A, 0)), PointerTest!A:A, 0), 0), 'language&amp;DataTest'!A:A, 0), MATCH(HOME!$A$25, 'language&amp;DataTest'!$A$1:$H$1, 0))))</f>
        <v>Palkia ex</v>
      </c>
      <c r="E156" s="69" t="str">
        <f t="array" ref="E156">INDEX( PointerTest!F:F, MATCH(B156, PointerTest!A:A, 0), 0)</f>
        <v>♢♢</v>
      </c>
      <c r="F156" s="70" t="str">
        <f t="array" ref="F156">LET(percentage,XLOOKUP($E156,$K$2:$K$10,L$2:L$10,"",0)/(COUNTIFS($E:$E,$E156,$D:$D,RegularFormula!$D$2)+COUNTIFS($E:$E,$E156,$D:$D,IF($D156=RegularFormula!$D$2,$K$15,$D156))),IFERROR(IF(percentage,percentage,""),""))</f>
        <v/>
      </c>
      <c r="G156" s="71">
        <f t="array" ref="G156">LET(percentage,XLOOKUP($E156,$K$2:$K$10,M$2:M$10,"",0)/(COUNTIFS($E:$E,$E156,$D:$D,RegularFormula!$D$2)+COUNTIFS($E:$E,$E156,$D:$D,IF($D156=RegularFormula!$D$2,$K$15,$D156))),IFERROR(IF(percentage,percentage,""),""))</f>
        <v>0.025</v>
      </c>
      <c r="H156" s="71">
        <f t="array" ref="H156">LET(percentage,XLOOKUP($E156,$K$2:$K$10,N$2:N$10,"",0)/(COUNTIFS($E:$E,$E156,$D:$D,RegularFormula!$D$2)+COUNTIFS($E:$E,$E156,$D:$D,IF($D156=RegularFormula!$D$2,$K$15,$D156))),IFERROR(IF(percentage,percentage,""),""))</f>
        <v>0.01666666667</v>
      </c>
      <c r="I156" s="72" t="str">
        <f t="shared" si="1"/>
        <v/>
      </c>
      <c r="J156" s="73">
        <v>0.0</v>
      </c>
      <c r="K156" s="194"/>
      <c r="L156" s="55"/>
      <c r="M156" s="55"/>
      <c r="N156" s="55"/>
      <c r="O156" s="238"/>
      <c r="P156" s="103"/>
      <c r="Q156" s="103"/>
      <c r="R156" s="103"/>
      <c r="S156" s="231" t="str">
        <f t="shared" si="2"/>
        <v/>
      </c>
    </row>
    <row r="157">
      <c r="A157" s="217" t="b">
        <v>1</v>
      </c>
      <c r="B157" s="230" t="s">
        <v>704</v>
      </c>
      <c r="C157" s="69" t="str">
        <f t="array" ref="C157">TEXTJOIN("", TRUE, IFERROR(INDEX('language&amp;DataTest'!A:J, MATCH(INDEX( PointerTest!C:C, MATCH(B157, PointerTest!A:A, 0), 0), 'language&amp;DataTest'!A:A, 0), MATCH(HOME!$A$25, 'language&amp;DataTest'!$A$1:$H$1, 0))),                      IFERROR(INDEX('language&amp;DataTest'!A:J, MATCH(INDEX( PointerTest!D:D, MATCH(B157, PointerTest!A:A, 0), 0), 'language&amp;DataTest'!A:A, 0), MATCH(HOME!$A$25, 'language&amp;DataTest'!$A$1:$H$1, 0))),                                          
IFERROR(INDEX('language&amp;DataTest'!A:J, MATCH(INDEX( PointerTest!E:E, MATCH(B157, PointerTest!A:A, 0), 0), 'language&amp;DataTest'!A:A, 0), MATCH(HOME!$A$25, 'language&amp;DataTest'!$A$1:$H$1, 0))))</f>
        <v>Tangrowth</v>
      </c>
      <c r="D157" s="69" t="str">
        <f t="array" ref="D157">TEXTJOIN("", TRUE, 
IFERROR(INDEX('language&amp;DataTest'!A:J, MATCH(INDEX( PointerTest!C:C, MATCH(INDEX(PointerTest!B:B, MATCH(B157, PointerTest!A:A, 0)), PointerTest!A:A, 0), 0), 'language&amp;DataTest'!A:A, 0), MATCH(HOME!$A$25, 'language&amp;DataTest'!$A$1:$H$1, 0))),                      
IFERROR(INDEX('language&amp;DataTest'!A:J, MATCH(INDEX( PointerTest!D:D, MATCH(INDEX(PointerTest!B:B, MATCH(B157, PointerTest!A:A, 0)), PointerTest!A:A, 0), 0), 'language&amp;DataTest'!A:A, 0), MATCH(HOME!$A$25, 'language&amp;DataTest'!$A$1:$H$1, 0))),                                          
IFERROR(INDEX('language&amp;DataTest'!A:J, MATCH(INDEX( PointerTest!E:E, MATCH(INDEX(PointerTest!B:B, MATCH(B157, PointerTest!A:A, 0)), PointerTest!A:A, 0), 0), 'language&amp;DataTest'!A:A, 0), MATCH(HOME!$A$25, 'language&amp;DataTest'!$A$1:$H$1, 0))))</f>
        <v>Dialga ex</v>
      </c>
      <c r="E157" s="69" t="str">
        <f t="array" ref="E157">INDEX( PointerTest!F:F, MATCH(B157, PointerTest!A:A, 0), 0)</f>
        <v>☆</v>
      </c>
      <c r="F157" s="70" t="str">
        <f t="array" ref="F157">LET(percentage,XLOOKUP($E157,$K$2:$K$10,L$2:L$10,"",0)/(COUNTIFS($E:$E,$E157,$D:$D,RegularFormula!$D$2)+COUNTIFS($E:$E,$E157,$D:$D,IF($D157=RegularFormula!$D$2,$K$15,$D157))),IFERROR(IF(percentage,percentage,""),""))</f>
        <v/>
      </c>
      <c r="G157" s="71">
        <f t="array" ref="G157">LET(percentage,XLOOKUP($E157,$K$2:$K$10,M$2:M$10,"",0)/(COUNTIFS($E:$E,$E157,$D:$D,RegularFormula!$D$2)+COUNTIFS($E:$E,$E157,$D:$D,IF($D157=RegularFormula!$D$2,$K$15,$D157))),IFERROR(IF(percentage,percentage,""),""))</f>
        <v>0.002143333333</v>
      </c>
      <c r="H157" s="71">
        <f t="array" ref="H157">LET(percentage,XLOOKUP($E157,$K$2:$K$10,N$2:N$10,"",0)/(COUNTIFS($E:$E,$E157,$D:$D,RegularFormula!$D$2)+COUNTIFS($E:$E,$E157,$D:$D,IF($D157=RegularFormula!$D$2,$K$15,$D157))),IFERROR(IF(percentage,percentage,""),""))</f>
        <v>0.008573333333</v>
      </c>
      <c r="I157" s="72" t="str">
        <f t="shared" si="1"/>
        <v/>
      </c>
      <c r="J157" s="73">
        <v>0.0</v>
      </c>
      <c r="K157" s="194"/>
      <c r="L157" s="55"/>
      <c r="M157" s="55"/>
      <c r="N157" s="55"/>
      <c r="O157" s="238"/>
      <c r="P157" s="103"/>
      <c r="Q157" s="103"/>
      <c r="R157" s="103"/>
      <c r="S157" s="231" t="str">
        <f t="shared" si="2"/>
        <v/>
      </c>
    </row>
    <row r="158">
      <c r="A158" s="217" t="b">
        <v>1</v>
      </c>
      <c r="B158" s="230" t="s">
        <v>705</v>
      </c>
      <c r="C158" s="69" t="str">
        <f t="array" ref="C158">TEXTJOIN("", TRUE, IFERROR(INDEX('language&amp;DataTest'!A:J, MATCH(INDEX( PointerTest!C:C, MATCH(B158, PointerTest!A:A, 0), 0), 'language&amp;DataTest'!A:A, 0), MATCH(HOME!$A$25, 'language&amp;DataTest'!$A$1:$H$1, 0))),                      IFERROR(INDEX('language&amp;DataTest'!A:J, MATCH(INDEX( PointerTest!D:D, MATCH(B158, PointerTest!A:A, 0), 0), 'language&amp;DataTest'!A:A, 0), MATCH(HOME!$A$25, 'language&amp;DataTest'!$A$1:$H$1, 0))),                                          
IFERROR(INDEX('language&amp;DataTest'!A:J, MATCH(INDEX( PointerTest!E:E, MATCH(B158, PointerTest!A:A, 0), 0), 'language&amp;DataTest'!A:A, 0), MATCH(HOME!$A$25, 'language&amp;DataTest'!$A$1:$H$1, 0))))</f>
        <v>Combee</v>
      </c>
      <c r="D158" s="69" t="str">
        <f t="array" ref="D158">TEXTJOIN("", TRUE, 
IFERROR(INDEX('language&amp;DataTest'!A:J, MATCH(INDEX( PointerTest!C:C, MATCH(INDEX(PointerTest!B:B, MATCH(B158, PointerTest!A:A, 0)), PointerTest!A:A, 0), 0), 'language&amp;DataTest'!A:A, 0), MATCH(HOME!$A$25, 'language&amp;DataTest'!$A$1:$H$1, 0))),                      
IFERROR(INDEX('language&amp;DataTest'!A:J, MATCH(INDEX( PointerTest!D:D, MATCH(INDEX(PointerTest!B:B, MATCH(B158, PointerTest!A:A, 0)), PointerTest!A:A, 0), 0), 'language&amp;DataTest'!A:A, 0), MATCH(HOME!$A$25, 'language&amp;DataTest'!$A$1:$H$1, 0))),                                          
IFERROR(INDEX('language&amp;DataTest'!A:J, MATCH(INDEX( PointerTest!E:E, MATCH(INDEX(PointerTest!B:B, MATCH(B158, PointerTest!A:A, 0)), PointerTest!A:A, 0), 0), 'language&amp;DataTest'!A:A, 0), MATCH(HOME!$A$25, 'language&amp;DataTest'!$A$1:$H$1, 0))))</f>
        <v>Dialga ex</v>
      </c>
      <c r="E158" s="69" t="str">
        <f t="array" ref="E158">INDEX( PointerTest!F:F, MATCH(B158, PointerTest!A:A, 0), 0)</f>
        <v>☆</v>
      </c>
      <c r="F158" s="70" t="str">
        <f t="array" ref="F158">LET(percentage,XLOOKUP($E158,$K$2:$K$10,L$2:L$10,"",0)/(COUNTIFS($E:$E,$E158,$D:$D,RegularFormula!$D$2)+COUNTIFS($E:$E,$E158,$D:$D,IF($D158=RegularFormula!$D$2,$K$15,$D158))),IFERROR(IF(percentage,percentage,""),""))</f>
        <v/>
      </c>
      <c r="G158" s="71">
        <f t="array" ref="G158">LET(percentage,XLOOKUP($E158,$K$2:$K$10,M$2:M$10,"",0)/(COUNTIFS($E:$E,$E158,$D:$D,RegularFormula!$D$2)+COUNTIFS($E:$E,$E158,$D:$D,IF($D158=RegularFormula!$D$2,$K$15,$D158))),IFERROR(IF(percentage,percentage,""),""))</f>
        <v>0.002143333333</v>
      </c>
      <c r="H158" s="71">
        <f t="array" ref="H158">LET(percentage,XLOOKUP($E158,$K$2:$K$10,N$2:N$10,"",0)/(COUNTIFS($E:$E,$E158,$D:$D,RegularFormula!$D$2)+COUNTIFS($E:$E,$E158,$D:$D,IF($D158=RegularFormula!$D$2,$K$15,$D158))),IFERROR(IF(percentage,percentage,""),""))</f>
        <v>0.008573333333</v>
      </c>
      <c r="I158" s="72" t="str">
        <f t="shared" si="1"/>
        <v/>
      </c>
      <c r="J158" s="73">
        <v>0.0</v>
      </c>
      <c r="K158" s="194"/>
      <c r="L158" s="55"/>
      <c r="M158" s="55"/>
      <c r="N158" s="55"/>
      <c r="O158" s="238"/>
      <c r="P158" s="103"/>
      <c r="Q158" s="103"/>
      <c r="R158" s="103"/>
      <c r="S158" s="231" t="str">
        <f t="shared" si="2"/>
        <v/>
      </c>
    </row>
    <row r="159">
      <c r="A159" s="217" t="b">
        <v>0</v>
      </c>
      <c r="B159" s="230" t="s">
        <v>706</v>
      </c>
      <c r="C159" s="69" t="str">
        <f t="array" ref="C159">TEXTJOIN("", TRUE, IFERROR(INDEX('language&amp;DataTest'!A:J, MATCH(INDEX( PointerTest!C:C, MATCH(B159, PointerTest!A:A, 0), 0), 'language&amp;DataTest'!A:A, 0), MATCH(HOME!$A$25, 'language&amp;DataTest'!$A$1:$H$1, 0))),                      IFERROR(INDEX('language&amp;DataTest'!A:J, MATCH(INDEX( PointerTest!D:D, MATCH(B159, PointerTest!A:A, 0), 0), 'language&amp;DataTest'!A:A, 0), MATCH(HOME!$A$25, 'language&amp;DataTest'!$A$1:$H$1, 0))),                                          
IFERROR(INDEX('language&amp;DataTest'!A:J, MATCH(INDEX( PointerTest!E:E, MATCH(B159, PointerTest!A:A, 0), 0), 'language&amp;DataTest'!A:A, 0), MATCH(HOME!$A$25, 'language&amp;DataTest'!$A$1:$H$1, 0))))</f>
        <v>Carnivine</v>
      </c>
      <c r="D159" s="69" t="str">
        <f t="array" ref="D159">TEXTJOIN("", TRUE, 
IFERROR(INDEX('language&amp;DataTest'!A:J, MATCH(INDEX( PointerTest!C:C, MATCH(INDEX(PointerTest!B:B, MATCH(B159, PointerTest!A:A, 0)), PointerTest!A:A, 0), 0), 'language&amp;DataTest'!A:A, 0), MATCH(HOME!$A$25, 'language&amp;DataTest'!$A$1:$H$1, 0))),                      
IFERROR(INDEX('language&amp;DataTest'!A:J, MATCH(INDEX( PointerTest!D:D, MATCH(INDEX(PointerTest!B:B, MATCH(B159, PointerTest!A:A, 0)), PointerTest!A:A, 0), 0), 'language&amp;DataTest'!A:A, 0), MATCH(HOME!$A$25, 'language&amp;DataTest'!$A$1:$H$1, 0))),                                          
IFERROR(INDEX('language&amp;DataTest'!A:J, MATCH(INDEX( PointerTest!E:E, MATCH(INDEX(PointerTest!B:B, MATCH(B159, PointerTest!A:A, 0)), PointerTest!A:A, 0), 0), 'language&amp;DataTest'!A:A, 0), MATCH(HOME!$A$25, 'language&amp;DataTest'!$A$1:$H$1, 0))))</f>
        <v>Palkia ex</v>
      </c>
      <c r="E159" s="69" t="str">
        <f t="array" ref="E159">INDEX( PointerTest!F:F, MATCH(B159, PointerTest!A:A, 0), 0)</f>
        <v>☆</v>
      </c>
      <c r="F159" s="70" t="str">
        <f t="array" ref="F159">LET(percentage,XLOOKUP($E159,$K$2:$K$10,L$2:L$10,"",0)/(COUNTIFS($E:$E,$E159,$D:$D,RegularFormula!$D$2)+COUNTIFS($E:$E,$E159,$D:$D,IF($D159=RegularFormula!$D$2,$K$15,$D159))),IFERROR(IF(percentage,percentage,""),""))</f>
        <v/>
      </c>
      <c r="G159" s="71">
        <f t="array" ref="G159">LET(percentage,XLOOKUP($E159,$K$2:$K$10,M$2:M$10,"",0)/(COUNTIFS($E:$E,$E159,$D:$D,RegularFormula!$D$2)+COUNTIFS($E:$E,$E159,$D:$D,IF($D159=RegularFormula!$D$2,$K$15,$D159))),IFERROR(IF(percentage,percentage,""),""))</f>
        <v>0.002143333333</v>
      </c>
      <c r="H159" s="71">
        <f t="array" ref="H159">LET(percentage,XLOOKUP($E159,$K$2:$K$10,N$2:N$10,"",0)/(COUNTIFS($E:$E,$E159,$D:$D,RegularFormula!$D$2)+COUNTIFS($E:$E,$E159,$D:$D,IF($D159=RegularFormula!$D$2,$K$15,$D159))),IFERROR(IF(percentage,percentage,""),""))</f>
        <v>0.008573333333</v>
      </c>
      <c r="I159" s="72" t="str">
        <f t="shared" si="1"/>
        <v/>
      </c>
      <c r="J159" s="73">
        <v>0.0</v>
      </c>
      <c r="K159" s="194"/>
      <c r="L159" s="55"/>
      <c r="M159" s="55"/>
      <c r="N159" s="55"/>
      <c r="O159" s="238"/>
      <c r="P159" s="103"/>
      <c r="Q159" s="103"/>
      <c r="R159" s="103"/>
      <c r="S159" s="231" t="str">
        <f t="shared" si="2"/>
        <v/>
      </c>
    </row>
    <row r="160">
      <c r="A160" s="217" t="b">
        <v>0</v>
      </c>
      <c r="B160" s="230" t="s">
        <v>707</v>
      </c>
      <c r="C160" s="69" t="str">
        <f t="array" ref="C160">TEXTJOIN("", TRUE, IFERROR(INDEX('language&amp;DataTest'!A:J, MATCH(INDEX( PointerTest!C:C, MATCH(B160, PointerTest!A:A, 0), 0), 'language&amp;DataTest'!A:A, 0), MATCH(HOME!$A$25, 'language&amp;DataTest'!$A$1:$H$1, 0))),                      IFERROR(INDEX('language&amp;DataTest'!A:J, MATCH(INDEX( PointerTest!D:D, MATCH(B160, PointerTest!A:A, 0), 0), 'language&amp;DataTest'!A:A, 0), MATCH(HOME!$A$25, 'language&amp;DataTest'!$A$1:$H$1, 0))),                                          
IFERROR(INDEX('language&amp;DataTest'!A:J, MATCH(INDEX( PointerTest!E:E, MATCH(B160, PointerTest!A:A, 0), 0), 'language&amp;DataTest'!A:A, 0), MATCH(HOME!$A$25, 'language&amp;DataTest'!$A$1:$H$1, 0))))</f>
        <v>Shaymin</v>
      </c>
      <c r="D160" s="69" t="str">
        <f t="array" ref="D160">TEXTJOIN("", TRUE, 
IFERROR(INDEX('language&amp;DataTest'!A:J, MATCH(INDEX( PointerTest!C:C, MATCH(INDEX(PointerTest!B:B, MATCH(B160, PointerTest!A:A, 0)), PointerTest!A:A, 0), 0), 'language&amp;DataTest'!A:A, 0), MATCH(HOME!$A$25, 'language&amp;DataTest'!$A$1:$H$1, 0))),                      
IFERROR(INDEX('language&amp;DataTest'!A:J, MATCH(INDEX( PointerTest!D:D, MATCH(INDEX(PointerTest!B:B, MATCH(B160, PointerTest!A:A, 0)), PointerTest!A:A, 0), 0), 'language&amp;DataTest'!A:A, 0), MATCH(HOME!$A$25, 'language&amp;DataTest'!$A$1:$H$1, 0))),                                          
IFERROR(INDEX('language&amp;DataTest'!A:J, MATCH(INDEX( PointerTest!E:E, MATCH(INDEX(PointerTest!B:B, MATCH(B160, PointerTest!A:A, 0)), PointerTest!A:A, 0), 0), 'language&amp;DataTest'!A:A, 0), MATCH(HOME!$A$25, 'language&amp;DataTest'!$A$1:$H$1, 0))))</f>
        <v>Dialga ex</v>
      </c>
      <c r="E160" s="69" t="str">
        <f t="array" ref="E160">INDEX( PointerTest!F:F, MATCH(B160, PointerTest!A:A, 0), 0)</f>
        <v>☆</v>
      </c>
      <c r="F160" s="70" t="str">
        <f t="array" ref="F160">LET(percentage,XLOOKUP($E160,$K$2:$K$10,L$2:L$10,"",0)/(COUNTIFS($E:$E,$E160,$D:$D,RegularFormula!$D$2)+COUNTIFS($E:$E,$E160,$D:$D,IF($D160=RegularFormula!$D$2,$K$15,$D160))),IFERROR(IF(percentage,percentage,""),""))</f>
        <v/>
      </c>
      <c r="G160" s="71">
        <f t="array" ref="G160">LET(percentage,XLOOKUP($E160,$K$2:$K$10,M$2:M$10,"",0)/(COUNTIFS($E:$E,$E160,$D:$D,RegularFormula!$D$2)+COUNTIFS($E:$E,$E160,$D:$D,IF($D160=RegularFormula!$D$2,$K$15,$D160))),IFERROR(IF(percentage,percentage,""),""))</f>
        <v>0.002143333333</v>
      </c>
      <c r="H160" s="71">
        <f t="array" ref="H160">LET(percentage,XLOOKUP($E160,$K$2:$K$10,N$2:N$10,"",0)/(COUNTIFS($E:$E,$E160,$D:$D,RegularFormula!$D$2)+COUNTIFS($E:$E,$E160,$D:$D,IF($D160=RegularFormula!$D$2,$K$15,$D160))),IFERROR(IF(percentage,percentage,""),""))</f>
        <v>0.008573333333</v>
      </c>
      <c r="I160" s="72" t="str">
        <f t="shared" si="1"/>
        <v/>
      </c>
      <c r="J160" s="73">
        <v>0.0</v>
      </c>
      <c r="K160" s="194"/>
      <c r="L160" s="55"/>
      <c r="M160" s="55"/>
      <c r="N160" s="55"/>
      <c r="O160" s="238"/>
      <c r="P160" s="103"/>
      <c r="Q160" s="103"/>
      <c r="R160" s="103"/>
      <c r="S160" s="231" t="str">
        <f t="shared" si="2"/>
        <v/>
      </c>
    </row>
    <row r="161">
      <c r="A161" s="217" t="b">
        <v>1</v>
      </c>
      <c r="B161" s="230" t="s">
        <v>708</v>
      </c>
      <c r="C161" s="69" t="str">
        <f t="array" ref="C161">TEXTJOIN("", TRUE, IFERROR(INDEX('language&amp;DataTest'!A:J, MATCH(INDEX( PointerTest!C:C, MATCH(B161, PointerTest!A:A, 0), 0), 'language&amp;DataTest'!A:A, 0), MATCH(HOME!$A$25, 'language&amp;DataTest'!$A$1:$H$1, 0))),                      IFERROR(INDEX('language&amp;DataTest'!A:J, MATCH(INDEX( PointerTest!D:D, MATCH(B161, PointerTest!A:A, 0), 0), 'language&amp;DataTest'!A:A, 0), MATCH(HOME!$A$25, 'language&amp;DataTest'!$A$1:$H$1, 0))),                                          
IFERROR(INDEX('language&amp;DataTest'!A:J, MATCH(INDEX( PointerTest!E:E, MATCH(B161, PointerTest!A:A, 0), 0), 'language&amp;DataTest'!A:A, 0), MATCH(HOME!$A$25, 'language&amp;DataTest'!$A$1:$H$1, 0))))</f>
        <v>Mamoswine</v>
      </c>
      <c r="D161" s="69" t="str">
        <f t="array" ref="D161">TEXTJOIN("", TRUE, 
IFERROR(INDEX('language&amp;DataTest'!A:J, MATCH(INDEX( PointerTest!C:C, MATCH(INDEX(PointerTest!B:B, MATCH(B161, PointerTest!A:A, 0)), PointerTest!A:A, 0), 0), 'language&amp;DataTest'!A:A, 0), MATCH(HOME!$A$25, 'language&amp;DataTest'!$A$1:$H$1, 0))),                      
IFERROR(INDEX('language&amp;DataTest'!A:J, MATCH(INDEX( PointerTest!D:D, MATCH(INDEX(PointerTest!B:B, MATCH(B161, PointerTest!A:A, 0)), PointerTest!A:A, 0), 0), 'language&amp;DataTest'!A:A, 0), MATCH(HOME!$A$25, 'language&amp;DataTest'!$A$1:$H$1, 0))),                                          
IFERROR(INDEX('language&amp;DataTest'!A:J, MATCH(INDEX( PointerTest!E:E, MATCH(INDEX(PointerTest!B:B, MATCH(B161, PointerTest!A:A, 0)), PointerTest!A:A, 0), 0), 'language&amp;DataTest'!A:A, 0), MATCH(HOME!$A$25, 'language&amp;DataTest'!$A$1:$H$1, 0))))</f>
        <v>Dialga ex</v>
      </c>
      <c r="E161" s="69" t="str">
        <f t="array" ref="E161">INDEX( PointerTest!F:F, MATCH(B161, PointerTest!A:A, 0), 0)</f>
        <v>☆</v>
      </c>
      <c r="F161" s="70" t="str">
        <f t="array" ref="F161">LET(percentage,XLOOKUP($E161,$K$2:$K$10,L$2:L$10,"",0)/(COUNTIFS($E:$E,$E161,$D:$D,RegularFormula!$D$2)+COUNTIFS($E:$E,$E161,$D:$D,IF($D161=RegularFormula!$D$2,$K$15,$D161))),IFERROR(IF(percentage,percentage,""),""))</f>
        <v/>
      </c>
      <c r="G161" s="71">
        <f t="array" ref="G161">LET(percentage,XLOOKUP($E161,$K$2:$K$10,M$2:M$10,"",0)/(COUNTIFS($E:$E,$E161,$D:$D,RegularFormula!$D$2)+COUNTIFS($E:$E,$E161,$D:$D,IF($D161=RegularFormula!$D$2,$K$15,$D161))),IFERROR(IF(percentage,percentage,""),""))</f>
        <v>0.002143333333</v>
      </c>
      <c r="H161" s="71">
        <f t="array" ref="H161">LET(percentage,XLOOKUP($E161,$K$2:$K$10,N$2:N$10,"",0)/(COUNTIFS($E:$E,$E161,$D:$D,RegularFormula!$D$2)+COUNTIFS($E:$E,$E161,$D:$D,IF($D161=RegularFormula!$D$2,$K$15,$D161))),IFERROR(IF(percentage,percentage,""),""))</f>
        <v>0.008573333333</v>
      </c>
      <c r="I161" s="72" t="str">
        <f t="shared" si="1"/>
        <v/>
      </c>
      <c r="J161" s="73">
        <v>0.0</v>
      </c>
      <c r="K161" s="194"/>
      <c r="L161" s="55"/>
      <c r="M161" s="55"/>
      <c r="N161" s="55"/>
      <c r="O161" s="238"/>
      <c r="P161" s="103"/>
      <c r="Q161" s="103"/>
      <c r="R161" s="103"/>
      <c r="S161" s="231" t="str">
        <f t="shared" si="2"/>
        <v/>
      </c>
    </row>
    <row r="162">
      <c r="A162" s="217" t="b">
        <v>1</v>
      </c>
      <c r="B162" s="230" t="s">
        <v>709</v>
      </c>
      <c r="C162" s="69" t="str">
        <f t="array" ref="C162">TEXTJOIN("", TRUE, IFERROR(INDEX('language&amp;DataTest'!A:J, MATCH(INDEX( PointerTest!C:C, MATCH(B162, PointerTest!A:A, 0), 0), 'language&amp;DataTest'!A:A, 0), MATCH(HOME!$A$25, 'language&amp;DataTest'!$A$1:$H$1, 0))),                      IFERROR(INDEX('language&amp;DataTest'!A:J, MATCH(INDEX( PointerTest!D:D, MATCH(B162, PointerTest!A:A, 0), 0), 'language&amp;DataTest'!A:A, 0), MATCH(HOME!$A$25, 'language&amp;DataTest'!$A$1:$H$1, 0))),                                          
IFERROR(INDEX('language&amp;DataTest'!A:J, MATCH(INDEX( PointerTest!E:E, MATCH(B162, PointerTest!A:A, 0), 0), 'language&amp;DataTest'!A:A, 0), MATCH(HOME!$A$25, 'language&amp;DataTest'!$A$1:$H$1, 0))))</f>
        <v>Gastrodon</v>
      </c>
      <c r="D162" s="69" t="str">
        <f t="array" ref="D162">TEXTJOIN("", TRUE, 
IFERROR(INDEX('language&amp;DataTest'!A:J, MATCH(INDEX( PointerTest!C:C, MATCH(INDEX(PointerTest!B:B, MATCH(B162, PointerTest!A:A, 0)), PointerTest!A:A, 0), 0), 'language&amp;DataTest'!A:A, 0), MATCH(HOME!$A$25, 'language&amp;DataTest'!$A$1:$H$1, 0))),                      
IFERROR(INDEX('language&amp;DataTest'!A:J, MATCH(INDEX( PointerTest!D:D, MATCH(INDEX(PointerTest!B:B, MATCH(B162, PointerTest!A:A, 0)), PointerTest!A:A, 0), 0), 'language&amp;DataTest'!A:A, 0), MATCH(HOME!$A$25, 'language&amp;DataTest'!$A$1:$H$1, 0))),                                          
IFERROR(INDEX('language&amp;DataTest'!A:J, MATCH(INDEX( PointerTest!E:E, MATCH(INDEX(PointerTest!B:B, MATCH(B162, PointerTest!A:A, 0)), PointerTest!A:A, 0), 0), 'language&amp;DataTest'!A:A, 0), MATCH(HOME!$A$25, 'language&amp;DataTest'!$A$1:$H$1, 0))))</f>
        <v>Palkia ex</v>
      </c>
      <c r="E162" s="69" t="str">
        <f t="array" ref="E162">INDEX( PointerTest!F:F, MATCH(B162, PointerTest!A:A, 0), 0)</f>
        <v>☆</v>
      </c>
      <c r="F162" s="70" t="str">
        <f t="array" ref="F162">LET(percentage,XLOOKUP($E162,$K$2:$K$10,L$2:L$10,"",0)/(COUNTIFS($E:$E,$E162,$D:$D,RegularFormula!$D$2)+COUNTIFS($E:$E,$E162,$D:$D,IF($D162=RegularFormula!$D$2,$K$15,$D162))),IFERROR(IF(percentage,percentage,""),""))</f>
        <v/>
      </c>
      <c r="G162" s="71">
        <f t="array" ref="G162">LET(percentage,XLOOKUP($E162,$K$2:$K$10,M$2:M$10,"",0)/(COUNTIFS($E:$E,$E162,$D:$D,RegularFormula!$D$2)+COUNTIFS($E:$E,$E162,$D:$D,IF($D162=RegularFormula!$D$2,$K$15,$D162))),IFERROR(IF(percentage,percentage,""),""))</f>
        <v>0.002143333333</v>
      </c>
      <c r="H162" s="71">
        <f t="array" ref="H162">LET(percentage,XLOOKUP($E162,$K$2:$K$10,N$2:N$10,"",0)/(COUNTIFS($E:$E,$E162,$D:$D,RegularFormula!$D$2)+COUNTIFS($E:$E,$E162,$D:$D,IF($D162=RegularFormula!$D$2,$K$15,$D162))),IFERROR(IF(percentage,percentage,""),""))</f>
        <v>0.008573333333</v>
      </c>
      <c r="I162" s="72" t="str">
        <f t="shared" si="1"/>
        <v/>
      </c>
      <c r="J162" s="73">
        <v>0.0</v>
      </c>
      <c r="K162" s="194"/>
      <c r="L162" s="55"/>
      <c r="M162" s="55"/>
      <c r="N162" s="55"/>
      <c r="O162" s="238"/>
      <c r="P162" s="103"/>
      <c r="Q162" s="103"/>
      <c r="R162" s="103"/>
      <c r="S162" s="231" t="str">
        <f t="shared" si="2"/>
        <v/>
      </c>
    </row>
    <row r="163">
      <c r="A163" s="217" t="b">
        <v>1</v>
      </c>
      <c r="B163" s="230" t="s">
        <v>710</v>
      </c>
      <c r="C163" s="69" t="str">
        <f t="array" ref="C163">TEXTJOIN("", TRUE, IFERROR(INDEX('language&amp;DataTest'!A:J, MATCH(INDEX( PointerTest!C:C, MATCH(B163, PointerTest!A:A, 0), 0), 'language&amp;DataTest'!A:A, 0), MATCH(HOME!$A$25, 'language&amp;DataTest'!$A$1:$H$1, 0))),                      IFERROR(INDEX('language&amp;DataTest'!A:J, MATCH(INDEX( PointerTest!D:D, MATCH(B163, PointerTest!A:A, 0), 0), 'language&amp;DataTest'!A:A, 0), MATCH(HOME!$A$25, 'language&amp;DataTest'!$A$1:$H$1, 0))),                                          
IFERROR(INDEX('language&amp;DataTest'!A:J, MATCH(INDEX( PointerTest!E:E, MATCH(B163, PointerTest!A:A, 0), 0), 'language&amp;DataTest'!A:A, 0), MATCH(HOME!$A$25, 'language&amp;DataTest'!$A$1:$H$1, 0))))</f>
        <v>Manaphy</v>
      </c>
      <c r="D163" s="69" t="str">
        <f t="array" ref="D163">TEXTJOIN("", TRUE, 
IFERROR(INDEX('language&amp;DataTest'!A:J, MATCH(INDEX( PointerTest!C:C, MATCH(INDEX(PointerTest!B:B, MATCH(B163, PointerTest!A:A, 0)), PointerTest!A:A, 0), 0), 'language&amp;DataTest'!A:A, 0), MATCH(HOME!$A$25, 'language&amp;DataTest'!$A$1:$H$1, 0))),                      
IFERROR(INDEX('language&amp;DataTest'!A:J, MATCH(INDEX( PointerTest!D:D, MATCH(INDEX(PointerTest!B:B, MATCH(B163, PointerTest!A:A, 0)), PointerTest!A:A, 0), 0), 'language&amp;DataTest'!A:A, 0), MATCH(HOME!$A$25, 'language&amp;DataTest'!$A$1:$H$1, 0))),                                          
IFERROR(INDEX('language&amp;DataTest'!A:J, MATCH(INDEX( PointerTest!E:E, MATCH(INDEX(PointerTest!B:B, MATCH(B163, PointerTest!A:A, 0)), PointerTest!A:A, 0), 0), 'language&amp;DataTest'!A:A, 0), MATCH(HOME!$A$25, 'language&amp;DataTest'!$A$1:$H$1, 0))))</f>
        <v>Palkia ex</v>
      </c>
      <c r="E163" s="69" t="str">
        <f t="array" ref="E163">INDEX( PointerTest!F:F, MATCH(B163, PointerTest!A:A, 0), 0)</f>
        <v>☆</v>
      </c>
      <c r="F163" s="70" t="str">
        <f t="array" ref="F163">LET(percentage,XLOOKUP($E163,$K$2:$K$10,L$2:L$10,"",0)/(COUNTIFS($E:$E,$E163,$D:$D,RegularFormula!$D$2)+COUNTIFS($E:$E,$E163,$D:$D,IF($D163=RegularFormula!$D$2,$K$15,$D163))),IFERROR(IF(percentage,percentage,""),""))</f>
        <v/>
      </c>
      <c r="G163" s="71">
        <f t="array" ref="G163">LET(percentage,XLOOKUP($E163,$K$2:$K$10,M$2:M$10,"",0)/(COUNTIFS($E:$E,$E163,$D:$D,RegularFormula!$D$2)+COUNTIFS($E:$E,$E163,$D:$D,IF($D163=RegularFormula!$D$2,$K$15,$D163))),IFERROR(IF(percentage,percentage,""),""))</f>
        <v>0.002143333333</v>
      </c>
      <c r="H163" s="71">
        <f t="array" ref="H163">LET(percentage,XLOOKUP($E163,$K$2:$K$10,N$2:N$10,"",0)/(COUNTIFS($E:$E,$E163,$D:$D,RegularFormula!$D$2)+COUNTIFS($E:$E,$E163,$D:$D,IF($D163=RegularFormula!$D$2,$K$15,$D163))),IFERROR(IF(percentage,percentage,""),""))</f>
        <v>0.008573333333</v>
      </c>
      <c r="I163" s="72" t="str">
        <f t="shared" si="1"/>
        <v/>
      </c>
      <c r="J163" s="73">
        <v>0.0</v>
      </c>
      <c r="K163" s="194"/>
      <c r="L163" s="55"/>
      <c r="M163" s="55"/>
      <c r="N163" s="55"/>
      <c r="O163" s="238"/>
      <c r="P163" s="103"/>
      <c r="Q163" s="103"/>
      <c r="R163" s="103"/>
      <c r="S163" s="231" t="str">
        <f t="shared" si="2"/>
        <v/>
      </c>
    </row>
    <row r="164">
      <c r="A164" s="217" t="b">
        <v>0</v>
      </c>
      <c r="B164" s="230" t="s">
        <v>711</v>
      </c>
      <c r="C164" s="69" t="str">
        <f t="array" ref="C164">TEXTJOIN("", TRUE, IFERROR(INDEX('language&amp;DataTest'!A:J, MATCH(INDEX( PointerTest!C:C, MATCH(B164, PointerTest!A:A, 0), 0), 'language&amp;DataTest'!A:A, 0), MATCH(HOME!$A$25, 'language&amp;DataTest'!$A$1:$H$1, 0))),                      IFERROR(INDEX('language&amp;DataTest'!A:J, MATCH(INDEX( PointerTest!D:D, MATCH(B164, PointerTest!A:A, 0), 0), 'language&amp;DataTest'!A:A, 0), MATCH(HOME!$A$25, 'language&amp;DataTest'!$A$1:$H$1, 0))),                                          
IFERROR(INDEX('language&amp;DataTest'!A:J, MATCH(INDEX( PointerTest!E:E, MATCH(B164, PointerTest!A:A, 0), 0), 'language&amp;DataTest'!A:A, 0), MATCH(HOME!$A$25, 'language&amp;DataTest'!$A$1:$H$1, 0))))</f>
        <v>Shinx</v>
      </c>
      <c r="D164" s="69" t="str">
        <f t="array" ref="D164">TEXTJOIN("", TRUE, 
IFERROR(INDEX('language&amp;DataTest'!A:J, MATCH(INDEX( PointerTest!C:C, MATCH(INDEX(PointerTest!B:B, MATCH(B164, PointerTest!A:A, 0)), PointerTest!A:A, 0), 0), 'language&amp;DataTest'!A:A, 0), MATCH(HOME!$A$25, 'language&amp;DataTest'!$A$1:$H$1, 0))),                      
IFERROR(INDEX('language&amp;DataTest'!A:J, MATCH(INDEX( PointerTest!D:D, MATCH(INDEX(PointerTest!B:B, MATCH(B164, PointerTest!A:A, 0)), PointerTest!A:A, 0), 0), 'language&amp;DataTest'!A:A, 0), MATCH(HOME!$A$25, 'language&amp;DataTest'!$A$1:$H$1, 0))),                                          
IFERROR(INDEX('language&amp;DataTest'!A:J, MATCH(INDEX( PointerTest!E:E, MATCH(INDEX(PointerTest!B:B, MATCH(B164, PointerTest!A:A, 0)), PointerTest!A:A, 0), 0), 'language&amp;DataTest'!A:A, 0), MATCH(HOME!$A$25, 'language&amp;DataTest'!$A$1:$H$1, 0))))</f>
        <v>Dialga ex</v>
      </c>
      <c r="E164" s="69" t="str">
        <f t="array" ref="E164">INDEX( PointerTest!F:F, MATCH(B164, PointerTest!A:A, 0), 0)</f>
        <v>☆</v>
      </c>
      <c r="F164" s="70" t="str">
        <f t="array" ref="F164">LET(percentage,XLOOKUP($E164,$K$2:$K$10,L$2:L$10,"",0)/(COUNTIFS($E:$E,$E164,$D:$D,RegularFormula!$D$2)+COUNTIFS($E:$E,$E164,$D:$D,IF($D164=RegularFormula!$D$2,$K$15,$D164))),IFERROR(IF(percentage,percentage,""),""))</f>
        <v/>
      </c>
      <c r="G164" s="71">
        <f t="array" ref="G164">LET(percentage,XLOOKUP($E164,$K$2:$K$10,M$2:M$10,"",0)/(COUNTIFS($E:$E,$E164,$D:$D,RegularFormula!$D$2)+COUNTIFS($E:$E,$E164,$D:$D,IF($D164=RegularFormula!$D$2,$K$15,$D164))),IFERROR(IF(percentage,percentage,""),""))</f>
        <v>0.002143333333</v>
      </c>
      <c r="H164" s="71">
        <f t="array" ref="H164">LET(percentage,XLOOKUP($E164,$K$2:$K$10,N$2:N$10,"",0)/(COUNTIFS($E:$E,$E164,$D:$D,RegularFormula!$D$2)+COUNTIFS($E:$E,$E164,$D:$D,IF($D164=RegularFormula!$D$2,$K$15,$D164))),IFERROR(IF(percentage,percentage,""),""))</f>
        <v>0.008573333333</v>
      </c>
      <c r="I164" s="72" t="str">
        <f t="shared" si="1"/>
        <v/>
      </c>
      <c r="J164" s="73">
        <v>0.0</v>
      </c>
      <c r="K164" s="194"/>
      <c r="L164" s="55"/>
      <c r="M164" s="55"/>
      <c r="N164" s="55"/>
      <c r="O164" s="238"/>
      <c r="P164" s="103"/>
      <c r="Q164" s="103"/>
      <c r="R164" s="103"/>
      <c r="S164" s="231" t="str">
        <f t="shared" si="2"/>
        <v/>
      </c>
    </row>
    <row r="165">
      <c r="A165" s="217" t="b">
        <v>0</v>
      </c>
      <c r="B165" s="230" t="s">
        <v>712</v>
      </c>
      <c r="C165" s="69" t="str">
        <f t="array" ref="C165">TEXTJOIN("", TRUE, IFERROR(INDEX('language&amp;DataTest'!A:J, MATCH(INDEX( PointerTest!C:C, MATCH(B165, PointerTest!A:A, 0), 0), 'language&amp;DataTest'!A:A, 0), MATCH(HOME!$A$25, 'language&amp;DataTest'!$A$1:$H$1, 0))),                      IFERROR(INDEX('language&amp;DataTest'!A:J, MATCH(INDEX( PointerTest!D:D, MATCH(B165, PointerTest!A:A, 0), 0), 'language&amp;DataTest'!A:A, 0), MATCH(HOME!$A$25, 'language&amp;DataTest'!$A$1:$H$1, 0))),                                          
IFERROR(INDEX('language&amp;DataTest'!A:J, MATCH(INDEX( PointerTest!E:E, MATCH(B165, PointerTest!A:A, 0), 0), 'language&amp;DataTest'!A:A, 0), MATCH(HOME!$A$25, 'language&amp;DataTest'!$A$1:$H$1, 0))))</f>
        <v>Rotom</v>
      </c>
      <c r="D165" s="69" t="str">
        <f t="array" ref="D165">TEXTJOIN("", TRUE, 
IFERROR(INDEX('language&amp;DataTest'!A:J, MATCH(INDEX( PointerTest!C:C, MATCH(INDEX(PointerTest!B:B, MATCH(B165, PointerTest!A:A, 0)), PointerTest!A:A, 0), 0), 'language&amp;DataTest'!A:A, 0), MATCH(HOME!$A$25, 'language&amp;DataTest'!$A$1:$H$1, 0))),                      
IFERROR(INDEX('language&amp;DataTest'!A:J, MATCH(INDEX( PointerTest!D:D, MATCH(INDEX(PointerTest!B:B, MATCH(B165, PointerTest!A:A, 0)), PointerTest!A:A, 0), 0), 'language&amp;DataTest'!A:A, 0), MATCH(HOME!$A$25, 'language&amp;DataTest'!$A$1:$H$1, 0))),                                          
IFERROR(INDEX('language&amp;DataTest'!A:J, MATCH(INDEX( PointerTest!E:E, MATCH(INDEX(PointerTest!B:B, MATCH(B165, PointerTest!A:A, 0)), PointerTest!A:A, 0), 0), 'language&amp;DataTest'!A:A, 0), MATCH(HOME!$A$25, 'language&amp;DataTest'!$A$1:$H$1, 0))))</f>
        <v>Palkia ex</v>
      </c>
      <c r="E165" s="69" t="str">
        <f t="array" ref="E165">INDEX( PointerTest!F:F, MATCH(B165, PointerTest!A:A, 0), 0)</f>
        <v>☆</v>
      </c>
      <c r="F165" s="70" t="str">
        <f t="array" ref="F165">LET(percentage,XLOOKUP($E165,$K$2:$K$10,L$2:L$10,"",0)/(COUNTIFS($E:$E,$E165,$D:$D,RegularFormula!$D$2)+COUNTIFS($E:$E,$E165,$D:$D,IF($D165=RegularFormula!$D$2,$K$15,$D165))),IFERROR(IF(percentage,percentage,""),""))</f>
        <v/>
      </c>
      <c r="G165" s="71">
        <f t="array" ref="G165">LET(percentage,XLOOKUP($E165,$K$2:$K$10,M$2:M$10,"",0)/(COUNTIFS($E:$E,$E165,$D:$D,RegularFormula!$D$2)+COUNTIFS($E:$E,$E165,$D:$D,IF($D165=RegularFormula!$D$2,$K$15,$D165))),IFERROR(IF(percentage,percentage,""),""))</f>
        <v>0.002143333333</v>
      </c>
      <c r="H165" s="71">
        <f t="array" ref="H165">LET(percentage,XLOOKUP($E165,$K$2:$K$10,N$2:N$10,"",0)/(COUNTIFS($E:$E,$E165,$D:$D,RegularFormula!$D$2)+COUNTIFS($E:$E,$E165,$D:$D,IF($D165=RegularFormula!$D$2,$K$15,$D165))),IFERROR(IF(percentage,percentage,""),""))</f>
        <v>0.008573333333</v>
      </c>
      <c r="I165" s="72" t="str">
        <f t="shared" si="1"/>
        <v/>
      </c>
      <c r="J165" s="73">
        <v>0.0</v>
      </c>
      <c r="K165" s="194"/>
      <c r="L165" s="55"/>
      <c r="M165" s="55"/>
      <c r="N165" s="55"/>
      <c r="O165" s="238"/>
      <c r="P165" s="103"/>
      <c r="Q165" s="103"/>
      <c r="R165" s="103"/>
      <c r="S165" s="231" t="str">
        <f t="shared" si="2"/>
        <v/>
      </c>
    </row>
    <row r="166">
      <c r="A166" s="217" t="b">
        <v>1</v>
      </c>
      <c r="B166" s="230" t="s">
        <v>713</v>
      </c>
      <c r="C166" s="69" t="str">
        <f t="array" ref="C166">TEXTJOIN("", TRUE, IFERROR(INDEX('language&amp;DataTest'!A:J, MATCH(INDEX( PointerTest!C:C, MATCH(B166, PointerTest!A:A, 0), 0), 'language&amp;DataTest'!A:A, 0), MATCH(HOME!$A$25, 'language&amp;DataTest'!$A$1:$H$1, 0))),                      IFERROR(INDEX('language&amp;DataTest'!A:J, MATCH(INDEX( PointerTest!D:D, MATCH(B166, PointerTest!A:A, 0), 0), 'language&amp;DataTest'!A:A, 0), MATCH(HOME!$A$25, 'language&amp;DataTest'!$A$1:$H$1, 0))),                                          
IFERROR(INDEX('language&amp;DataTest'!A:J, MATCH(INDEX( PointerTest!E:E, MATCH(B166, PointerTest!A:A, 0), 0), 'language&amp;DataTest'!A:A, 0), MATCH(HOME!$A$25, 'language&amp;DataTest'!$A$1:$H$1, 0))))</f>
        <v>Drifloon</v>
      </c>
      <c r="D166" s="69" t="str">
        <f t="array" ref="D166">TEXTJOIN("", TRUE, 
IFERROR(INDEX('language&amp;DataTest'!A:J, MATCH(INDEX( PointerTest!C:C, MATCH(INDEX(PointerTest!B:B, MATCH(B166, PointerTest!A:A, 0)), PointerTest!A:A, 0), 0), 'language&amp;DataTest'!A:A, 0), MATCH(HOME!$A$25, 'language&amp;DataTest'!$A$1:$H$1, 0))),                      
IFERROR(INDEX('language&amp;DataTest'!A:J, MATCH(INDEX( PointerTest!D:D, MATCH(INDEX(PointerTest!B:B, MATCH(B166, PointerTest!A:A, 0)), PointerTest!A:A, 0), 0), 'language&amp;DataTest'!A:A, 0), MATCH(HOME!$A$25, 'language&amp;DataTest'!$A$1:$H$1, 0))),                                          
IFERROR(INDEX('language&amp;DataTest'!A:J, MATCH(INDEX( PointerTest!E:E, MATCH(INDEX(PointerTest!B:B, MATCH(B166, PointerTest!A:A, 0)), PointerTest!A:A, 0), 0), 'language&amp;DataTest'!A:A, 0), MATCH(HOME!$A$25, 'language&amp;DataTest'!$A$1:$H$1, 0))))</f>
        <v>Dialga ex</v>
      </c>
      <c r="E166" s="69" t="str">
        <f t="array" ref="E166">INDEX( PointerTest!F:F, MATCH(B166, PointerTest!A:A, 0), 0)</f>
        <v>☆</v>
      </c>
      <c r="F166" s="70" t="str">
        <f t="array" ref="F166">LET(percentage,XLOOKUP($E166,$K$2:$K$10,L$2:L$10,"",0)/(COUNTIFS($E:$E,$E166,$D:$D,RegularFormula!$D$2)+COUNTIFS($E:$E,$E166,$D:$D,IF($D166=RegularFormula!$D$2,$K$15,$D166))),IFERROR(IF(percentage,percentage,""),""))</f>
        <v/>
      </c>
      <c r="G166" s="71">
        <f t="array" ref="G166">LET(percentage,XLOOKUP($E166,$K$2:$K$10,M$2:M$10,"",0)/(COUNTIFS($E:$E,$E166,$D:$D,RegularFormula!$D$2)+COUNTIFS($E:$E,$E166,$D:$D,IF($D166=RegularFormula!$D$2,$K$15,$D166))),IFERROR(IF(percentage,percentage,""),""))</f>
        <v>0.002143333333</v>
      </c>
      <c r="H166" s="71">
        <f t="array" ref="H166">LET(percentage,XLOOKUP($E166,$K$2:$K$10,N$2:N$10,"",0)/(COUNTIFS($E:$E,$E166,$D:$D,RegularFormula!$D$2)+COUNTIFS($E:$E,$E166,$D:$D,IF($D166=RegularFormula!$D$2,$K$15,$D166))),IFERROR(IF(percentage,percentage,""),""))</f>
        <v>0.008573333333</v>
      </c>
      <c r="I166" s="72" t="str">
        <f t="shared" si="1"/>
        <v/>
      </c>
      <c r="J166" s="73">
        <v>0.0</v>
      </c>
      <c r="K166" s="194"/>
      <c r="L166" s="55"/>
      <c r="M166" s="55"/>
      <c r="N166" s="55"/>
      <c r="O166" s="238"/>
      <c r="P166" s="103"/>
      <c r="Q166" s="103"/>
      <c r="R166" s="103"/>
      <c r="S166" s="231" t="str">
        <f t="shared" si="2"/>
        <v/>
      </c>
    </row>
    <row r="167">
      <c r="A167" s="217" t="b">
        <v>0</v>
      </c>
      <c r="B167" s="230" t="s">
        <v>714</v>
      </c>
      <c r="C167" s="69" t="str">
        <f t="array" ref="C167">TEXTJOIN("", TRUE, IFERROR(INDEX('language&amp;DataTest'!A:J, MATCH(INDEX( PointerTest!C:C, MATCH(B167, PointerTest!A:A, 0), 0), 'language&amp;DataTest'!A:A, 0), MATCH(HOME!$A$25, 'language&amp;DataTest'!$A$1:$H$1, 0))),                      IFERROR(INDEX('language&amp;DataTest'!A:J, MATCH(INDEX( PointerTest!D:D, MATCH(B167, PointerTest!A:A, 0), 0), 'language&amp;DataTest'!A:A, 0), MATCH(HOME!$A$25, 'language&amp;DataTest'!$A$1:$H$1, 0))),                                          
IFERROR(INDEX('language&amp;DataTest'!A:J, MATCH(INDEX( PointerTest!E:E, MATCH(B167, PointerTest!A:A, 0), 0), 'language&amp;DataTest'!A:A, 0), MATCH(HOME!$A$25, 'language&amp;DataTest'!$A$1:$H$1, 0))))</f>
        <v>Mesprit</v>
      </c>
      <c r="D167" s="69" t="str">
        <f t="array" ref="D167">TEXTJOIN("", TRUE, 
IFERROR(INDEX('language&amp;DataTest'!A:J, MATCH(INDEX( PointerTest!C:C, MATCH(INDEX(PointerTest!B:B, MATCH(B167, PointerTest!A:A, 0)), PointerTest!A:A, 0), 0), 'language&amp;DataTest'!A:A, 0), MATCH(HOME!$A$25, 'language&amp;DataTest'!$A$1:$H$1, 0))),                      
IFERROR(INDEX('language&amp;DataTest'!A:J, MATCH(INDEX( PointerTest!D:D, MATCH(INDEX(PointerTest!B:B, MATCH(B167, PointerTest!A:A, 0)), PointerTest!A:A, 0), 0), 'language&amp;DataTest'!A:A, 0), MATCH(HOME!$A$25, 'language&amp;DataTest'!$A$1:$H$1, 0))),                                          
IFERROR(INDEX('language&amp;DataTest'!A:J, MATCH(INDEX( PointerTest!E:E, MATCH(INDEX(PointerTest!B:B, MATCH(B167, PointerTest!A:A, 0)), PointerTest!A:A, 0), 0), 'language&amp;DataTest'!A:A, 0), MATCH(HOME!$A$25, 'language&amp;DataTest'!$A$1:$H$1, 0))))</f>
        <v>Dialga ex</v>
      </c>
      <c r="E167" s="69" t="str">
        <f t="array" ref="E167">INDEX( PointerTest!F:F, MATCH(B167, PointerTest!A:A, 0), 0)</f>
        <v>☆</v>
      </c>
      <c r="F167" s="70" t="str">
        <f t="array" ref="F167">LET(percentage,XLOOKUP($E167,$K$2:$K$10,L$2:L$10,"",0)/(COUNTIFS($E:$E,$E167,$D:$D,RegularFormula!$D$2)+COUNTIFS($E:$E,$E167,$D:$D,IF($D167=RegularFormula!$D$2,$K$15,$D167))),IFERROR(IF(percentage,percentage,""),""))</f>
        <v/>
      </c>
      <c r="G167" s="71">
        <f t="array" ref="G167">LET(percentage,XLOOKUP($E167,$K$2:$K$10,M$2:M$10,"",0)/(COUNTIFS($E:$E,$E167,$D:$D,RegularFormula!$D$2)+COUNTIFS($E:$E,$E167,$D:$D,IF($D167=RegularFormula!$D$2,$K$15,$D167))),IFERROR(IF(percentage,percentage,""),""))</f>
        <v>0.002143333333</v>
      </c>
      <c r="H167" s="71">
        <f t="array" ref="H167">LET(percentage,XLOOKUP($E167,$K$2:$K$10,N$2:N$10,"",0)/(COUNTIFS($E:$E,$E167,$D:$D,RegularFormula!$D$2)+COUNTIFS($E:$E,$E167,$D:$D,IF($D167=RegularFormula!$D$2,$K$15,$D167))),IFERROR(IF(percentage,percentage,""),""))</f>
        <v>0.008573333333</v>
      </c>
      <c r="I167" s="72" t="str">
        <f t="shared" si="1"/>
        <v/>
      </c>
      <c r="J167" s="73">
        <v>0.0</v>
      </c>
      <c r="K167" s="194"/>
      <c r="L167" s="55"/>
      <c r="M167" s="55"/>
      <c r="N167" s="55"/>
      <c r="O167" s="238"/>
      <c r="P167" s="103"/>
      <c r="Q167" s="103"/>
      <c r="R167" s="103"/>
      <c r="S167" s="231" t="str">
        <f t="shared" si="2"/>
        <v/>
      </c>
    </row>
    <row r="168">
      <c r="A168" s="217" t="b">
        <v>1</v>
      </c>
      <c r="B168" s="230" t="s">
        <v>715</v>
      </c>
      <c r="C168" s="69" t="str">
        <f t="array" ref="C168">TEXTJOIN("", TRUE, IFERROR(INDEX('language&amp;DataTest'!A:J, MATCH(INDEX( PointerTest!C:C, MATCH(B168, PointerTest!A:A, 0), 0), 'language&amp;DataTest'!A:A, 0), MATCH(HOME!$A$25, 'language&amp;DataTest'!$A$1:$H$1, 0))),                      IFERROR(INDEX('language&amp;DataTest'!A:J, MATCH(INDEX( PointerTest!D:D, MATCH(B168, PointerTest!A:A, 0), 0), 'language&amp;DataTest'!A:A, 0), MATCH(HOME!$A$25, 'language&amp;DataTest'!$A$1:$H$1, 0))),                                          
IFERROR(INDEX('language&amp;DataTest'!A:J, MATCH(INDEX( PointerTest!E:E, MATCH(B168, PointerTest!A:A, 0), 0), 'language&amp;DataTest'!A:A, 0), MATCH(HOME!$A$25, 'language&amp;DataTest'!$A$1:$H$1, 0))))</f>
        <v>Giratina</v>
      </c>
      <c r="D168" s="69" t="str">
        <f t="array" ref="D168">TEXTJOIN("", TRUE, 
IFERROR(INDEX('language&amp;DataTest'!A:J, MATCH(INDEX( PointerTest!C:C, MATCH(INDEX(PointerTest!B:B, MATCH(B168, PointerTest!A:A, 0)), PointerTest!A:A, 0), 0), 'language&amp;DataTest'!A:A, 0), MATCH(HOME!$A$25, 'language&amp;DataTest'!$A$1:$H$1, 0))),                      
IFERROR(INDEX('language&amp;DataTest'!A:J, MATCH(INDEX( PointerTest!D:D, MATCH(INDEX(PointerTest!B:B, MATCH(B168, PointerTest!A:A, 0)), PointerTest!A:A, 0), 0), 'language&amp;DataTest'!A:A, 0), MATCH(HOME!$A$25, 'language&amp;DataTest'!$A$1:$H$1, 0))),                                          
IFERROR(INDEX('language&amp;DataTest'!A:J, MATCH(INDEX( PointerTest!E:E, MATCH(INDEX(PointerTest!B:B, MATCH(B168, PointerTest!A:A, 0)), PointerTest!A:A, 0), 0), 'language&amp;DataTest'!A:A, 0), MATCH(HOME!$A$25, 'language&amp;DataTest'!$A$1:$H$1, 0))))</f>
        <v>Palkia ex</v>
      </c>
      <c r="E168" s="69" t="str">
        <f t="array" ref="E168">INDEX( PointerTest!F:F, MATCH(B168, PointerTest!A:A, 0), 0)</f>
        <v>☆</v>
      </c>
      <c r="F168" s="70" t="str">
        <f t="array" ref="F168">LET(percentage,XLOOKUP($E168,$K$2:$K$10,L$2:L$10,"",0)/(COUNTIFS($E:$E,$E168,$D:$D,RegularFormula!$D$2)+COUNTIFS($E:$E,$E168,$D:$D,IF($D168=RegularFormula!$D$2,$K$15,$D168))),IFERROR(IF(percentage,percentage,""),""))</f>
        <v/>
      </c>
      <c r="G168" s="71">
        <f t="array" ref="G168">LET(percentage,XLOOKUP($E168,$K$2:$K$10,M$2:M$10,"",0)/(COUNTIFS($E:$E,$E168,$D:$D,RegularFormula!$D$2)+COUNTIFS($E:$E,$E168,$D:$D,IF($D168=RegularFormula!$D$2,$K$15,$D168))),IFERROR(IF(percentage,percentage,""),""))</f>
        <v>0.002143333333</v>
      </c>
      <c r="H168" s="71">
        <f t="array" ref="H168">LET(percentage,XLOOKUP($E168,$K$2:$K$10,N$2:N$10,"",0)/(COUNTIFS($E:$E,$E168,$D:$D,RegularFormula!$D$2)+COUNTIFS($E:$E,$E168,$D:$D,IF($D168=RegularFormula!$D$2,$K$15,$D168))),IFERROR(IF(percentage,percentage,""),""))</f>
        <v>0.008573333333</v>
      </c>
      <c r="I168" s="72" t="str">
        <f t="shared" si="1"/>
        <v/>
      </c>
      <c r="J168" s="73">
        <v>0.0</v>
      </c>
      <c r="K168" s="194"/>
      <c r="L168" s="55"/>
      <c r="M168" s="55"/>
      <c r="N168" s="55"/>
      <c r="O168" s="238"/>
      <c r="P168" s="103"/>
      <c r="Q168" s="103"/>
      <c r="R168" s="103"/>
      <c r="S168" s="231" t="str">
        <f t="shared" si="2"/>
        <v/>
      </c>
    </row>
    <row r="169">
      <c r="A169" s="217" t="b">
        <v>1</v>
      </c>
      <c r="B169" s="230" t="s">
        <v>716</v>
      </c>
      <c r="C169" s="69" t="str">
        <f t="array" ref="C169">TEXTJOIN("", TRUE, IFERROR(INDEX('language&amp;DataTest'!A:J, MATCH(INDEX( PointerTest!C:C, MATCH(B169, PointerTest!A:A, 0), 0), 'language&amp;DataTest'!A:A, 0), MATCH(HOME!$A$25, 'language&amp;DataTest'!$A$1:$H$1, 0))),                      IFERROR(INDEX('language&amp;DataTest'!A:J, MATCH(INDEX( PointerTest!D:D, MATCH(B169, PointerTest!A:A, 0), 0), 'language&amp;DataTest'!A:A, 0), MATCH(HOME!$A$25, 'language&amp;DataTest'!$A$1:$H$1, 0))),                                          
IFERROR(INDEX('language&amp;DataTest'!A:J, MATCH(INDEX( PointerTest!E:E, MATCH(B169, PointerTest!A:A, 0), 0), 'language&amp;DataTest'!A:A, 0), MATCH(HOME!$A$25, 'language&amp;DataTest'!$A$1:$H$1, 0))))</f>
        <v>Cresselia</v>
      </c>
      <c r="D169" s="69" t="str">
        <f t="array" ref="D169">TEXTJOIN("", TRUE, 
IFERROR(INDEX('language&amp;DataTest'!A:J, MATCH(INDEX( PointerTest!C:C, MATCH(INDEX(PointerTest!B:B, MATCH(B169, PointerTest!A:A, 0)), PointerTest!A:A, 0), 0), 'language&amp;DataTest'!A:A, 0), MATCH(HOME!$A$25, 'language&amp;DataTest'!$A$1:$H$1, 0))),                      
IFERROR(INDEX('language&amp;DataTest'!A:J, MATCH(INDEX( PointerTest!D:D, MATCH(INDEX(PointerTest!B:B, MATCH(B169, PointerTest!A:A, 0)), PointerTest!A:A, 0), 0), 'language&amp;DataTest'!A:A, 0), MATCH(HOME!$A$25, 'language&amp;DataTest'!$A$1:$H$1, 0))),                                          
IFERROR(INDEX('language&amp;DataTest'!A:J, MATCH(INDEX( PointerTest!E:E, MATCH(INDEX(PointerTest!B:B, MATCH(B169, PointerTest!A:A, 0)), PointerTest!A:A, 0), 0), 'language&amp;DataTest'!A:A, 0), MATCH(HOME!$A$25, 'language&amp;DataTest'!$A$1:$H$1, 0))))</f>
        <v>Palkia ex</v>
      </c>
      <c r="E169" s="69" t="str">
        <f t="array" ref="E169">INDEX( PointerTest!F:F, MATCH(B169, PointerTest!A:A, 0), 0)</f>
        <v>☆</v>
      </c>
      <c r="F169" s="70" t="str">
        <f t="array" ref="F169">LET(percentage,XLOOKUP($E169,$K$2:$K$10,L$2:L$10,"",0)/(COUNTIFS($E:$E,$E169,$D:$D,RegularFormula!$D$2)+COUNTIFS($E:$E,$E169,$D:$D,IF($D169=RegularFormula!$D$2,$K$15,$D169))),IFERROR(IF(percentage,percentage,""),""))</f>
        <v/>
      </c>
      <c r="G169" s="71">
        <f t="array" ref="G169">LET(percentage,XLOOKUP($E169,$K$2:$K$10,M$2:M$10,"",0)/(COUNTIFS($E:$E,$E169,$D:$D,RegularFormula!$D$2)+COUNTIFS($E:$E,$E169,$D:$D,IF($D169=RegularFormula!$D$2,$K$15,$D169))),IFERROR(IF(percentage,percentage,""),""))</f>
        <v>0.002143333333</v>
      </c>
      <c r="H169" s="71">
        <f t="array" ref="H169">LET(percentage,XLOOKUP($E169,$K$2:$K$10,N$2:N$10,"",0)/(COUNTIFS($E:$E,$E169,$D:$D,RegularFormula!$D$2)+COUNTIFS($E:$E,$E169,$D:$D,IF($D169=RegularFormula!$D$2,$K$15,$D169))),IFERROR(IF(percentage,percentage,""),""))</f>
        <v>0.008573333333</v>
      </c>
      <c r="I169" s="72" t="str">
        <f t="shared" si="1"/>
        <v/>
      </c>
      <c r="J169" s="73">
        <v>0.0</v>
      </c>
      <c r="O169" s="238"/>
      <c r="S169" s="231" t="str">
        <f t="shared" si="2"/>
        <v/>
      </c>
    </row>
    <row r="170">
      <c r="A170" s="217" t="b">
        <v>1</v>
      </c>
      <c r="B170" s="230" t="s">
        <v>717</v>
      </c>
      <c r="C170" s="69" t="str">
        <f t="array" ref="C170">TEXTJOIN("", TRUE, IFERROR(INDEX('language&amp;DataTest'!A:J, MATCH(INDEX( PointerTest!C:C, MATCH(B170, PointerTest!A:A, 0), 0), 'language&amp;DataTest'!A:A, 0), MATCH(HOME!$A$25, 'language&amp;DataTest'!$A$1:$H$1, 0))),                      IFERROR(INDEX('language&amp;DataTest'!A:J, MATCH(INDEX( PointerTest!D:D, MATCH(B170, PointerTest!A:A, 0), 0), 'language&amp;DataTest'!A:A, 0), MATCH(HOME!$A$25, 'language&amp;DataTest'!$A$1:$H$1, 0))),                                          
IFERROR(INDEX('language&amp;DataTest'!A:J, MATCH(INDEX( PointerTest!E:E, MATCH(B170, PointerTest!A:A, 0), 0), 'language&amp;DataTest'!A:A, 0), MATCH(HOME!$A$25, 'language&amp;DataTest'!$A$1:$H$1, 0))))</f>
        <v>Rhyperior</v>
      </c>
      <c r="D170" s="69" t="str">
        <f t="array" ref="D170">TEXTJOIN("", TRUE, 
IFERROR(INDEX('language&amp;DataTest'!A:J, MATCH(INDEX( PointerTest!C:C, MATCH(INDEX(PointerTest!B:B, MATCH(B170, PointerTest!A:A, 0)), PointerTest!A:A, 0), 0), 'language&amp;DataTest'!A:A, 0), MATCH(HOME!$A$25, 'language&amp;DataTest'!$A$1:$H$1, 0))),                      
IFERROR(INDEX('language&amp;DataTest'!A:J, MATCH(INDEX( PointerTest!D:D, MATCH(INDEX(PointerTest!B:B, MATCH(B170, PointerTest!A:A, 0)), PointerTest!A:A, 0), 0), 'language&amp;DataTest'!A:A, 0), MATCH(HOME!$A$25, 'language&amp;DataTest'!$A$1:$H$1, 0))),                                          
IFERROR(INDEX('language&amp;DataTest'!A:J, MATCH(INDEX( PointerTest!E:E, MATCH(INDEX(PointerTest!B:B, MATCH(B170, PointerTest!A:A, 0)), PointerTest!A:A, 0), 0), 'language&amp;DataTest'!A:A, 0), MATCH(HOME!$A$25, 'language&amp;DataTest'!$A$1:$H$1, 0))))</f>
        <v>Palkia ex</v>
      </c>
      <c r="E170" s="69" t="str">
        <f t="array" ref="E170">INDEX( PointerTest!F:F, MATCH(B170, PointerTest!A:A, 0), 0)</f>
        <v>☆</v>
      </c>
      <c r="F170" s="70" t="str">
        <f t="array" ref="F170">LET(percentage,XLOOKUP($E170,$K$2:$K$10,L$2:L$10,"",0)/(COUNTIFS($E:$E,$E170,$D:$D,RegularFormula!$D$2)+COUNTIFS($E:$E,$E170,$D:$D,IF($D170=RegularFormula!$D$2,$K$15,$D170))),IFERROR(IF(percentage,percentage,""),""))</f>
        <v/>
      </c>
      <c r="G170" s="71">
        <f t="array" ref="G170">LET(percentage,XLOOKUP($E170,$K$2:$K$10,M$2:M$10,"",0)/(COUNTIFS($E:$E,$E170,$D:$D,RegularFormula!$D$2)+COUNTIFS($E:$E,$E170,$D:$D,IF($D170=RegularFormula!$D$2,$K$15,$D170))),IFERROR(IF(percentage,percentage,""),""))</f>
        <v>0.002143333333</v>
      </c>
      <c r="H170" s="71">
        <f t="array" ref="H170">LET(percentage,XLOOKUP($E170,$K$2:$K$10,N$2:N$10,"",0)/(COUNTIFS($E:$E,$E170,$D:$D,RegularFormula!$D$2)+COUNTIFS($E:$E,$E170,$D:$D,IF($D170=RegularFormula!$D$2,$K$15,$D170))),IFERROR(IF(percentage,percentage,""),""))</f>
        <v>0.008573333333</v>
      </c>
      <c r="I170" s="72" t="str">
        <f t="shared" si="1"/>
        <v/>
      </c>
      <c r="J170" s="73">
        <v>0.0</v>
      </c>
      <c r="O170" s="238"/>
      <c r="S170" s="231" t="str">
        <f t="shared" si="2"/>
        <v/>
      </c>
    </row>
    <row r="171">
      <c r="A171" s="217" t="b">
        <v>1</v>
      </c>
      <c r="B171" s="230" t="s">
        <v>718</v>
      </c>
      <c r="C171" s="69" t="str">
        <f t="array" ref="C171">TEXTJOIN("", TRUE, IFERROR(INDEX('language&amp;DataTest'!A:J, MATCH(INDEX( PointerTest!C:C, MATCH(B171, PointerTest!A:A, 0), 0), 'language&amp;DataTest'!A:A, 0), MATCH(HOME!$A$25, 'language&amp;DataTest'!$A$1:$H$1, 0))),                      IFERROR(INDEX('language&amp;DataTest'!A:J, MATCH(INDEX( PointerTest!D:D, MATCH(B171, PointerTest!A:A, 0), 0), 'language&amp;DataTest'!A:A, 0), MATCH(HOME!$A$25, 'language&amp;DataTest'!$A$1:$H$1, 0))),                                          
IFERROR(INDEX('language&amp;DataTest'!A:J, MATCH(INDEX( PointerTest!E:E, MATCH(B171, PointerTest!A:A, 0), 0), 'language&amp;DataTest'!A:A, 0), MATCH(HOME!$A$25, 'language&amp;DataTest'!$A$1:$H$1, 0))))</f>
        <v>Lucario</v>
      </c>
      <c r="D171" s="69" t="str">
        <f t="array" ref="D171">TEXTJOIN("", TRUE, 
IFERROR(INDEX('language&amp;DataTest'!A:J, MATCH(INDEX( PointerTest!C:C, MATCH(INDEX(PointerTest!B:B, MATCH(B171, PointerTest!A:A, 0)), PointerTest!A:A, 0), 0), 'language&amp;DataTest'!A:A, 0), MATCH(HOME!$A$25, 'language&amp;DataTest'!$A$1:$H$1, 0))),                      
IFERROR(INDEX('language&amp;DataTest'!A:J, MATCH(INDEX( PointerTest!D:D, MATCH(INDEX(PointerTest!B:B, MATCH(B171, PointerTest!A:A, 0)), PointerTest!A:A, 0), 0), 'language&amp;DataTest'!A:A, 0), MATCH(HOME!$A$25, 'language&amp;DataTest'!$A$1:$H$1, 0))),                                          
IFERROR(INDEX('language&amp;DataTest'!A:J, MATCH(INDEX( PointerTest!E:E, MATCH(INDEX(PointerTest!B:B, MATCH(B171, PointerTest!A:A, 0)), PointerTest!A:A, 0), 0), 'language&amp;DataTest'!A:A, 0), MATCH(HOME!$A$25, 'language&amp;DataTest'!$A$1:$H$1, 0))))</f>
        <v>Dialga ex</v>
      </c>
      <c r="E171" s="69" t="str">
        <f t="array" ref="E171">INDEX( PointerTest!F:F, MATCH(B171, PointerTest!A:A, 0), 0)</f>
        <v>☆</v>
      </c>
      <c r="F171" s="70" t="str">
        <f t="array" ref="F171">LET(percentage,XLOOKUP($E171,$K$2:$K$10,L$2:L$10,"",0)/(COUNTIFS($E:$E,$E171,$D:$D,RegularFormula!$D$2)+COUNTIFS($E:$E,$E171,$D:$D,IF($D171=RegularFormula!$D$2,$K$15,$D171))),IFERROR(IF(percentage,percentage,""),""))</f>
        <v/>
      </c>
      <c r="G171" s="71">
        <f t="array" ref="G171">LET(percentage,XLOOKUP($E171,$K$2:$K$10,M$2:M$10,"",0)/(COUNTIFS($E:$E,$E171,$D:$D,RegularFormula!$D$2)+COUNTIFS($E:$E,$E171,$D:$D,IF($D171=RegularFormula!$D$2,$K$15,$D171))),IFERROR(IF(percentage,percentage,""),""))</f>
        <v>0.002143333333</v>
      </c>
      <c r="H171" s="71">
        <f t="array" ref="H171">LET(percentage,XLOOKUP($E171,$K$2:$K$10,N$2:N$10,"",0)/(COUNTIFS($E:$E,$E171,$D:$D,RegularFormula!$D$2)+COUNTIFS($E:$E,$E171,$D:$D,IF($D171=RegularFormula!$D$2,$K$15,$D171))),IFERROR(IF(percentage,percentage,""),""))</f>
        <v>0.008573333333</v>
      </c>
      <c r="I171" s="72" t="str">
        <f t="shared" si="1"/>
        <v/>
      </c>
      <c r="J171" s="73">
        <v>0.0</v>
      </c>
      <c r="O171" s="238"/>
      <c r="S171" s="231" t="str">
        <f t="shared" si="2"/>
        <v/>
      </c>
    </row>
    <row r="172">
      <c r="A172" s="217" t="b">
        <v>0</v>
      </c>
      <c r="B172" s="230" t="s">
        <v>719</v>
      </c>
      <c r="C172" s="69" t="str">
        <f t="array" ref="C172">TEXTJOIN("", TRUE, IFERROR(INDEX('language&amp;DataTest'!A:J, MATCH(INDEX( PointerTest!C:C, MATCH(B172, PointerTest!A:A, 0), 0), 'language&amp;DataTest'!A:A, 0), MATCH(HOME!$A$25, 'language&amp;DataTest'!$A$1:$H$1, 0))),                      IFERROR(INDEX('language&amp;DataTest'!A:J, MATCH(INDEX( PointerTest!D:D, MATCH(B172, PointerTest!A:A, 0), 0), 'language&amp;DataTest'!A:A, 0), MATCH(HOME!$A$25, 'language&amp;DataTest'!$A$1:$H$1, 0))),                                          
IFERROR(INDEX('language&amp;DataTest'!A:J, MATCH(INDEX( PointerTest!E:E, MATCH(B172, PointerTest!A:A, 0), 0), 'language&amp;DataTest'!A:A, 0), MATCH(HOME!$A$25, 'language&amp;DataTest'!$A$1:$H$1, 0))))</f>
        <v>Hippopotas</v>
      </c>
      <c r="D172" s="69" t="str">
        <f t="array" ref="D172">TEXTJOIN("", TRUE, 
IFERROR(INDEX('language&amp;DataTest'!A:J, MATCH(INDEX( PointerTest!C:C, MATCH(INDEX(PointerTest!B:B, MATCH(B172, PointerTest!A:A, 0)), PointerTest!A:A, 0), 0), 'language&amp;DataTest'!A:A, 0), MATCH(HOME!$A$25, 'language&amp;DataTest'!$A$1:$H$1, 0))),                      
IFERROR(INDEX('language&amp;DataTest'!A:J, MATCH(INDEX( PointerTest!D:D, MATCH(INDEX(PointerTest!B:B, MATCH(B172, PointerTest!A:A, 0)), PointerTest!A:A, 0), 0), 'language&amp;DataTest'!A:A, 0), MATCH(HOME!$A$25, 'language&amp;DataTest'!$A$1:$H$1, 0))),                                          
IFERROR(INDEX('language&amp;DataTest'!A:J, MATCH(INDEX( PointerTest!E:E, MATCH(INDEX(PointerTest!B:B, MATCH(B172, PointerTest!A:A, 0)), PointerTest!A:A, 0), 0), 'language&amp;DataTest'!A:A, 0), MATCH(HOME!$A$25, 'language&amp;DataTest'!$A$1:$H$1, 0))))</f>
        <v>Palkia ex</v>
      </c>
      <c r="E172" s="69" t="str">
        <f t="array" ref="E172">INDEX( PointerTest!F:F, MATCH(B172, PointerTest!A:A, 0), 0)</f>
        <v>☆</v>
      </c>
      <c r="F172" s="70" t="str">
        <f t="array" ref="F172">LET(percentage,XLOOKUP($E172,$K$2:$K$10,L$2:L$10,"",0)/(COUNTIFS($E:$E,$E172,$D:$D,RegularFormula!$D$2)+COUNTIFS($E:$E,$E172,$D:$D,IF($D172=RegularFormula!$D$2,$K$15,$D172))),IFERROR(IF(percentage,percentage,""),""))</f>
        <v/>
      </c>
      <c r="G172" s="71">
        <f t="array" ref="G172">LET(percentage,XLOOKUP($E172,$K$2:$K$10,M$2:M$10,"",0)/(COUNTIFS($E:$E,$E172,$D:$D,RegularFormula!$D$2)+COUNTIFS($E:$E,$E172,$D:$D,IF($D172=RegularFormula!$D$2,$K$15,$D172))),IFERROR(IF(percentage,percentage,""),""))</f>
        <v>0.002143333333</v>
      </c>
      <c r="H172" s="71">
        <f t="array" ref="H172">LET(percentage,XLOOKUP($E172,$K$2:$K$10,N$2:N$10,"",0)/(COUNTIFS($E:$E,$E172,$D:$D,RegularFormula!$D$2)+COUNTIFS($E:$E,$E172,$D:$D,IF($D172=RegularFormula!$D$2,$K$15,$D172))),IFERROR(IF(percentage,percentage,""),""))</f>
        <v>0.008573333333</v>
      </c>
      <c r="I172" s="72" t="str">
        <f t="shared" si="1"/>
        <v/>
      </c>
      <c r="J172" s="73">
        <v>0.0</v>
      </c>
      <c r="O172" s="238"/>
      <c r="S172" s="231" t="str">
        <f t="shared" si="2"/>
        <v/>
      </c>
    </row>
    <row r="173">
      <c r="A173" s="217" t="b">
        <v>1</v>
      </c>
      <c r="B173" s="230" t="s">
        <v>720</v>
      </c>
      <c r="C173" s="69" t="str">
        <f t="array" ref="C173">TEXTJOIN("", TRUE, IFERROR(INDEX('language&amp;DataTest'!A:J, MATCH(INDEX( PointerTest!C:C, MATCH(B173, PointerTest!A:A, 0), 0), 'language&amp;DataTest'!A:A, 0), MATCH(HOME!$A$25, 'language&amp;DataTest'!$A$1:$H$1, 0))),                      IFERROR(INDEX('language&amp;DataTest'!A:J, MATCH(INDEX( PointerTest!D:D, MATCH(B173, PointerTest!A:A, 0), 0), 'language&amp;DataTest'!A:A, 0), MATCH(HOME!$A$25, 'language&amp;DataTest'!$A$1:$H$1, 0))),                                          
IFERROR(INDEX('language&amp;DataTest'!A:J, MATCH(INDEX( PointerTest!E:E, MATCH(B173, PointerTest!A:A, 0), 0), 'language&amp;DataTest'!A:A, 0), MATCH(HOME!$A$25, 'language&amp;DataTest'!$A$1:$H$1, 0))))</f>
        <v>Spiritomb</v>
      </c>
      <c r="D173" s="69" t="str">
        <f t="array" ref="D173">TEXTJOIN("", TRUE, 
IFERROR(INDEX('language&amp;DataTest'!A:J, MATCH(INDEX( PointerTest!C:C, MATCH(INDEX(PointerTest!B:B, MATCH(B173, PointerTest!A:A, 0)), PointerTest!A:A, 0), 0), 'language&amp;DataTest'!A:A, 0), MATCH(HOME!$A$25, 'language&amp;DataTest'!$A$1:$H$1, 0))),                      
IFERROR(INDEX('language&amp;DataTest'!A:J, MATCH(INDEX( PointerTest!D:D, MATCH(INDEX(PointerTest!B:B, MATCH(B173, PointerTest!A:A, 0)), PointerTest!A:A, 0), 0), 'language&amp;DataTest'!A:A, 0), MATCH(HOME!$A$25, 'language&amp;DataTest'!$A$1:$H$1, 0))),                                          
IFERROR(INDEX('language&amp;DataTest'!A:J, MATCH(INDEX( PointerTest!E:E, MATCH(INDEX(PointerTest!B:B, MATCH(B173, PointerTest!A:A, 0)), PointerTest!A:A, 0), 0), 'language&amp;DataTest'!A:A, 0), MATCH(HOME!$A$25, 'language&amp;DataTest'!$A$1:$H$1, 0))))</f>
        <v>Palkia ex</v>
      </c>
      <c r="E173" s="69" t="str">
        <f t="array" ref="E173">INDEX( PointerTest!F:F, MATCH(B173, PointerTest!A:A, 0), 0)</f>
        <v>☆</v>
      </c>
      <c r="F173" s="70" t="str">
        <f t="array" ref="F173">LET(percentage,XLOOKUP($E173,$K$2:$K$10,L$2:L$10,"",0)/(COUNTIFS($E:$E,$E173,$D:$D,RegularFormula!$D$2)+COUNTIFS($E:$E,$E173,$D:$D,IF($D173=RegularFormula!$D$2,$K$15,$D173))),IFERROR(IF(percentage,percentage,""),""))</f>
        <v/>
      </c>
      <c r="G173" s="71">
        <f t="array" ref="G173">LET(percentage,XLOOKUP($E173,$K$2:$K$10,M$2:M$10,"",0)/(COUNTIFS($E:$E,$E173,$D:$D,RegularFormula!$D$2)+COUNTIFS($E:$E,$E173,$D:$D,IF($D173=RegularFormula!$D$2,$K$15,$D173))),IFERROR(IF(percentage,percentage,""),""))</f>
        <v>0.002143333333</v>
      </c>
      <c r="H173" s="71">
        <f t="array" ref="H173">LET(percentage,XLOOKUP($E173,$K$2:$K$10,N$2:N$10,"",0)/(COUNTIFS($E:$E,$E173,$D:$D,RegularFormula!$D$2)+COUNTIFS($E:$E,$E173,$D:$D,IF($D173=RegularFormula!$D$2,$K$15,$D173))),IFERROR(IF(percentage,percentage,""),""))</f>
        <v>0.008573333333</v>
      </c>
      <c r="I173" s="72" t="str">
        <f t="shared" si="1"/>
        <v/>
      </c>
      <c r="J173" s="73">
        <v>0.0</v>
      </c>
      <c r="O173" s="238"/>
      <c r="S173" s="231" t="str">
        <f t="shared" si="2"/>
        <v/>
      </c>
    </row>
    <row r="174">
      <c r="A174" s="217" t="b">
        <v>1</v>
      </c>
      <c r="B174" s="230" t="s">
        <v>721</v>
      </c>
      <c r="C174" s="69" t="str">
        <f t="array" ref="C174">TEXTJOIN("", TRUE, IFERROR(INDEX('language&amp;DataTest'!A:J, MATCH(INDEX( PointerTest!C:C, MATCH(B174, PointerTest!A:A, 0), 0), 'language&amp;DataTest'!A:A, 0), MATCH(HOME!$A$25, 'language&amp;DataTest'!$A$1:$H$1, 0))),                      IFERROR(INDEX('language&amp;DataTest'!A:J, MATCH(INDEX( PointerTest!D:D, MATCH(B174, PointerTest!A:A, 0), 0), 'language&amp;DataTest'!A:A, 0), MATCH(HOME!$A$25, 'language&amp;DataTest'!$A$1:$H$1, 0))),                                          
IFERROR(INDEX('language&amp;DataTest'!A:J, MATCH(INDEX( PointerTest!E:E, MATCH(B174, PointerTest!A:A, 0), 0), 'language&amp;DataTest'!A:A, 0), MATCH(HOME!$A$25, 'language&amp;DataTest'!$A$1:$H$1, 0))))</f>
        <v>Croagunk</v>
      </c>
      <c r="D174" s="69" t="str">
        <f t="array" ref="D174">TEXTJOIN("", TRUE, 
IFERROR(INDEX('language&amp;DataTest'!A:J, MATCH(INDEX( PointerTest!C:C, MATCH(INDEX(PointerTest!B:B, MATCH(B174, PointerTest!A:A, 0)), PointerTest!A:A, 0), 0), 'language&amp;DataTest'!A:A, 0), MATCH(HOME!$A$25, 'language&amp;DataTest'!$A$1:$H$1, 0))),                      
IFERROR(INDEX('language&amp;DataTest'!A:J, MATCH(INDEX( PointerTest!D:D, MATCH(INDEX(PointerTest!B:B, MATCH(B174, PointerTest!A:A, 0)), PointerTest!A:A, 0), 0), 'language&amp;DataTest'!A:A, 0), MATCH(HOME!$A$25, 'language&amp;DataTest'!$A$1:$H$1, 0))),                                          
IFERROR(INDEX('language&amp;DataTest'!A:J, MATCH(INDEX( PointerTest!E:E, MATCH(INDEX(PointerTest!B:B, MATCH(B174, PointerTest!A:A, 0)), PointerTest!A:A, 0), 0), 'language&amp;DataTest'!A:A, 0), MATCH(HOME!$A$25, 'language&amp;DataTest'!$A$1:$H$1, 0))))</f>
        <v>Dialga ex</v>
      </c>
      <c r="E174" s="69" t="str">
        <f t="array" ref="E174">INDEX( PointerTest!F:F, MATCH(B174, PointerTest!A:A, 0), 0)</f>
        <v>☆</v>
      </c>
      <c r="F174" s="70" t="str">
        <f t="array" ref="F174">LET(percentage,XLOOKUP($E174,$K$2:$K$10,L$2:L$10,"",0)/(COUNTIFS($E:$E,$E174,$D:$D,RegularFormula!$D$2)+COUNTIFS($E:$E,$E174,$D:$D,IF($D174=RegularFormula!$D$2,$K$15,$D174))),IFERROR(IF(percentage,percentage,""),""))</f>
        <v/>
      </c>
      <c r="G174" s="71">
        <f t="array" ref="G174">LET(percentage,XLOOKUP($E174,$K$2:$K$10,M$2:M$10,"",0)/(COUNTIFS($E:$E,$E174,$D:$D,RegularFormula!$D$2)+COUNTIFS($E:$E,$E174,$D:$D,IF($D174=RegularFormula!$D$2,$K$15,$D174))),IFERROR(IF(percentage,percentage,""),""))</f>
        <v>0.002143333333</v>
      </c>
      <c r="H174" s="71">
        <f t="array" ref="H174">LET(percentage,XLOOKUP($E174,$K$2:$K$10,N$2:N$10,"",0)/(COUNTIFS($E:$E,$E174,$D:$D,RegularFormula!$D$2)+COUNTIFS($E:$E,$E174,$D:$D,IF($D174=RegularFormula!$D$2,$K$15,$D174))),IFERROR(IF(percentage,percentage,""),""))</f>
        <v>0.008573333333</v>
      </c>
      <c r="I174" s="72" t="str">
        <f t="shared" si="1"/>
        <v/>
      </c>
      <c r="J174" s="73">
        <v>0.0</v>
      </c>
      <c r="K174" s="194"/>
      <c r="L174" s="55"/>
      <c r="M174" s="55"/>
      <c r="N174" s="55"/>
      <c r="O174" s="238"/>
      <c r="P174" s="103"/>
      <c r="Q174" s="103"/>
      <c r="R174" s="103"/>
      <c r="S174" s="231" t="str">
        <f t="shared" si="2"/>
        <v/>
      </c>
    </row>
    <row r="175">
      <c r="A175" s="217" t="b">
        <v>1</v>
      </c>
      <c r="B175" s="230" t="s">
        <v>722</v>
      </c>
      <c r="C175" s="69" t="str">
        <f t="array" ref="C175">TEXTJOIN("", TRUE, IFERROR(INDEX('language&amp;DataTest'!A:J, MATCH(INDEX( PointerTest!C:C, MATCH(B175, PointerTest!A:A, 0), 0), 'language&amp;DataTest'!A:A, 0), MATCH(HOME!$A$25, 'language&amp;DataTest'!$A$1:$H$1, 0))),                      IFERROR(INDEX('language&amp;DataTest'!A:J, MATCH(INDEX( PointerTest!D:D, MATCH(B175, PointerTest!A:A, 0), 0), 'language&amp;DataTest'!A:A, 0), MATCH(HOME!$A$25, 'language&amp;DataTest'!$A$1:$H$1, 0))),                                          
IFERROR(INDEX('language&amp;DataTest'!A:J, MATCH(INDEX( PointerTest!E:E, MATCH(B175, PointerTest!A:A, 0), 0), 'language&amp;DataTest'!A:A, 0), MATCH(HOME!$A$25, 'language&amp;DataTest'!$A$1:$H$1, 0))))</f>
        <v>Heatran</v>
      </c>
      <c r="D175" s="69" t="str">
        <f t="array" ref="D175">TEXTJOIN("", TRUE, 
IFERROR(INDEX('language&amp;DataTest'!A:J, MATCH(INDEX( PointerTest!C:C, MATCH(INDEX(PointerTest!B:B, MATCH(B175, PointerTest!A:A, 0)), PointerTest!A:A, 0), 0), 'language&amp;DataTest'!A:A, 0), MATCH(HOME!$A$25, 'language&amp;DataTest'!$A$1:$H$1, 0))),                      
IFERROR(INDEX('language&amp;DataTest'!A:J, MATCH(INDEX( PointerTest!D:D, MATCH(INDEX(PointerTest!B:B, MATCH(B175, PointerTest!A:A, 0)), PointerTest!A:A, 0), 0), 'language&amp;DataTest'!A:A, 0), MATCH(HOME!$A$25, 'language&amp;DataTest'!$A$1:$H$1, 0))),                                          
IFERROR(INDEX('language&amp;DataTest'!A:J, MATCH(INDEX( PointerTest!E:E, MATCH(INDEX(PointerTest!B:B, MATCH(B175, PointerTest!A:A, 0)), PointerTest!A:A, 0), 0), 'language&amp;DataTest'!A:A, 0), MATCH(HOME!$A$25, 'language&amp;DataTest'!$A$1:$H$1, 0))))</f>
        <v>Dialga ex</v>
      </c>
      <c r="E175" s="69" t="str">
        <f t="array" ref="E175">INDEX( PointerTest!F:F, MATCH(B175, PointerTest!A:A, 0), 0)</f>
        <v>☆</v>
      </c>
      <c r="F175" s="70" t="str">
        <f t="array" ref="F175">LET(percentage,XLOOKUP($E175,$K$2:$K$10,L$2:L$10,"",0)/(COUNTIFS($E:$E,$E175,$D:$D,RegularFormula!$D$2)+COUNTIFS($E:$E,$E175,$D:$D,IF($D175=RegularFormula!$D$2,$K$15,$D175))),IFERROR(IF(percentage,percentage,""),""))</f>
        <v/>
      </c>
      <c r="G175" s="71">
        <f t="array" ref="G175">LET(percentage,XLOOKUP($E175,$K$2:$K$10,M$2:M$10,"",0)/(COUNTIFS($E:$E,$E175,$D:$D,RegularFormula!$D$2)+COUNTIFS($E:$E,$E175,$D:$D,IF($D175=RegularFormula!$D$2,$K$15,$D175))),IFERROR(IF(percentage,percentage,""),""))</f>
        <v>0.002143333333</v>
      </c>
      <c r="H175" s="71">
        <f t="array" ref="H175">LET(percentage,XLOOKUP($E175,$K$2:$K$10,N$2:N$10,"",0)/(COUNTIFS($E:$E,$E175,$D:$D,RegularFormula!$D$2)+COUNTIFS($E:$E,$E175,$D:$D,IF($D175=RegularFormula!$D$2,$K$15,$D175))),IFERROR(IF(percentage,percentage,""),""))</f>
        <v>0.008573333333</v>
      </c>
      <c r="I175" s="72" t="str">
        <f t="shared" si="1"/>
        <v/>
      </c>
      <c r="J175" s="73">
        <v>0.0</v>
      </c>
      <c r="K175" s="103"/>
      <c r="L175" s="103"/>
      <c r="M175" s="103"/>
      <c r="N175" s="103"/>
      <c r="O175" s="238"/>
      <c r="P175" s="103"/>
      <c r="Q175" s="103"/>
      <c r="R175" s="103"/>
      <c r="S175" s="231" t="str">
        <f t="shared" si="2"/>
        <v/>
      </c>
    </row>
    <row r="176">
      <c r="A176" s="217" t="b">
        <v>1</v>
      </c>
      <c r="B176" s="230" t="s">
        <v>723</v>
      </c>
      <c r="C176" s="69" t="str">
        <f t="array" ref="C176">TEXTJOIN("", TRUE, IFERROR(INDEX('language&amp;DataTest'!A:J, MATCH(INDEX( PointerTest!C:C, MATCH(B176, PointerTest!A:A, 0), 0), 'language&amp;DataTest'!A:A, 0), MATCH(HOME!$A$25, 'language&amp;DataTest'!$A$1:$H$1, 0))),                      IFERROR(INDEX('language&amp;DataTest'!A:J, MATCH(INDEX( PointerTest!D:D, MATCH(B176, PointerTest!A:A, 0), 0), 'language&amp;DataTest'!A:A, 0), MATCH(HOME!$A$25, 'language&amp;DataTest'!$A$1:$H$1, 0))),                                          
IFERROR(INDEX('language&amp;DataTest'!A:J, MATCH(INDEX( PointerTest!E:E, MATCH(B176, PointerTest!A:A, 0), 0), 'language&amp;DataTest'!A:A, 0), MATCH(HOME!$A$25, 'language&amp;DataTest'!$A$1:$H$1, 0))))</f>
        <v>Garchomp</v>
      </c>
      <c r="D176" s="69" t="str">
        <f t="array" ref="D176">TEXTJOIN("", TRUE, 
IFERROR(INDEX('language&amp;DataTest'!A:J, MATCH(INDEX( PointerTest!C:C, MATCH(INDEX(PointerTest!B:B, MATCH(B176, PointerTest!A:A, 0)), PointerTest!A:A, 0), 0), 'language&amp;DataTest'!A:A, 0), MATCH(HOME!$A$25, 'language&amp;DataTest'!$A$1:$H$1, 0))),                      
IFERROR(INDEX('language&amp;DataTest'!A:J, MATCH(INDEX( PointerTest!D:D, MATCH(INDEX(PointerTest!B:B, MATCH(B176, PointerTest!A:A, 0)), PointerTest!A:A, 0), 0), 'language&amp;DataTest'!A:A, 0), MATCH(HOME!$A$25, 'language&amp;DataTest'!$A$1:$H$1, 0))),                                          
IFERROR(INDEX('language&amp;DataTest'!A:J, MATCH(INDEX( PointerTest!E:E, MATCH(INDEX(PointerTest!B:B, MATCH(B176, PointerTest!A:A, 0)), PointerTest!A:A, 0), 0), 'language&amp;DataTest'!A:A, 0), MATCH(HOME!$A$25, 'language&amp;DataTest'!$A$1:$H$1, 0))))</f>
        <v>Palkia ex</v>
      </c>
      <c r="E176" s="69" t="str">
        <f t="array" ref="E176">INDEX( PointerTest!F:F, MATCH(B176, PointerTest!A:A, 0), 0)</f>
        <v>☆</v>
      </c>
      <c r="F176" s="70" t="str">
        <f t="array" ref="F176">LET(percentage,XLOOKUP($E176,$K$2:$K$10,L$2:L$10,"",0)/(COUNTIFS($E:$E,$E176,$D:$D,RegularFormula!$D$2)+COUNTIFS($E:$E,$E176,$D:$D,IF($D176=RegularFormula!$D$2,$K$15,$D176))),IFERROR(IF(percentage,percentage,""),""))</f>
        <v/>
      </c>
      <c r="G176" s="71">
        <f t="array" ref="G176">LET(percentage,XLOOKUP($E176,$K$2:$K$10,M$2:M$10,"",0)/(COUNTIFS($E:$E,$E176,$D:$D,RegularFormula!$D$2)+COUNTIFS($E:$E,$E176,$D:$D,IF($D176=RegularFormula!$D$2,$K$15,$D176))),IFERROR(IF(percentage,percentage,""),""))</f>
        <v>0.002143333333</v>
      </c>
      <c r="H176" s="71">
        <f t="array" ref="H176">LET(percentage,XLOOKUP($E176,$K$2:$K$10,N$2:N$10,"",0)/(COUNTIFS($E:$E,$E176,$D:$D,RegularFormula!$D$2)+COUNTIFS($E:$E,$E176,$D:$D,IF($D176=RegularFormula!$D$2,$K$15,$D176))),IFERROR(IF(percentage,percentage,""),""))</f>
        <v>0.008573333333</v>
      </c>
      <c r="I176" s="72" t="str">
        <f t="shared" si="1"/>
        <v/>
      </c>
      <c r="J176" s="73">
        <v>0.0</v>
      </c>
      <c r="K176" s="103"/>
      <c r="L176" s="103"/>
      <c r="M176" s="103"/>
      <c r="N176" s="103"/>
      <c r="O176" s="238"/>
      <c r="P176" s="103"/>
      <c r="Q176" s="103"/>
      <c r="R176" s="103"/>
      <c r="S176" s="231" t="str">
        <f t="shared" si="2"/>
        <v/>
      </c>
    </row>
    <row r="177">
      <c r="A177" s="217" t="b">
        <v>1</v>
      </c>
      <c r="B177" s="230" t="s">
        <v>724</v>
      </c>
      <c r="C177" s="69" t="str">
        <f t="array" ref="C177">TEXTJOIN("", TRUE, IFERROR(INDEX('language&amp;DataTest'!A:J, MATCH(INDEX( PointerTest!C:C, MATCH(B177, PointerTest!A:A, 0), 0), 'language&amp;DataTest'!A:A, 0), MATCH(HOME!$A$25, 'language&amp;DataTest'!$A$1:$H$1, 0))),                      IFERROR(INDEX('language&amp;DataTest'!A:J, MATCH(INDEX( PointerTest!D:D, MATCH(B177, PointerTest!A:A, 0), 0), 'language&amp;DataTest'!A:A, 0), MATCH(HOME!$A$25, 'language&amp;DataTest'!$A$1:$H$1, 0))),                                          
IFERROR(INDEX('language&amp;DataTest'!A:J, MATCH(INDEX( PointerTest!E:E, MATCH(B177, PointerTest!A:A, 0), 0), 'language&amp;DataTest'!A:A, 0), MATCH(HOME!$A$25, 'language&amp;DataTest'!$A$1:$H$1, 0))))</f>
        <v>Staraptor</v>
      </c>
      <c r="D177" s="69" t="str">
        <f t="array" ref="D177">TEXTJOIN("", TRUE, 
IFERROR(INDEX('language&amp;DataTest'!A:J, MATCH(INDEX( PointerTest!C:C, MATCH(INDEX(PointerTest!B:B, MATCH(B177, PointerTest!A:A, 0)), PointerTest!A:A, 0), 0), 'language&amp;DataTest'!A:A, 0), MATCH(HOME!$A$25, 'language&amp;DataTest'!$A$1:$H$1, 0))),                      
IFERROR(INDEX('language&amp;DataTest'!A:J, MATCH(INDEX( PointerTest!D:D, MATCH(INDEX(PointerTest!B:B, MATCH(B177, PointerTest!A:A, 0)), PointerTest!A:A, 0), 0), 'language&amp;DataTest'!A:A, 0), MATCH(HOME!$A$25, 'language&amp;DataTest'!$A$1:$H$1, 0))),                                          
IFERROR(INDEX('language&amp;DataTest'!A:J, MATCH(INDEX( PointerTest!E:E, MATCH(INDEX(PointerTest!B:B, MATCH(B177, PointerTest!A:A, 0)), PointerTest!A:A, 0), 0), 'language&amp;DataTest'!A:A, 0), MATCH(HOME!$A$25, 'language&amp;DataTest'!$A$1:$H$1, 0))))</f>
        <v>Palkia ex</v>
      </c>
      <c r="E177" s="69" t="str">
        <f t="array" ref="E177">INDEX( PointerTest!F:F, MATCH(B177, PointerTest!A:A, 0), 0)</f>
        <v>☆</v>
      </c>
      <c r="F177" s="70" t="str">
        <f t="array" ref="F177">LET(percentage,XLOOKUP($E177,$K$2:$K$10,L$2:L$10,"",0)/(COUNTIFS($E:$E,$E177,$D:$D,RegularFormula!$D$2)+COUNTIFS($E:$E,$E177,$D:$D,IF($D177=RegularFormula!$D$2,$K$15,$D177))),IFERROR(IF(percentage,percentage,""),""))</f>
        <v/>
      </c>
      <c r="G177" s="71">
        <f t="array" ref="G177">LET(percentage,XLOOKUP($E177,$K$2:$K$10,M$2:M$10,"",0)/(COUNTIFS($E:$E,$E177,$D:$D,RegularFormula!$D$2)+COUNTIFS($E:$E,$E177,$D:$D,IF($D177=RegularFormula!$D$2,$K$15,$D177))),IFERROR(IF(percentage,percentage,""),""))</f>
        <v>0.002143333333</v>
      </c>
      <c r="H177" s="71">
        <f t="array" ref="H177">LET(percentage,XLOOKUP($E177,$K$2:$K$10,N$2:N$10,"",0)/(COUNTIFS($E:$E,$E177,$D:$D,RegularFormula!$D$2)+COUNTIFS($E:$E,$E177,$D:$D,IF($D177=RegularFormula!$D$2,$K$15,$D177))),IFERROR(IF(percentage,percentage,""),""))</f>
        <v>0.008573333333</v>
      </c>
      <c r="I177" s="72" t="str">
        <f t="shared" si="1"/>
        <v/>
      </c>
      <c r="J177" s="73">
        <v>0.0</v>
      </c>
      <c r="K177" s="103"/>
      <c r="L177" s="103"/>
      <c r="M177" s="103"/>
      <c r="N177" s="103"/>
      <c r="O177" s="238"/>
      <c r="P177" s="103"/>
      <c r="Q177" s="103"/>
      <c r="R177" s="103"/>
      <c r="S177" s="231" t="str">
        <f t="shared" si="2"/>
        <v/>
      </c>
    </row>
    <row r="178">
      <c r="A178" s="217" t="b">
        <v>1</v>
      </c>
      <c r="B178" s="230" t="s">
        <v>725</v>
      </c>
      <c r="C178" s="69" t="str">
        <f t="array" ref="C178">TEXTJOIN("", TRUE, IFERROR(INDEX('language&amp;DataTest'!A:J, MATCH(INDEX( PointerTest!C:C, MATCH(B178, PointerTest!A:A, 0), 0), 'language&amp;DataTest'!A:A, 0), MATCH(HOME!$A$25, 'language&amp;DataTest'!$A$1:$H$1, 0))),                      IFERROR(INDEX('language&amp;DataTest'!A:J, MATCH(INDEX( PointerTest!D:D, MATCH(B178, PointerTest!A:A, 0), 0), 'language&amp;DataTest'!A:A, 0), MATCH(HOME!$A$25, 'language&amp;DataTest'!$A$1:$H$1, 0))),                                          
IFERROR(INDEX('language&amp;DataTest'!A:J, MATCH(INDEX( PointerTest!E:E, MATCH(B178, PointerTest!A:A, 0), 0), 'language&amp;DataTest'!A:A, 0), MATCH(HOME!$A$25, 'language&amp;DataTest'!$A$1:$H$1, 0))))</f>
        <v>Bidoof</v>
      </c>
      <c r="D178" s="69" t="str">
        <f t="array" ref="D178">TEXTJOIN("", TRUE, 
IFERROR(INDEX('language&amp;DataTest'!A:J, MATCH(INDEX( PointerTest!C:C, MATCH(INDEX(PointerTest!B:B, MATCH(B178, PointerTest!A:A, 0)), PointerTest!A:A, 0), 0), 'language&amp;DataTest'!A:A, 0), MATCH(HOME!$A$25, 'language&amp;DataTest'!$A$1:$H$1, 0))),                      
IFERROR(INDEX('language&amp;DataTest'!A:J, MATCH(INDEX( PointerTest!D:D, MATCH(INDEX(PointerTest!B:B, MATCH(B178, PointerTest!A:A, 0)), PointerTest!A:A, 0), 0), 'language&amp;DataTest'!A:A, 0), MATCH(HOME!$A$25, 'language&amp;DataTest'!$A$1:$H$1, 0))),                                          
IFERROR(INDEX('language&amp;DataTest'!A:J, MATCH(INDEX( PointerTest!E:E, MATCH(INDEX(PointerTest!B:B, MATCH(B178, PointerTest!A:A, 0)), PointerTest!A:A, 0), 0), 'language&amp;DataTest'!A:A, 0), MATCH(HOME!$A$25, 'language&amp;DataTest'!$A$1:$H$1, 0))))</f>
        <v>Dialga ex</v>
      </c>
      <c r="E178" s="69" t="str">
        <f t="array" ref="E178">INDEX( PointerTest!F:F, MATCH(B178, PointerTest!A:A, 0), 0)</f>
        <v>☆</v>
      </c>
      <c r="F178" s="70" t="str">
        <f t="array" ref="F178">LET(percentage,XLOOKUP($E178,$K$2:$K$10,L$2:L$10,"",0)/(COUNTIFS($E:$E,$E178,$D:$D,RegularFormula!$D$2)+COUNTIFS($E:$E,$E178,$D:$D,IF($D178=RegularFormula!$D$2,$K$15,$D178))),IFERROR(IF(percentage,percentage,""),""))</f>
        <v/>
      </c>
      <c r="G178" s="71">
        <f t="array" ref="G178">LET(percentage,XLOOKUP($E178,$K$2:$K$10,M$2:M$10,"",0)/(COUNTIFS($E:$E,$E178,$D:$D,RegularFormula!$D$2)+COUNTIFS($E:$E,$E178,$D:$D,IF($D178=RegularFormula!$D$2,$K$15,$D178))),IFERROR(IF(percentage,percentage,""),""))</f>
        <v>0.002143333333</v>
      </c>
      <c r="H178" s="71">
        <f t="array" ref="H178">LET(percentage,XLOOKUP($E178,$K$2:$K$10,N$2:N$10,"",0)/(COUNTIFS($E:$E,$E178,$D:$D,RegularFormula!$D$2)+COUNTIFS($E:$E,$E178,$D:$D,IF($D178=RegularFormula!$D$2,$K$15,$D178))),IFERROR(IF(percentage,percentage,""),""))</f>
        <v>0.008573333333</v>
      </c>
      <c r="I178" s="72" t="str">
        <f t="shared" si="1"/>
        <v/>
      </c>
      <c r="J178" s="73">
        <v>0.0</v>
      </c>
      <c r="K178" s="103"/>
      <c r="L178" s="103"/>
      <c r="M178" s="103"/>
      <c r="N178" s="103"/>
      <c r="O178" s="238"/>
      <c r="P178" s="103"/>
      <c r="Q178" s="103"/>
      <c r="R178" s="103"/>
      <c r="S178" s="231" t="str">
        <f t="shared" si="2"/>
        <v/>
      </c>
    </row>
    <row r="179">
      <c r="A179" s="217" t="b">
        <v>0</v>
      </c>
      <c r="B179" s="230" t="s">
        <v>726</v>
      </c>
      <c r="C179" s="69" t="str">
        <f t="array" ref="C179">TEXTJOIN("", TRUE, IFERROR(INDEX('language&amp;DataTest'!A:J, MATCH(INDEX( PointerTest!C:C, MATCH(B179, PointerTest!A:A, 0), 0), 'language&amp;DataTest'!A:A, 0), MATCH(HOME!$A$25, 'language&amp;DataTest'!$A$1:$H$1, 0))),                      IFERROR(INDEX('language&amp;DataTest'!A:J, MATCH(INDEX( PointerTest!D:D, MATCH(B179, PointerTest!A:A, 0), 0), 'language&amp;DataTest'!A:A, 0), MATCH(HOME!$A$25, 'language&amp;DataTest'!$A$1:$H$1, 0))),                                          
IFERROR(INDEX('language&amp;DataTest'!A:J, MATCH(INDEX( PointerTest!E:E, MATCH(B179, PointerTest!A:A, 0), 0), 'language&amp;DataTest'!A:A, 0), MATCH(HOME!$A$25, 'language&amp;DataTest'!$A$1:$H$1, 0))))</f>
        <v>Glameow</v>
      </c>
      <c r="D179" s="69" t="str">
        <f t="array" ref="D179">TEXTJOIN("", TRUE, 
IFERROR(INDEX('language&amp;DataTest'!A:J, MATCH(INDEX( PointerTest!C:C, MATCH(INDEX(PointerTest!B:B, MATCH(B179, PointerTest!A:A, 0)), PointerTest!A:A, 0), 0), 'language&amp;DataTest'!A:A, 0), MATCH(HOME!$A$25, 'language&amp;DataTest'!$A$1:$H$1, 0))),                      
IFERROR(INDEX('language&amp;DataTest'!A:J, MATCH(INDEX( PointerTest!D:D, MATCH(INDEX(PointerTest!B:B, MATCH(B179, PointerTest!A:A, 0)), PointerTest!A:A, 0), 0), 'language&amp;DataTest'!A:A, 0), MATCH(HOME!$A$25, 'language&amp;DataTest'!$A$1:$H$1, 0))),                                          
IFERROR(INDEX('language&amp;DataTest'!A:J, MATCH(INDEX( PointerTest!E:E, MATCH(INDEX(PointerTest!B:B, MATCH(B179, PointerTest!A:A, 0)), PointerTest!A:A, 0), 0), 'language&amp;DataTest'!A:A, 0), MATCH(HOME!$A$25, 'language&amp;DataTest'!$A$1:$H$1, 0))))</f>
        <v>Palkia ex</v>
      </c>
      <c r="E179" s="69" t="str">
        <f t="array" ref="E179">INDEX( PointerTest!F:F, MATCH(B179, PointerTest!A:A, 0), 0)</f>
        <v>☆</v>
      </c>
      <c r="F179" s="70" t="str">
        <f t="array" ref="F179">LET(percentage,XLOOKUP($E179,$K$2:$K$10,L$2:L$10,"",0)/(COUNTIFS($E:$E,$E179,$D:$D,RegularFormula!$D$2)+COUNTIFS($E:$E,$E179,$D:$D,IF($D179=RegularFormula!$D$2,$K$15,$D179))),IFERROR(IF(percentage,percentage,""),""))</f>
        <v/>
      </c>
      <c r="G179" s="71">
        <f t="array" ref="G179">LET(percentage,XLOOKUP($E179,$K$2:$K$10,M$2:M$10,"",0)/(COUNTIFS($E:$E,$E179,$D:$D,RegularFormula!$D$2)+COUNTIFS($E:$E,$E179,$D:$D,IF($D179=RegularFormula!$D$2,$K$15,$D179))),IFERROR(IF(percentage,percentage,""),""))</f>
        <v>0.002143333333</v>
      </c>
      <c r="H179" s="71">
        <f t="array" ref="H179">LET(percentage,XLOOKUP($E179,$K$2:$K$10,N$2:N$10,"",0)/(COUNTIFS($E:$E,$E179,$D:$D,RegularFormula!$D$2)+COUNTIFS($E:$E,$E179,$D:$D,IF($D179=RegularFormula!$D$2,$K$15,$D179))),IFERROR(IF(percentage,percentage,""),""))</f>
        <v>0.008573333333</v>
      </c>
      <c r="I179" s="72" t="str">
        <f t="shared" si="1"/>
        <v/>
      </c>
      <c r="J179" s="73">
        <v>0.0</v>
      </c>
      <c r="K179" s="103"/>
      <c r="L179" s="103"/>
      <c r="M179" s="103"/>
      <c r="N179" s="103"/>
      <c r="O179" s="239" t="s">
        <v>373</v>
      </c>
      <c r="P179" s="103"/>
      <c r="Q179" s="103"/>
      <c r="R179" s="103"/>
      <c r="S179" s="231" t="str">
        <f t="shared" si="2"/>
        <v/>
      </c>
    </row>
    <row r="180">
      <c r="A180" s="217" t="b">
        <v>0</v>
      </c>
      <c r="B180" s="230" t="s">
        <v>727</v>
      </c>
      <c r="C180" s="69" t="str">
        <f t="array" ref="C180">TEXTJOIN("", TRUE, IFERROR(INDEX('language&amp;DataTest'!A:J, MATCH(INDEX( PointerTest!C:C, MATCH(B180, PointerTest!A:A, 0), 0), 'language&amp;DataTest'!A:A, 0), MATCH(HOME!$A$25, 'language&amp;DataTest'!$A$1:$H$1, 0))),                      IFERROR(INDEX('language&amp;DataTest'!A:J, MATCH(INDEX( PointerTest!D:D, MATCH(B180, PointerTest!A:A, 0), 0), 'language&amp;DataTest'!A:A, 0), MATCH(HOME!$A$25, 'language&amp;DataTest'!$A$1:$H$1, 0))),                                          
IFERROR(INDEX('language&amp;DataTest'!A:J, MATCH(INDEX( PointerTest!E:E, MATCH(B180, PointerTest!A:A, 0), 0), 'language&amp;DataTest'!A:A, 0), MATCH(HOME!$A$25, 'language&amp;DataTest'!$A$1:$H$1, 0))))</f>
        <v>Regigigas</v>
      </c>
      <c r="D180" s="69" t="str">
        <f t="array" ref="D180">TEXTJOIN("", TRUE, 
IFERROR(INDEX('language&amp;DataTest'!A:J, MATCH(INDEX( PointerTest!C:C, MATCH(INDEX(PointerTest!B:B, MATCH(B180, PointerTest!A:A, 0)), PointerTest!A:A, 0), 0), 'language&amp;DataTest'!A:A, 0), MATCH(HOME!$A$25, 'language&amp;DataTest'!$A$1:$H$1, 0))),                      
IFERROR(INDEX('language&amp;DataTest'!A:J, MATCH(INDEX( PointerTest!D:D, MATCH(INDEX(PointerTest!B:B, MATCH(B180, PointerTest!A:A, 0)), PointerTest!A:A, 0), 0), 'language&amp;DataTest'!A:A, 0), MATCH(HOME!$A$25, 'language&amp;DataTest'!$A$1:$H$1, 0))),                                          
IFERROR(INDEX('language&amp;DataTest'!A:J, MATCH(INDEX( PointerTest!E:E, MATCH(INDEX(PointerTest!B:B, MATCH(B180, PointerTest!A:A, 0)), PointerTest!A:A, 0), 0), 'language&amp;DataTest'!A:A, 0), MATCH(HOME!$A$25, 'language&amp;DataTest'!$A$1:$H$1, 0))))</f>
        <v>Dialga ex</v>
      </c>
      <c r="E180" s="69" t="str">
        <f t="array" ref="E180">INDEX( PointerTest!F:F, MATCH(B180, PointerTest!A:A, 0), 0)</f>
        <v>☆</v>
      </c>
      <c r="F180" s="70" t="str">
        <f t="array" ref="F180">LET(percentage,XLOOKUP($E180,$K$2:$K$10,L$2:L$10,"",0)/(COUNTIFS($E:$E,$E180,$D:$D,RegularFormula!$D$2)+COUNTIFS($E:$E,$E180,$D:$D,IF($D180=RegularFormula!$D$2,$K$15,$D180))),IFERROR(IF(percentage,percentage,""),""))</f>
        <v/>
      </c>
      <c r="G180" s="71">
        <f t="array" ref="G180">LET(percentage,XLOOKUP($E180,$K$2:$K$10,M$2:M$10,"",0)/(COUNTIFS($E:$E,$E180,$D:$D,RegularFormula!$D$2)+COUNTIFS($E:$E,$E180,$D:$D,IF($D180=RegularFormula!$D$2,$K$15,$D180))),IFERROR(IF(percentage,percentage,""),""))</f>
        <v>0.002143333333</v>
      </c>
      <c r="H180" s="71">
        <f t="array" ref="H180">LET(percentage,XLOOKUP($E180,$K$2:$K$10,N$2:N$10,"",0)/(COUNTIFS($E:$E,$E180,$D:$D,RegularFormula!$D$2)+COUNTIFS($E:$E,$E180,$D:$D,IF($D180=RegularFormula!$D$2,$K$15,$D180))),IFERROR(IF(percentage,percentage,""),""))</f>
        <v>0.008573333333</v>
      </c>
      <c r="I180" s="72" t="str">
        <f t="shared" si="1"/>
        <v/>
      </c>
      <c r="J180" s="73">
        <v>0.0</v>
      </c>
      <c r="K180" s="103"/>
      <c r="L180" s="103"/>
      <c r="M180" s="103"/>
      <c r="N180" s="103"/>
      <c r="P180" s="103"/>
      <c r="Q180" s="103"/>
      <c r="R180" s="103"/>
      <c r="S180" s="231" t="str">
        <f t="shared" si="2"/>
        <v/>
      </c>
    </row>
    <row r="181">
      <c r="A181" s="217" t="b">
        <v>0</v>
      </c>
      <c r="B181" s="230" t="s">
        <v>728</v>
      </c>
      <c r="C181" s="69" t="str">
        <f t="array" ref="C181">TEXTJOIN("", TRUE, IFERROR(INDEX('language&amp;DataTest'!A:J, MATCH(INDEX( PointerTest!C:C, MATCH(B181, PointerTest!A:A, 0), 0), 'language&amp;DataTest'!A:A, 0), MATCH(HOME!$A$25, 'language&amp;DataTest'!$A$1:$H$1, 0))),                      IFERROR(INDEX('language&amp;DataTest'!A:J, MATCH(INDEX( PointerTest!D:D, MATCH(B181, PointerTest!A:A, 0), 0), 'language&amp;DataTest'!A:A, 0), MATCH(HOME!$A$25, 'language&amp;DataTest'!$A$1:$H$1, 0))),                                          
IFERROR(INDEX('language&amp;DataTest'!A:J, MATCH(INDEX( PointerTest!E:E, MATCH(B181, PointerTest!A:A, 0), 0), 'language&amp;DataTest'!A:A, 0), MATCH(HOME!$A$25, 'language&amp;DataTest'!$A$1:$H$1, 0))))</f>
        <v>Yanmega ex</v>
      </c>
      <c r="D181" s="69" t="str">
        <f t="array" ref="D181">TEXTJOIN("", TRUE, 
IFERROR(INDEX('language&amp;DataTest'!A:J, MATCH(INDEX( PointerTest!C:C, MATCH(INDEX(PointerTest!B:B, MATCH(B181, PointerTest!A:A, 0)), PointerTest!A:A, 0), 0), 'language&amp;DataTest'!A:A, 0), MATCH(HOME!$A$25, 'language&amp;DataTest'!$A$1:$H$1, 0))),                      
IFERROR(INDEX('language&amp;DataTest'!A:J, MATCH(INDEX( PointerTest!D:D, MATCH(INDEX(PointerTest!B:B, MATCH(B181, PointerTest!A:A, 0)), PointerTest!A:A, 0), 0), 'language&amp;DataTest'!A:A, 0), MATCH(HOME!$A$25, 'language&amp;DataTest'!$A$1:$H$1, 0))),                                          
IFERROR(INDEX('language&amp;DataTest'!A:J, MATCH(INDEX( PointerTest!E:E, MATCH(INDEX(PointerTest!B:B, MATCH(B181, PointerTest!A:A, 0)), PointerTest!A:A, 0), 0), 'language&amp;DataTest'!A:A, 0), MATCH(HOME!$A$25, 'language&amp;DataTest'!$A$1:$H$1, 0))))</f>
        <v>Dialga ex</v>
      </c>
      <c r="E181" s="69" t="str">
        <f t="array" ref="E181">INDEX( PointerTest!F:F, MATCH(B181, PointerTest!A:A, 0), 0)</f>
        <v>☆☆</v>
      </c>
      <c r="F181" s="70" t="str">
        <f t="array" ref="F181">LET(percentage,XLOOKUP($E181,$K$2:$K$10,L$2:L$10,"",0)/(COUNTIFS($E:$E,$E181,$D:$D,RegularFormula!$D$2)+COUNTIFS($E:$E,$E181,$D:$D,IF($D181=RegularFormula!$D$2,$K$15,$D181))),IFERROR(IF(percentage,percentage,""),""))</f>
        <v/>
      </c>
      <c r="G181" s="71">
        <f t="array" ref="G181">LET(percentage,XLOOKUP($E181,$K$2:$K$10,M$2:M$10,"",0)/(COUNTIFS($E:$E,$E181,$D:$D,RegularFormula!$D$2)+COUNTIFS($E:$E,$E181,$D:$D,IF($D181=RegularFormula!$D$2,$K$15,$D181))),IFERROR(IF(percentage,percentage,""),""))</f>
        <v>0.0004166666667</v>
      </c>
      <c r="H181" s="71">
        <f t="array" ref="H181">LET(percentage,XLOOKUP($E181,$K$2:$K$10,N$2:N$10,"",0)/(COUNTIFS($E:$E,$E181,$D:$D,RegularFormula!$D$2)+COUNTIFS($E:$E,$E181,$D:$D,IF($D181=RegularFormula!$D$2,$K$15,$D181))),IFERROR(IF(percentage,percentage,""),""))</f>
        <v>0.001666666667</v>
      </c>
      <c r="I181" s="72" t="str">
        <f t="shared" si="1"/>
        <v/>
      </c>
      <c r="J181" s="73">
        <v>0.0</v>
      </c>
      <c r="K181" s="103"/>
      <c r="L181" s="103"/>
      <c r="M181" s="103"/>
      <c r="N181" s="103"/>
      <c r="P181" s="103"/>
      <c r="Q181" s="103"/>
      <c r="R181" s="103"/>
      <c r="S181" s="231" t="str">
        <f t="shared" si="2"/>
        <v/>
      </c>
    </row>
    <row r="182">
      <c r="A182" s="217" t="b">
        <v>0</v>
      </c>
      <c r="B182" s="230" t="s">
        <v>729</v>
      </c>
      <c r="C182" s="69" t="str">
        <f t="array" ref="C182">TEXTJOIN("", TRUE, IFERROR(INDEX('language&amp;DataTest'!A:J, MATCH(INDEX( PointerTest!C:C, MATCH(B182, PointerTest!A:A, 0), 0), 'language&amp;DataTest'!A:A, 0), MATCH(HOME!$A$25, 'language&amp;DataTest'!$A$1:$H$1, 0))),                      IFERROR(INDEX('language&amp;DataTest'!A:J, MATCH(INDEX( PointerTest!D:D, MATCH(B182, PointerTest!A:A, 0), 0), 'language&amp;DataTest'!A:A, 0), MATCH(HOME!$A$25, 'language&amp;DataTest'!$A$1:$H$1, 0))),                                          
IFERROR(INDEX('language&amp;DataTest'!A:J, MATCH(INDEX( PointerTest!E:E, MATCH(B182, PointerTest!A:A, 0), 0), 'language&amp;DataTest'!A:A, 0), MATCH(HOME!$A$25, 'language&amp;DataTest'!$A$1:$H$1, 0))))</f>
        <v>Infernape ex</v>
      </c>
      <c r="D182" s="69" t="str">
        <f t="array" ref="D182">TEXTJOIN("", TRUE, 
IFERROR(INDEX('language&amp;DataTest'!A:J, MATCH(INDEX( PointerTest!C:C, MATCH(INDEX(PointerTest!B:B, MATCH(B182, PointerTest!A:A, 0)), PointerTest!A:A, 0), 0), 'language&amp;DataTest'!A:A, 0), MATCH(HOME!$A$25, 'language&amp;DataTest'!$A$1:$H$1, 0))),                      
IFERROR(INDEX('language&amp;DataTest'!A:J, MATCH(INDEX( PointerTest!D:D, MATCH(INDEX(PointerTest!B:B, MATCH(B182, PointerTest!A:A, 0)), PointerTest!A:A, 0), 0), 'language&amp;DataTest'!A:A, 0), MATCH(HOME!$A$25, 'language&amp;DataTest'!$A$1:$H$1, 0))),                                          
IFERROR(INDEX('language&amp;DataTest'!A:J, MATCH(INDEX( PointerTest!E:E, MATCH(INDEX(PointerTest!B:B, MATCH(B182, PointerTest!A:A, 0)), PointerTest!A:A, 0), 0), 'language&amp;DataTest'!A:A, 0), MATCH(HOME!$A$25, 'language&amp;DataTest'!$A$1:$H$1, 0))))</f>
        <v>Palkia ex</v>
      </c>
      <c r="E182" s="69" t="str">
        <f t="array" ref="E182">INDEX( PointerTest!F:F, MATCH(B182, PointerTest!A:A, 0), 0)</f>
        <v>☆☆</v>
      </c>
      <c r="F182" s="70" t="str">
        <f t="array" ref="F182">LET(percentage,XLOOKUP($E182,$K$2:$K$10,L$2:L$10,"",0)/(COUNTIFS($E:$E,$E182,$D:$D,RegularFormula!$D$2)+COUNTIFS($E:$E,$E182,$D:$D,IF($D182=RegularFormula!$D$2,$K$15,$D182))),IFERROR(IF(percentage,percentage,""),""))</f>
        <v/>
      </c>
      <c r="G182" s="71">
        <f t="array" ref="G182">LET(percentage,XLOOKUP($E182,$K$2:$K$10,M$2:M$10,"",0)/(COUNTIFS($E:$E,$E182,$D:$D,RegularFormula!$D$2)+COUNTIFS($E:$E,$E182,$D:$D,IF($D182=RegularFormula!$D$2,$K$15,$D182))),IFERROR(IF(percentage,percentage,""),""))</f>
        <v>0.0004166666667</v>
      </c>
      <c r="H182" s="71">
        <f t="array" ref="H182">LET(percentage,XLOOKUP($E182,$K$2:$K$10,N$2:N$10,"",0)/(COUNTIFS($E:$E,$E182,$D:$D,RegularFormula!$D$2)+COUNTIFS($E:$E,$E182,$D:$D,IF($D182=RegularFormula!$D$2,$K$15,$D182))),IFERROR(IF(percentage,percentage,""),""))</f>
        <v>0.001666666667</v>
      </c>
      <c r="I182" s="72" t="str">
        <f t="shared" si="1"/>
        <v/>
      </c>
      <c r="J182" s="73">
        <v>0.0</v>
      </c>
      <c r="K182" s="103"/>
      <c r="L182" s="103"/>
      <c r="M182" s="103"/>
      <c r="N182" s="103"/>
      <c r="P182" s="103"/>
      <c r="Q182" s="103"/>
      <c r="R182" s="103"/>
      <c r="S182" s="231" t="str">
        <f t="shared" si="2"/>
        <v/>
      </c>
    </row>
    <row r="183">
      <c r="A183" s="217" t="b">
        <v>0</v>
      </c>
      <c r="B183" s="230" t="s">
        <v>730</v>
      </c>
      <c r="C183" s="69" t="str">
        <f t="array" ref="C183">TEXTJOIN("", TRUE, IFERROR(INDEX('language&amp;DataTest'!A:J, MATCH(INDEX( PointerTest!C:C, MATCH(B183, PointerTest!A:A, 0), 0), 'language&amp;DataTest'!A:A, 0), MATCH(HOME!$A$25, 'language&amp;DataTest'!$A$1:$H$1, 0))),                      IFERROR(INDEX('language&amp;DataTest'!A:J, MATCH(INDEX( PointerTest!D:D, MATCH(B183, PointerTest!A:A, 0), 0), 'language&amp;DataTest'!A:A, 0), MATCH(HOME!$A$25, 'language&amp;DataTest'!$A$1:$H$1, 0))),                                          
IFERROR(INDEX('language&amp;DataTest'!A:J, MATCH(INDEX( PointerTest!E:E, MATCH(B183, PointerTest!A:A, 0), 0), 'language&amp;DataTest'!A:A, 0), MATCH(HOME!$A$25, 'language&amp;DataTest'!$A$1:$H$1, 0))))</f>
        <v>Palkia ex</v>
      </c>
      <c r="D183" s="69" t="str">
        <f t="array" ref="D183">TEXTJOIN("", TRUE, 
IFERROR(INDEX('language&amp;DataTest'!A:J, MATCH(INDEX( PointerTest!C:C, MATCH(INDEX(PointerTest!B:B, MATCH(B183, PointerTest!A:A, 0)), PointerTest!A:A, 0), 0), 'language&amp;DataTest'!A:A, 0), MATCH(HOME!$A$25, 'language&amp;DataTest'!$A$1:$H$1, 0))),                      
IFERROR(INDEX('language&amp;DataTest'!A:J, MATCH(INDEX( PointerTest!D:D, MATCH(INDEX(PointerTest!B:B, MATCH(B183, PointerTest!A:A, 0)), PointerTest!A:A, 0), 0), 'language&amp;DataTest'!A:A, 0), MATCH(HOME!$A$25, 'language&amp;DataTest'!$A$1:$H$1, 0))),                                          
IFERROR(INDEX('language&amp;DataTest'!A:J, MATCH(INDEX( PointerTest!E:E, MATCH(INDEX(PointerTest!B:B, MATCH(B183, PointerTest!A:A, 0)), PointerTest!A:A, 0), 0), 'language&amp;DataTest'!A:A, 0), MATCH(HOME!$A$25, 'language&amp;DataTest'!$A$1:$H$1, 0))))</f>
        <v>Palkia ex</v>
      </c>
      <c r="E183" s="69" t="str">
        <f t="array" ref="E183">INDEX( PointerTest!F:F, MATCH(B183, PointerTest!A:A, 0), 0)</f>
        <v>☆☆</v>
      </c>
      <c r="F183" s="70" t="str">
        <f t="array" ref="F183">LET(percentage,XLOOKUP($E183,$K$2:$K$10,L$2:L$10,"",0)/(COUNTIFS($E:$E,$E183,$D:$D,RegularFormula!$D$2)+COUNTIFS($E:$E,$E183,$D:$D,IF($D183=RegularFormula!$D$2,$K$15,$D183))),IFERROR(IF(percentage,percentage,""),""))</f>
        <v/>
      </c>
      <c r="G183" s="71">
        <f t="array" ref="G183">LET(percentage,XLOOKUP($E183,$K$2:$K$10,M$2:M$10,"",0)/(COUNTIFS($E:$E,$E183,$D:$D,RegularFormula!$D$2)+COUNTIFS($E:$E,$E183,$D:$D,IF($D183=RegularFormula!$D$2,$K$15,$D183))),IFERROR(IF(percentage,percentage,""),""))</f>
        <v>0.0004166666667</v>
      </c>
      <c r="H183" s="71">
        <f t="array" ref="H183">LET(percentage,XLOOKUP($E183,$K$2:$K$10,N$2:N$10,"",0)/(COUNTIFS($E:$E,$E183,$D:$D,RegularFormula!$D$2)+COUNTIFS($E:$E,$E183,$D:$D,IF($D183=RegularFormula!$D$2,$K$15,$D183))),IFERROR(IF(percentage,percentage,""),""))</f>
        <v>0.001666666667</v>
      </c>
      <c r="I183" s="72" t="str">
        <f t="shared" si="1"/>
        <v/>
      </c>
      <c r="J183" s="73">
        <v>0.0</v>
      </c>
      <c r="K183" s="103"/>
      <c r="L183" s="103"/>
      <c r="M183" s="103"/>
      <c r="N183" s="103"/>
      <c r="O183" s="239" t="s">
        <v>379</v>
      </c>
      <c r="P183" s="103"/>
      <c r="Q183" s="103"/>
      <c r="R183" s="103"/>
      <c r="S183" s="231" t="str">
        <f t="shared" si="2"/>
        <v/>
      </c>
    </row>
    <row r="184">
      <c r="A184" s="217" t="b">
        <v>0</v>
      </c>
      <c r="B184" s="230" t="s">
        <v>731</v>
      </c>
      <c r="C184" s="69" t="str">
        <f t="array" ref="C184">TEXTJOIN("", TRUE, IFERROR(INDEX('language&amp;DataTest'!A:J, MATCH(INDEX( PointerTest!C:C, MATCH(B184, PointerTest!A:A, 0), 0), 'language&amp;DataTest'!A:A, 0), MATCH(HOME!$A$25, 'language&amp;DataTest'!$A$1:$H$1, 0))),                      IFERROR(INDEX('language&amp;DataTest'!A:J, MATCH(INDEX( PointerTest!D:D, MATCH(B184, PointerTest!A:A, 0), 0), 'language&amp;DataTest'!A:A, 0), MATCH(HOME!$A$25, 'language&amp;DataTest'!$A$1:$H$1, 0))),                                          
IFERROR(INDEX('language&amp;DataTest'!A:J, MATCH(INDEX( PointerTest!E:E, MATCH(B184, PointerTest!A:A, 0), 0), 'language&amp;DataTest'!A:A, 0), MATCH(HOME!$A$25, 'language&amp;DataTest'!$A$1:$H$1, 0))))</f>
        <v>Pachirisu ex</v>
      </c>
      <c r="D184" s="69" t="str">
        <f t="array" ref="D184">TEXTJOIN("", TRUE, 
IFERROR(INDEX('language&amp;DataTest'!A:J, MATCH(INDEX( PointerTest!C:C, MATCH(INDEX(PointerTest!B:B, MATCH(B184, PointerTest!A:A, 0)), PointerTest!A:A, 0), 0), 'language&amp;DataTest'!A:A, 0), MATCH(HOME!$A$25, 'language&amp;DataTest'!$A$1:$H$1, 0))),                      
IFERROR(INDEX('language&amp;DataTest'!A:J, MATCH(INDEX( PointerTest!D:D, MATCH(INDEX(PointerTest!B:B, MATCH(B184, PointerTest!A:A, 0)), PointerTest!A:A, 0), 0), 'language&amp;DataTest'!A:A, 0), MATCH(HOME!$A$25, 'language&amp;DataTest'!$A$1:$H$1, 0))),                                          
IFERROR(INDEX('language&amp;DataTest'!A:J, MATCH(INDEX( PointerTest!E:E, MATCH(INDEX(PointerTest!B:B, MATCH(B184, PointerTest!A:A, 0)), PointerTest!A:A, 0), 0), 'language&amp;DataTest'!A:A, 0), MATCH(HOME!$A$25, 'language&amp;DataTest'!$A$1:$H$1, 0))))</f>
        <v>Dialga ex</v>
      </c>
      <c r="E184" s="69" t="str">
        <f t="array" ref="E184">INDEX( PointerTest!F:F, MATCH(B184, PointerTest!A:A, 0), 0)</f>
        <v>☆☆</v>
      </c>
      <c r="F184" s="70" t="str">
        <f t="array" ref="F184">LET(percentage,XLOOKUP($E184,$K$2:$K$10,L$2:L$10,"",0)/(COUNTIFS($E:$E,$E184,$D:$D,RegularFormula!$D$2)+COUNTIFS($E:$E,$E184,$D:$D,IF($D184=RegularFormula!$D$2,$K$15,$D184))),IFERROR(IF(percentage,percentage,""),""))</f>
        <v/>
      </c>
      <c r="G184" s="71">
        <f t="array" ref="G184">LET(percentage,XLOOKUP($E184,$K$2:$K$10,M$2:M$10,"",0)/(COUNTIFS($E:$E,$E184,$D:$D,RegularFormula!$D$2)+COUNTIFS($E:$E,$E184,$D:$D,IF($D184=RegularFormula!$D$2,$K$15,$D184))),IFERROR(IF(percentage,percentage,""),""))</f>
        <v>0.0004166666667</v>
      </c>
      <c r="H184" s="71">
        <f t="array" ref="H184">LET(percentage,XLOOKUP($E184,$K$2:$K$10,N$2:N$10,"",0)/(COUNTIFS($E:$E,$E184,$D:$D,RegularFormula!$D$2)+COUNTIFS($E:$E,$E184,$D:$D,IF($D184=RegularFormula!$D$2,$K$15,$D184))),IFERROR(IF(percentage,percentage,""),""))</f>
        <v>0.001666666667</v>
      </c>
      <c r="I184" s="72" t="str">
        <f t="shared" si="1"/>
        <v/>
      </c>
      <c r="J184" s="73">
        <v>0.0</v>
      </c>
      <c r="K184" s="103"/>
      <c r="L184" s="103"/>
      <c r="M184" s="103"/>
      <c r="N184" s="103"/>
      <c r="P184" s="103"/>
      <c r="Q184" s="103"/>
      <c r="R184" s="103"/>
      <c r="S184" s="231" t="str">
        <f t="shared" si="2"/>
        <v/>
      </c>
    </row>
    <row r="185">
      <c r="A185" s="217" t="b">
        <v>0</v>
      </c>
      <c r="B185" s="230" t="s">
        <v>732</v>
      </c>
      <c r="C185" s="69" t="str">
        <f t="array" ref="C185">TEXTJOIN("", TRUE, IFERROR(INDEX('language&amp;DataTest'!A:J, MATCH(INDEX( PointerTest!C:C, MATCH(B185, PointerTest!A:A, 0), 0), 'language&amp;DataTest'!A:A, 0), MATCH(HOME!$A$25, 'language&amp;DataTest'!$A$1:$H$1, 0))),                      IFERROR(INDEX('language&amp;DataTest'!A:J, MATCH(INDEX( PointerTest!D:D, MATCH(B185, PointerTest!A:A, 0), 0), 'language&amp;DataTest'!A:A, 0), MATCH(HOME!$A$25, 'language&amp;DataTest'!$A$1:$H$1, 0))),                                          
IFERROR(INDEX('language&amp;DataTest'!A:J, MATCH(INDEX( PointerTest!E:E, MATCH(B185, PointerTest!A:A, 0), 0), 'language&amp;DataTest'!A:A, 0), MATCH(HOME!$A$25, 'language&amp;DataTest'!$A$1:$H$1, 0))))</f>
        <v>Mismagius ex</v>
      </c>
      <c r="D185" s="69" t="str">
        <f t="array" ref="D185">TEXTJOIN("", TRUE, 
IFERROR(INDEX('language&amp;DataTest'!A:J, MATCH(INDEX( PointerTest!C:C, MATCH(INDEX(PointerTest!B:B, MATCH(B185, PointerTest!A:A, 0)), PointerTest!A:A, 0), 0), 'language&amp;DataTest'!A:A, 0), MATCH(HOME!$A$25, 'language&amp;DataTest'!$A$1:$H$1, 0))),                      
IFERROR(INDEX('language&amp;DataTest'!A:J, MATCH(INDEX( PointerTest!D:D, MATCH(INDEX(PointerTest!B:B, MATCH(B185, PointerTest!A:A, 0)), PointerTest!A:A, 0), 0), 'language&amp;DataTest'!A:A, 0), MATCH(HOME!$A$25, 'language&amp;DataTest'!$A$1:$H$1, 0))),                                          
IFERROR(INDEX('language&amp;DataTest'!A:J, MATCH(INDEX( PointerTest!E:E, MATCH(INDEX(PointerTest!B:B, MATCH(B185, PointerTest!A:A, 0)), PointerTest!A:A, 0), 0), 'language&amp;DataTest'!A:A, 0), MATCH(HOME!$A$25, 'language&amp;DataTest'!$A$1:$H$1, 0))))</f>
        <v>Palkia ex</v>
      </c>
      <c r="E185" s="69" t="str">
        <f t="array" ref="E185">INDEX( PointerTest!F:F, MATCH(B185, PointerTest!A:A, 0), 0)</f>
        <v>☆☆</v>
      </c>
      <c r="F185" s="70" t="str">
        <f t="array" ref="F185">LET(percentage,XLOOKUP($E185,$K$2:$K$10,L$2:L$10,"",0)/(COUNTIFS($E:$E,$E185,$D:$D,RegularFormula!$D$2)+COUNTIFS($E:$E,$E185,$D:$D,IF($D185=RegularFormula!$D$2,$K$15,$D185))),IFERROR(IF(percentage,percentage,""),""))</f>
        <v/>
      </c>
      <c r="G185" s="71">
        <f t="array" ref="G185">LET(percentage,XLOOKUP($E185,$K$2:$K$10,M$2:M$10,"",0)/(COUNTIFS($E:$E,$E185,$D:$D,RegularFormula!$D$2)+COUNTIFS($E:$E,$E185,$D:$D,IF($D185=RegularFormula!$D$2,$K$15,$D185))),IFERROR(IF(percentage,percentage,""),""))</f>
        <v>0.0004166666667</v>
      </c>
      <c r="H185" s="71">
        <f t="array" ref="H185">LET(percentage,XLOOKUP($E185,$K$2:$K$10,N$2:N$10,"",0)/(COUNTIFS($E:$E,$E185,$D:$D,RegularFormula!$D$2)+COUNTIFS($E:$E,$E185,$D:$D,IF($D185=RegularFormula!$D$2,$K$15,$D185))),IFERROR(IF(percentage,percentage,""),""))</f>
        <v>0.001666666667</v>
      </c>
      <c r="I185" s="72" t="str">
        <f t="shared" si="1"/>
        <v/>
      </c>
      <c r="J185" s="73">
        <v>0.0</v>
      </c>
      <c r="K185" s="209"/>
      <c r="L185" s="209"/>
      <c r="M185" s="209"/>
      <c r="N185" s="209"/>
      <c r="P185" s="209"/>
      <c r="Q185" s="209"/>
      <c r="R185" s="209"/>
      <c r="S185" s="231" t="str">
        <f t="shared" si="2"/>
        <v/>
      </c>
    </row>
    <row r="186">
      <c r="A186" s="217" t="b">
        <v>0</v>
      </c>
      <c r="B186" s="230" t="s">
        <v>733</v>
      </c>
      <c r="C186" s="69" t="str">
        <f t="array" ref="C186">TEXTJOIN("", TRUE, IFERROR(INDEX('language&amp;DataTest'!A:J, MATCH(INDEX( PointerTest!C:C, MATCH(B186, PointerTest!A:A, 0), 0), 'language&amp;DataTest'!A:A, 0), MATCH(HOME!$A$25, 'language&amp;DataTest'!$A$1:$H$1, 0))),                      IFERROR(INDEX('language&amp;DataTest'!A:J, MATCH(INDEX( PointerTest!D:D, MATCH(B186, PointerTest!A:A, 0), 0), 'language&amp;DataTest'!A:A, 0), MATCH(HOME!$A$25, 'language&amp;DataTest'!$A$1:$H$1, 0))),                                          
IFERROR(INDEX('language&amp;DataTest'!A:J, MATCH(INDEX( PointerTest!E:E, MATCH(B186, PointerTest!A:A, 0), 0), 'language&amp;DataTest'!A:A, 0), MATCH(HOME!$A$25, 'language&amp;DataTest'!$A$1:$H$1, 0))))</f>
        <v>Gallade ex</v>
      </c>
      <c r="D186" s="69" t="str">
        <f t="array" ref="D186">TEXTJOIN("", TRUE, 
IFERROR(INDEX('language&amp;DataTest'!A:J, MATCH(INDEX( PointerTest!C:C, MATCH(INDEX(PointerTest!B:B, MATCH(B186, PointerTest!A:A, 0)), PointerTest!A:A, 0), 0), 'language&amp;DataTest'!A:A, 0), MATCH(HOME!$A$25, 'language&amp;DataTest'!$A$1:$H$1, 0))),                      
IFERROR(INDEX('language&amp;DataTest'!A:J, MATCH(INDEX( PointerTest!D:D, MATCH(INDEX(PointerTest!B:B, MATCH(B186, PointerTest!A:A, 0)), PointerTest!A:A, 0), 0), 'language&amp;DataTest'!A:A, 0), MATCH(HOME!$A$25, 'language&amp;DataTest'!$A$1:$H$1, 0))),                                          
IFERROR(INDEX('language&amp;DataTest'!A:J, MATCH(INDEX( PointerTest!E:E, MATCH(INDEX(PointerTest!B:B, MATCH(B186, PointerTest!A:A, 0)), PointerTest!A:A, 0), 0), 'language&amp;DataTest'!A:A, 0), MATCH(HOME!$A$25, 'language&amp;DataTest'!$A$1:$H$1, 0))))</f>
        <v>Dialga ex</v>
      </c>
      <c r="E186" s="69" t="str">
        <f t="array" ref="E186">INDEX( PointerTest!F:F, MATCH(B186, PointerTest!A:A, 0), 0)</f>
        <v>☆☆</v>
      </c>
      <c r="F186" s="70" t="str">
        <f t="array" ref="F186">LET(percentage,XLOOKUP($E186,$K$2:$K$10,L$2:L$10,"",0)/(COUNTIFS($E:$E,$E186,$D:$D,RegularFormula!$D$2)+COUNTIFS($E:$E,$E186,$D:$D,IF($D186=RegularFormula!$D$2,$K$15,$D186))),IFERROR(IF(percentage,percentage,""),""))</f>
        <v/>
      </c>
      <c r="G186" s="71">
        <f t="array" ref="G186">LET(percentage,XLOOKUP($E186,$K$2:$K$10,M$2:M$10,"",0)/(COUNTIFS($E:$E,$E186,$D:$D,RegularFormula!$D$2)+COUNTIFS($E:$E,$E186,$D:$D,IF($D186=RegularFormula!$D$2,$K$15,$D186))),IFERROR(IF(percentage,percentage,""),""))</f>
        <v>0.0004166666667</v>
      </c>
      <c r="H186" s="71">
        <f t="array" ref="H186">LET(percentage,XLOOKUP($E186,$K$2:$K$10,N$2:N$10,"",0)/(COUNTIFS($E:$E,$E186,$D:$D,RegularFormula!$D$2)+COUNTIFS($E:$E,$E186,$D:$D,IF($D186=RegularFormula!$D$2,$K$15,$D186))),IFERROR(IF(percentage,percentage,""),""))</f>
        <v>0.001666666667</v>
      </c>
      <c r="I186" s="72" t="str">
        <f t="shared" si="1"/>
        <v/>
      </c>
      <c r="J186" s="73">
        <v>0.0</v>
      </c>
      <c r="K186" s="209"/>
      <c r="L186" s="209"/>
      <c r="M186" s="209"/>
      <c r="N186" s="209"/>
      <c r="P186" s="209"/>
      <c r="Q186" s="209"/>
      <c r="R186" s="209"/>
      <c r="S186" s="231" t="str">
        <f t="shared" si="2"/>
        <v/>
      </c>
    </row>
    <row r="187">
      <c r="A187" s="217" t="b">
        <v>0</v>
      </c>
      <c r="B187" s="230" t="s">
        <v>734</v>
      </c>
      <c r="C187" s="69" t="str">
        <f t="array" ref="C187">TEXTJOIN("", TRUE, IFERROR(INDEX('language&amp;DataTest'!A:J, MATCH(INDEX( PointerTest!C:C, MATCH(B187, PointerTest!A:A, 0), 0), 'language&amp;DataTest'!A:A, 0), MATCH(HOME!$A$25, 'language&amp;DataTest'!$A$1:$H$1, 0))),                      IFERROR(INDEX('language&amp;DataTest'!A:J, MATCH(INDEX( PointerTest!D:D, MATCH(B187, PointerTest!A:A, 0), 0), 'language&amp;DataTest'!A:A, 0), MATCH(HOME!$A$25, 'language&amp;DataTest'!$A$1:$H$1, 0))),                                          
IFERROR(INDEX('language&amp;DataTest'!A:J, MATCH(INDEX( PointerTest!E:E, MATCH(B187, PointerTest!A:A, 0), 0), 'language&amp;DataTest'!A:A, 0), MATCH(HOME!$A$25, 'language&amp;DataTest'!$A$1:$H$1, 0))))</f>
        <v>Weavile ex</v>
      </c>
      <c r="D187" s="69" t="str">
        <f t="array" ref="D187">TEXTJOIN("", TRUE, 
IFERROR(INDEX('language&amp;DataTest'!A:J, MATCH(INDEX( PointerTest!C:C, MATCH(INDEX(PointerTest!B:B, MATCH(B187, PointerTest!A:A, 0)), PointerTest!A:A, 0), 0), 'language&amp;DataTest'!A:A, 0), MATCH(HOME!$A$25, 'language&amp;DataTest'!$A$1:$H$1, 0))),                      
IFERROR(INDEX('language&amp;DataTest'!A:J, MATCH(INDEX( PointerTest!D:D, MATCH(INDEX(PointerTest!B:B, MATCH(B187, PointerTest!A:A, 0)), PointerTest!A:A, 0), 0), 'language&amp;DataTest'!A:A, 0), MATCH(HOME!$A$25, 'language&amp;DataTest'!$A$1:$H$1, 0))),                                          
IFERROR(INDEX('language&amp;DataTest'!A:J, MATCH(INDEX( PointerTest!E:E, MATCH(INDEX(PointerTest!B:B, MATCH(B187, PointerTest!A:A, 0)), PointerTest!A:A, 0), 0), 'language&amp;DataTest'!A:A, 0), MATCH(HOME!$A$25, 'language&amp;DataTest'!$A$1:$H$1, 0))))</f>
        <v>Palkia ex</v>
      </c>
      <c r="E187" s="69" t="str">
        <f t="array" ref="E187">INDEX( PointerTest!F:F, MATCH(B187, PointerTest!A:A, 0), 0)</f>
        <v>☆☆</v>
      </c>
      <c r="F187" s="70" t="str">
        <f t="array" ref="F187">LET(percentage,XLOOKUP($E187,$K$2:$K$10,L$2:L$10,"",0)/(COUNTIFS($E:$E,$E187,$D:$D,RegularFormula!$D$2)+COUNTIFS($E:$E,$E187,$D:$D,IF($D187=RegularFormula!$D$2,$K$15,$D187))),IFERROR(IF(percentage,percentage,""),""))</f>
        <v/>
      </c>
      <c r="G187" s="71">
        <f t="array" ref="G187">LET(percentage,XLOOKUP($E187,$K$2:$K$10,M$2:M$10,"",0)/(COUNTIFS($E:$E,$E187,$D:$D,RegularFormula!$D$2)+COUNTIFS($E:$E,$E187,$D:$D,IF($D187=RegularFormula!$D$2,$K$15,$D187))),IFERROR(IF(percentage,percentage,""),""))</f>
        <v>0.0004166666667</v>
      </c>
      <c r="H187" s="71">
        <f t="array" ref="H187">LET(percentage,XLOOKUP($E187,$K$2:$K$10,N$2:N$10,"",0)/(COUNTIFS($E:$E,$E187,$D:$D,RegularFormula!$D$2)+COUNTIFS($E:$E,$E187,$D:$D,IF($D187=RegularFormula!$D$2,$K$15,$D187))),IFERROR(IF(percentage,percentage,""),""))</f>
        <v>0.001666666667</v>
      </c>
      <c r="I187" s="72" t="str">
        <f t="shared" si="1"/>
        <v/>
      </c>
      <c r="J187" s="73">
        <v>0.0</v>
      </c>
      <c r="K187" s="103"/>
      <c r="L187" s="103"/>
      <c r="M187" s="103"/>
      <c r="N187" s="103"/>
      <c r="O187" s="55"/>
      <c r="P187" s="103"/>
      <c r="Q187" s="103"/>
      <c r="R187" s="103"/>
      <c r="S187" s="231" t="str">
        <f t="shared" si="2"/>
        <v/>
      </c>
    </row>
    <row r="188">
      <c r="A188" s="217" t="b">
        <v>0</v>
      </c>
      <c r="B188" s="230" t="s">
        <v>735</v>
      </c>
      <c r="C188" s="69" t="str">
        <f t="array" ref="C188">TEXTJOIN("", TRUE, IFERROR(INDEX('language&amp;DataTest'!A:J, MATCH(INDEX( PointerTest!C:C, MATCH(B188, PointerTest!A:A, 0), 0), 'language&amp;DataTest'!A:A, 0), MATCH(HOME!$A$25, 'language&amp;DataTest'!$A$1:$H$1, 0))),                      IFERROR(INDEX('language&amp;DataTest'!A:J, MATCH(INDEX( PointerTest!D:D, MATCH(B188, PointerTest!A:A, 0), 0), 'language&amp;DataTest'!A:A, 0), MATCH(HOME!$A$25, 'language&amp;DataTest'!$A$1:$H$1, 0))),                                          
IFERROR(INDEX('language&amp;DataTest'!A:J, MATCH(INDEX( PointerTest!E:E, MATCH(B188, PointerTest!A:A, 0), 0), 'language&amp;DataTest'!A:A, 0), MATCH(HOME!$A$25, 'language&amp;DataTest'!$A$1:$H$1, 0))))</f>
        <v>Darkrai ex</v>
      </c>
      <c r="D188" s="69" t="str">
        <f t="array" ref="D188">TEXTJOIN("", TRUE, 
IFERROR(INDEX('language&amp;DataTest'!A:J, MATCH(INDEX( PointerTest!C:C, MATCH(INDEX(PointerTest!B:B, MATCH(B188, PointerTest!A:A, 0)), PointerTest!A:A, 0), 0), 'language&amp;DataTest'!A:A, 0), MATCH(HOME!$A$25, 'language&amp;DataTest'!$A$1:$H$1, 0))),                      
IFERROR(INDEX('language&amp;DataTest'!A:J, MATCH(INDEX( PointerTest!D:D, MATCH(INDEX(PointerTest!B:B, MATCH(B188, PointerTest!A:A, 0)), PointerTest!A:A, 0), 0), 'language&amp;DataTest'!A:A, 0), MATCH(HOME!$A$25, 'language&amp;DataTest'!$A$1:$H$1, 0))),                                          
IFERROR(INDEX('language&amp;DataTest'!A:J, MATCH(INDEX( PointerTest!E:E, MATCH(INDEX(PointerTest!B:B, MATCH(B188, PointerTest!A:A, 0)), PointerTest!A:A, 0), 0), 'language&amp;DataTest'!A:A, 0), MATCH(HOME!$A$25, 'language&amp;DataTest'!$A$1:$H$1, 0))))</f>
        <v>Dialga ex</v>
      </c>
      <c r="E188" s="69" t="str">
        <f t="array" ref="E188">INDEX( PointerTest!F:F, MATCH(B188, PointerTest!A:A, 0), 0)</f>
        <v>☆☆</v>
      </c>
      <c r="F188" s="70" t="str">
        <f t="array" ref="F188">LET(percentage,XLOOKUP($E188,$K$2:$K$10,L$2:L$10,"",0)/(COUNTIFS($E:$E,$E188,$D:$D,RegularFormula!$D$2)+COUNTIFS($E:$E,$E188,$D:$D,IF($D188=RegularFormula!$D$2,$K$15,$D188))),IFERROR(IF(percentage,percentage,""),""))</f>
        <v/>
      </c>
      <c r="G188" s="71">
        <f t="array" ref="G188">LET(percentage,XLOOKUP($E188,$K$2:$K$10,M$2:M$10,"",0)/(COUNTIFS($E:$E,$E188,$D:$D,RegularFormula!$D$2)+COUNTIFS($E:$E,$E188,$D:$D,IF($D188=RegularFormula!$D$2,$K$15,$D188))),IFERROR(IF(percentage,percentage,""),""))</f>
        <v>0.0004166666667</v>
      </c>
      <c r="H188" s="71">
        <f t="array" ref="H188">LET(percentage,XLOOKUP($E188,$K$2:$K$10,N$2:N$10,"",0)/(COUNTIFS($E:$E,$E188,$D:$D,RegularFormula!$D$2)+COUNTIFS($E:$E,$E188,$D:$D,IF($D188=RegularFormula!$D$2,$K$15,$D188))),IFERROR(IF(percentage,percentage,""),""))</f>
        <v>0.001666666667</v>
      </c>
      <c r="I188" s="72" t="str">
        <f t="shared" si="1"/>
        <v/>
      </c>
      <c r="J188" s="73">
        <v>0.0</v>
      </c>
      <c r="K188" s="209"/>
      <c r="L188" s="209"/>
      <c r="M188" s="209"/>
      <c r="N188" s="209"/>
      <c r="O188" s="98"/>
      <c r="P188" s="209"/>
      <c r="Q188" s="209"/>
      <c r="R188" s="209"/>
      <c r="S188" s="231" t="str">
        <f t="shared" si="2"/>
        <v/>
      </c>
    </row>
    <row r="189">
      <c r="A189" s="217" t="b">
        <v>1</v>
      </c>
      <c r="B189" s="230" t="s">
        <v>736</v>
      </c>
      <c r="C189" s="69" t="str">
        <f t="array" ref="C189">TEXTJOIN("", TRUE, IFERROR(INDEX('language&amp;DataTest'!A:J, MATCH(INDEX( PointerTest!C:C, MATCH(B189, PointerTest!A:A, 0), 0), 'language&amp;DataTest'!A:A, 0), MATCH(HOME!$A$25, 'language&amp;DataTest'!$A$1:$H$1, 0))),                      IFERROR(INDEX('language&amp;DataTest'!A:J, MATCH(INDEX( PointerTest!D:D, MATCH(B189, PointerTest!A:A, 0), 0), 'language&amp;DataTest'!A:A, 0), MATCH(HOME!$A$25, 'language&amp;DataTest'!$A$1:$H$1, 0))),                                          
IFERROR(INDEX('language&amp;DataTest'!A:J, MATCH(INDEX( PointerTest!E:E, MATCH(B189, PointerTest!A:A, 0), 0), 'language&amp;DataTest'!A:A, 0), MATCH(HOME!$A$25, 'language&amp;DataTest'!$A$1:$H$1, 0))))</f>
        <v>Dialga ex</v>
      </c>
      <c r="D189" s="69" t="str">
        <f t="array" ref="D189">TEXTJOIN("", TRUE, 
IFERROR(INDEX('language&amp;DataTest'!A:J, MATCH(INDEX( PointerTest!C:C, MATCH(INDEX(PointerTest!B:B, MATCH(B189, PointerTest!A:A, 0)), PointerTest!A:A, 0), 0), 'language&amp;DataTest'!A:A, 0), MATCH(HOME!$A$25, 'language&amp;DataTest'!$A$1:$H$1, 0))),                      
IFERROR(INDEX('language&amp;DataTest'!A:J, MATCH(INDEX( PointerTest!D:D, MATCH(INDEX(PointerTest!B:B, MATCH(B189, PointerTest!A:A, 0)), PointerTest!A:A, 0), 0), 'language&amp;DataTest'!A:A, 0), MATCH(HOME!$A$25, 'language&amp;DataTest'!$A$1:$H$1, 0))),                                          
IFERROR(INDEX('language&amp;DataTest'!A:J, MATCH(INDEX( PointerTest!E:E, MATCH(INDEX(PointerTest!B:B, MATCH(B189, PointerTest!A:A, 0)), PointerTest!A:A, 0), 0), 'language&amp;DataTest'!A:A, 0), MATCH(HOME!$A$25, 'language&amp;DataTest'!$A$1:$H$1, 0))))</f>
        <v>Dialga ex</v>
      </c>
      <c r="E189" s="69" t="str">
        <f t="array" ref="E189">INDEX( PointerTest!F:F, MATCH(B189, PointerTest!A:A, 0), 0)</f>
        <v>☆☆</v>
      </c>
      <c r="F189" s="70" t="str">
        <f t="array" ref="F189">LET(percentage,XLOOKUP($E189,$K$2:$K$10,L$2:L$10,"",0)/(COUNTIFS($E:$E,$E189,$D:$D,RegularFormula!$D$2)+COUNTIFS($E:$E,$E189,$D:$D,IF($D189=RegularFormula!$D$2,$K$15,$D189))),IFERROR(IF(percentage,percentage,""),""))</f>
        <v/>
      </c>
      <c r="G189" s="71">
        <f t="array" ref="G189">LET(percentage,XLOOKUP($E189,$K$2:$K$10,M$2:M$10,"",0)/(COUNTIFS($E:$E,$E189,$D:$D,RegularFormula!$D$2)+COUNTIFS($E:$E,$E189,$D:$D,IF($D189=RegularFormula!$D$2,$K$15,$D189))),IFERROR(IF(percentage,percentage,""),""))</f>
        <v>0.0004166666667</v>
      </c>
      <c r="H189" s="71">
        <f t="array" ref="H189">LET(percentage,XLOOKUP($E189,$K$2:$K$10,N$2:N$10,"",0)/(COUNTIFS($E:$E,$E189,$D:$D,RegularFormula!$D$2)+COUNTIFS($E:$E,$E189,$D:$D,IF($D189=RegularFormula!$D$2,$K$15,$D189))),IFERROR(IF(percentage,percentage,""),""))</f>
        <v>0.001666666667</v>
      </c>
      <c r="I189" s="72" t="str">
        <f t="shared" si="1"/>
        <v/>
      </c>
      <c r="J189" s="73">
        <v>0.0</v>
      </c>
      <c r="K189" s="103"/>
      <c r="L189" s="103"/>
      <c r="M189" s="103"/>
      <c r="N189" s="103"/>
      <c r="O189" s="238"/>
      <c r="P189" s="103"/>
      <c r="Q189" s="103"/>
      <c r="R189" s="103"/>
      <c r="S189" s="231" t="str">
        <f t="shared" si="2"/>
        <v/>
      </c>
    </row>
    <row r="190">
      <c r="A190" s="217" t="b">
        <v>0</v>
      </c>
      <c r="B190" s="230" t="s">
        <v>737</v>
      </c>
      <c r="C190" s="69" t="str">
        <f t="array" ref="C190">TEXTJOIN("", TRUE, IFERROR(INDEX('language&amp;DataTest'!A:J, MATCH(INDEX( PointerTest!C:C, MATCH(B190, PointerTest!A:A, 0), 0), 'language&amp;DataTest'!A:A, 0), MATCH(HOME!$A$25, 'language&amp;DataTest'!$A$1:$H$1, 0))),                      IFERROR(INDEX('language&amp;DataTest'!A:J, MATCH(INDEX( PointerTest!D:D, MATCH(B190, PointerTest!A:A, 0), 0), 'language&amp;DataTest'!A:A, 0), MATCH(HOME!$A$25, 'language&amp;DataTest'!$A$1:$H$1, 0))),                                          
IFERROR(INDEX('language&amp;DataTest'!A:J, MATCH(INDEX( PointerTest!E:E, MATCH(B190, PointerTest!A:A, 0), 0), 'language&amp;DataTest'!A:A, 0), MATCH(HOME!$A$25, 'language&amp;DataTest'!$A$1:$H$1, 0))))</f>
        <v>Lickilicky ex</v>
      </c>
      <c r="D190" s="69" t="str">
        <f t="array" ref="D190">TEXTJOIN("", TRUE, 
IFERROR(INDEX('language&amp;DataTest'!A:J, MATCH(INDEX( PointerTest!C:C, MATCH(INDEX(PointerTest!B:B, MATCH(B190, PointerTest!A:A, 0)), PointerTest!A:A, 0), 0), 'language&amp;DataTest'!A:A, 0), MATCH(HOME!$A$25, 'language&amp;DataTest'!$A$1:$H$1, 0))),                      
IFERROR(INDEX('language&amp;DataTest'!A:J, MATCH(INDEX( PointerTest!D:D, MATCH(INDEX(PointerTest!B:B, MATCH(B190, PointerTest!A:A, 0)), PointerTest!A:A, 0), 0), 'language&amp;DataTest'!A:A, 0), MATCH(HOME!$A$25, 'language&amp;DataTest'!$A$1:$H$1, 0))),                                          
IFERROR(INDEX('language&amp;DataTest'!A:J, MATCH(INDEX( PointerTest!E:E, MATCH(INDEX(PointerTest!B:B, MATCH(B190, PointerTest!A:A, 0)), PointerTest!A:A, 0), 0), 'language&amp;DataTest'!A:A, 0), MATCH(HOME!$A$25, 'language&amp;DataTest'!$A$1:$H$1, 0))))</f>
        <v>Palkia ex</v>
      </c>
      <c r="E190" s="69" t="str">
        <f t="array" ref="E190">INDEX( PointerTest!F:F, MATCH(B190, PointerTest!A:A, 0), 0)</f>
        <v>☆☆</v>
      </c>
      <c r="F190" s="70" t="str">
        <f t="array" ref="F190">LET(percentage,XLOOKUP($E190,$K$2:$K$10,L$2:L$10,"",0)/(COUNTIFS($E:$E,$E190,$D:$D,RegularFormula!$D$2)+COUNTIFS($E:$E,$E190,$D:$D,IF($D190=RegularFormula!$D$2,$K$15,$D190))),IFERROR(IF(percentage,percentage,""),""))</f>
        <v/>
      </c>
      <c r="G190" s="71">
        <f t="array" ref="G190">LET(percentage,XLOOKUP($E190,$K$2:$K$10,M$2:M$10,"",0)/(COUNTIFS($E:$E,$E190,$D:$D,RegularFormula!$D$2)+COUNTIFS($E:$E,$E190,$D:$D,IF($D190=RegularFormula!$D$2,$K$15,$D190))),IFERROR(IF(percentage,percentage,""),""))</f>
        <v>0.0004166666667</v>
      </c>
      <c r="H190" s="71">
        <f t="array" ref="H190">LET(percentage,XLOOKUP($E190,$K$2:$K$10,N$2:N$10,"",0)/(COUNTIFS($E:$E,$E190,$D:$D,RegularFormula!$D$2)+COUNTIFS($E:$E,$E190,$D:$D,IF($D190=RegularFormula!$D$2,$K$15,$D190))),IFERROR(IF(percentage,percentage,""),""))</f>
        <v>0.001666666667</v>
      </c>
      <c r="I190" s="72" t="str">
        <f t="shared" si="1"/>
        <v/>
      </c>
      <c r="J190" s="73">
        <v>0.0</v>
      </c>
      <c r="K190" s="103"/>
      <c r="L190" s="103"/>
      <c r="M190" s="103"/>
      <c r="N190" s="103"/>
      <c r="O190" s="238"/>
      <c r="P190" s="103"/>
      <c r="Q190" s="103"/>
      <c r="R190" s="103"/>
      <c r="S190" s="231" t="str">
        <f t="shared" si="2"/>
        <v/>
      </c>
    </row>
    <row r="191">
      <c r="A191" s="217" t="b">
        <v>0</v>
      </c>
      <c r="B191" s="230" t="s">
        <v>738</v>
      </c>
      <c r="C191" s="69" t="str">
        <f t="array" ref="C191">TEXTJOIN("", TRUE, IFERROR(INDEX('language&amp;DataTest'!A:J, MATCH(INDEX( PointerTest!C:C, MATCH(B191, PointerTest!A:A, 0), 0), 'language&amp;DataTest'!A:A, 0), MATCH(HOME!$A$25, 'language&amp;DataTest'!$A$1:$H$1, 0))),                      IFERROR(INDEX('language&amp;DataTest'!A:J, MATCH(INDEX( PointerTest!D:D, MATCH(B191, PointerTest!A:A, 0), 0), 'language&amp;DataTest'!A:A, 0), MATCH(HOME!$A$25, 'language&amp;DataTest'!$A$1:$H$1, 0))),                                          
IFERROR(INDEX('language&amp;DataTest'!A:J, MATCH(INDEX( PointerTest!E:E, MATCH(B191, PointerTest!A:A, 0), 0), 'language&amp;DataTest'!A:A, 0), MATCH(HOME!$A$25, 'language&amp;DataTest'!$A$1:$H$1, 0))))</f>
        <v>Cyrus</v>
      </c>
      <c r="D191" s="69" t="str">
        <f t="array" ref="D191">TEXTJOIN("", TRUE, 
IFERROR(INDEX('language&amp;DataTest'!A:J, MATCH(INDEX( PointerTest!C:C, MATCH(INDEX(PointerTest!B:B, MATCH(B191, PointerTest!A:A, 0)), PointerTest!A:A, 0), 0), 'language&amp;DataTest'!A:A, 0), MATCH(HOME!$A$25, 'language&amp;DataTest'!$A$1:$H$1, 0))),                      
IFERROR(INDEX('language&amp;DataTest'!A:J, MATCH(INDEX( PointerTest!D:D, MATCH(INDEX(PointerTest!B:B, MATCH(B191, PointerTest!A:A, 0)), PointerTest!A:A, 0), 0), 'language&amp;DataTest'!A:A, 0), MATCH(HOME!$A$25, 'language&amp;DataTest'!$A$1:$H$1, 0))),                                          
IFERROR(INDEX('language&amp;DataTest'!A:J, MATCH(INDEX( PointerTest!E:E, MATCH(INDEX(PointerTest!B:B, MATCH(B191, PointerTest!A:A, 0)), PointerTest!A:A, 0), 0), 'language&amp;DataTest'!A:A, 0), MATCH(HOME!$A$25, 'language&amp;DataTest'!$A$1:$H$1, 0))))</f>
        <v>Palkia ex</v>
      </c>
      <c r="E191" s="69" t="str">
        <f t="array" ref="E191">INDEX( PointerTest!F:F, MATCH(B191, PointerTest!A:A, 0), 0)</f>
        <v>☆☆</v>
      </c>
      <c r="F191" s="70" t="str">
        <f t="array" ref="F191">LET(percentage,XLOOKUP($E191,$K$2:$K$10,L$2:L$10,"",0)/(COUNTIFS($E:$E,$E191,$D:$D,RegularFormula!$D$2)+COUNTIFS($E:$E,$E191,$D:$D,IF($D191=RegularFormula!$D$2,$K$15,$D191))),IFERROR(IF(percentage,percentage,""),""))</f>
        <v/>
      </c>
      <c r="G191" s="71">
        <f t="array" ref="G191">LET(percentage,XLOOKUP($E191,$K$2:$K$10,M$2:M$10,"",0)/(COUNTIFS($E:$E,$E191,$D:$D,RegularFormula!$D$2)+COUNTIFS($E:$E,$E191,$D:$D,IF($D191=RegularFormula!$D$2,$K$15,$D191))),IFERROR(IF(percentage,percentage,""),""))</f>
        <v>0.0004166666667</v>
      </c>
      <c r="H191" s="71">
        <f t="array" ref="H191">LET(percentage,XLOOKUP($E191,$K$2:$K$10,N$2:N$10,"",0)/(COUNTIFS($E:$E,$E191,$D:$D,RegularFormula!$D$2)+COUNTIFS($E:$E,$E191,$D:$D,IF($D191=RegularFormula!$D$2,$K$15,$D191))),IFERROR(IF(percentage,percentage,""),""))</f>
        <v>0.001666666667</v>
      </c>
      <c r="I191" s="72" t="str">
        <f t="shared" si="1"/>
        <v/>
      </c>
      <c r="J191" s="73">
        <v>0.0</v>
      </c>
      <c r="K191" s="103"/>
      <c r="L191" s="103"/>
      <c r="M191" s="103"/>
      <c r="N191" s="103"/>
      <c r="O191" s="238"/>
      <c r="P191" s="103"/>
      <c r="Q191" s="103"/>
      <c r="R191" s="103"/>
      <c r="S191" s="231" t="str">
        <f t="shared" si="2"/>
        <v/>
      </c>
    </row>
    <row r="192">
      <c r="A192" s="217" t="b">
        <v>0</v>
      </c>
      <c r="B192" s="230" t="s">
        <v>739</v>
      </c>
      <c r="C192" s="69" t="str">
        <f t="array" ref="C192">TEXTJOIN("", TRUE, IFERROR(INDEX('language&amp;DataTest'!A:J, MATCH(INDEX( PointerTest!C:C, MATCH(B192, PointerTest!A:A, 0), 0), 'language&amp;DataTest'!A:A, 0), MATCH(HOME!$A$25, 'language&amp;DataTest'!$A$1:$H$1, 0))),                      IFERROR(INDEX('language&amp;DataTest'!A:J, MATCH(INDEX( PointerTest!D:D, MATCH(B192, PointerTest!A:A, 0), 0), 'language&amp;DataTest'!A:A, 0), MATCH(HOME!$A$25, 'language&amp;DataTest'!$A$1:$H$1, 0))),                                          
IFERROR(INDEX('language&amp;DataTest'!A:J, MATCH(INDEX( PointerTest!E:E, MATCH(B192, PointerTest!A:A, 0), 0), 'language&amp;DataTest'!A:A, 0), MATCH(HOME!$A$25, 'language&amp;DataTest'!$A$1:$H$1, 0))))</f>
        <v>Team Galactic Grunt</v>
      </c>
      <c r="D192" s="69" t="str">
        <f t="array" ref="D192">TEXTJOIN("", TRUE, 
IFERROR(INDEX('language&amp;DataTest'!A:J, MATCH(INDEX( PointerTest!C:C, MATCH(INDEX(PointerTest!B:B, MATCH(B192, PointerTest!A:A, 0)), PointerTest!A:A, 0), 0), 'language&amp;DataTest'!A:A, 0), MATCH(HOME!$A$25, 'language&amp;DataTest'!$A$1:$H$1, 0))),                      
IFERROR(INDEX('language&amp;DataTest'!A:J, MATCH(INDEX( PointerTest!D:D, MATCH(INDEX(PointerTest!B:B, MATCH(B192, PointerTest!A:A, 0)), PointerTest!A:A, 0), 0), 'language&amp;DataTest'!A:A, 0), MATCH(HOME!$A$25, 'language&amp;DataTest'!$A$1:$H$1, 0))),                                          
IFERROR(INDEX('language&amp;DataTest'!A:J, MATCH(INDEX( PointerTest!E:E, MATCH(INDEX(PointerTest!B:B, MATCH(B192, PointerTest!A:A, 0)), PointerTest!A:A, 0), 0), 'language&amp;DataTest'!A:A, 0), MATCH(HOME!$A$25, 'language&amp;DataTest'!$A$1:$H$1, 0))))</f>
        <v>Dialga ex</v>
      </c>
      <c r="E192" s="69" t="str">
        <f t="array" ref="E192">INDEX( PointerTest!F:F, MATCH(B192, PointerTest!A:A, 0), 0)</f>
        <v>☆☆</v>
      </c>
      <c r="F192" s="70" t="str">
        <f t="array" ref="F192">LET(percentage,XLOOKUP($E192,$K$2:$K$10,L$2:L$10,"",0)/(COUNTIFS($E:$E,$E192,$D:$D,RegularFormula!$D$2)+COUNTIFS($E:$E,$E192,$D:$D,IF($D192=RegularFormula!$D$2,$K$15,$D192))),IFERROR(IF(percentage,percentage,""),""))</f>
        <v/>
      </c>
      <c r="G192" s="71">
        <f t="array" ref="G192">LET(percentage,XLOOKUP($E192,$K$2:$K$10,M$2:M$10,"",0)/(COUNTIFS($E:$E,$E192,$D:$D,RegularFormula!$D$2)+COUNTIFS($E:$E,$E192,$D:$D,IF($D192=RegularFormula!$D$2,$K$15,$D192))),IFERROR(IF(percentage,percentage,""),""))</f>
        <v>0.0004166666667</v>
      </c>
      <c r="H192" s="71">
        <f t="array" ref="H192">LET(percentage,XLOOKUP($E192,$K$2:$K$10,N$2:N$10,"",0)/(COUNTIFS($E:$E,$E192,$D:$D,RegularFormula!$D$2)+COUNTIFS($E:$E,$E192,$D:$D,IF($D192=RegularFormula!$D$2,$K$15,$D192))),IFERROR(IF(percentage,percentage,""),""))</f>
        <v>0.001666666667</v>
      </c>
      <c r="I192" s="72" t="str">
        <f t="shared" si="1"/>
        <v/>
      </c>
      <c r="J192" s="73">
        <v>0.0</v>
      </c>
      <c r="K192" s="103"/>
      <c r="L192" s="103"/>
      <c r="M192" s="103"/>
      <c r="N192" s="103"/>
      <c r="O192" s="238"/>
      <c r="P192" s="103"/>
      <c r="Q192" s="103"/>
      <c r="R192" s="103"/>
      <c r="S192" s="231" t="str">
        <f t="shared" si="2"/>
        <v/>
      </c>
    </row>
    <row r="193">
      <c r="A193" s="217" t="b">
        <v>1</v>
      </c>
      <c r="B193" s="230" t="s">
        <v>740</v>
      </c>
      <c r="C193" s="69" t="str">
        <f t="array" ref="C193">TEXTJOIN("", TRUE, IFERROR(INDEX('language&amp;DataTest'!A:J, MATCH(INDEX( PointerTest!C:C, MATCH(B193, PointerTest!A:A, 0), 0), 'language&amp;DataTest'!A:A, 0), MATCH(HOME!$A$25, 'language&amp;DataTest'!$A$1:$H$1, 0))),                      IFERROR(INDEX('language&amp;DataTest'!A:J, MATCH(INDEX( PointerTest!D:D, MATCH(B193, PointerTest!A:A, 0), 0), 'language&amp;DataTest'!A:A, 0), MATCH(HOME!$A$25, 'language&amp;DataTest'!$A$1:$H$1, 0))),                                          
IFERROR(INDEX('language&amp;DataTest'!A:J, MATCH(INDEX( PointerTest!E:E, MATCH(B193, PointerTest!A:A, 0), 0), 'language&amp;DataTest'!A:A, 0), MATCH(HOME!$A$25, 'language&amp;DataTest'!$A$1:$H$1, 0))))</f>
        <v>Cynthia</v>
      </c>
      <c r="D193" s="69" t="str">
        <f t="array" ref="D193">TEXTJOIN("", TRUE, 
IFERROR(INDEX('language&amp;DataTest'!A:J, MATCH(INDEX( PointerTest!C:C, MATCH(INDEX(PointerTest!B:B, MATCH(B193, PointerTest!A:A, 0)), PointerTest!A:A, 0), 0), 'language&amp;DataTest'!A:A, 0), MATCH(HOME!$A$25, 'language&amp;DataTest'!$A$1:$H$1, 0))),                      
IFERROR(INDEX('language&amp;DataTest'!A:J, MATCH(INDEX( PointerTest!D:D, MATCH(INDEX(PointerTest!B:B, MATCH(B193, PointerTest!A:A, 0)), PointerTest!A:A, 0), 0), 'language&amp;DataTest'!A:A, 0), MATCH(HOME!$A$25, 'language&amp;DataTest'!$A$1:$H$1, 0))),                                          
IFERROR(INDEX('language&amp;DataTest'!A:J, MATCH(INDEX( PointerTest!E:E, MATCH(INDEX(PointerTest!B:B, MATCH(B193, PointerTest!A:A, 0)), PointerTest!A:A, 0), 0), 'language&amp;DataTest'!A:A, 0), MATCH(HOME!$A$25, 'language&amp;DataTest'!$A$1:$H$1, 0))))</f>
        <v>Palkia ex</v>
      </c>
      <c r="E193" s="69" t="str">
        <f t="array" ref="E193">INDEX( PointerTest!F:F, MATCH(B193, PointerTest!A:A, 0), 0)</f>
        <v>☆☆</v>
      </c>
      <c r="F193" s="70" t="str">
        <f t="array" ref="F193">LET(percentage,XLOOKUP($E193,$K$2:$K$10,L$2:L$10,"",0)/(COUNTIFS($E:$E,$E193,$D:$D,RegularFormula!$D$2)+COUNTIFS($E:$E,$E193,$D:$D,IF($D193=RegularFormula!$D$2,$K$15,$D193))),IFERROR(IF(percentage,percentage,""),""))</f>
        <v/>
      </c>
      <c r="G193" s="71">
        <f t="array" ref="G193">LET(percentage,XLOOKUP($E193,$K$2:$K$10,M$2:M$10,"",0)/(COUNTIFS($E:$E,$E193,$D:$D,RegularFormula!$D$2)+COUNTIFS($E:$E,$E193,$D:$D,IF($D193=RegularFormula!$D$2,$K$15,$D193))),IFERROR(IF(percentage,percentage,""),""))</f>
        <v>0.0004166666667</v>
      </c>
      <c r="H193" s="71">
        <f t="array" ref="H193">LET(percentage,XLOOKUP($E193,$K$2:$K$10,N$2:N$10,"",0)/(COUNTIFS($E:$E,$E193,$D:$D,RegularFormula!$D$2)+COUNTIFS($E:$E,$E193,$D:$D,IF($D193=RegularFormula!$D$2,$K$15,$D193))),IFERROR(IF(percentage,percentage,""),""))</f>
        <v>0.001666666667</v>
      </c>
      <c r="I193" s="72" t="str">
        <f t="shared" si="1"/>
        <v/>
      </c>
      <c r="J193" s="73">
        <v>0.0</v>
      </c>
      <c r="K193" s="103"/>
      <c r="L193" s="103"/>
      <c r="M193" s="103"/>
      <c r="N193" s="103"/>
      <c r="O193" s="238"/>
      <c r="P193" s="103"/>
      <c r="Q193" s="103"/>
      <c r="R193" s="103"/>
      <c r="S193" s="231" t="str">
        <f t="shared" si="2"/>
        <v/>
      </c>
    </row>
    <row r="194">
      <c r="A194" s="217" t="b">
        <v>0</v>
      </c>
      <c r="B194" s="230" t="s">
        <v>741</v>
      </c>
      <c r="C194" s="69" t="str">
        <f t="array" ref="C194">TEXTJOIN("", TRUE, IFERROR(INDEX('language&amp;DataTest'!A:J, MATCH(INDEX( PointerTest!C:C, MATCH(B194, PointerTest!A:A, 0), 0), 'language&amp;DataTest'!A:A, 0), MATCH(HOME!$A$25, 'language&amp;DataTest'!$A$1:$H$1, 0))),                      IFERROR(INDEX('language&amp;DataTest'!A:J, MATCH(INDEX( PointerTest!D:D, MATCH(B194, PointerTest!A:A, 0), 0), 'language&amp;DataTest'!A:A, 0), MATCH(HOME!$A$25, 'language&amp;DataTest'!$A$1:$H$1, 0))),                                          
IFERROR(INDEX('language&amp;DataTest'!A:J, MATCH(INDEX( PointerTest!E:E, MATCH(B194, PointerTest!A:A, 0), 0), 'language&amp;DataTest'!A:A, 0), MATCH(HOME!$A$25, 'language&amp;DataTest'!$A$1:$H$1, 0))))</f>
        <v>Volkner</v>
      </c>
      <c r="D194" s="69" t="str">
        <f t="array" ref="D194">TEXTJOIN("", TRUE, 
IFERROR(INDEX('language&amp;DataTest'!A:J, MATCH(INDEX( PointerTest!C:C, MATCH(INDEX(PointerTest!B:B, MATCH(B194, PointerTest!A:A, 0)), PointerTest!A:A, 0), 0), 'language&amp;DataTest'!A:A, 0), MATCH(HOME!$A$25, 'language&amp;DataTest'!$A$1:$H$1, 0))),                      
IFERROR(INDEX('language&amp;DataTest'!A:J, MATCH(INDEX( PointerTest!D:D, MATCH(INDEX(PointerTest!B:B, MATCH(B194, PointerTest!A:A, 0)), PointerTest!A:A, 0), 0), 'language&amp;DataTest'!A:A, 0), MATCH(HOME!$A$25, 'language&amp;DataTest'!$A$1:$H$1, 0))),                                          
IFERROR(INDEX('language&amp;DataTest'!A:J, MATCH(INDEX( PointerTest!E:E, MATCH(INDEX(PointerTest!B:B, MATCH(B194, PointerTest!A:A, 0)), PointerTest!A:A, 0), 0), 'language&amp;DataTest'!A:A, 0), MATCH(HOME!$A$25, 'language&amp;DataTest'!$A$1:$H$1, 0))))</f>
        <v>Dialga ex</v>
      </c>
      <c r="E194" s="69" t="str">
        <f t="array" ref="E194">INDEX( PointerTest!F:F, MATCH(B194, PointerTest!A:A, 0), 0)</f>
        <v>☆☆</v>
      </c>
      <c r="F194" s="70" t="str">
        <f t="array" ref="F194">LET(percentage,XLOOKUP($E194,$K$2:$K$10,L$2:L$10,"",0)/(COUNTIFS($E:$E,$E194,$D:$D,RegularFormula!$D$2)+COUNTIFS($E:$E,$E194,$D:$D,IF($D194=RegularFormula!$D$2,$K$15,$D194))),IFERROR(IF(percentage,percentage,""),""))</f>
        <v/>
      </c>
      <c r="G194" s="71">
        <f t="array" ref="G194">LET(percentage,XLOOKUP($E194,$K$2:$K$10,M$2:M$10,"",0)/(COUNTIFS($E:$E,$E194,$D:$D,RegularFormula!$D$2)+COUNTIFS($E:$E,$E194,$D:$D,IF($D194=RegularFormula!$D$2,$K$15,$D194))),IFERROR(IF(percentage,percentage,""),""))</f>
        <v>0.0004166666667</v>
      </c>
      <c r="H194" s="71">
        <f t="array" ref="H194">LET(percentage,XLOOKUP($E194,$K$2:$K$10,N$2:N$10,"",0)/(COUNTIFS($E:$E,$E194,$D:$D,RegularFormula!$D$2)+COUNTIFS($E:$E,$E194,$D:$D,IF($D194=RegularFormula!$D$2,$K$15,$D194))),IFERROR(IF(percentage,percentage,""),""))</f>
        <v>0.001666666667</v>
      </c>
      <c r="I194" s="72" t="str">
        <f t="shared" si="1"/>
        <v/>
      </c>
      <c r="J194" s="73">
        <v>0.0</v>
      </c>
      <c r="K194" s="103"/>
      <c r="L194" s="103"/>
      <c r="M194" s="103"/>
      <c r="N194" s="103"/>
      <c r="O194" s="238"/>
      <c r="P194" s="103"/>
      <c r="Q194" s="103"/>
      <c r="R194" s="103"/>
      <c r="S194" s="231" t="str">
        <f t="shared" si="2"/>
        <v/>
      </c>
    </row>
    <row r="195">
      <c r="A195" s="217" t="b">
        <v>0</v>
      </c>
      <c r="B195" s="230" t="s">
        <v>742</v>
      </c>
      <c r="C195" s="69" t="str">
        <f t="array" ref="C195">TEXTJOIN("", TRUE, IFERROR(INDEX('language&amp;DataTest'!A:J, MATCH(INDEX( PointerTest!C:C, MATCH(B195, PointerTest!A:A, 0), 0), 'language&amp;DataTest'!A:A, 0), MATCH(HOME!$A$25, 'language&amp;DataTest'!$A$1:$H$1, 0))),                      IFERROR(INDEX('language&amp;DataTest'!A:J, MATCH(INDEX( PointerTest!D:D, MATCH(B195, PointerTest!A:A, 0), 0), 'language&amp;DataTest'!A:A, 0), MATCH(HOME!$A$25, 'language&amp;DataTest'!$A$1:$H$1, 0))),                                          
IFERROR(INDEX('language&amp;DataTest'!A:J, MATCH(INDEX( PointerTest!E:E, MATCH(B195, PointerTest!A:A, 0), 0), 'language&amp;DataTest'!A:A, 0), MATCH(HOME!$A$25, 'language&amp;DataTest'!$A$1:$H$1, 0))))</f>
        <v>Dawn</v>
      </c>
      <c r="D195" s="69" t="str">
        <f t="array" ref="D195">TEXTJOIN("", TRUE, 
IFERROR(INDEX('language&amp;DataTest'!A:J, MATCH(INDEX( PointerTest!C:C, MATCH(INDEX(PointerTest!B:B, MATCH(B195, PointerTest!A:A, 0)), PointerTest!A:A, 0), 0), 'language&amp;DataTest'!A:A, 0), MATCH(HOME!$A$25, 'language&amp;DataTest'!$A$1:$H$1, 0))),                      
IFERROR(INDEX('language&amp;DataTest'!A:J, MATCH(INDEX( PointerTest!D:D, MATCH(INDEX(PointerTest!B:B, MATCH(B195, PointerTest!A:A, 0)), PointerTest!A:A, 0), 0), 'language&amp;DataTest'!A:A, 0), MATCH(HOME!$A$25, 'language&amp;DataTest'!$A$1:$H$1, 0))),                                          
IFERROR(INDEX('language&amp;DataTest'!A:J, MATCH(INDEX( PointerTest!E:E, MATCH(INDEX(PointerTest!B:B, MATCH(B195, PointerTest!A:A, 0)), PointerTest!A:A, 0), 0), 'language&amp;DataTest'!A:A, 0), MATCH(HOME!$A$25, 'language&amp;DataTest'!$A$1:$H$1, 0))))</f>
        <v>Dialga ex</v>
      </c>
      <c r="E195" s="69" t="str">
        <f t="array" ref="E195">INDEX( PointerTest!F:F, MATCH(B195, PointerTest!A:A, 0), 0)</f>
        <v>☆☆</v>
      </c>
      <c r="F195" s="70" t="str">
        <f t="array" ref="F195">LET(percentage,XLOOKUP($E195,$K$2:$K$10,L$2:L$10,"",0)/(COUNTIFS($E:$E,$E195,$D:$D,RegularFormula!$D$2)+COUNTIFS($E:$E,$E195,$D:$D,IF($D195=RegularFormula!$D$2,$K$15,$D195))),IFERROR(IF(percentage,percentage,""),""))</f>
        <v/>
      </c>
      <c r="G195" s="71">
        <f t="array" ref="G195">LET(percentage,XLOOKUP($E195,$K$2:$K$10,M$2:M$10,"",0)/(COUNTIFS($E:$E,$E195,$D:$D,RegularFormula!$D$2)+COUNTIFS($E:$E,$E195,$D:$D,IF($D195=RegularFormula!$D$2,$K$15,$D195))),IFERROR(IF(percentage,percentage,""),""))</f>
        <v>0.0004166666667</v>
      </c>
      <c r="H195" s="71">
        <f t="array" ref="H195">LET(percentage,XLOOKUP($E195,$K$2:$K$10,N$2:N$10,"",0)/(COUNTIFS($E:$E,$E195,$D:$D,RegularFormula!$D$2)+COUNTIFS($E:$E,$E195,$D:$D,IF($D195=RegularFormula!$D$2,$K$15,$D195))),IFERROR(IF(percentage,percentage,""),""))</f>
        <v>0.001666666667</v>
      </c>
      <c r="I195" s="72" t="str">
        <f t="shared" si="1"/>
        <v/>
      </c>
      <c r="J195" s="73">
        <v>0.0</v>
      </c>
      <c r="K195" s="103"/>
      <c r="L195" s="103"/>
      <c r="M195" s="103"/>
      <c r="N195" s="103"/>
      <c r="O195" s="238"/>
      <c r="P195" s="103"/>
      <c r="Q195" s="103"/>
      <c r="R195" s="103"/>
      <c r="S195" s="231" t="str">
        <f t="shared" si="2"/>
        <v/>
      </c>
    </row>
    <row r="196">
      <c r="A196" s="217" t="b">
        <v>0</v>
      </c>
      <c r="B196" s="230" t="s">
        <v>743</v>
      </c>
      <c r="C196" s="69" t="str">
        <f t="array" ref="C196">TEXTJOIN("", TRUE, IFERROR(INDEX('language&amp;DataTest'!A:J, MATCH(INDEX( PointerTest!C:C, MATCH(B196, PointerTest!A:A, 0), 0), 'language&amp;DataTest'!A:A, 0), MATCH(HOME!$A$25, 'language&amp;DataTest'!$A$1:$H$1, 0))),                      IFERROR(INDEX('language&amp;DataTest'!A:J, MATCH(INDEX( PointerTest!D:D, MATCH(B196, PointerTest!A:A, 0), 0), 'language&amp;DataTest'!A:A, 0), MATCH(HOME!$A$25, 'language&amp;DataTest'!$A$1:$H$1, 0))),                                          
IFERROR(INDEX('language&amp;DataTest'!A:J, MATCH(INDEX( PointerTest!E:E, MATCH(B196, PointerTest!A:A, 0), 0), 'language&amp;DataTest'!A:A, 0), MATCH(HOME!$A$25, 'language&amp;DataTest'!$A$1:$H$1, 0))))</f>
        <v>Mars</v>
      </c>
      <c r="D196" s="69" t="str">
        <f t="array" ref="D196">TEXTJOIN("", TRUE, 
IFERROR(INDEX('language&amp;DataTest'!A:J, MATCH(INDEX( PointerTest!C:C, MATCH(INDEX(PointerTest!B:B, MATCH(B196, PointerTest!A:A, 0)), PointerTest!A:A, 0), 0), 'language&amp;DataTest'!A:A, 0), MATCH(HOME!$A$25, 'language&amp;DataTest'!$A$1:$H$1, 0))),                      
IFERROR(INDEX('language&amp;DataTest'!A:J, MATCH(INDEX( PointerTest!D:D, MATCH(INDEX(PointerTest!B:B, MATCH(B196, PointerTest!A:A, 0)), PointerTest!A:A, 0), 0), 'language&amp;DataTest'!A:A, 0), MATCH(HOME!$A$25, 'language&amp;DataTest'!$A$1:$H$1, 0))),                                          
IFERROR(INDEX('language&amp;DataTest'!A:J, MATCH(INDEX( PointerTest!E:E, MATCH(INDEX(PointerTest!B:B, MATCH(B196, PointerTest!A:A, 0)), PointerTest!A:A, 0), 0), 'language&amp;DataTest'!A:A, 0), MATCH(HOME!$A$25, 'language&amp;DataTest'!$A$1:$H$1, 0))))</f>
        <v>Palkia ex</v>
      </c>
      <c r="E196" s="69" t="str">
        <f t="array" ref="E196">INDEX( PointerTest!F:F, MATCH(B196, PointerTest!A:A, 0), 0)</f>
        <v>☆☆</v>
      </c>
      <c r="F196" s="70" t="str">
        <f t="array" ref="F196">LET(percentage,XLOOKUP($E196,$K$2:$K$10,L$2:L$10,"",0)/(COUNTIFS($E:$E,$E196,$D:$D,RegularFormula!$D$2)+COUNTIFS($E:$E,$E196,$D:$D,IF($D196=RegularFormula!$D$2,$K$15,$D196))),IFERROR(IF(percentage,percentage,""),""))</f>
        <v/>
      </c>
      <c r="G196" s="71">
        <f t="array" ref="G196">LET(percentage,XLOOKUP($E196,$K$2:$K$10,M$2:M$10,"",0)/(COUNTIFS($E:$E,$E196,$D:$D,RegularFormula!$D$2)+COUNTIFS($E:$E,$E196,$D:$D,IF($D196=RegularFormula!$D$2,$K$15,$D196))),IFERROR(IF(percentage,percentage,""),""))</f>
        <v>0.0004166666667</v>
      </c>
      <c r="H196" s="71">
        <f t="array" ref="H196">LET(percentage,XLOOKUP($E196,$K$2:$K$10,N$2:N$10,"",0)/(COUNTIFS($E:$E,$E196,$D:$D,RegularFormula!$D$2)+COUNTIFS($E:$E,$E196,$D:$D,IF($D196=RegularFormula!$D$2,$K$15,$D196))),IFERROR(IF(percentage,percentage,""),""))</f>
        <v>0.001666666667</v>
      </c>
      <c r="I196" s="72" t="str">
        <f t="shared" si="1"/>
        <v/>
      </c>
      <c r="J196" s="73">
        <v>0.0</v>
      </c>
      <c r="K196" s="103"/>
      <c r="L196" s="103"/>
      <c r="M196" s="103"/>
      <c r="N196" s="103"/>
      <c r="O196" s="238"/>
      <c r="P196" s="103"/>
      <c r="Q196" s="103"/>
      <c r="R196" s="103"/>
      <c r="S196" s="231" t="str">
        <f t="shared" si="2"/>
        <v/>
      </c>
    </row>
    <row r="197">
      <c r="A197" s="217" t="b">
        <v>1</v>
      </c>
      <c r="B197" s="230" t="s">
        <v>744</v>
      </c>
      <c r="C197" s="69" t="str">
        <f t="array" ref="C197">TEXTJOIN("", TRUE, IFERROR(INDEX('language&amp;DataTest'!A:J, MATCH(INDEX( PointerTest!C:C, MATCH(B197, PointerTest!A:A, 0), 0), 'language&amp;DataTest'!A:A, 0), MATCH(HOME!$A$25, 'language&amp;DataTest'!$A$1:$H$1, 0))),                      IFERROR(INDEX('language&amp;DataTest'!A:J, MATCH(INDEX( PointerTest!D:D, MATCH(B197, PointerTest!A:A, 0), 0), 'language&amp;DataTest'!A:A, 0), MATCH(HOME!$A$25, 'language&amp;DataTest'!$A$1:$H$1, 0))),                                          
IFERROR(INDEX('language&amp;DataTest'!A:J, MATCH(INDEX( PointerTest!E:E, MATCH(B197, PointerTest!A:A, 0), 0), 'language&amp;DataTest'!A:A, 0), MATCH(HOME!$A$25, 'language&amp;DataTest'!$A$1:$H$1, 0))))</f>
        <v>Yanmega ex</v>
      </c>
      <c r="D197" s="69" t="str">
        <f t="array" ref="D197">TEXTJOIN("", TRUE, 
IFERROR(INDEX('language&amp;DataTest'!A:J, MATCH(INDEX( PointerTest!C:C, MATCH(INDEX(PointerTest!B:B, MATCH(B197, PointerTest!A:A, 0)), PointerTest!A:A, 0), 0), 'language&amp;DataTest'!A:A, 0), MATCH(HOME!$A$25, 'language&amp;DataTest'!$A$1:$H$1, 0))),                      
IFERROR(INDEX('language&amp;DataTest'!A:J, MATCH(INDEX( PointerTest!D:D, MATCH(INDEX(PointerTest!B:B, MATCH(B197, PointerTest!A:A, 0)), PointerTest!A:A, 0), 0), 'language&amp;DataTest'!A:A, 0), MATCH(HOME!$A$25, 'language&amp;DataTest'!$A$1:$H$1, 0))),                                          
IFERROR(INDEX('language&amp;DataTest'!A:J, MATCH(INDEX( PointerTest!E:E, MATCH(INDEX(PointerTest!B:B, MATCH(B197, PointerTest!A:A, 0)), PointerTest!A:A, 0), 0), 'language&amp;DataTest'!A:A, 0), MATCH(HOME!$A$25, 'language&amp;DataTest'!$A$1:$H$1, 0))))</f>
        <v>Dialga ex</v>
      </c>
      <c r="E197" s="69" t="str">
        <f t="array" ref="E197">INDEX( PointerTest!F:F, MATCH(B197, PointerTest!A:A, 0), 0)</f>
        <v>☆☆</v>
      </c>
      <c r="F197" s="70" t="str">
        <f t="array" ref="F197">LET(percentage,XLOOKUP($E197,$K$2:$K$10,L$2:L$10,"",0)/(COUNTIFS($E:$E,$E197,$D:$D,RegularFormula!$D$2)+COUNTIFS($E:$E,$E197,$D:$D,IF($D197=RegularFormula!$D$2,$K$15,$D197))),IFERROR(IF(percentage,percentage,""),""))</f>
        <v/>
      </c>
      <c r="G197" s="71">
        <f t="array" ref="G197">LET(percentage,XLOOKUP($E197,$K$2:$K$10,M$2:M$10,"",0)/(COUNTIFS($E:$E,$E197,$D:$D,RegularFormula!$D$2)+COUNTIFS($E:$E,$E197,$D:$D,IF($D197=RegularFormula!$D$2,$K$15,$D197))),IFERROR(IF(percentage,percentage,""),""))</f>
        <v>0.0004166666667</v>
      </c>
      <c r="H197" s="71">
        <f t="array" ref="H197">LET(percentage,XLOOKUP($E197,$K$2:$K$10,N$2:N$10,"",0)/(COUNTIFS($E:$E,$E197,$D:$D,RegularFormula!$D$2)+COUNTIFS($E:$E,$E197,$D:$D,IF($D197=RegularFormula!$D$2,$K$15,$D197))),IFERROR(IF(percentage,percentage,""),""))</f>
        <v>0.001666666667</v>
      </c>
      <c r="I197" s="72" t="str">
        <f t="shared" si="1"/>
        <v/>
      </c>
      <c r="J197" s="73">
        <v>0.0</v>
      </c>
      <c r="K197" s="103"/>
      <c r="L197" s="103"/>
      <c r="M197" s="103"/>
      <c r="N197" s="103"/>
      <c r="O197" s="238"/>
      <c r="P197" s="103"/>
      <c r="Q197" s="103"/>
      <c r="R197" s="103"/>
      <c r="S197" s="231" t="str">
        <f t="shared" si="2"/>
        <v/>
      </c>
    </row>
    <row r="198">
      <c r="A198" s="217" t="b">
        <v>1</v>
      </c>
      <c r="B198" s="230" t="s">
        <v>745</v>
      </c>
      <c r="C198" s="69" t="str">
        <f t="array" ref="C198">TEXTJOIN("", TRUE, IFERROR(INDEX('language&amp;DataTest'!A:J, MATCH(INDEX( PointerTest!C:C, MATCH(B198, PointerTest!A:A, 0), 0), 'language&amp;DataTest'!A:A, 0), MATCH(HOME!$A$25, 'language&amp;DataTest'!$A$1:$H$1, 0))),                      IFERROR(INDEX('language&amp;DataTest'!A:J, MATCH(INDEX( PointerTest!D:D, MATCH(B198, PointerTest!A:A, 0), 0), 'language&amp;DataTest'!A:A, 0), MATCH(HOME!$A$25, 'language&amp;DataTest'!$A$1:$H$1, 0))),                                          
IFERROR(INDEX('language&amp;DataTest'!A:J, MATCH(INDEX( PointerTest!E:E, MATCH(B198, PointerTest!A:A, 0), 0), 'language&amp;DataTest'!A:A, 0), MATCH(HOME!$A$25, 'language&amp;DataTest'!$A$1:$H$1, 0))))</f>
        <v>Infernape ex</v>
      </c>
      <c r="D198" s="69" t="str">
        <f t="array" ref="D198">TEXTJOIN("", TRUE, 
IFERROR(INDEX('language&amp;DataTest'!A:J, MATCH(INDEX( PointerTest!C:C, MATCH(INDEX(PointerTest!B:B, MATCH(B198, PointerTest!A:A, 0)), PointerTest!A:A, 0), 0), 'language&amp;DataTest'!A:A, 0), MATCH(HOME!$A$25, 'language&amp;DataTest'!$A$1:$H$1, 0))),                      
IFERROR(INDEX('language&amp;DataTest'!A:J, MATCH(INDEX( PointerTest!D:D, MATCH(INDEX(PointerTest!B:B, MATCH(B198, PointerTest!A:A, 0)), PointerTest!A:A, 0), 0), 'language&amp;DataTest'!A:A, 0), MATCH(HOME!$A$25, 'language&amp;DataTest'!$A$1:$H$1, 0))),                                          
IFERROR(INDEX('language&amp;DataTest'!A:J, MATCH(INDEX( PointerTest!E:E, MATCH(INDEX(PointerTest!B:B, MATCH(B198, PointerTest!A:A, 0)), PointerTest!A:A, 0), 0), 'language&amp;DataTest'!A:A, 0), MATCH(HOME!$A$25, 'language&amp;DataTest'!$A$1:$H$1, 0))))</f>
        <v>Palkia ex</v>
      </c>
      <c r="E198" s="69" t="str">
        <f t="array" ref="E198">INDEX( PointerTest!F:F, MATCH(B198, PointerTest!A:A, 0), 0)</f>
        <v>☆☆</v>
      </c>
      <c r="F198" s="70" t="str">
        <f t="array" ref="F198">LET(percentage,XLOOKUP($E198,$K$2:$K$10,L$2:L$10,"",0)/(COUNTIFS($E:$E,$E198,$D:$D,RegularFormula!$D$2)+COUNTIFS($E:$E,$E198,$D:$D,IF($D198=RegularFormula!$D$2,$K$15,$D198))),IFERROR(IF(percentage,percentage,""),""))</f>
        <v/>
      </c>
      <c r="G198" s="71">
        <f t="array" ref="G198">LET(percentage,XLOOKUP($E198,$K$2:$K$10,M$2:M$10,"",0)/(COUNTIFS($E:$E,$E198,$D:$D,RegularFormula!$D$2)+COUNTIFS($E:$E,$E198,$D:$D,IF($D198=RegularFormula!$D$2,$K$15,$D198))),IFERROR(IF(percentage,percentage,""),""))</f>
        <v>0.0004166666667</v>
      </c>
      <c r="H198" s="71">
        <f t="array" ref="H198">LET(percentage,XLOOKUP($E198,$K$2:$K$10,N$2:N$10,"",0)/(COUNTIFS($E:$E,$E198,$D:$D,RegularFormula!$D$2)+COUNTIFS($E:$E,$E198,$D:$D,IF($D198=RegularFormula!$D$2,$K$15,$D198))),IFERROR(IF(percentage,percentage,""),""))</f>
        <v>0.001666666667</v>
      </c>
      <c r="I198" s="72" t="str">
        <f t="shared" si="1"/>
        <v/>
      </c>
      <c r="J198" s="73">
        <v>0.0</v>
      </c>
      <c r="K198" s="103"/>
      <c r="L198" s="103"/>
      <c r="M198" s="103"/>
      <c r="N198" s="103"/>
      <c r="O198" s="55"/>
      <c r="P198" s="103"/>
      <c r="Q198" s="103"/>
      <c r="R198" s="103"/>
      <c r="S198" s="231" t="str">
        <f t="shared" si="2"/>
        <v/>
      </c>
    </row>
    <row r="199">
      <c r="A199" s="217" t="b">
        <v>0</v>
      </c>
      <c r="B199" s="230" t="s">
        <v>746</v>
      </c>
      <c r="C199" s="69" t="str">
        <f t="array" ref="C199">TEXTJOIN("", TRUE, IFERROR(INDEX('language&amp;DataTest'!A:J, MATCH(INDEX( PointerTest!C:C, MATCH(B199, PointerTest!A:A, 0), 0), 'language&amp;DataTest'!A:A, 0), MATCH(HOME!$A$25, 'language&amp;DataTest'!$A$1:$H$1, 0))),                      IFERROR(INDEX('language&amp;DataTest'!A:J, MATCH(INDEX( PointerTest!D:D, MATCH(B199, PointerTest!A:A, 0), 0), 'language&amp;DataTest'!A:A, 0), MATCH(HOME!$A$25, 'language&amp;DataTest'!$A$1:$H$1, 0))),                                          
IFERROR(INDEX('language&amp;DataTest'!A:J, MATCH(INDEX( PointerTest!E:E, MATCH(B199, PointerTest!A:A, 0), 0), 'language&amp;DataTest'!A:A, 0), MATCH(HOME!$A$25, 'language&amp;DataTest'!$A$1:$H$1, 0))))</f>
        <v>Pachirisu ex</v>
      </c>
      <c r="D199" s="69" t="str">
        <f t="array" ref="D199">TEXTJOIN("", TRUE, 
IFERROR(INDEX('language&amp;DataTest'!A:J, MATCH(INDEX( PointerTest!C:C, MATCH(INDEX(PointerTest!B:B, MATCH(B199, PointerTest!A:A, 0)), PointerTest!A:A, 0), 0), 'language&amp;DataTest'!A:A, 0), MATCH(HOME!$A$25, 'language&amp;DataTest'!$A$1:$H$1, 0))),                      
IFERROR(INDEX('language&amp;DataTest'!A:J, MATCH(INDEX( PointerTest!D:D, MATCH(INDEX(PointerTest!B:B, MATCH(B199, PointerTest!A:A, 0)), PointerTest!A:A, 0), 0), 'language&amp;DataTest'!A:A, 0), MATCH(HOME!$A$25, 'language&amp;DataTest'!$A$1:$H$1, 0))),                                          
IFERROR(INDEX('language&amp;DataTest'!A:J, MATCH(INDEX( PointerTest!E:E, MATCH(INDEX(PointerTest!B:B, MATCH(B199, PointerTest!A:A, 0)), PointerTest!A:A, 0), 0), 'language&amp;DataTest'!A:A, 0), MATCH(HOME!$A$25, 'language&amp;DataTest'!$A$1:$H$1, 0))))</f>
        <v>Dialga ex</v>
      </c>
      <c r="E199" s="69" t="str">
        <f t="array" ref="E199">INDEX( PointerTest!F:F, MATCH(B199, PointerTest!A:A, 0), 0)</f>
        <v>☆☆</v>
      </c>
      <c r="F199" s="70" t="str">
        <f t="array" ref="F199">LET(percentage,XLOOKUP($E199,$K$2:$K$10,L$2:L$10,"",0)/(COUNTIFS($E:$E,$E199,$D:$D,RegularFormula!$D$2)+COUNTIFS($E:$E,$E199,$D:$D,IF($D199=RegularFormula!$D$2,$K$15,$D199))),IFERROR(IF(percentage,percentage,""),""))</f>
        <v/>
      </c>
      <c r="G199" s="71">
        <f t="array" ref="G199">LET(percentage,XLOOKUP($E199,$K$2:$K$10,M$2:M$10,"",0)/(COUNTIFS($E:$E,$E199,$D:$D,RegularFormula!$D$2)+COUNTIFS($E:$E,$E199,$D:$D,IF($D199=RegularFormula!$D$2,$K$15,$D199))),IFERROR(IF(percentage,percentage,""),""))</f>
        <v>0.0004166666667</v>
      </c>
      <c r="H199" s="71">
        <f t="array" ref="H199">LET(percentage,XLOOKUP($E199,$K$2:$K$10,N$2:N$10,"",0)/(COUNTIFS($E:$E,$E199,$D:$D,RegularFormula!$D$2)+COUNTIFS($E:$E,$E199,$D:$D,IF($D199=RegularFormula!$D$2,$K$15,$D199))),IFERROR(IF(percentage,percentage,""),""))</f>
        <v>0.001666666667</v>
      </c>
      <c r="I199" s="72" t="str">
        <f t="shared" si="1"/>
        <v/>
      </c>
      <c r="J199" s="73">
        <v>0.0</v>
      </c>
      <c r="K199" s="103"/>
      <c r="L199" s="103"/>
      <c r="M199" s="103"/>
      <c r="N199" s="103"/>
      <c r="O199" s="55"/>
      <c r="P199" s="103"/>
      <c r="Q199" s="103"/>
      <c r="R199" s="103"/>
      <c r="S199" s="231" t="str">
        <f t="shared" si="2"/>
        <v/>
      </c>
    </row>
    <row r="200">
      <c r="A200" s="217" t="b">
        <v>0</v>
      </c>
      <c r="B200" s="230" t="s">
        <v>747</v>
      </c>
      <c r="C200" s="69" t="str">
        <f t="array" ref="C200">TEXTJOIN("", TRUE, IFERROR(INDEX('language&amp;DataTest'!A:J, MATCH(INDEX( PointerTest!C:C, MATCH(B200, PointerTest!A:A, 0), 0), 'language&amp;DataTest'!A:A, 0), MATCH(HOME!$A$25, 'language&amp;DataTest'!$A$1:$H$1, 0))),                      IFERROR(INDEX('language&amp;DataTest'!A:J, MATCH(INDEX( PointerTest!D:D, MATCH(B200, PointerTest!A:A, 0), 0), 'language&amp;DataTest'!A:A, 0), MATCH(HOME!$A$25, 'language&amp;DataTest'!$A$1:$H$1, 0))),                                          
IFERROR(INDEX('language&amp;DataTest'!A:J, MATCH(INDEX( PointerTest!E:E, MATCH(B200, PointerTest!A:A, 0), 0), 'language&amp;DataTest'!A:A, 0), MATCH(HOME!$A$25, 'language&amp;DataTest'!$A$1:$H$1, 0))))</f>
        <v>Mismagius ex</v>
      </c>
      <c r="D200" s="69" t="str">
        <f t="array" ref="D200">TEXTJOIN("", TRUE, 
IFERROR(INDEX('language&amp;DataTest'!A:J, MATCH(INDEX( PointerTest!C:C, MATCH(INDEX(PointerTest!B:B, MATCH(B200, PointerTest!A:A, 0)), PointerTest!A:A, 0), 0), 'language&amp;DataTest'!A:A, 0), MATCH(HOME!$A$25, 'language&amp;DataTest'!$A$1:$H$1, 0))),                      
IFERROR(INDEX('language&amp;DataTest'!A:J, MATCH(INDEX( PointerTest!D:D, MATCH(INDEX(PointerTest!B:B, MATCH(B200, PointerTest!A:A, 0)), PointerTest!A:A, 0), 0), 'language&amp;DataTest'!A:A, 0), MATCH(HOME!$A$25, 'language&amp;DataTest'!$A$1:$H$1, 0))),                                          
IFERROR(INDEX('language&amp;DataTest'!A:J, MATCH(INDEX( PointerTest!E:E, MATCH(INDEX(PointerTest!B:B, MATCH(B200, PointerTest!A:A, 0)), PointerTest!A:A, 0), 0), 'language&amp;DataTest'!A:A, 0), MATCH(HOME!$A$25, 'language&amp;DataTest'!$A$1:$H$1, 0))))</f>
        <v>Palkia ex</v>
      </c>
      <c r="E200" s="69" t="str">
        <f t="array" ref="E200">INDEX( PointerTest!F:F, MATCH(B200, PointerTest!A:A, 0), 0)</f>
        <v>☆☆</v>
      </c>
      <c r="F200" s="70" t="str">
        <f t="array" ref="F200">LET(percentage,XLOOKUP($E200,$K$2:$K$10,L$2:L$10,"",0)/(COUNTIFS($E:$E,$E200,$D:$D,RegularFormula!$D$2)+COUNTIFS($E:$E,$E200,$D:$D,IF($D200=RegularFormula!$D$2,$K$15,$D200))),IFERROR(IF(percentage,percentage,""),""))</f>
        <v/>
      </c>
      <c r="G200" s="71">
        <f t="array" ref="G200">LET(percentage,XLOOKUP($E200,$K$2:$K$10,M$2:M$10,"",0)/(COUNTIFS($E:$E,$E200,$D:$D,RegularFormula!$D$2)+COUNTIFS($E:$E,$E200,$D:$D,IF($D200=RegularFormula!$D$2,$K$15,$D200))),IFERROR(IF(percentage,percentage,""),""))</f>
        <v>0.0004166666667</v>
      </c>
      <c r="H200" s="71">
        <f t="array" ref="H200">LET(percentage,XLOOKUP($E200,$K$2:$K$10,N$2:N$10,"",0)/(COUNTIFS($E:$E,$E200,$D:$D,RegularFormula!$D$2)+COUNTIFS($E:$E,$E200,$D:$D,IF($D200=RegularFormula!$D$2,$K$15,$D200))),IFERROR(IF(percentage,percentage,""),""))</f>
        <v>0.001666666667</v>
      </c>
      <c r="I200" s="72" t="str">
        <f t="shared" si="1"/>
        <v/>
      </c>
      <c r="J200" s="73">
        <v>0.0</v>
      </c>
      <c r="K200" s="103"/>
      <c r="L200" s="103"/>
      <c r="M200" s="103"/>
      <c r="N200" s="103"/>
      <c r="O200" s="238"/>
      <c r="P200" s="103"/>
      <c r="Q200" s="103"/>
      <c r="R200" s="103"/>
      <c r="S200" s="231" t="str">
        <f t="shared" si="2"/>
        <v/>
      </c>
    </row>
    <row r="201">
      <c r="A201" s="217" t="b">
        <v>0</v>
      </c>
      <c r="B201" s="230" t="s">
        <v>748</v>
      </c>
      <c r="C201" s="69" t="str">
        <f t="array" ref="C201">TEXTJOIN("", TRUE, IFERROR(INDEX('language&amp;DataTest'!A:J, MATCH(INDEX( PointerTest!C:C, MATCH(B201, PointerTest!A:A, 0), 0), 'language&amp;DataTest'!A:A, 0), MATCH(HOME!$A$25, 'language&amp;DataTest'!$A$1:$H$1, 0))),                      IFERROR(INDEX('language&amp;DataTest'!A:J, MATCH(INDEX( PointerTest!D:D, MATCH(B201, PointerTest!A:A, 0), 0), 'language&amp;DataTest'!A:A, 0), MATCH(HOME!$A$25, 'language&amp;DataTest'!$A$1:$H$1, 0))),                                          
IFERROR(INDEX('language&amp;DataTest'!A:J, MATCH(INDEX( PointerTest!E:E, MATCH(B201, PointerTest!A:A, 0), 0), 'language&amp;DataTest'!A:A, 0), MATCH(HOME!$A$25, 'language&amp;DataTest'!$A$1:$H$1, 0))))</f>
        <v>Gallade ex</v>
      </c>
      <c r="D201" s="69" t="str">
        <f t="array" ref="D201">TEXTJOIN("", TRUE, 
IFERROR(INDEX('language&amp;DataTest'!A:J, MATCH(INDEX( PointerTest!C:C, MATCH(INDEX(PointerTest!B:B, MATCH(B201, PointerTest!A:A, 0)), PointerTest!A:A, 0), 0), 'language&amp;DataTest'!A:A, 0), MATCH(HOME!$A$25, 'language&amp;DataTest'!$A$1:$H$1, 0))),                      
IFERROR(INDEX('language&amp;DataTest'!A:J, MATCH(INDEX( PointerTest!D:D, MATCH(INDEX(PointerTest!B:B, MATCH(B201, PointerTest!A:A, 0)), PointerTest!A:A, 0), 0), 'language&amp;DataTest'!A:A, 0), MATCH(HOME!$A$25, 'language&amp;DataTest'!$A$1:$H$1, 0))),                                          
IFERROR(INDEX('language&amp;DataTest'!A:J, MATCH(INDEX( PointerTest!E:E, MATCH(INDEX(PointerTest!B:B, MATCH(B201, PointerTest!A:A, 0)), PointerTest!A:A, 0), 0), 'language&amp;DataTest'!A:A, 0), MATCH(HOME!$A$25, 'language&amp;DataTest'!$A$1:$H$1, 0))))</f>
        <v>Dialga ex</v>
      </c>
      <c r="E201" s="69" t="str">
        <f t="array" ref="E201">INDEX( PointerTest!F:F, MATCH(B201, PointerTest!A:A, 0), 0)</f>
        <v>☆☆</v>
      </c>
      <c r="F201" s="70" t="str">
        <f t="array" ref="F201">LET(percentage,XLOOKUP($E201,$K$2:$K$10,L$2:L$10,"",0)/(COUNTIFS($E:$E,$E201,$D:$D,RegularFormula!$D$2)+COUNTIFS($E:$E,$E201,$D:$D,IF($D201=RegularFormula!$D$2,$K$15,$D201))),IFERROR(IF(percentage,percentage,""),""))</f>
        <v/>
      </c>
      <c r="G201" s="71">
        <f t="array" ref="G201">LET(percentage,XLOOKUP($E201,$K$2:$K$10,M$2:M$10,"",0)/(COUNTIFS($E:$E,$E201,$D:$D,RegularFormula!$D$2)+COUNTIFS($E:$E,$E201,$D:$D,IF($D201=RegularFormula!$D$2,$K$15,$D201))),IFERROR(IF(percentage,percentage,""),""))</f>
        <v>0.0004166666667</v>
      </c>
      <c r="H201" s="71">
        <f t="array" ref="H201">LET(percentage,XLOOKUP($E201,$K$2:$K$10,N$2:N$10,"",0)/(COUNTIFS($E:$E,$E201,$D:$D,RegularFormula!$D$2)+COUNTIFS($E:$E,$E201,$D:$D,IF($D201=RegularFormula!$D$2,$K$15,$D201))),IFERROR(IF(percentage,percentage,""),""))</f>
        <v>0.001666666667</v>
      </c>
      <c r="I201" s="72" t="str">
        <f t="shared" si="1"/>
        <v/>
      </c>
      <c r="J201" s="73">
        <v>0.0</v>
      </c>
      <c r="K201" s="103"/>
      <c r="L201" s="103"/>
      <c r="M201" s="103"/>
      <c r="N201" s="103"/>
      <c r="O201" s="238"/>
      <c r="P201" s="103"/>
      <c r="Q201" s="103"/>
      <c r="R201" s="103"/>
      <c r="S201" s="231" t="str">
        <f t="shared" si="2"/>
        <v/>
      </c>
    </row>
    <row r="202">
      <c r="A202" s="217" t="b">
        <v>1</v>
      </c>
      <c r="B202" s="230" t="s">
        <v>749</v>
      </c>
      <c r="C202" s="69" t="str">
        <f t="array" ref="C202">TEXTJOIN("", TRUE, IFERROR(INDEX('language&amp;DataTest'!A:J, MATCH(INDEX( PointerTest!C:C, MATCH(B202, PointerTest!A:A, 0), 0), 'language&amp;DataTest'!A:A, 0), MATCH(HOME!$A$25, 'language&amp;DataTest'!$A$1:$H$1, 0))),                      IFERROR(INDEX('language&amp;DataTest'!A:J, MATCH(INDEX( PointerTest!D:D, MATCH(B202, PointerTest!A:A, 0), 0), 'language&amp;DataTest'!A:A, 0), MATCH(HOME!$A$25, 'language&amp;DataTest'!$A$1:$H$1, 0))),                                          
IFERROR(INDEX('language&amp;DataTest'!A:J, MATCH(INDEX( PointerTest!E:E, MATCH(B202, PointerTest!A:A, 0), 0), 'language&amp;DataTest'!A:A, 0), MATCH(HOME!$A$25, 'language&amp;DataTest'!$A$1:$H$1, 0))))</f>
        <v>Weavile ex</v>
      </c>
      <c r="D202" s="69" t="str">
        <f t="array" ref="D202">TEXTJOIN("", TRUE, 
IFERROR(INDEX('language&amp;DataTest'!A:J, MATCH(INDEX( PointerTest!C:C, MATCH(INDEX(PointerTest!B:B, MATCH(B202, PointerTest!A:A, 0)), PointerTest!A:A, 0), 0), 'language&amp;DataTest'!A:A, 0), MATCH(HOME!$A$25, 'language&amp;DataTest'!$A$1:$H$1, 0))),                      
IFERROR(INDEX('language&amp;DataTest'!A:J, MATCH(INDEX( PointerTest!D:D, MATCH(INDEX(PointerTest!B:B, MATCH(B202, PointerTest!A:A, 0)), PointerTest!A:A, 0), 0), 'language&amp;DataTest'!A:A, 0), MATCH(HOME!$A$25, 'language&amp;DataTest'!$A$1:$H$1, 0))),                                          
IFERROR(INDEX('language&amp;DataTest'!A:J, MATCH(INDEX( PointerTest!E:E, MATCH(INDEX(PointerTest!B:B, MATCH(B202, PointerTest!A:A, 0)), PointerTest!A:A, 0), 0), 'language&amp;DataTest'!A:A, 0), MATCH(HOME!$A$25, 'language&amp;DataTest'!$A$1:$H$1, 0))))</f>
        <v>Palkia ex</v>
      </c>
      <c r="E202" s="69" t="str">
        <f t="array" ref="E202">INDEX( PointerTest!F:F, MATCH(B202, PointerTest!A:A, 0), 0)</f>
        <v>☆☆</v>
      </c>
      <c r="F202" s="70" t="str">
        <f t="array" ref="F202">LET(percentage,XLOOKUP($E202,$K$2:$K$10,L$2:L$10,"",0)/(COUNTIFS($E:$E,$E202,$D:$D,RegularFormula!$D$2)+COUNTIFS($E:$E,$E202,$D:$D,IF($D202=RegularFormula!$D$2,$K$15,$D202))),IFERROR(IF(percentage,percentage,""),""))</f>
        <v/>
      </c>
      <c r="G202" s="71">
        <f t="array" ref="G202">LET(percentage,XLOOKUP($E202,$K$2:$K$10,M$2:M$10,"",0)/(COUNTIFS($E:$E,$E202,$D:$D,RegularFormula!$D$2)+COUNTIFS($E:$E,$E202,$D:$D,IF($D202=RegularFormula!$D$2,$K$15,$D202))),IFERROR(IF(percentage,percentage,""),""))</f>
        <v>0.0004166666667</v>
      </c>
      <c r="H202" s="71">
        <f t="array" ref="H202">LET(percentage,XLOOKUP($E202,$K$2:$K$10,N$2:N$10,"",0)/(COUNTIFS($E:$E,$E202,$D:$D,RegularFormula!$D$2)+COUNTIFS($E:$E,$E202,$D:$D,IF($D202=RegularFormula!$D$2,$K$15,$D202))),IFERROR(IF(percentage,percentage,""),""))</f>
        <v>0.001666666667</v>
      </c>
      <c r="I202" s="72" t="str">
        <f t="shared" si="1"/>
        <v/>
      </c>
      <c r="J202" s="73">
        <v>0.0</v>
      </c>
      <c r="K202" s="103"/>
      <c r="L202" s="103"/>
      <c r="M202" s="103"/>
      <c r="N202" s="103"/>
      <c r="O202" s="239" t="s">
        <v>421</v>
      </c>
      <c r="P202" s="103"/>
      <c r="Q202" s="103"/>
      <c r="R202" s="103"/>
      <c r="S202" s="231" t="str">
        <f t="shared" si="2"/>
        <v/>
      </c>
    </row>
    <row r="203">
      <c r="A203" s="217" t="b">
        <v>0</v>
      </c>
      <c r="B203" s="230" t="s">
        <v>750</v>
      </c>
      <c r="C203" s="69" t="str">
        <f t="array" ref="C203">TEXTJOIN("", TRUE, IFERROR(INDEX('language&amp;DataTest'!A:J, MATCH(INDEX( PointerTest!C:C, MATCH(B203, PointerTest!A:A, 0), 0), 'language&amp;DataTest'!A:A, 0), MATCH(HOME!$A$25, 'language&amp;DataTest'!$A$1:$H$1, 0))),                      IFERROR(INDEX('language&amp;DataTest'!A:J, MATCH(INDEX( PointerTest!D:D, MATCH(B203, PointerTest!A:A, 0), 0), 'language&amp;DataTest'!A:A, 0), MATCH(HOME!$A$25, 'language&amp;DataTest'!$A$1:$H$1, 0))),                                          
IFERROR(INDEX('language&amp;DataTest'!A:J, MATCH(INDEX( PointerTest!E:E, MATCH(B203, PointerTest!A:A, 0), 0), 'language&amp;DataTest'!A:A, 0), MATCH(HOME!$A$25, 'language&amp;DataTest'!$A$1:$H$1, 0))))</f>
        <v>Darkrai ex</v>
      </c>
      <c r="D203" s="69" t="str">
        <f t="array" ref="D203">TEXTJOIN("", TRUE, 
IFERROR(INDEX('language&amp;DataTest'!A:J, MATCH(INDEX( PointerTest!C:C, MATCH(INDEX(PointerTest!B:B, MATCH(B203, PointerTest!A:A, 0)), PointerTest!A:A, 0), 0), 'language&amp;DataTest'!A:A, 0), MATCH(HOME!$A$25, 'language&amp;DataTest'!$A$1:$H$1, 0))),                      
IFERROR(INDEX('language&amp;DataTest'!A:J, MATCH(INDEX( PointerTest!D:D, MATCH(INDEX(PointerTest!B:B, MATCH(B203, PointerTest!A:A, 0)), PointerTest!A:A, 0), 0), 'language&amp;DataTest'!A:A, 0), MATCH(HOME!$A$25, 'language&amp;DataTest'!$A$1:$H$1, 0))),                                          
IFERROR(INDEX('language&amp;DataTest'!A:J, MATCH(INDEX( PointerTest!E:E, MATCH(INDEX(PointerTest!B:B, MATCH(B203, PointerTest!A:A, 0)), PointerTest!A:A, 0), 0), 'language&amp;DataTest'!A:A, 0), MATCH(HOME!$A$25, 'language&amp;DataTest'!$A$1:$H$1, 0))))</f>
        <v>Dialga ex</v>
      </c>
      <c r="E203" s="69" t="str">
        <f t="array" ref="E203">INDEX( PointerTest!F:F, MATCH(B203, PointerTest!A:A, 0), 0)</f>
        <v>☆☆</v>
      </c>
      <c r="F203" s="70" t="str">
        <f t="array" ref="F203">LET(percentage,XLOOKUP($E203,$K$2:$K$10,L$2:L$10,"",0)/(COUNTIFS($E:$E,$E203,$D:$D,RegularFormula!$D$2)+COUNTIFS($E:$E,$E203,$D:$D,IF($D203=RegularFormula!$D$2,$K$15,$D203))),IFERROR(IF(percentage,percentage,""),""))</f>
        <v/>
      </c>
      <c r="G203" s="71">
        <f t="array" ref="G203">LET(percentage,XLOOKUP($E203,$K$2:$K$10,M$2:M$10,"",0)/(COUNTIFS($E:$E,$E203,$D:$D,RegularFormula!$D$2)+COUNTIFS($E:$E,$E203,$D:$D,IF($D203=RegularFormula!$D$2,$K$15,$D203))),IFERROR(IF(percentage,percentage,""),""))</f>
        <v>0.0004166666667</v>
      </c>
      <c r="H203" s="71">
        <f t="array" ref="H203">LET(percentage,XLOOKUP($E203,$K$2:$K$10,N$2:N$10,"",0)/(COUNTIFS($E:$E,$E203,$D:$D,RegularFormula!$D$2)+COUNTIFS($E:$E,$E203,$D:$D,IF($D203=RegularFormula!$D$2,$K$15,$D203))),IFERROR(IF(percentage,percentage,""),""))</f>
        <v>0.001666666667</v>
      </c>
      <c r="I203" s="72" t="str">
        <f t="shared" si="1"/>
        <v/>
      </c>
      <c r="J203" s="73">
        <v>0.0</v>
      </c>
      <c r="K203" s="103"/>
      <c r="L203" s="103"/>
      <c r="M203" s="103"/>
      <c r="N203" s="103"/>
      <c r="P203" s="103"/>
      <c r="Q203" s="103"/>
      <c r="R203" s="103"/>
      <c r="S203" s="231" t="str">
        <f t="shared" si="2"/>
        <v/>
      </c>
    </row>
    <row r="204">
      <c r="A204" s="217" t="b">
        <v>0</v>
      </c>
      <c r="B204" s="230" t="s">
        <v>751</v>
      </c>
      <c r="C204" s="69" t="str">
        <f t="array" ref="C204">TEXTJOIN("", TRUE, IFERROR(INDEX('language&amp;DataTest'!A:J, MATCH(INDEX( PointerTest!C:C, MATCH(B204, PointerTest!A:A, 0), 0), 'language&amp;DataTest'!A:A, 0), MATCH(HOME!$A$25, 'language&amp;DataTest'!$A$1:$H$1, 0))),                      IFERROR(INDEX('language&amp;DataTest'!A:J, MATCH(INDEX( PointerTest!D:D, MATCH(B204, PointerTest!A:A, 0), 0), 'language&amp;DataTest'!A:A, 0), MATCH(HOME!$A$25, 'language&amp;DataTest'!$A$1:$H$1, 0))),                                          
IFERROR(INDEX('language&amp;DataTest'!A:J, MATCH(INDEX( PointerTest!E:E, MATCH(B204, PointerTest!A:A, 0), 0), 'language&amp;DataTest'!A:A, 0), MATCH(HOME!$A$25, 'language&amp;DataTest'!$A$1:$H$1, 0))))</f>
        <v>Lickilicky ex</v>
      </c>
      <c r="D204" s="69" t="str">
        <f t="array" ref="D204">TEXTJOIN("", TRUE, 
IFERROR(INDEX('language&amp;DataTest'!A:J, MATCH(INDEX( PointerTest!C:C, MATCH(INDEX(PointerTest!B:B, MATCH(B204, PointerTest!A:A, 0)), PointerTest!A:A, 0), 0), 'language&amp;DataTest'!A:A, 0), MATCH(HOME!$A$25, 'language&amp;DataTest'!$A$1:$H$1, 0))),                      
IFERROR(INDEX('language&amp;DataTest'!A:J, MATCH(INDEX( PointerTest!D:D, MATCH(INDEX(PointerTest!B:B, MATCH(B204, PointerTest!A:A, 0)), PointerTest!A:A, 0), 0), 'language&amp;DataTest'!A:A, 0), MATCH(HOME!$A$25, 'language&amp;DataTest'!$A$1:$H$1, 0))),                                          
IFERROR(INDEX('language&amp;DataTest'!A:J, MATCH(INDEX( PointerTest!E:E, MATCH(INDEX(PointerTest!B:B, MATCH(B204, PointerTest!A:A, 0)), PointerTest!A:A, 0), 0), 'language&amp;DataTest'!A:A, 0), MATCH(HOME!$A$25, 'language&amp;DataTest'!$A$1:$H$1, 0))))</f>
        <v>Palkia ex</v>
      </c>
      <c r="E204" s="69" t="str">
        <f t="array" ref="E204">INDEX( PointerTest!F:F, MATCH(B204, PointerTest!A:A, 0), 0)</f>
        <v>☆☆</v>
      </c>
      <c r="F204" s="70" t="str">
        <f t="array" ref="F204">LET(percentage,XLOOKUP($E204,$K$2:$K$10,L$2:L$10,"",0)/(COUNTIFS($E:$E,$E204,$D:$D,RegularFormula!$D$2)+COUNTIFS($E:$E,$E204,$D:$D,IF($D204=RegularFormula!$D$2,$K$15,$D204))),IFERROR(IF(percentage,percentage,""),""))</f>
        <v/>
      </c>
      <c r="G204" s="71">
        <f t="array" ref="G204">LET(percentage,XLOOKUP($E204,$K$2:$K$10,M$2:M$10,"",0)/(COUNTIFS($E:$E,$E204,$D:$D,RegularFormula!$D$2)+COUNTIFS($E:$E,$E204,$D:$D,IF($D204=RegularFormula!$D$2,$K$15,$D204))),IFERROR(IF(percentage,percentage,""),""))</f>
        <v>0.0004166666667</v>
      </c>
      <c r="H204" s="71">
        <f t="array" ref="H204">LET(percentage,XLOOKUP($E204,$K$2:$K$10,N$2:N$10,"",0)/(COUNTIFS($E:$E,$E204,$D:$D,RegularFormula!$D$2)+COUNTIFS($E:$E,$E204,$D:$D,IF($D204=RegularFormula!$D$2,$K$15,$D204))),IFERROR(IF(percentage,percentage,""),""))</f>
        <v>0.001666666667</v>
      </c>
      <c r="I204" s="72" t="str">
        <f t="shared" si="1"/>
        <v/>
      </c>
      <c r="J204" s="73">
        <v>0.0</v>
      </c>
      <c r="K204" s="103"/>
      <c r="L204" s="103"/>
      <c r="M204" s="103"/>
      <c r="N204" s="103"/>
      <c r="P204" s="103"/>
      <c r="Q204" s="103"/>
      <c r="R204" s="103"/>
      <c r="S204" s="231" t="str">
        <f t="shared" si="2"/>
        <v/>
      </c>
    </row>
    <row r="205">
      <c r="A205" s="217" t="b">
        <v>0</v>
      </c>
      <c r="B205" s="230" t="s">
        <v>752</v>
      </c>
      <c r="C205" s="69" t="str">
        <f t="array" ref="C205">TEXTJOIN("", TRUE, IFERROR(INDEX('language&amp;DataTest'!A:J, MATCH(INDEX( PointerTest!C:C, MATCH(B205, PointerTest!A:A, 0), 0), 'language&amp;DataTest'!A:A, 0), MATCH(HOME!$A$25, 'language&amp;DataTest'!$A$1:$H$1, 0))),                      IFERROR(INDEX('language&amp;DataTest'!A:J, MATCH(INDEX( PointerTest!D:D, MATCH(B205, PointerTest!A:A, 0), 0), 'language&amp;DataTest'!A:A, 0), MATCH(HOME!$A$25, 'language&amp;DataTest'!$A$1:$H$1, 0))),                                          
IFERROR(INDEX('language&amp;DataTest'!A:J, MATCH(INDEX( PointerTest!E:E, MATCH(B205, PointerTest!A:A, 0), 0), 'language&amp;DataTest'!A:A, 0), MATCH(HOME!$A$25, 'language&amp;DataTest'!$A$1:$H$1, 0))))</f>
        <v>Palkia ex</v>
      </c>
      <c r="D205" s="69" t="str">
        <f t="array" ref="D205">TEXTJOIN("", TRUE, 
IFERROR(INDEX('language&amp;DataTest'!A:J, MATCH(INDEX( PointerTest!C:C, MATCH(INDEX(PointerTest!B:B, MATCH(B205, PointerTest!A:A, 0)), PointerTest!A:A, 0), 0), 'language&amp;DataTest'!A:A, 0), MATCH(HOME!$A$25, 'language&amp;DataTest'!$A$1:$H$1, 0))),                      
IFERROR(INDEX('language&amp;DataTest'!A:J, MATCH(INDEX( PointerTest!D:D, MATCH(INDEX(PointerTest!B:B, MATCH(B205, PointerTest!A:A, 0)), PointerTest!A:A, 0), 0), 'language&amp;DataTest'!A:A, 0), MATCH(HOME!$A$25, 'language&amp;DataTest'!$A$1:$H$1, 0))),                                          
IFERROR(INDEX('language&amp;DataTest'!A:J, MATCH(INDEX( PointerTest!E:E, MATCH(INDEX(PointerTest!B:B, MATCH(B205, PointerTest!A:A, 0)), PointerTest!A:A, 0), 0), 'language&amp;DataTest'!A:A, 0), MATCH(HOME!$A$25, 'language&amp;DataTest'!$A$1:$H$1, 0))))</f>
        <v>Palkia ex</v>
      </c>
      <c r="E205" s="69" t="str">
        <f t="array" ref="E205">INDEX( PointerTest!F:F, MATCH(B205, PointerTest!A:A, 0), 0)</f>
        <v>☆☆☆</v>
      </c>
      <c r="F205" s="70" t="str">
        <f t="array" ref="F205">LET(percentage,XLOOKUP($E205,$K$2:$K$10,L$2:L$10,"",0)/(COUNTIFS($E:$E,$E205,$D:$D,RegularFormula!$D$2)+COUNTIFS($E:$E,$E205,$D:$D,IF($D205=RegularFormula!$D$2,$K$15,$D205))),IFERROR(IF(percentage,percentage,""),""))</f>
        <v/>
      </c>
      <c r="G205" s="71">
        <f t="array" ref="G205">LET(percentage,XLOOKUP($E205,$K$2:$K$10,M$2:M$10,"",0)/(COUNTIFS($E:$E,$E205,$D:$D,RegularFormula!$D$2)+COUNTIFS($E:$E,$E205,$D:$D,IF($D205=RegularFormula!$D$2,$K$15,$D205))),IFERROR(IF(percentage,percentage,""),""))</f>
        <v>0.00222</v>
      </c>
      <c r="H205" s="71">
        <f t="array" ref="H205">LET(percentage,XLOOKUP($E205,$K$2:$K$10,N$2:N$10,"",0)/(COUNTIFS($E:$E,$E205,$D:$D,RegularFormula!$D$2)+COUNTIFS($E:$E,$E205,$D:$D,IF($D205=RegularFormula!$D$2,$K$15,$D205))),IFERROR(IF(percentage,percentage,""),""))</f>
        <v>0.00888</v>
      </c>
      <c r="I205" s="72" t="str">
        <f t="shared" si="1"/>
        <v/>
      </c>
      <c r="J205" s="73">
        <v>0.0</v>
      </c>
      <c r="K205" s="103"/>
      <c r="L205" s="103"/>
      <c r="M205" s="103"/>
      <c r="N205" s="103"/>
      <c r="P205" s="103"/>
      <c r="Q205" s="103"/>
      <c r="R205" s="103"/>
      <c r="S205" s="231" t="str">
        <f t="shared" si="2"/>
        <v/>
      </c>
    </row>
    <row r="206">
      <c r="A206" s="217" t="b">
        <v>0</v>
      </c>
      <c r="B206" s="230" t="s">
        <v>753</v>
      </c>
      <c r="C206" s="69" t="str">
        <f t="array" ref="C206">TEXTJOIN("", TRUE, IFERROR(INDEX('language&amp;DataTest'!A:J, MATCH(INDEX( PointerTest!C:C, MATCH(B206, PointerTest!A:A, 0), 0), 'language&amp;DataTest'!A:A, 0), MATCH(HOME!$A$25, 'language&amp;DataTest'!$A$1:$H$1, 0))),                      IFERROR(INDEX('language&amp;DataTest'!A:J, MATCH(INDEX( PointerTest!D:D, MATCH(B206, PointerTest!A:A, 0), 0), 'language&amp;DataTest'!A:A, 0), MATCH(HOME!$A$25, 'language&amp;DataTest'!$A$1:$H$1, 0))),                                          
IFERROR(INDEX('language&amp;DataTest'!A:J, MATCH(INDEX( PointerTest!E:E, MATCH(B206, PointerTest!A:A, 0), 0), 'language&amp;DataTest'!A:A, 0), MATCH(HOME!$A$25, 'language&amp;DataTest'!$A$1:$H$1, 0))))</f>
        <v>Dialga ex</v>
      </c>
      <c r="D206" s="69" t="str">
        <f t="array" ref="D206">TEXTJOIN("", TRUE, 
IFERROR(INDEX('language&amp;DataTest'!A:J, MATCH(INDEX( PointerTest!C:C, MATCH(INDEX(PointerTest!B:B, MATCH(B206, PointerTest!A:A, 0)), PointerTest!A:A, 0), 0), 'language&amp;DataTest'!A:A, 0), MATCH(HOME!$A$25, 'language&amp;DataTest'!$A$1:$H$1, 0))),                      
IFERROR(INDEX('language&amp;DataTest'!A:J, MATCH(INDEX( PointerTest!D:D, MATCH(INDEX(PointerTest!B:B, MATCH(B206, PointerTest!A:A, 0)), PointerTest!A:A, 0), 0), 'language&amp;DataTest'!A:A, 0), MATCH(HOME!$A$25, 'language&amp;DataTest'!$A$1:$H$1, 0))),                                          
IFERROR(INDEX('language&amp;DataTest'!A:J, MATCH(INDEX( PointerTest!E:E, MATCH(INDEX(PointerTest!B:B, MATCH(B206, PointerTest!A:A, 0)), PointerTest!A:A, 0), 0), 'language&amp;DataTest'!A:A, 0), MATCH(HOME!$A$25, 'language&amp;DataTest'!$A$1:$H$1, 0))))</f>
        <v>Dialga ex</v>
      </c>
      <c r="E206" s="69" t="str">
        <f t="array" ref="E206">INDEX( PointerTest!F:F, MATCH(B206, PointerTest!A:A, 0), 0)</f>
        <v>☆☆☆</v>
      </c>
      <c r="F206" s="70" t="str">
        <f t="array" ref="F206">LET(percentage,XLOOKUP($E206,$K$2:$K$10,L$2:L$10,"",0)/(COUNTIFS($E:$E,$E206,$D:$D,RegularFormula!$D$2)+COUNTIFS($E:$E,$E206,$D:$D,IF($D206=RegularFormula!$D$2,$K$15,$D206))),IFERROR(IF(percentage,percentage,""),""))</f>
        <v/>
      </c>
      <c r="G206" s="71">
        <f t="array" ref="G206">LET(percentage,XLOOKUP($E206,$K$2:$K$10,M$2:M$10,"",0)/(COUNTIFS($E:$E,$E206,$D:$D,RegularFormula!$D$2)+COUNTIFS($E:$E,$E206,$D:$D,IF($D206=RegularFormula!$D$2,$K$15,$D206))),IFERROR(IF(percentage,percentage,""),""))</f>
        <v>0.00222</v>
      </c>
      <c r="H206" s="71">
        <f t="array" ref="H206">LET(percentage,XLOOKUP($E206,$K$2:$K$10,N$2:N$10,"",0)/(COUNTIFS($E:$E,$E206,$D:$D,RegularFormula!$D$2)+COUNTIFS($E:$E,$E206,$D:$D,IF($D206=RegularFormula!$D$2,$K$15,$D206))),IFERROR(IF(percentage,percentage,""),""))</f>
        <v>0.00888</v>
      </c>
      <c r="I206" s="72" t="str">
        <f t="shared" si="1"/>
        <v/>
      </c>
      <c r="J206" s="73">
        <v>0.0</v>
      </c>
      <c r="K206" s="103"/>
      <c r="L206" s="103"/>
      <c r="M206" s="103"/>
      <c r="N206" s="103"/>
      <c r="P206" s="103"/>
      <c r="Q206" s="103"/>
      <c r="R206" s="103"/>
      <c r="S206" s="231" t="str">
        <f t="shared" si="2"/>
        <v/>
      </c>
    </row>
    <row r="207">
      <c r="A207" s="217" t="b">
        <v>0</v>
      </c>
      <c r="B207" s="230" t="s">
        <v>754</v>
      </c>
      <c r="C207" s="69" t="str">
        <f t="array" ref="C207">TEXTJOIN("", TRUE, IFERROR(INDEX('language&amp;DataTest'!A:J, MATCH(INDEX( PointerTest!C:C, MATCH(B207, PointerTest!A:A, 0), 0), 'language&amp;DataTest'!A:A, 0), MATCH(HOME!$A$25, 'language&amp;DataTest'!$A$1:$H$1, 0))),                      IFERROR(INDEX('language&amp;DataTest'!A:J, MATCH(INDEX( PointerTest!D:D, MATCH(B207, PointerTest!A:A, 0), 0), 'language&amp;DataTest'!A:A, 0), MATCH(HOME!$A$25, 'language&amp;DataTest'!$A$1:$H$1, 0))),                                          
IFERROR(INDEX('language&amp;DataTest'!A:J, MATCH(INDEX( PointerTest!E:E, MATCH(B207, PointerTest!A:A, 0), 0), 'language&amp;DataTest'!A:A, 0), MATCH(HOME!$A$25, 'language&amp;DataTest'!$A$1:$H$1, 0))))</f>
        <v>Palkia ex</v>
      </c>
      <c r="D207" s="69" t="str">
        <f t="array" ref="D207">TEXTJOIN("", TRUE, 
IFERROR(INDEX('language&amp;DataTest'!A:J, MATCH(INDEX( PointerTest!C:C, MATCH(INDEX(PointerTest!B:B, MATCH(B207, PointerTest!A:A, 0)), PointerTest!A:A, 0), 0), 'language&amp;DataTest'!A:A, 0), MATCH(HOME!$A$25, 'language&amp;DataTest'!$A$1:$H$1, 0))),                      
IFERROR(INDEX('language&amp;DataTest'!A:J, MATCH(INDEX( PointerTest!D:D, MATCH(INDEX(PointerTest!B:B, MATCH(B207, PointerTest!A:A, 0)), PointerTest!A:A, 0), 0), 'language&amp;DataTest'!A:A, 0), MATCH(HOME!$A$25, 'language&amp;DataTest'!$A$1:$H$1, 0))),                                          
IFERROR(INDEX('language&amp;DataTest'!A:J, MATCH(INDEX( PointerTest!E:E, MATCH(INDEX(PointerTest!B:B, MATCH(B207, PointerTest!A:A, 0)), PointerTest!A:A, 0), 0), 'language&amp;DataTest'!A:A, 0), MATCH(HOME!$A$25, 'language&amp;DataTest'!$A$1:$H$1, 0))))</f>
        <v>All</v>
      </c>
      <c r="E207" s="69" t="str">
        <f t="array" ref="E207">INDEX( PointerTest!F:F, MATCH(B207, PointerTest!A:A, 0), 0)</f>
        <v>♛</v>
      </c>
      <c r="F207" s="70" t="str">
        <f t="array" ref="F207">LET(percentage,XLOOKUP($E207,$K$2:$K$10,L$2:L$10,"",0)/(COUNTIFS($E:$E,$E207,$D:$D,RegularFormula!$D$2)+COUNTIFS($E:$E,$E207,$D:$D,IF($D207=RegularFormula!$D$2,$K$15,$D207))),IFERROR(IF(percentage,percentage,""),""))</f>
        <v/>
      </c>
      <c r="G207" s="71">
        <f t="array" ref="G207">LET(percentage,XLOOKUP($E207,$K$2:$K$10,M$2:M$10,"",0)/(COUNTIFS($E:$E,$E207,$D:$D,RegularFormula!$D$2)+COUNTIFS($E:$E,$E207,$D:$D,IF($D207=RegularFormula!$D$2,$K$15,$D207))),IFERROR(IF(percentage,percentage,""),""))</f>
        <v>0.0002</v>
      </c>
      <c r="H207" s="71">
        <f t="array" ref="H207">LET(percentage,XLOOKUP($E207,$K$2:$K$10,N$2:N$10,"",0)/(COUNTIFS($E:$E,$E207,$D:$D,RegularFormula!$D$2)+COUNTIFS($E:$E,$E207,$D:$D,IF($D207=RegularFormula!$D$2,$K$15,$D207))),IFERROR(IF(percentage,percentage,""),""))</f>
        <v>0.0008</v>
      </c>
      <c r="I207" s="72" t="str">
        <f t="shared" si="1"/>
        <v>*Based on Palkia ex pack</v>
      </c>
      <c r="J207" s="73">
        <v>0.0</v>
      </c>
      <c r="K207" s="103"/>
      <c r="L207" s="103"/>
      <c r="M207" s="103"/>
      <c r="N207" s="103"/>
      <c r="P207" s="103"/>
      <c r="Q207" s="103"/>
      <c r="R207" s="103"/>
      <c r="S207" s="231" t="str">
        <f t="shared" si="2"/>
        <v/>
      </c>
    </row>
    <row r="208">
      <c r="A208" s="217" t="b">
        <v>0</v>
      </c>
      <c r="B208" s="230" t="s">
        <v>755</v>
      </c>
      <c r="C208" s="69" t="str">
        <f t="array" ref="C208">TEXTJOIN("", TRUE, IFERROR(INDEX('language&amp;DataTest'!A:J, MATCH(INDEX( PointerTest!C:C, MATCH(B208, PointerTest!A:A, 0), 0), 'language&amp;DataTest'!A:A, 0), MATCH(HOME!$A$25, 'language&amp;DataTest'!$A$1:$H$1, 0))),                      IFERROR(INDEX('language&amp;DataTest'!A:J, MATCH(INDEX( PointerTest!D:D, MATCH(B208, PointerTest!A:A, 0), 0), 'language&amp;DataTest'!A:A, 0), MATCH(HOME!$A$25, 'language&amp;DataTest'!$A$1:$H$1, 0))),                                          
IFERROR(INDEX('language&amp;DataTest'!A:J, MATCH(INDEX( PointerTest!E:E, MATCH(B208, PointerTest!A:A, 0), 0), 'language&amp;DataTest'!A:A, 0), MATCH(HOME!$A$25, 'language&amp;DataTest'!$A$1:$H$1, 0))))</f>
        <v>Dialga ex</v>
      </c>
      <c r="D208" s="69" t="str">
        <f t="array" ref="D208">TEXTJOIN("", TRUE, 
IFERROR(INDEX('language&amp;DataTest'!A:J, MATCH(INDEX( PointerTest!C:C, MATCH(INDEX(PointerTest!B:B, MATCH(B208, PointerTest!A:A, 0)), PointerTest!A:A, 0), 0), 'language&amp;DataTest'!A:A, 0), MATCH(HOME!$A$25, 'language&amp;DataTest'!$A$1:$H$1, 0))),                      
IFERROR(INDEX('language&amp;DataTest'!A:J, MATCH(INDEX( PointerTest!D:D, MATCH(INDEX(PointerTest!B:B, MATCH(B208, PointerTest!A:A, 0)), PointerTest!A:A, 0), 0), 'language&amp;DataTest'!A:A, 0), MATCH(HOME!$A$25, 'language&amp;DataTest'!$A$1:$H$1, 0))),                                          
IFERROR(INDEX('language&amp;DataTest'!A:J, MATCH(INDEX( PointerTest!E:E, MATCH(INDEX(PointerTest!B:B, MATCH(B208, PointerTest!A:A, 0)), PointerTest!A:A, 0), 0), 'language&amp;DataTest'!A:A, 0), MATCH(HOME!$A$25, 'language&amp;DataTest'!$A$1:$H$1, 0))))</f>
        <v>All</v>
      </c>
      <c r="E208" s="69" t="str">
        <f t="array" ref="E208">INDEX( PointerTest!F:F, MATCH(B208, PointerTest!A:A, 0), 0)</f>
        <v>♛</v>
      </c>
      <c r="F208" s="70" t="str">
        <f t="array" ref="F208">LET(percentage,XLOOKUP($E208,$K$2:$K$10,L$2:L$10,"",0)/(COUNTIFS($E:$E,$E208,$D:$D,RegularFormula!$D$2)+COUNTIFS($E:$E,$E208,$D:$D,IF($D208=RegularFormula!$D$2,$K$15,$D208))),IFERROR(IF(percentage,percentage,""),""))</f>
        <v/>
      </c>
      <c r="G208" s="71">
        <f t="array" ref="G208">LET(percentage,XLOOKUP($E208,$K$2:$K$10,M$2:M$10,"",0)/(COUNTIFS($E:$E,$E208,$D:$D,RegularFormula!$D$2)+COUNTIFS($E:$E,$E208,$D:$D,IF($D208=RegularFormula!$D$2,$K$15,$D208))),IFERROR(IF(percentage,percentage,""),""))</f>
        <v>0.0002</v>
      </c>
      <c r="H208" s="71">
        <f t="array" ref="H208">LET(percentage,XLOOKUP($E208,$K$2:$K$10,N$2:N$10,"",0)/(COUNTIFS($E:$E,$E208,$D:$D,RegularFormula!$D$2)+COUNTIFS($E:$E,$E208,$D:$D,IF($D208=RegularFormula!$D$2,$K$15,$D208))),IFERROR(IF(percentage,percentage,""),""))</f>
        <v>0.0008</v>
      </c>
      <c r="I208" s="72" t="str">
        <f t="shared" si="1"/>
        <v>*Based on Palkia ex pack</v>
      </c>
      <c r="J208" s="73">
        <v>0.0</v>
      </c>
      <c r="K208" s="103"/>
      <c r="L208" s="103"/>
      <c r="M208" s="103"/>
      <c r="N208" s="103"/>
      <c r="P208" s="103"/>
      <c r="Q208" s="103"/>
      <c r="R208" s="103"/>
      <c r="S208" s="231" t="str">
        <f t="shared" si="2"/>
        <v/>
      </c>
    </row>
  </sheetData>
  <mergeCells count="39">
    <mergeCell ref="P1:Q1"/>
    <mergeCell ref="O2:O10"/>
    <mergeCell ref="K11:N12"/>
    <mergeCell ref="O11:O18"/>
    <mergeCell ref="K17:K18"/>
    <mergeCell ref="L17:N18"/>
    <mergeCell ref="O19:O25"/>
    <mergeCell ref="K38:K39"/>
    <mergeCell ref="L38:L39"/>
    <mergeCell ref="K41:L41"/>
    <mergeCell ref="K19:N20"/>
    <mergeCell ref="K26:N26"/>
    <mergeCell ref="O26:O33"/>
    <mergeCell ref="K32:K33"/>
    <mergeCell ref="L32:N33"/>
    <mergeCell ref="K34:N34"/>
    <mergeCell ref="O34:O39"/>
    <mergeCell ref="K40:N40"/>
    <mergeCell ref="M38:M39"/>
    <mergeCell ref="N38:N39"/>
    <mergeCell ref="O40:O43"/>
    <mergeCell ref="M41:N41"/>
    <mergeCell ref="M42:N43"/>
    <mergeCell ref="O44:O45"/>
    <mergeCell ref="O46:O51"/>
    <mergeCell ref="O95:O100"/>
    <mergeCell ref="O101:O102"/>
    <mergeCell ref="O103:O113"/>
    <mergeCell ref="O114:O119"/>
    <mergeCell ref="O179:O182"/>
    <mergeCell ref="O183:O186"/>
    <mergeCell ref="O202:O208"/>
    <mergeCell ref="O52:O55"/>
    <mergeCell ref="O56:O57"/>
    <mergeCell ref="O58:O64"/>
    <mergeCell ref="O65:O66"/>
    <mergeCell ref="O67:O72"/>
    <mergeCell ref="O73:O82"/>
    <mergeCell ref="O83:O94"/>
  </mergeCells>
  <conditionalFormatting sqref="F2:H208">
    <cfRule type="expression" dxfId="9" priority="1">
      <formula>$D2=$C$129</formula>
    </cfRule>
  </conditionalFormatting>
  <conditionalFormatting sqref="F2:H208">
    <cfRule type="expression" dxfId="19" priority="2">
      <formula>$D2=$C$95</formula>
    </cfRule>
  </conditionalFormatting>
  <conditionalFormatting sqref="F2:H208">
    <cfRule type="expression" dxfId="20" priority="3">
      <formula>$D2=$C$36</formula>
    </cfRule>
  </conditionalFormatting>
  <conditionalFormatting sqref="J2:J208">
    <cfRule type="cellIs" dxfId="17" priority="4" operator="greaterThanOrEqual">
      <formula>2</formula>
    </cfRule>
  </conditionalFormatting>
  <conditionalFormatting sqref="J2:J208">
    <cfRule type="cellIs" dxfId="0" priority="5" operator="lessThan">
      <formula>2</formula>
    </cfRule>
  </conditionalFormatting>
  <conditionalFormatting sqref="A2:I208">
    <cfRule type="expression" dxfId="9" priority="6">
      <formula>$D2=$C$50</formula>
    </cfRule>
  </conditionalFormatting>
  <conditionalFormatting sqref="A2:I208">
    <cfRule type="expression" dxfId="22" priority="7">
      <formula>$D2=$C$120</formula>
    </cfRule>
  </conditionalFormatting>
  <conditionalFormatting sqref="A2:I208">
    <cfRule type="expression" dxfId="21" priority="8">
      <formula>COUNTIF({"All", "Tous"}, $D2)&gt;0</formula>
    </cfRule>
  </conditionalFormatting>
  <conditionalFormatting sqref="K15:N16 K28:N33 K35:L46 M35:N39">
    <cfRule type="expression" dxfId="9" priority="9">
      <formula>$K15=$C$50</formula>
    </cfRule>
  </conditionalFormatting>
  <conditionalFormatting sqref="K15:N16 K28:N33 K35:L46 M35:N39">
    <cfRule type="expression" dxfId="22" priority="10">
      <formula>$K15=$C$120</formula>
    </cfRule>
  </conditionalFormatting>
  <conditionalFormatting sqref="K15:N16 K28:N33 K35:L46 M35:N39">
    <cfRule type="expression" dxfId="21" priority="11">
      <formula>COUNTIF({"All", "Tous"}, $K15)&gt;0</formula>
    </cfRule>
  </conditionalFormatting>
  <conditionalFormatting sqref="L17:N18 L31:N33 L38:L39 M38:N39 M41:N46">
    <cfRule type="expression" dxfId="9" priority="12">
      <formula>L17=$C$50</formula>
    </cfRule>
  </conditionalFormatting>
  <conditionalFormatting sqref="L17:N18 L31:N33 L38:L39 M38:N39 M41:N46">
    <cfRule type="expression" dxfId="22" priority="13">
      <formula>L17=$C$120</formula>
    </cfRule>
  </conditionalFormatting>
  <drawing r:id="rId2"/>
  <legacyDrawing r:id="rId3"/>
  <tableParts count="1">
    <tablePart r:id="rId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5.63"/>
    <col customWidth="1" min="2" max="2" width="7.63"/>
    <col customWidth="1" min="3" max="3" width="11.63"/>
    <col customWidth="1" min="4" max="6" width="7.63"/>
    <col customWidth="1" min="10" max="10" width="8.25"/>
  </cols>
  <sheetData>
    <row r="1">
      <c r="A1" s="60" t="s">
        <v>53</v>
      </c>
      <c r="B1" s="60" t="s">
        <v>54</v>
      </c>
      <c r="C1" s="60" t="s">
        <v>55</v>
      </c>
      <c r="D1" s="60" t="s">
        <v>56</v>
      </c>
      <c r="E1" s="60" t="s">
        <v>57</v>
      </c>
      <c r="F1" s="60" t="s">
        <v>58</v>
      </c>
      <c r="G1" s="60" t="s">
        <v>59</v>
      </c>
      <c r="H1" s="60" t="s">
        <v>60</v>
      </c>
      <c r="I1" s="60" t="s">
        <v>61</v>
      </c>
      <c r="J1" s="61" t="s">
        <v>62</v>
      </c>
      <c r="K1" s="62" t="s">
        <v>63</v>
      </c>
      <c r="L1" s="63"/>
      <c r="O1" s="65" t="s">
        <v>65</v>
      </c>
      <c r="Q1" s="65" t="s">
        <v>57</v>
      </c>
      <c r="R1" s="66" t="str">
        <f>"Points (" &amp; TEXT(SUM(R2:R97),"##,###") &amp; ")"</f>
        <v>Points (17,400)</v>
      </c>
    </row>
    <row r="2">
      <c r="A2" s="217" t="b">
        <v>1</v>
      </c>
      <c r="B2" s="218" t="s">
        <v>756</v>
      </c>
      <c r="C2" s="69" t="str">
        <f t="array" ref="C2">TEXTJOIN("", TRUE, IFERROR(INDEX('language&amp;DataTest'!A:J, MATCH(INDEX( PointerTest!C:C, MATCH(B2, PointerTest!A:A, 0), 0), 'language&amp;DataTest'!A:A, 0), MATCH(HOME!$A$25, 'language&amp;DataTest'!$A$1:$H$1, 0))),                      IFERROR(INDEX('language&amp;DataTest'!A:J, MATCH(INDEX( PointerTest!D:D, MATCH(B2, PointerTest!A:A, 0), 0), 'language&amp;DataTest'!A:A, 0), MATCH(HOME!$A$25, 'language&amp;DataTest'!$A$1:$H$1, 0))),                                          
IFERROR(INDEX('language&amp;DataTest'!A:J, MATCH(INDEX( PointerTest!E:E, MATCH(B2, PointerTest!A:A, 0), 0), 'language&amp;DataTest'!A:A, 0), MATCH(HOME!$A$25, 'language&amp;DataTest'!$A$1:$H$1, 0))))</f>
        <v>Heracross</v>
      </c>
      <c r="D2" s="69" t="str">
        <f t="array" ref="D2">TEXTJOIN("", TRUE, 
IFERROR(INDEX('language&amp;DataTest'!A:J, MATCH(INDEX( PointerTest!C:C, MATCH(INDEX(PointerTest!B:B, MATCH(B2, PointerTest!A:A, 0)), PointerTest!A:A, 0), 0), 'language&amp;DataTest'!A:A, 0), MATCH(HOME!$A$25, 'language&amp;DataTest'!$A$1:$H$1, 0))),                      
IFERROR(INDEX('language&amp;DataTest'!A:J, MATCH(INDEX( PointerTest!D:D, MATCH(INDEX(PointerTest!B:B, MATCH(B2, PointerTest!A:A, 0)), PointerTest!A:A, 0), 0), 'language&amp;DataTest'!A:A, 0), MATCH(HOME!$A$25, 'language&amp;DataTest'!$A$1:$H$1, 0))),                                          
IFERROR(INDEX('language&amp;DataTest'!A:J, MATCH(INDEX( PointerTest!E:E, MATCH(INDEX(PointerTest!B:B, MATCH(B2, PointerTest!A:A, 0)), PointerTest!A:A, 0), 0), 'language&amp;DataTest'!A:A, 0), MATCH(HOME!$A$25, 'language&amp;DataTest'!$A$1:$H$1, 0))))</f>
        <v>Arceus</v>
      </c>
      <c r="E2" s="69" t="str">
        <f t="array" ref="E2">INDEX( PointerTest!F:F, MATCH(B2, PointerTest!A:A, 0), 0)</f>
        <v>♢♢</v>
      </c>
      <c r="F2" s="70" t="str">
        <f t="array" ref="F2">LET(percentage,XLOOKUP($E2,$K$2:$K$10,L$2:L$10,"",0)/(COUNTIFS($E:$E,$E2,$D:$D,RegularFormula!$D$2)+COUNTIFS($E:$E,$E2,$D:$D,IF($D2=RegularFormula!$D$2,$K$15,$D2))),IFERROR(IF(percentage,percentage,""),""))</f>
        <v/>
      </c>
      <c r="G2" s="71">
        <f t="array" ref="G2">LET(percentage,XLOOKUP($E2,$K$2:$K$10,M$2:M$10,"",0)/(COUNTIFS($E:$E,$E2,$D:$D,RegularFormula!$D$2)+COUNTIFS($E:$E,$E2,$D:$D,IF($D2=RegularFormula!$D$2,$K$15,$D2))),IFERROR(IF(percentage,percentage,""),""))</f>
        <v>0.03461538462</v>
      </c>
      <c r="H2" s="71">
        <f t="array" ref="H2">LET(percentage,XLOOKUP($E2,$K$2:$K$10,N$2:N$10,"",0)/(COUNTIFS($E:$E,$E2,$D:$D,RegularFormula!$D$2)+COUNTIFS($E:$E,$E2,$D:$D,IF($D2=RegularFormula!$D$2,$K$15,$D2))),IFERROR(IF(percentage,percentage,""),""))</f>
        <v>0.02307692308</v>
      </c>
      <c r="I2" s="72" t="str">
        <f t="shared" ref="I2:I97" si="1">IF(D2 = "All", "*Based on " &amp; $D$2 &amp; " pack", "")
</f>
        <v/>
      </c>
      <c r="J2" s="73">
        <v>0.0</v>
      </c>
      <c r="K2" s="74" t="s">
        <v>68</v>
      </c>
      <c r="L2" s="75">
        <v>45294.0</v>
      </c>
      <c r="M2" s="76">
        <v>4.0</v>
      </c>
      <c r="N2" s="77">
        <v>5.0</v>
      </c>
      <c r="O2" s="79" t="str">
        <f>IFERROR(__xludf.DUMMYFUNCTION("IFERROR(
IF($K$24,
  FILTER(
    $B$2:$B97,
    (
      (($K$20*($E$2:$E97=""♢"")) +
       ($K$21*($E$2:$E97=""♢♢"")) +
       ($K$22*($E$2:$E97=""♢♢♢"")) +
       ($K$23*($E$2:$E97=""♢♢♢♢"")) +
       ($M$20*($E$2:$E97=""☆"")) +
       ($M$21*($E$2:$E97"&amp;"=""☆☆"")) +
       ($M$22*($E$2:$E97=""☆☆☆"")) +
       ($M$23*($E$2:$E97=""♛""))
      ) &gt; 0
    )
    *
    (
      BYROW($C$2:$C97,
        LAMBDA(card, COUNTIFS($C$2:$C97, card, IF($M$24, $J$2:$J97, $A$2:$A97), TRUE))
      ) = 0
    )
  ),
  FILTER(
"&amp;"    $B$2:$B97,
    (
      (($K$20*($E$2:$E97=""♢"")) +
       ($K$21*($E$2:$E97=""♢♢"")) +
       ($K$22*($E$2:$E97=""♢♢♢"")) +
       ($K$23*($E$2:$E97=""♢♢♢♢"")) +
       ($M$20*($E$2:$E97=""☆"")) +
       ($M$21*($E$2:$E97=""☆☆"")) +
       ($M$22*($E"&amp;"$2:$E97=""☆☆☆"")) +
       ($M$23*($E$2:$E97=""♛""))
      ) &gt; 0
    )
    *
    IF($M$24, ($J$2:$J97 &lt;= 1), ($A$2:$A97 = FALSE))
  )
)
)"),"A2a 013")</f>
        <v>A2a 013</v>
      </c>
      <c r="P2" s="79" t="str">
        <f>IFERROR(__xludf.DUMMYFUNCTION("IFERROR(
IF($K$24,
  FILTER(
    $C$2:$C97,
    (
      (($K$20*($E$2:$E97=""♢"")) +
       ($K$21*($E$2:$E97=""♢♢"")) +
       ($K$22*($E$2:$E97=""♢♢♢"")) +
       ($K$23*($E$2:$E97=""♢♢♢♢"")) +
       ($M$20*($E$2:$E97=""☆"")) +
       ($M$21*($E$2:$E97"&amp;"=""☆☆"")) +
       ($M$22*($E$2:$E97=""☆☆☆"")) +
       ($M$23*($E$2:$E97=""♛""))
      ) &gt; 0
    )
    *
    (
      BYROW($C$2:$C97,
        LAMBDA(card, COUNTIFS($C$2:$C97, card, IF($M$24, $J$2:$J97, $A$2:$A97), TRUE))
      ) = 0
    )
  ),
  FILTER(
"&amp;"    $C$2:$C97,
    (
      (($K$20*($E$2:$E97=""♢"")) +
       ($K$21*($E$2:$E97=""♢♢"")) +
       ($K$22*($E$2:$E97=""♢♢♢"")) +
       ($K$23*($E$2:$E97=""♢♢♢♢"")) +
       ($M$20*($E$2:$E97=""☆"")) +
       ($M$21*($E$2:$E97=""☆☆"")) +
       ($M$22*($E"&amp;"$2:$E97=""☆☆☆"")) +
       ($M$23*($E$2:$E97=""♛""))
      ) &gt; 0
    )
    *
    IF($M$24, ($J$2:$J97 &lt;= 1), ($A$2:$A97 = FALSE))
  )
)
)"),"Heatran")</f>
        <v>Heatran</v>
      </c>
      <c r="Q2" s="79" t="str">
        <f>IFERROR(__xludf.DUMMYFUNCTION("IFERROR(
IF($K$24,
  FILTER(
    $E$2:$E97,
    (
      (($K$20*($E$2:$E97=""♢"")) +
       ($K$21*($E$2:$E97=""♢♢"")) +
       ($K$22*($E$2:$E97=""♢♢♢"")) +
       ($K$23*($E$2:$E97=""♢♢♢♢"")) +
       ($M$20*($E$2:$E97=""☆"")) +
       ($M$21*($E$2:$E97"&amp;"=""☆☆"")) +
       ($M$22*($E$2:$E97=""☆☆☆"")) +
       ($M$23*($E$2:$E97=""♛""))
      ) &gt; 0
    )
    *
    (
      BYROW($C$2:$C97,
        LAMBDA(card, COUNTIFS($C$2:$C97, card, IF($M$24, $J$2:$J97, $A$2:$A97), TRUE))
      ) = 0
    )
  ),
  FILTER(
"&amp;"    $E$2:$E97,
    (
      (($K$20*($E$2:$E97=""♢"")) +
       ($K$21*($E$2:$E97=""♢♢"")) +
       ($K$22*($E$2:$E97=""♢♢♢"")) +
       ($K$23*($E$2:$E97=""♢♢♢♢"")) +
       ($M$20*($E$2:$E97=""☆"")) +
       ($M$21*($E$2:$E97=""☆☆"")) +
       ($M$22*($E"&amp;"$2:$E97=""☆☆☆"")) +
       ($M$23*($E$2:$E97=""♛""))
      ) &gt; 0
    )
    *
    IF($M$24, ($J$2:$J97 &lt;= 1), ($A$2:$A97 = FALSE))
  )
)
)"),"♢♢♢")</f>
        <v>♢♢♢</v>
      </c>
      <c r="R2" s="79">
        <f t="shared" ref="R2:R86" si="2">IFERROR(IFS(Q2="♢",35,Q2="♢♢",70,Q2="♢♢♢",150,Q2="♢♢♢♢",500,Q2="☆",400,Q2="☆☆",1250,Q2="☆☆☆",1500,Q2="♛",2500),"")</f>
        <v>150</v>
      </c>
    </row>
    <row r="3">
      <c r="A3" s="217" t="b">
        <v>1</v>
      </c>
      <c r="B3" s="218" t="s">
        <v>757</v>
      </c>
      <c r="C3" s="69" t="str">
        <f t="array" ref="C3">TEXTJOIN("", TRUE, IFERROR(INDEX('language&amp;DataTest'!A:J, MATCH(INDEX( PointerTest!C:C, MATCH(B3, PointerTest!A:A, 0), 0), 'language&amp;DataTest'!A:A, 0), MATCH(HOME!$A$25, 'language&amp;DataTest'!$A$1:$H$1, 0))),                      IFERROR(INDEX('language&amp;DataTest'!A:J, MATCH(INDEX( PointerTest!D:D, MATCH(B3, PointerTest!A:A, 0), 0), 'language&amp;DataTest'!A:A, 0), MATCH(HOME!$A$25, 'language&amp;DataTest'!$A$1:$H$1, 0))),                                          
IFERROR(INDEX('language&amp;DataTest'!A:J, MATCH(INDEX( PointerTest!E:E, MATCH(B3, PointerTest!A:A, 0), 0), 'language&amp;DataTest'!A:A, 0), MATCH(HOME!$A$25, 'language&amp;DataTest'!$A$1:$H$1, 0))))</f>
        <v>Burmy</v>
      </c>
      <c r="D3" s="69" t="str">
        <f t="array" ref="D3">TEXTJOIN("", TRUE, 
IFERROR(INDEX('language&amp;DataTest'!A:J, MATCH(INDEX( PointerTest!C:C, MATCH(INDEX(PointerTest!B:B, MATCH(B3, PointerTest!A:A, 0)), PointerTest!A:A, 0), 0), 'language&amp;DataTest'!A:A, 0), MATCH(HOME!$A$25, 'language&amp;DataTest'!$A$1:$H$1, 0))),                      
IFERROR(INDEX('language&amp;DataTest'!A:J, MATCH(INDEX( PointerTest!D:D, MATCH(INDEX(PointerTest!B:B, MATCH(B3, PointerTest!A:A, 0)), PointerTest!A:A, 0), 0), 'language&amp;DataTest'!A:A, 0), MATCH(HOME!$A$25, 'language&amp;DataTest'!$A$1:$H$1, 0))),                                          
IFERROR(INDEX('language&amp;DataTest'!A:J, MATCH(INDEX( PointerTest!E:E, MATCH(INDEX(PointerTest!B:B, MATCH(B3, PointerTest!A:A, 0)), PointerTest!A:A, 0), 0), 'language&amp;DataTest'!A:A, 0), MATCH(HOME!$A$25, 'language&amp;DataTest'!$A$1:$H$1, 0))))</f>
        <v>Arceus</v>
      </c>
      <c r="E3" s="69" t="str">
        <f t="array" ref="E3">INDEX( PointerTest!F:F, MATCH(B3, PointerTest!A:A, 0), 0)</f>
        <v>♢</v>
      </c>
      <c r="F3" s="70">
        <f t="array" ref="F3">LET(percentage,XLOOKUP($E3,$K$2:$K$10,L$2:L$10,"",0)/(COUNTIFS($E:$E,$E3,$D:$D,RegularFormula!$D$2)+COUNTIFS($E:$E,$E3,$D:$D,IF($D3=RegularFormula!$D$2,$K$15,$D3))),IFERROR(IF(percentage,percentage,""),""))</f>
        <v>0.03225806452</v>
      </c>
      <c r="G3" s="71" t="str">
        <f t="array" ref="G3">LET(percentage,XLOOKUP($E3,$K$2:$K$10,M$2:M$10,"",0)/(COUNTIFS($E:$E,$E3,$D:$D,RegularFormula!$D$2)+COUNTIFS($E:$E,$E3,$D:$D,IF($D3=RegularFormula!$D$2,$K$15,$D3))),IFERROR(IF(percentage,percentage,""),""))</f>
        <v/>
      </c>
      <c r="H3" s="71" t="str">
        <f t="array" ref="H3">LET(percentage,XLOOKUP($E3,$K$2:$K$10,N$2:N$10,"",0)/(COUNTIFS($E:$E,$E3,$D:$D,RegularFormula!$D$2)+COUNTIFS($E:$E,$E3,$D:$D,IF($D3=RegularFormula!$D$2,$K$15,$D3))),IFERROR(IF(percentage,percentage,""),""))</f>
        <v/>
      </c>
      <c r="I3" s="72" t="str">
        <f t="shared" si="1"/>
        <v/>
      </c>
      <c r="J3" s="73">
        <v>0.0</v>
      </c>
      <c r="K3" s="81" t="s">
        <v>71</v>
      </c>
      <c r="L3" s="82">
        <v>1.0</v>
      </c>
      <c r="M3" s="83">
        <v>0.0</v>
      </c>
      <c r="N3" s="84">
        <v>0.0</v>
      </c>
      <c r="O3" s="86" t="str">
        <f>IFERROR(__xludf.DUMMYFUNCTION("""COMPUTED_VALUE"""),"A2a 023")</f>
        <v>A2a 023</v>
      </c>
      <c r="P3" s="86" t="str">
        <f>IFERROR(__xludf.DUMMYFUNCTION("""COMPUTED_VALUE"""),"Palkia")</f>
        <v>Palkia</v>
      </c>
      <c r="Q3" s="86" t="str">
        <f>IFERROR(__xludf.DUMMYFUNCTION("""COMPUTED_VALUE"""),"♢♢♢")</f>
        <v>♢♢♢</v>
      </c>
      <c r="R3" s="79">
        <f t="shared" si="2"/>
        <v>150</v>
      </c>
    </row>
    <row r="4">
      <c r="A4" s="217" t="b">
        <v>1</v>
      </c>
      <c r="B4" s="218" t="s">
        <v>758</v>
      </c>
      <c r="C4" s="69" t="str">
        <f t="array" ref="C4">TEXTJOIN("", TRUE, IFERROR(INDEX('language&amp;DataTest'!A:J, MATCH(INDEX( PointerTest!C:C, MATCH(B4, PointerTest!A:A, 0), 0), 'language&amp;DataTest'!A:A, 0), MATCH(HOME!$A$25, 'language&amp;DataTest'!$A$1:$H$1, 0))),                      IFERROR(INDEX('language&amp;DataTest'!A:J, MATCH(INDEX( PointerTest!D:D, MATCH(B4, PointerTest!A:A, 0), 0), 'language&amp;DataTest'!A:A, 0), MATCH(HOME!$A$25, 'language&amp;DataTest'!$A$1:$H$1, 0))),                                          
IFERROR(INDEX('language&amp;DataTest'!A:J, MATCH(INDEX( PointerTest!E:E, MATCH(B4, PointerTest!A:A, 0), 0), 'language&amp;DataTest'!A:A, 0), MATCH(HOME!$A$25, 'language&amp;DataTest'!$A$1:$H$1, 0))))</f>
        <v>Mothim</v>
      </c>
      <c r="D4" s="69" t="str">
        <f t="array" ref="D4">TEXTJOIN("", TRUE, 
IFERROR(INDEX('language&amp;DataTest'!A:J, MATCH(INDEX( PointerTest!C:C, MATCH(INDEX(PointerTest!B:B, MATCH(B4, PointerTest!A:A, 0)), PointerTest!A:A, 0), 0), 'language&amp;DataTest'!A:A, 0), MATCH(HOME!$A$25, 'language&amp;DataTest'!$A$1:$H$1, 0))),                      
IFERROR(INDEX('language&amp;DataTest'!A:J, MATCH(INDEX( PointerTest!D:D, MATCH(INDEX(PointerTest!B:B, MATCH(B4, PointerTest!A:A, 0)), PointerTest!A:A, 0), 0), 'language&amp;DataTest'!A:A, 0), MATCH(HOME!$A$25, 'language&amp;DataTest'!$A$1:$H$1, 0))),                                          
IFERROR(INDEX('language&amp;DataTest'!A:J, MATCH(INDEX( PointerTest!E:E, MATCH(INDEX(PointerTest!B:B, MATCH(B4, PointerTest!A:A, 0)), PointerTest!A:A, 0), 0), 'language&amp;DataTest'!A:A, 0), MATCH(HOME!$A$25, 'language&amp;DataTest'!$A$1:$H$1, 0))))</f>
        <v>Arceus</v>
      </c>
      <c r="E4" s="69" t="str">
        <f t="array" ref="E4">INDEX( PointerTest!F:F, MATCH(B4, PointerTest!A:A, 0), 0)</f>
        <v>♢♢</v>
      </c>
      <c r="F4" s="70" t="str">
        <f t="array" ref="F4">LET(percentage,XLOOKUP($E4,$K$2:$K$10,L$2:L$10,"",0)/(COUNTIFS($E:$E,$E4,$D:$D,RegularFormula!$D$2)+COUNTIFS($E:$E,$E4,$D:$D,IF($D4=RegularFormula!$D$2,$K$15,$D4))),IFERROR(IF(percentage,percentage,""),""))</f>
        <v/>
      </c>
      <c r="G4" s="71">
        <f t="array" ref="G4">LET(percentage,XLOOKUP($E4,$K$2:$K$10,M$2:M$10,"",0)/(COUNTIFS($E:$E,$E4,$D:$D,RegularFormula!$D$2)+COUNTIFS($E:$E,$E4,$D:$D,IF($D4=RegularFormula!$D$2,$K$15,$D4))),IFERROR(IF(percentage,percentage,""),""))</f>
        <v>0.03461538462</v>
      </c>
      <c r="H4" s="71">
        <f t="array" ref="H4">LET(percentage,XLOOKUP($E4,$K$2:$K$10,N$2:N$10,"",0)/(COUNTIFS($E:$E,$E4,$D:$D,RegularFormula!$D$2)+COUNTIFS($E:$E,$E4,$D:$D,IF($D4=RegularFormula!$D$2,$K$15,$D4))),IFERROR(IF(percentage,percentage,""),""))</f>
        <v>0.02307692308</v>
      </c>
      <c r="I4" s="72" t="str">
        <f t="shared" si="1"/>
        <v/>
      </c>
      <c r="J4" s="73">
        <v>0.0</v>
      </c>
      <c r="K4" s="81" t="s">
        <v>73</v>
      </c>
      <c r="L4" s="83">
        <v>0.0</v>
      </c>
      <c r="M4" s="82">
        <v>0.9</v>
      </c>
      <c r="N4" s="87">
        <v>0.6</v>
      </c>
      <c r="O4" s="86" t="str">
        <f>IFERROR(__xludf.DUMMYFUNCTION("""COMPUTED_VALUE"""),"A2a 035")</f>
        <v>A2a 035</v>
      </c>
      <c r="P4" s="86" t="str">
        <f>IFERROR(__xludf.DUMMYFUNCTION("""COMPUTED_VALUE"""),"Rotom")</f>
        <v>Rotom</v>
      </c>
      <c r="Q4" s="86" t="str">
        <f>IFERROR(__xludf.DUMMYFUNCTION("""COMPUTED_VALUE"""),"♢♢♢")</f>
        <v>♢♢♢</v>
      </c>
      <c r="R4" s="79">
        <f t="shared" si="2"/>
        <v>150</v>
      </c>
    </row>
    <row r="5">
      <c r="A5" s="217" t="b">
        <v>1</v>
      </c>
      <c r="B5" s="218" t="s">
        <v>759</v>
      </c>
      <c r="C5" s="69" t="str">
        <f t="array" ref="C5">TEXTJOIN("", TRUE, IFERROR(INDEX('language&amp;DataTest'!A:J, MATCH(INDEX( PointerTest!C:C, MATCH(B5, PointerTest!A:A, 0), 0), 'language&amp;DataTest'!A:A, 0), MATCH(HOME!$A$25, 'language&amp;DataTest'!$A$1:$H$1, 0))),                      IFERROR(INDEX('language&amp;DataTest'!A:J, MATCH(INDEX( PointerTest!D:D, MATCH(B5, PointerTest!A:A, 0), 0), 'language&amp;DataTest'!A:A, 0), MATCH(HOME!$A$25, 'language&amp;DataTest'!$A$1:$H$1, 0))),                                          
IFERROR(INDEX('language&amp;DataTest'!A:J, MATCH(INDEX( PointerTest!E:E, MATCH(B5, PointerTest!A:A, 0), 0), 'language&amp;DataTest'!A:A, 0), MATCH(HOME!$A$25, 'language&amp;DataTest'!$A$1:$H$1, 0))))</f>
        <v>Combee</v>
      </c>
      <c r="D5" s="69" t="str">
        <f t="array" ref="D5">TEXTJOIN("", TRUE, 
IFERROR(INDEX('language&amp;DataTest'!A:J, MATCH(INDEX( PointerTest!C:C, MATCH(INDEX(PointerTest!B:B, MATCH(B5, PointerTest!A:A, 0)), PointerTest!A:A, 0), 0), 'language&amp;DataTest'!A:A, 0), MATCH(HOME!$A$25, 'language&amp;DataTest'!$A$1:$H$1, 0))),                      
IFERROR(INDEX('language&amp;DataTest'!A:J, MATCH(INDEX( PointerTest!D:D, MATCH(INDEX(PointerTest!B:B, MATCH(B5, PointerTest!A:A, 0)), PointerTest!A:A, 0), 0), 'language&amp;DataTest'!A:A, 0), MATCH(HOME!$A$25, 'language&amp;DataTest'!$A$1:$H$1, 0))),                                          
IFERROR(INDEX('language&amp;DataTest'!A:J, MATCH(INDEX( PointerTest!E:E, MATCH(INDEX(PointerTest!B:B, MATCH(B5, PointerTest!A:A, 0)), PointerTest!A:A, 0), 0), 'language&amp;DataTest'!A:A, 0), MATCH(HOME!$A$25, 'language&amp;DataTest'!$A$1:$H$1, 0))))</f>
        <v>Arceus</v>
      </c>
      <c r="E5" s="69" t="str">
        <f t="array" ref="E5">INDEX( PointerTest!F:F, MATCH(B5, PointerTest!A:A, 0), 0)</f>
        <v>♢</v>
      </c>
      <c r="F5" s="70">
        <f t="array" ref="F5">LET(percentage,XLOOKUP($E5,$K$2:$K$10,L$2:L$10,"",0)/(COUNTIFS($E:$E,$E5,$D:$D,RegularFormula!$D$2)+COUNTIFS($E:$E,$E5,$D:$D,IF($D5=RegularFormula!$D$2,$K$15,$D5))),IFERROR(IF(percentage,percentage,""),""))</f>
        <v>0.03225806452</v>
      </c>
      <c r="G5" s="71" t="str">
        <f t="array" ref="G5">LET(percentage,XLOOKUP($E5,$K$2:$K$10,M$2:M$10,"",0)/(COUNTIFS($E:$E,$E5,$D:$D,RegularFormula!$D$2)+COUNTIFS($E:$E,$E5,$D:$D,IF($D5=RegularFormula!$D$2,$K$15,$D5))),IFERROR(IF(percentage,percentage,""),""))</f>
        <v/>
      </c>
      <c r="H5" s="71" t="str">
        <f t="array" ref="H5">LET(percentage,XLOOKUP($E5,$K$2:$K$10,N$2:N$10,"",0)/(COUNTIFS($E:$E,$E5,$D:$D,RegularFormula!$D$2)+COUNTIFS($E:$E,$E5,$D:$D,IF($D5=RegularFormula!$D$2,$K$15,$D5))),IFERROR(IF(percentage,percentage,""),""))</f>
        <v/>
      </c>
      <c r="I5" s="72" t="str">
        <f t="shared" si="1"/>
        <v/>
      </c>
      <c r="J5" s="73">
        <v>0.0</v>
      </c>
      <c r="K5" s="81" t="s">
        <v>75</v>
      </c>
      <c r="L5" s="83">
        <v>0.0</v>
      </c>
      <c r="M5" s="82">
        <v>0.05</v>
      </c>
      <c r="N5" s="87">
        <v>0.2</v>
      </c>
      <c r="O5" s="86" t="str">
        <f>IFERROR(__xludf.DUMMYFUNCTION("""COMPUTED_VALUE"""),"A2a 050")</f>
        <v>A2a 050</v>
      </c>
      <c r="P5" s="86" t="str">
        <f>IFERROR(__xludf.DUMMYFUNCTION("""COMPUTED_VALUE"""),"Crobat")</f>
        <v>Crobat</v>
      </c>
      <c r="Q5" s="86" t="str">
        <f>IFERROR(__xludf.DUMMYFUNCTION("""COMPUTED_VALUE"""),"♢♢♢")</f>
        <v>♢♢♢</v>
      </c>
      <c r="R5" s="79">
        <f t="shared" si="2"/>
        <v>150</v>
      </c>
    </row>
    <row r="6">
      <c r="A6" s="217" t="b">
        <v>1</v>
      </c>
      <c r="B6" s="218" t="s">
        <v>760</v>
      </c>
      <c r="C6" s="69" t="str">
        <f t="array" ref="C6">TEXTJOIN("", TRUE, IFERROR(INDEX('language&amp;DataTest'!A:J, MATCH(INDEX( PointerTest!C:C, MATCH(B6, PointerTest!A:A, 0), 0), 'language&amp;DataTest'!A:A, 0), MATCH(HOME!$A$25, 'language&amp;DataTest'!$A$1:$H$1, 0))),                      IFERROR(INDEX('language&amp;DataTest'!A:J, MATCH(INDEX( PointerTest!D:D, MATCH(B6, PointerTest!A:A, 0), 0), 'language&amp;DataTest'!A:A, 0), MATCH(HOME!$A$25, 'language&amp;DataTest'!$A$1:$H$1, 0))),                                          
IFERROR(INDEX('language&amp;DataTest'!A:J, MATCH(INDEX( PointerTest!E:E, MATCH(B6, PointerTest!A:A, 0), 0), 'language&amp;DataTest'!A:A, 0), MATCH(HOME!$A$25, 'language&amp;DataTest'!$A$1:$H$1, 0))))</f>
        <v>Vespiquen</v>
      </c>
      <c r="D6" s="69" t="str">
        <f t="array" ref="D6">TEXTJOIN("", TRUE, 
IFERROR(INDEX('language&amp;DataTest'!A:J, MATCH(INDEX( PointerTest!C:C, MATCH(INDEX(PointerTest!B:B, MATCH(B6, PointerTest!A:A, 0)), PointerTest!A:A, 0), 0), 'language&amp;DataTest'!A:A, 0), MATCH(HOME!$A$25, 'language&amp;DataTest'!$A$1:$H$1, 0))),                      
IFERROR(INDEX('language&amp;DataTest'!A:J, MATCH(INDEX( PointerTest!D:D, MATCH(INDEX(PointerTest!B:B, MATCH(B6, PointerTest!A:A, 0)), PointerTest!A:A, 0), 0), 'language&amp;DataTest'!A:A, 0), MATCH(HOME!$A$25, 'language&amp;DataTest'!$A$1:$H$1, 0))),                                          
IFERROR(INDEX('language&amp;DataTest'!A:J, MATCH(INDEX( PointerTest!E:E, MATCH(INDEX(PointerTest!B:B, MATCH(B6, PointerTest!A:A, 0)), PointerTest!A:A, 0), 0), 'language&amp;DataTest'!A:A, 0), MATCH(HOME!$A$25, 'language&amp;DataTest'!$A$1:$H$1, 0))))</f>
        <v>Arceus</v>
      </c>
      <c r="E6" s="69" t="str">
        <f t="array" ref="E6">INDEX( PointerTest!F:F, MATCH(B6, PointerTest!A:A, 0), 0)</f>
        <v>♢♢</v>
      </c>
      <c r="F6" s="70" t="str">
        <f t="array" ref="F6">LET(percentage,XLOOKUP($E6,$K$2:$K$10,L$2:L$10,"",0)/(COUNTIFS($E:$E,$E6,$D:$D,RegularFormula!$D$2)+COUNTIFS($E:$E,$E6,$D:$D,IF($D6=RegularFormula!$D$2,$K$15,$D6))),IFERROR(IF(percentage,percentage,""),""))</f>
        <v/>
      </c>
      <c r="G6" s="71">
        <f t="array" ref="G6">LET(percentage,XLOOKUP($E6,$K$2:$K$10,M$2:M$10,"",0)/(COUNTIFS($E:$E,$E6,$D:$D,RegularFormula!$D$2)+COUNTIFS($E:$E,$E6,$D:$D,IF($D6=RegularFormula!$D$2,$K$15,$D6))),IFERROR(IF(percentage,percentage,""),""))</f>
        <v>0.03461538462</v>
      </c>
      <c r="H6" s="71">
        <f t="array" ref="H6">LET(percentage,XLOOKUP($E6,$K$2:$K$10,N$2:N$10,"",0)/(COUNTIFS($E:$E,$E6,$D:$D,RegularFormula!$D$2)+COUNTIFS($E:$E,$E6,$D:$D,IF($D6=RegularFormula!$D$2,$K$15,$D6))),IFERROR(IF(percentage,percentage,""),""))</f>
        <v>0.02307692308</v>
      </c>
      <c r="I6" s="72" t="str">
        <f t="shared" si="1"/>
        <v/>
      </c>
      <c r="J6" s="73">
        <v>0.0</v>
      </c>
      <c r="K6" s="81" t="s">
        <v>77</v>
      </c>
      <c r="L6" s="83">
        <v>0.0</v>
      </c>
      <c r="M6" s="82">
        <v>0.01666</v>
      </c>
      <c r="N6" s="87">
        <v>0.06664</v>
      </c>
      <c r="O6" s="86" t="str">
        <f>IFERROR(__xludf.DUMMYFUNCTION("""COMPUTED_VALUE"""),"A2a 061")</f>
        <v>A2a 061</v>
      </c>
      <c r="P6" s="86" t="str">
        <f>IFERROR(__xludf.DUMMYFUNCTION("""COMPUTED_VALUE"""),"Giratina")</f>
        <v>Giratina</v>
      </c>
      <c r="Q6" s="86" t="str">
        <f>IFERROR(__xludf.DUMMYFUNCTION("""COMPUTED_VALUE"""),"♢♢♢")</f>
        <v>♢♢♢</v>
      </c>
      <c r="R6" s="79">
        <f t="shared" si="2"/>
        <v>150</v>
      </c>
    </row>
    <row r="7">
      <c r="A7" s="217" t="b">
        <v>1</v>
      </c>
      <c r="B7" s="218" t="s">
        <v>761</v>
      </c>
      <c r="C7" s="69" t="str">
        <f t="array" ref="C7">TEXTJOIN("", TRUE, IFERROR(INDEX('language&amp;DataTest'!A:J, MATCH(INDEX( PointerTest!C:C, MATCH(B7, PointerTest!A:A, 0), 0), 'language&amp;DataTest'!A:A, 0), MATCH(HOME!$A$25, 'language&amp;DataTest'!$A$1:$H$1, 0))),                      IFERROR(INDEX('language&amp;DataTest'!A:J, MATCH(INDEX( PointerTest!D:D, MATCH(B7, PointerTest!A:A, 0), 0), 'language&amp;DataTest'!A:A, 0), MATCH(HOME!$A$25, 'language&amp;DataTest'!$A$1:$H$1, 0))),                                          
IFERROR(INDEX('language&amp;DataTest'!A:J, MATCH(INDEX( PointerTest!E:E, MATCH(B7, PointerTest!A:A, 0), 0), 'language&amp;DataTest'!A:A, 0), MATCH(HOME!$A$25, 'language&amp;DataTest'!$A$1:$H$1, 0))))</f>
        <v>Cherubi</v>
      </c>
      <c r="D7" s="69" t="str">
        <f t="array" ref="D7">TEXTJOIN("", TRUE, 
IFERROR(INDEX('language&amp;DataTest'!A:J, MATCH(INDEX( PointerTest!C:C, MATCH(INDEX(PointerTest!B:B, MATCH(B7, PointerTest!A:A, 0)), PointerTest!A:A, 0), 0), 'language&amp;DataTest'!A:A, 0), MATCH(HOME!$A$25, 'language&amp;DataTest'!$A$1:$H$1, 0))),                      
IFERROR(INDEX('language&amp;DataTest'!A:J, MATCH(INDEX( PointerTest!D:D, MATCH(INDEX(PointerTest!B:B, MATCH(B7, PointerTest!A:A, 0)), PointerTest!A:A, 0), 0), 'language&amp;DataTest'!A:A, 0), MATCH(HOME!$A$25, 'language&amp;DataTest'!$A$1:$H$1, 0))),                                          
IFERROR(INDEX('language&amp;DataTest'!A:J, MATCH(INDEX( PointerTest!E:E, MATCH(INDEX(PointerTest!B:B, MATCH(B7, PointerTest!A:A, 0)), PointerTest!A:A, 0), 0), 'language&amp;DataTest'!A:A, 0), MATCH(HOME!$A$25, 'language&amp;DataTest'!$A$1:$H$1, 0))))</f>
        <v>Arceus</v>
      </c>
      <c r="E7" s="69" t="str">
        <f t="array" ref="E7">INDEX( PointerTest!F:F, MATCH(B7, PointerTest!A:A, 0), 0)</f>
        <v>♢</v>
      </c>
      <c r="F7" s="70">
        <f t="array" ref="F7">LET(percentage,XLOOKUP($E7,$K$2:$K$10,L$2:L$10,"",0)/(COUNTIFS($E:$E,$E7,$D:$D,RegularFormula!$D$2)+COUNTIFS($E:$E,$E7,$D:$D,IF($D7=RegularFormula!$D$2,$K$15,$D7))),IFERROR(IF(percentage,percentage,""),""))</f>
        <v>0.03225806452</v>
      </c>
      <c r="G7" s="71" t="str">
        <f t="array" ref="G7">LET(percentage,XLOOKUP($E7,$K$2:$K$10,M$2:M$10,"",0)/(COUNTIFS($E:$E,$E7,$D:$D,RegularFormula!$D$2)+COUNTIFS($E:$E,$E7,$D:$D,IF($D7=RegularFormula!$D$2,$K$15,$D7))),IFERROR(IF(percentage,percentage,""),""))</f>
        <v/>
      </c>
      <c r="H7" s="71" t="str">
        <f t="array" ref="H7">LET(percentage,XLOOKUP($E7,$K$2:$K$10,N$2:N$10,"",0)/(COUNTIFS($E:$E,$E7,$D:$D,RegularFormula!$D$2)+COUNTIFS($E:$E,$E7,$D:$D,IF($D7=RegularFormula!$D$2,$K$15,$D7))),IFERROR(IF(percentage,percentage,""),""))</f>
        <v/>
      </c>
      <c r="I7" s="72" t="str">
        <f t="shared" si="1"/>
        <v/>
      </c>
      <c r="J7" s="73">
        <v>0.0</v>
      </c>
      <c r="K7" s="81" t="s">
        <v>79</v>
      </c>
      <c r="L7" s="83">
        <v>0.0</v>
      </c>
      <c r="M7" s="82">
        <v>0.02572</v>
      </c>
      <c r="N7" s="87">
        <v>0.10288</v>
      </c>
      <c r="O7" s="86" t="str">
        <f>IFERROR(__xludf.DUMMYFUNCTION("""COMPUTED_VALUE"""),"A2a 080")</f>
        <v>A2a 080</v>
      </c>
      <c r="P7" s="86" t="str">
        <f>IFERROR(__xludf.DUMMYFUNCTION("""COMPUTED_VALUE"""),"Magnemite")</f>
        <v>Magnemite</v>
      </c>
      <c r="Q7" s="86" t="str">
        <f>IFERROR(__xludf.DUMMYFUNCTION("""COMPUTED_VALUE"""),"☆")</f>
        <v>☆</v>
      </c>
      <c r="R7" s="79">
        <f t="shared" si="2"/>
        <v>400</v>
      </c>
    </row>
    <row r="8">
      <c r="A8" s="217" t="b">
        <v>1</v>
      </c>
      <c r="B8" s="218" t="s">
        <v>762</v>
      </c>
      <c r="C8" s="69" t="str">
        <f t="array" ref="C8">TEXTJOIN("", TRUE, IFERROR(INDEX('language&amp;DataTest'!A:J, MATCH(INDEX( PointerTest!C:C, MATCH(B8, PointerTest!A:A, 0), 0), 'language&amp;DataTest'!A:A, 0), MATCH(HOME!$A$25, 'language&amp;DataTest'!$A$1:$H$1, 0))),                      IFERROR(INDEX('language&amp;DataTest'!A:J, MATCH(INDEX( PointerTest!D:D, MATCH(B8, PointerTest!A:A, 0), 0), 'language&amp;DataTest'!A:A, 0), MATCH(HOME!$A$25, 'language&amp;DataTest'!$A$1:$H$1, 0))),                                          
IFERROR(INDEX('language&amp;DataTest'!A:J, MATCH(INDEX( PointerTest!E:E, MATCH(B8, PointerTest!A:A, 0), 0), 'language&amp;DataTest'!A:A, 0), MATCH(HOME!$A$25, 'language&amp;DataTest'!$A$1:$H$1, 0))))</f>
        <v>Cherrim</v>
      </c>
      <c r="D8" s="69" t="str">
        <f t="array" ref="D8">TEXTJOIN("", TRUE, 
IFERROR(INDEX('language&amp;DataTest'!A:J, MATCH(INDEX( PointerTest!C:C, MATCH(INDEX(PointerTest!B:B, MATCH(B8, PointerTest!A:A, 0)), PointerTest!A:A, 0), 0), 'language&amp;DataTest'!A:A, 0), MATCH(HOME!$A$25, 'language&amp;DataTest'!$A$1:$H$1, 0))),                      
IFERROR(INDEX('language&amp;DataTest'!A:J, MATCH(INDEX( PointerTest!D:D, MATCH(INDEX(PointerTest!B:B, MATCH(B8, PointerTest!A:A, 0)), PointerTest!A:A, 0), 0), 'language&amp;DataTest'!A:A, 0), MATCH(HOME!$A$25, 'language&amp;DataTest'!$A$1:$H$1, 0))),                                          
IFERROR(INDEX('language&amp;DataTest'!A:J, MATCH(INDEX( PointerTest!E:E, MATCH(INDEX(PointerTest!B:B, MATCH(B8, PointerTest!A:A, 0)), PointerTest!A:A, 0), 0), 'language&amp;DataTest'!A:A, 0), MATCH(HOME!$A$25, 'language&amp;DataTest'!$A$1:$H$1, 0))))</f>
        <v>Arceus</v>
      </c>
      <c r="E8" s="69" t="str">
        <f t="array" ref="E8">INDEX( PointerTest!F:F, MATCH(B8, PointerTest!A:A, 0), 0)</f>
        <v>♢♢</v>
      </c>
      <c r="F8" s="70" t="str">
        <f t="array" ref="F8">LET(percentage,XLOOKUP($E8,$K$2:$K$10,L$2:L$10,"",0)/(COUNTIFS($E:$E,$E8,$D:$D,RegularFormula!$D$2)+COUNTIFS($E:$E,$E8,$D:$D,IF($D8=RegularFormula!$D$2,$K$15,$D8))),IFERROR(IF(percentage,percentage,""),""))</f>
        <v/>
      </c>
      <c r="G8" s="71">
        <f t="array" ref="G8">LET(percentage,XLOOKUP($E8,$K$2:$K$10,M$2:M$10,"",0)/(COUNTIFS($E:$E,$E8,$D:$D,RegularFormula!$D$2)+COUNTIFS($E:$E,$E8,$D:$D,IF($D8=RegularFormula!$D$2,$K$15,$D8))),IFERROR(IF(percentage,percentage,""),""))</f>
        <v>0.03461538462</v>
      </c>
      <c r="H8" s="71">
        <f t="array" ref="H8">LET(percentage,XLOOKUP($E8,$K$2:$K$10,N$2:N$10,"",0)/(COUNTIFS($E:$E,$E8,$D:$D,RegularFormula!$D$2)+COUNTIFS($E:$E,$E8,$D:$D,IF($D8=RegularFormula!$D$2,$K$15,$D8))),IFERROR(IF(percentage,percentage,""),""))</f>
        <v>0.02307692308</v>
      </c>
      <c r="I8" s="72" t="str">
        <f t="shared" si="1"/>
        <v/>
      </c>
      <c r="J8" s="73">
        <v>0.0</v>
      </c>
      <c r="K8" s="81" t="s">
        <v>81</v>
      </c>
      <c r="L8" s="83">
        <v>0.0</v>
      </c>
      <c r="M8" s="82">
        <v>0.005</v>
      </c>
      <c r="N8" s="87">
        <v>0.02</v>
      </c>
      <c r="O8" s="86" t="str">
        <f>IFERROR(__xludf.DUMMYFUNCTION("""COMPUTED_VALUE"""),"A2a 082")</f>
        <v>A2a 082</v>
      </c>
      <c r="P8" s="86" t="str">
        <f>IFERROR(__xludf.DUMMYFUNCTION("""COMPUTED_VALUE"""),"Leafeon ex")</f>
        <v>Leafeon ex</v>
      </c>
      <c r="Q8" s="86" t="str">
        <f>IFERROR(__xludf.DUMMYFUNCTION("""COMPUTED_VALUE"""),"☆☆")</f>
        <v>☆☆</v>
      </c>
      <c r="R8" s="79">
        <f t="shared" si="2"/>
        <v>1250</v>
      </c>
    </row>
    <row r="9">
      <c r="A9" s="217" t="b">
        <v>1</v>
      </c>
      <c r="B9" s="218" t="s">
        <v>763</v>
      </c>
      <c r="C9" s="69" t="str">
        <f t="array" ref="C9">TEXTJOIN("", TRUE, IFERROR(INDEX('language&amp;DataTest'!A:J, MATCH(INDEX( PointerTest!C:C, MATCH(B9, PointerTest!A:A, 0), 0), 'language&amp;DataTest'!A:A, 0), MATCH(HOME!$A$25, 'language&amp;DataTest'!$A$1:$H$1, 0))),                      IFERROR(INDEX('language&amp;DataTest'!A:J, MATCH(INDEX( PointerTest!D:D, MATCH(B9, PointerTest!A:A, 0), 0), 'language&amp;DataTest'!A:A, 0), MATCH(HOME!$A$25, 'language&amp;DataTest'!$A$1:$H$1, 0))),                                          
IFERROR(INDEX('language&amp;DataTest'!A:J, MATCH(INDEX( PointerTest!E:E, MATCH(B9, PointerTest!A:A, 0), 0), 'language&amp;DataTest'!A:A, 0), MATCH(HOME!$A$25, 'language&amp;DataTest'!$A$1:$H$1, 0))))</f>
        <v>Cherrim</v>
      </c>
      <c r="D9" s="69" t="str">
        <f t="array" ref="D9">TEXTJOIN("", TRUE, 
IFERROR(INDEX('language&amp;DataTest'!A:J, MATCH(INDEX( PointerTest!C:C, MATCH(INDEX(PointerTest!B:B, MATCH(B9, PointerTest!A:A, 0)), PointerTest!A:A, 0), 0), 'language&amp;DataTest'!A:A, 0), MATCH(HOME!$A$25, 'language&amp;DataTest'!$A$1:$H$1, 0))),                      
IFERROR(INDEX('language&amp;DataTest'!A:J, MATCH(INDEX( PointerTest!D:D, MATCH(INDEX(PointerTest!B:B, MATCH(B9, PointerTest!A:A, 0)), PointerTest!A:A, 0), 0), 'language&amp;DataTest'!A:A, 0), MATCH(HOME!$A$25, 'language&amp;DataTest'!$A$1:$H$1, 0))),                                          
IFERROR(INDEX('language&amp;DataTest'!A:J, MATCH(INDEX( PointerTest!E:E, MATCH(INDEX(PointerTest!B:B, MATCH(B9, PointerTest!A:A, 0)), PointerTest!A:A, 0), 0), 'language&amp;DataTest'!A:A, 0), MATCH(HOME!$A$25, 'language&amp;DataTest'!$A$1:$H$1, 0))))</f>
        <v>Arceus</v>
      </c>
      <c r="E9" s="69" t="str">
        <f t="array" ref="E9">INDEX( PointerTest!F:F, MATCH(B9, PointerTest!A:A, 0), 0)</f>
        <v>♢♢</v>
      </c>
      <c r="F9" s="70" t="str">
        <f t="array" ref="F9">LET(percentage,XLOOKUP($E9,$K$2:$K$10,L$2:L$10,"",0)/(COUNTIFS($E:$E,$E9,$D:$D,RegularFormula!$D$2)+COUNTIFS($E:$E,$E9,$D:$D,IF($D9=RegularFormula!$D$2,$K$15,$D9))),IFERROR(IF(percentage,percentage,""),""))</f>
        <v/>
      </c>
      <c r="G9" s="71">
        <f t="array" ref="G9">LET(percentage,XLOOKUP($E9,$K$2:$K$10,M$2:M$10,"",0)/(COUNTIFS($E:$E,$E9,$D:$D,RegularFormula!$D$2)+COUNTIFS($E:$E,$E9,$D:$D,IF($D9=RegularFormula!$D$2,$K$15,$D9))),IFERROR(IF(percentage,percentage,""),""))</f>
        <v>0.03461538462</v>
      </c>
      <c r="H9" s="71">
        <f t="array" ref="H9">LET(percentage,XLOOKUP($E9,$K$2:$K$10,N$2:N$10,"",0)/(COUNTIFS($E:$E,$E9,$D:$D,RegularFormula!$D$2)+COUNTIFS($E:$E,$E9,$D:$D,IF($D9=RegularFormula!$D$2,$K$15,$D9))),IFERROR(IF(percentage,percentage,""),""))</f>
        <v>0.02307692308</v>
      </c>
      <c r="I9" s="72" t="str">
        <f t="shared" si="1"/>
        <v/>
      </c>
      <c r="J9" s="73">
        <v>0.0</v>
      </c>
      <c r="K9" s="81" t="s">
        <v>83</v>
      </c>
      <c r="L9" s="83">
        <v>0.0</v>
      </c>
      <c r="M9" s="82">
        <v>0.00222</v>
      </c>
      <c r="N9" s="87">
        <v>0.00888</v>
      </c>
      <c r="O9" s="86" t="str">
        <f>IFERROR(__xludf.DUMMYFUNCTION("""COMPUTED_VALUE"""),"A2a 084")</f>
        <v>A2a 084</v>
      </c>
      <c r="P9" s="86" t="str">
        <f>IFERROR(__xludf.DUMMYFUNCTION("""COMPUTED_VALUE"""),"Garchomp ex")</f>
        <v>Garchomp ex</v>
      </c>
      <c r="Q9" s="86" t="str">
        <f>IFERROR(__xludf.DUMMYFUNCTION("""COMPUTED_VALUE"""),"☆☆")</f>
        <v>☆☆</v>
      </c>
      <c r="R9" s="79">
        <f t="shared" si="2"/>
        <v>1250</v>
      </c>
    </row>
    <row r="10">
      <c r="A10" s="217" t="b">
        <v>1</v>
      </c>
      <c r="B10" s="218" t="s">
        <v>764</v>
      </c>
      <c r="C10" s="69" t="str">
        <f t="array" ref="C10">TEXTJOIN("", TRUE, IFERROR(INDEX('language&amp;DataTest'!A:J, MATCH(INDEX( PointerTest!C:C, MATCH(B10, PointerTest!A:A, 0), 0), 'language&amp;DataTest'!A:A, 0), MATCH(HOME!$A$25, 'language&amp;DataTest'!$A$1:$H$1, 0))),                      IFERROR(INDEX('language&amp;DataTest'!A:J, MATCH(INDEX( PointerTest!D:D, MATCH(B10, PointerTest!A:A, 0), 0), 'language&amp;DataTest'!A:A, 0), MATCH(HOME!$A$25, 'language&amp;DataTest'!$A$1:$H$1, 0))),                                          
IFERROR(INDEX('language&amp;DataTest'!A:J, MATCH(INDEX( PointerTest!E:E, MATCH(B10, PointerTest!A:A, 0), 0), 'language&amp;DataTest'!A:A, 0), MATCH(HOME!$A$25, 'language&amp;DataTest'!$A$1:$H$1, 0))))</f>
        <v>Carnivine</v>
      </c>
      <c r="D10" s="69" t="str">
        <f t="array" ref="D10">TEXTJOIN("", TRUE, 
IFERROR(INDEX('language&amp;DataTest'!A:J, MATCH(INDEX( PointerTest!C:C, MATCH(INDEX(PointerTest!B:B, MATCH(B10, PointerTest!A:A, 0)), PointerTest!A:A, 0), 0), 'language&amp;DataTest'!A:A, 0), MATCH(HOME!$A$25, 'language&amp;DataTest'!$A$1:$H$1, 0))),                      
IFERROR(INDEX('language&amp;DataTest'!A:J, MATCH(INDEX( PointerTest!D:D, MATCH(INDEX(PointerTest!B:B, MATCH(B10, PointerTest!A:A, 0)), PointerTest!A:A, 0), 0), 'language&amp;DataTest'!A:A, 0), MATCH(HOME!$A$25, 'language&amp;DataTest'!$A$1:$H$1, 0))),                                          
IFERROR(INDEX('language&amp;DataTest'!A:J, MATCH(INDEX( PointerTest!E:E, MATCH(INDEX(PointerTest!B:B, MATCH(B10, PointerTest!A:A, 0)), PointerTest!A:A, 0), 0), 'language&amp;DataTest'!A:A, 0), MATCH(HOME!$A$25, 'language&amp;DataTest'!$A$1:$H$1, 0))))</f>
        <v>Arceus</v>
      </c>
      <c r="E10" s="69" t="str">
        <f t="array" ref="E10">INDEX( PointerTest!F:F, MATCH(B10, PointerTest!A:A, 0), 0)</f>
        <v>♢♢♢</v>
      </c>
      <c r="F10" s="70" t="str">
        <f t="array" ref="F10">LET(percentage,XLOOKUP($E10,$K$2:$K$10,L$2:L$10,"",0)/(COUNTIFS($E:$E,$E10,$D:$D,RegularFormula!$D$2)+COUNTIFS($E:$E,$E10,$D:$D,IF($D10=RegularFormula!$D$2,$K$15,$D10))),IFERROR(IF(percentage,percentage,""),""))</f>
        <v/>
      </c>
      <c r="G10" s="71">
        <f t="array" ref="G10">LET(percentage,XLOOKUP($E10,$K$2:$K$10,M$2:M$10,"",0)/(COUNTIFS($E:$E,$E10,$D:$D,RegularFormula!$D$2)+COUNTIFS($E:$E,$E10,$D:$D,IF($D10=RegularFormula!$D$2,$K$15,$D10))),IFERROR(IF(percentage,percentage,""),""))</f>
        <v>0.003846153846</v>
      </c>
      <c r="H10" s="71">
        <f t="array" ref="H10">LET(percentage,XLOOKUP($E10,$K$2:$K$10,N$2:N$10,"",0)/(COUNTIFS($E:$E,$E10,$D:$D,RegularFormula!$D$2)+COUNTIFS($E:$E,$E10,$D:$D,IF($D10=RegularFormula!$D$2,$K$15,$D10))),IFERROR(IF(percentage,percentage,""),""))</f>
        <v>0.01538461538</v>
      </c>
      <c r="I10" s="72" t="str">
        <f t="shared" si="1"/>
        <v/>
      </c>
      <c r="J10" s="73">
        <v>0.0</v>
      </c>
      <c r="K10" s="88" t="s">
        <v>85</v>
      </c>
      <c r="L10" s="89">
        <v>0.0</v>
      </c>
      <c r="M10" s="90">
        <v>4.0E-4</v>
      </c>
      <c r="N10" s="91">
        <v>0.0016</v>
      </c>
      <c r="O10" s="86" t="str">
        <f>IFERROR(__xludf.DUMMYFUNCTION("""COMPUTED_VALUE"""),"A2a 085")</f>
        <v>A2a 085</v>
      </c>
      <c r="P10" s="86" t="str">
        <f>IFERROR(__xludf.DUMMYFUNCTION("""COMPUTED_VALUE"""),"Probopass ex")</f>
        <v>Probopass ex</v>
      </c>
      <c r="Q10" s="86" t="str">
        <f>IFERROR(__xludf.DUMMYFUNCTION("""COMPUTED_VALUE"""),"☆☆")</f>
        <v>☆☆</v>
      </c>
      <c r="R10" s="79">
        <f t="shared" si="2"/>
        <v>1250</v>
      </c>
    </row>
    <row r="11">
      <c r="A11" s="217" t="b">
        <v>1</v>
      </c>
      <c r="B11" s="218" t="s">
        <v>765</v>
      </c>
      <c r="C11" s="69" t="str">
        <f t="array" ref="C11">TEXTJOIN("", TRUE, IFERROR(INDEX('language&amp;DataTest'!A:J, MATCH(INDEX( PointerTest!C:C, MATCH(B11, PointerTest!A:A, 0), 0), 'language&amp;DataTest'!A:A, 0), MATCH(HOME!$A$25, 'language&amp;DataTest'!$A$1:$H$1, 0))),                      IFERROR(INDEX('language&amp;DataTest'!A:J, MATCH(INDEX( PointerTest!D:D, MATCH(B11, PointerTest!A:A, 0), 0), 'language&amp;DataTest'!A:A, 0), MATCH(HOME!$A$25, 'language&amp;DataTest'!$A$1:$H$1, 0))),                                          
IFERROR(INDEX('language&amp;DataTest'!A:J, MATCH(INDEX( PointerTest!E:E, MATCH(B11, PointerTest!A:A, 0), 0), 'language&amp;DataTest'!A:A, 0), MATCH(HOME!$A$25, 'language&amp;DataTest'!$A$1:$H$1, 0))))</f>
        <v>Leafeon ex</v>
      </c>
      <c r="D11" s="69" t="str">
        <f t="array" ref="D11">TEXTJOIN("", TRUE, 
IFERROR(INDEX('language&amp;DataTest'!A:J, MATCH(INDEX( PointerTest!C:C, MATCH(INDEX(PointerTest!B:B, MATCH(B11, PointerTest!A:A, 0)), PointerTest!A:A, 0), 0), 'language&amp;DataTest'!A:A, 0), MATCH(HOME!$A$25, 'language&amp;DataTest'!$A$1:$H$1, 0))),                      
IFERROR(INDEX('language&amp;DataTest'!A:J, MATCH(INDEX( PointerTest!D:D, MATCH(INDEX(PointerTest!B:B, MATCH(B11, PointerTest!A:A, 0)), PointerTest!A:A, 0), 0), 'language&amp;DataTest'!A:A, 0), MATCH(HOME!$A$25, 'language&amp;DataTest'!$A$1:$H$1, 0))),                                          
IFERROR(INDEX('language&amp;DataTest'!A:J, MATCH(INDEX( PointerTest!E:E, MATCH(INDEX(PointerTest!B:B, MATCH(B11, PointerTest!A:A, 0)), PointerTest!A:A, 0), 0), 'language&amp;DataTest'!A:A, 0), MATCH(HOME!$A$25, 'language&amp;DataTest'!$A$1:$H$1, 0))))</f>
        <v>Arceus</v>
      </c>
      <c r="E11" s="69" t="str">
        <f t="array" ref="E11">INDEX( PointerTest!F:F, MATCH(B11, PointerTest!A:A, 0), 0)</f>
        <v>♢♢♢♢</v>
      </c>
      <c r="F11" s="70" t="str">
        <f t="array" ref="F11">LET(percentage,XLOOKUP($E11,$K$2:$K$10,L$2:L$10,"",0)/(COUNTIFS($E:$E,$E11,$D:$D,RegularFormula!$D$2)+COUNTIFS($E:$E,$E11,$D:$D,IF($D11=RegularFormula!$D$2,$K$15,$D11))),IFERROR(IF(percentage,percentage,""),""))</f>
        <v/>
      </c>
      <c r="G11" s="71">
        <f t="array" ref="G11">LET(percentage,XLOOKUP($E11,$K$2:$K$10,M$2:M$10,"",0)/(COUNTIFS($E:$E,$E11,$D:$D,RegularFormula!$D$2)+COUNTIFS($E:$E,$E11,$D:$D,IF($D11=RegularFormula!$D$2,$K$15,$D11))),IFERROR(IF(percentage,percentage,""),""))</f>
        <v>0.003332</v>
      </c>
      <c r="H11" s="71">
        <f t="array" ref="H11">LET(percentage,XLOOKUP($E11,$K$2:$K$10,N$2:N$10,"",0)/(COUNTIFS($E:$E,$E11,$D:$D,RegularFormula!$D$2)+COUNTIFS($E:$E,$E11,$D:$D,IF($D11=RegularFormula!$D$2,$K$15,$D11))),IFERROR(IF(percentage,percentage,""),""))</f>
        <v>0.013328</v>
      </c>
      <c r="I11" s="72" t="str">
        <f t="shared" si="1"/>
        <v/>
      </c>
      <c r="J11" s="73">
        <v>0.0</v>
      </c>
      <c r="K11" s="93" t="s">
        <v>87</v>
      </c>
      <c r="N11" s="94"/>
      <c r="O11" s="86" t="str">
        <f>IFERROR(__xludf.DUMMYFUNCTION("""COMPUTED_VALUE"""),"A2a 086")</f>
        <v>A2a 086</v>
      </c>
      <c r="P11" s="86" t="str">
        <f>IFERROR(__xludf.DUMMYFUNCTION("""COMPUTED_VALUE"""),"Arceus ex")</f>
        <v>Arceus ex</v>
      </c>
      <c r="Q11" s="86" t="str">
        <f>IFERROR(__xludf.DUMMYFUNCTION("""COMPUTED_VALUE"""),"☆☆")</f>
        <v>☆☆</v>
      </c>
      <c r="R11" s="79">
        <f t="shared" si="2"/>
        <v>1250</v>
      </c>
    </row>
    <row r="12">
      <c r="A12" s="217" t="b">
        <v>1</v>
      </c>
      <c r="B12" s="218" t="s">
        <v>766</v>
      </c>
      <c r="C12" s="69" t="str">
        <f t="array" ref="C12">TEXTJOIN("", TRUE, IFERROR(INDEX('language&amp;DataTest'!A:J, MATCH(INDEX( PointerTest!C:C, MATCH(B12, PointerTest!A:A, 0), 0), 'language&amp;DataTest'!A:A, 0), MATCH(HOME!$A$25, 'language&amp;DataTest'!$A$1:$H$1, 0))),                      IFERROR(INDEX('language&amp;DataTest'!A:J, MATCH(INDEX( PointerTest!D:D, MATCH(B12, PointerTest!A:A, 0), 0), 'language&amp;DataTest'!A:A, 0), MATCH(HOME!$A$25, 'language&amp;DataTest'!$A$1:$H$1, 0))),                                          
IFERROR(INDEX('language&amp;DataTest'!A:J, MATCH(INDEX( PointerTest!E:E, MATCH(B12, PointerTest!A:A, 0), 0), 'language&amp;DataTest'!A:A, 0), MATCH(HOME!$A$25, 'language&amp;DataTest'!$A$1:$H$1, 0))))</f>
        <v>Houndour</v>
      </c>
      <c r="D12" s="69" t="str">
        <f t="array" ref="D12">TEXTJOIN("", TRUE, 
IFERROR(INDEX('language&amp;DataTest'!A:J, MATCH(INDEX( PointerTest!C:C, MATCH(INDEX(PointerTest!B:B, MATCH(B12, PointerTest!A:A, 0)), PointerTest!A:A, 0), 0), 'language&amp;DataTest'!A:A, 0), MATCH(HOME!$A$25, 'language&amp;DataTest'!$A$1:$H$1, 0))),                      
IFERROR(INDEX('language&amp;DataTest'!A:J, MATCH(INDEX( PointerTest!D:D, MATCH(INDEX(PointerTest!B:B, MATCH(B12, PointerTest!A:A, 0)), PointerTest!A:A, 0), 0), 'language&amp;DataTest'!A:A, 0), MATCH(HOME!$A$25, 'language&amp;DataTest'!$A$1:$H$1, 0))),                                          
IFERROR(INDEX('language&amp;DataTest'!A:J, MATCH(INDEX( PointerTest!E:E, MATCH(INDEX(PointerTest!B:B, MATCH(B12, PointerTest!A:A, 0)), PointerTest!A:A, 0), 0), 'language&amp;DataTest'!A:A, 0), MATCH(HOME!$A$25, 'language&amp;DataTest'!$A$1:$H$1, 0))))</f>
        <v>Arceus</v>
      </c>
      <c r="E12" s="69" t="str">
        <f t="array" ref="E12">INDEX( PointerTest!F:F, MATCH(B12, PointerTest!A:A, 0), 0)</f>
        <v>♢</v>
      </c>
      <c r="F12" s="70">
        <f t="array" ref="F12">LET(percentage,XLOOKUP($E12,$K$2:$K$10,L$2:L$10,"",0)/(COUNTIFS($E:$E,$E12,$D:$D,RegularFormula!$D$2)+COUNTIFS($E:$E,$E12,$D:$D,IF($D12=RegularFormula!$D$2,$K$15,$D12))),IFERROR(IF(percentage,percentage,""),""))</f>
        <v>0.03225806452</v>
      </c>
      <c r="G12" s="71" t="str">
        <f t="array" ref="G12">LET(percentage,XLOOKUP($E12,$K$2:$K$10,M$2:M$10,"",0)/(COUNTIFS($E:$E,$E12,$D:$D,RegularFormula!$D$2)+COUNTIFS($E:$E,$E12,$D:$D,IF($D12=RegularFormula!$D$2,$K$15,$D12))),IFERROR(IF(percentage,percentage,""),""))</f>
        <v/>
      </c>
      <c r="H12" s="71" t="str">
        <f t="array" ref="H12">LET(percentage,XLOOKUP($E12,$K$2:$K$10,N$2:N$10,"",0)/(COUNTIFS($E:$E,$E12,$D:$D,RegularFormula!$D$2)+COUNTIFS($E:$E,$E12,$D:$D,IF($D12=RegularFormula!$D$2,$K$15,$D12))),IFERROR(IF(percentage,percentage,""),""))</f>
        <v/>
      </c>
      <c r="I12" s="72" t="str">
        <f t="shared" si="1"/>
        <v/>
      </c>
      <c r="J12" s="73">
        <v>0.0</v>
      </c>
      <c r="K12" s="96"/>
      <c r="N12" s="94"/>
      <c r="O12" s="86" t="str">
        <f>IFERROR(__xludf.DUMMYFUNCTION("""COMPUTED_VALUE"""),"A2a 087")</f>
        <v>A2a 087</v>
      </c>
      <c r="P12" s="86" t="str">
        <f>IFERROR(__xludf.DUMMYFUNCTION("""COMPUTED_VALUE"""),"Irida")</f>
        <v>Irida</v>
      </c>
      <c r="Q12" s="86" t="str">
        <f>IFERROR(__xludf.DUMMYFUNCTION("""COMPUTED_VALUE"""),"☆☆")</f>
        <v>☆☆</v>
      </c>
      <c r="R12" s="79">
        <f t="shared" si="2"/>
        <v>1250</v>
      </c>
    </row>
    <row r="13">
      <c r="A13" s="217" t="b">
        <v>1</v>
      </c>
      <c r="B13" s="218" t="s">
        <v>767</v>
      </c>
      <c r="C13" s="69" t="str">
        <f t="array" ref="C13">TEXTJOIN("", TRUE, IFERROR(INDEX('language&amp;DataTest'!A:J, MATCH(INDEX( PointerTest!C:C, MATCH(B13, PointerTest!A:A, 0), 0), 'language&amp;DataTest'!A:A, 0), MATCH(HOME!$A$25, 'language&amp;DataTest'!$A$1:$H$1, 0))),                      IFERROR(INDEX('language&amp;DataTest'!A:J, MATCH(INDEX( PointerTest!D:D, MATCH(B13, PointerTest!A:A, 0), 0), 'language&amp;DataTest'!A:A, 0), MATCH(HOME!$A$25, 'language&amp;DataTest'!$A$1:$H$1, 0))),                                          
IFERROR(INDEX('language&amp;DataTest'!A:J, MATCH(INDEX( PointerTest!E:E, MATCH(B13, PointerTest!A:A, 0), 0), 'language&amp;DataTest'!A:A, 0), MATCH(HOME!$A$25, 'language&amp;DataTest'!$A$1:$H$1, 0))))</f>
        <v>Houndoom</v>
      </c>
      <c r="D13" s="69" t="str">
        <f t="array" ref="D13">TEXTJOIN("", TRUE, 
IFERROR(INDEX('language&amp;DataTest'!A:J, MATCH(INDEX( PointerTest!C:C, MATCH(INDEX(PointerTest!B:B, MATCH(B13, PointerTest!A:A, 0)), PointerTest!A:A, 0), 0), 'language&amp;DataTest'!A:A, 0), MATCH(HOME!$A$25, 'language&amp;DataTest'!$A$1:$H$1, 0))),                      
IFERROR(INDEX('language&amp;DataTest'!A:J, MATCH(INDEX( PointerTest!D:D, MATCH(INDEX(PointerTest!B:B, MATCH(B13, PointerTest!A:A, 0)), PointerTest!A:A, 0), 0), 'language&amp;DataTest'!A:A, 0), MATCH(HOME!$A$25, 'language&amp;DataTest'!$A$1:$H$1, 0))),                                          
IFERROR(INDEX('language&amp;DataTest'!A:J, MATCH(INDEX( PointerTest!E:E, MATCH(INDEX(PointerTest!B:B, MATCH(B13, PointerTest!A:A, 0)), PointerTest!A:A, 0), 0), 'language&amp;DataTest'!A:A, 0), MATCH(HOME!$A$25, 'language&amp;DataTest'!$A$1:$H$1, 0))))</f>
        <v>Arceus</v>
      </c>
      <c r="E13" s="69" t="str">
        <f t="array" ref="E13">INDEX( PointerTest!F:F, MATCH(B13, PointerTest!A:A, 0), 0)</f>
        <v>♢♢</v>
      </c>
      <c r="F13" s="70" t="str">
        <f t="array" ref="F13">LET(percentage,XLOOKUP($E13,$K$2:$K$10,L$2:L$10,"",0)/(COUNTIFS($E:$E,$E13,$D:$D,RegularFormula!$D$2)+COUNTIFS($E:$E,$E13,$D:$D,IF($D13=RegularFormula!$D$2,$K$15,$D13))),IFERROR(IF(percentage,percentage,""),""))</f>
        <v/>
      </c>
      <c r="G13" s="71">
        <f t="array" ref="G13">LET(percentage,XLOOKUP($E13,$K$2:$K$10,M$2:M$10,"",0)/(COUNTIFS($E:$E,$E13,$D:$D,RegularFormula!$D$2)+COUNTIFS($E:$E,$E13,$D:$D,IF($D13=RegularFormula!$D$2,$K$15,$D13))),IFERROR(IF(percentage,percentage,""),""))</f>
        <v>0.03461538462</v>
      </c>
      <c r="H13" s="71">
        <f t="array" ref="H13">LET(percentage,XLOOKUP($E13,$K$2:$K$10,N$2:N$10,"",0)/(COUNTIFS($E:$E,$E13,$D:$D,RegularFormula!$D$2)+COUNTIFS($E:$E,$E13,$D:$D,IF($D13=RegularFormula!$D$2,$K$15,$D13))),IFERROR(IF(percentage,percentage,""),""))</f>
        <v>0.02307692308</v>
      </c>
      <c r="I13" s="72" t="str">
        <f t="shared" si="1"/>
        <v/>
      </c>
      <c r="J13" s="73">
        <v>0.0</v>
      </c>
      <c r="K13" s="97" t="s">
        <v>91</v>
      </c>
      <c r="L13" s="98" t="s">
        <v>92</v>
      </c>
      <c r="M13" s="98" t="s">
        <v>93</v>
      </c>
      <c r="N13" s="99" t="s">
        <v>94</v>
      </c>
      <c r="O13" s="86" t="str">
        <f>IFERROR(__xludf.DUMMYFUNCTION("""COMPUTED_VALUE"""),"A2a 088")</f>
        <v>A2a 088</v>
      </c>
      <c r="P13" s="86" t="str">
        <f>IFERROR(__xludf.DUMMYFUNCTION("""COMPUTED_VALUE"""),"Celestic Town Elder")</f>
        <v>Celestic Town Elder</v>
      </c>
      <c r="Q13" s="86" t="str">
        <f>IFERROR(__xludf.DUMMYFUNCTION("""COMPUTED_VALUE"""),"☆☆")</f>
        <v>☆☆</v>
      </c>
      <c r="R13" s="79">
        <f t="shared" si="2"/>
        <v>1250</v>
      </c>
    </row>
    <row r="14">
      <c r="A14" s="217" t="b">
        <v>0</v>
      </c>
      <c r="B14" s="218" t="s">
        <v>768</v>
      </c>
      <c r="C14" s="69" t="str">
        <f t="array" ref="C14">TEXTJOIN("", TRUE, IFERROR(INDEX('language&amp;DataTest'!A:J, MATCH(INDEX( PointerTest!C:C, MATCH(B14, PointerTest!A:A, 0), 0), 'language&amp;DataTest'!A:A, 0), MATCH(HOME!$A$25, 'language&amp;DataTest'!$A$1:$H$1, 0))),                      IFERROR(INDEX('language&amp;DataTest'!A:J, MATCH(INDEX( PointerTest!D:D, MATCH(B14, PointerTest!A:A, 0), 0), 'language&amp;DataTest'!A:A, 0), MATCH(HOME!$A$25, 'language&amp;DataTest'!$A$1:$H$1, 0))),                                          
IFERROR(INDEX('language&amp;DataTest'!A:J, MATCH(INDEX( PointerTest!E:E, MATCH(B14, PointerTest!A:A, 0), 0), 'language&amp;DataTest'!A:A, 0), MATCH(HOME!$A$25, 'language&amp;DataTest'!$A$1:$H$1, 0))))</f>
        <v>Heatran</v>
      </c>
      <c r="D14" s="69" t="str">
        <f t="array" ref="D14">TEXTJOIN("", TRUE, 
IFERROR(INDEX('language&amp;DataTest'!A:J, MATCH(INDEX( PointerTest!C:C, MATCH(INDEX(PointerTest!B:B, MATCH(B14, PointerTest!A:A, 0)), PointerTest!A:A, 0), 0), 'language&amp;DataTest'!A:A, 0), MATCH(HOME!$A$25, 'language&amp;DataTest'!$A$1:$H$1, 0))),                      
IFERROR(INDEX('language&amp;DataTest'!A:J, MATCH(INDEX( PointerTest!D:D, MATCH(INDEX(PointerTest!B:B, MATCH(B14, PointerTest!A:A, 0)), PointerTest!A:A, 0), 0), 'language&amp;DataTest'!A:A, 0), MATCH(HOME!$A$25, 'language&amp;DataTest'!$A$1:$H$1, 0))),                                          
IFERROR(INDEX('language&amp;DataTest'!A:J, MATCH(INDEX( PointerTest!E:E, MATCH(INDEX(PointerTest!B:B, MATCH(B14, PointerTest!A:A, 0)), PointerTest!A:A, 0), 0), 'language&amp;DataTest'!A:A, 0), MATCH(HOME!$A$25, 'language&amp;DataTest'!$A$1:$H$1, 0))))</f>
        <v>Arceus</v>
      </c>
      <c r="E14" s="69" t="str">
        <f t="array" ref="E14">INDEX( PointerTest!F:F, MATCH(B14, PointerTest!A:A, 0), 0)</f>
        <v>♢♢♢</v>
      </c>
      <c r="F14" s="70" t="str">
        <f t="array" ref="F14">LET(percentage,XLOOKUP($E14,$K$2:$K$10,L$2:L$10,"",0)/(COUNTIFS($E:$E,$E14,$D:$D,RegularFormula!$D$2)+COUNTIFS($E:$E,$E14,$D:$D,IF($D14=RegularFormula!$D$2,$K$15,$D14))),IFERROR(IF(percentage,percentage,""),""))</f>
        <v/>
      </c>
      <c r="G14" s="71">
        <f t="array" ref="G14">LET(percentage,XLOOKUP($E14,$K$2:$K$10,M$2:M$10,"",0)/(COUNTIFS($E:$E,$E14,$D:$D,RegularFormula!$D$2)+COUNTIFS($E:$E,$E14,$D:$D,IF($D14=RegularFormula!$D$2,$K$15,$D14))),IFERROR(IF(percentage,percentage,""),""))</f>
        <v>0.003846153846</v>
      </c>
      <c r="H14" s="71">
        <f t="array" ref="H14">LET(percentage,XLOOKUP($E14,$K$2:$K$10,N$2:N$10,"",0)/(COUNTIFS($E:$E,$E14,$D:$D,RegularFormula!$D$2)+COUNTIFS($E:$E,$E14,$D:$D,IF($D14=RegularFormula!$D$2,$K$15,$D14))),IFERROR(IF(percentage,percentage,""),""))</f>
        <v>0.01538461538</v>
      </c>
      <c r="I14" s="72" t="str">
        <f t="shared" si="1"/>
        <v/>
      </c>
      <c r="J14" s="73">
        <v>0.0</v>
      </c>
      <c r="K14" s="100" t="s">
        <v>96</v>
      </c>
      <c r="L14" s="101">
        <f t="shared" ref="L14:L15" si="3">IFERROR(LEFT($N14,SEARCH("/",$N14)-1)/RIGHT($N14,LEN($N14)-SEARCH("/",$N14)),0)</f>
        <v>0.8125</v>
      </c>
      <c r="M14" s="101">
        <f>COUNTIF(A2:A97, FALSE) / COUNTA(A2:A97)</f>
        <v>0.1875</v>
      </c>
      <c r="N14" s="102" t="str">
        <f>COUNTIF($A2:$A97, TRUE) &amp; "/" &amp; COUNTA($A2:$A97)</f>
        <v>78/96</v>
      </c>
      <c r="O14" s="103" t="str">
        <f>IFERROR(__xludf.DUMMYFUNCTION("""COMPUTED_VALUE"""),"A2a 089")</f>
        <v>A2a 089</v>
      </c>
      <c r="P14" s="103" t="str">
        <f>IFERROR(__xludf.DUMMYFUNCTION("""COMPUTED_VALUE"""),"Barry")</f>
        <v>Barry</v>
      </c>
      <c r="Q14" s="103" t="str">
        <f>IFERROR(__xludf.DUMMYFUNCTION("""COMPUTED_VALUE"""),"☆☆")</f>
        <v>☆☆</v>
      </c>
      <c r="R14" s="79">
        <f t="shared" si="2"/>
        <v>1250</v>
      </c>
    </row>
    <row r="15">
      <c r="A15" s="217" t="b">
        <v>1</v>
      </c>
      <c r="B15" s="218" t="s">
        <v>769</v>
      </c>
      <c r="C15" s="69" t="str">
        <f t="array" ref="C15">TEXTJOIN("", TRUE, IFERROR(INDEX('language&amp;DataTest'!A:J, MATCH(INDEX( PointerTest!C:C, MATCH(B15, PointerTest!A:A, 0), 0), 'language&amp;DataTest'!A:A, 0), MATCH(HOME!$A$25, 'language&amp;DataTest'!$A$1:$H$1, 0))),                      IFERROR(INDEX('language&amp;DataTest'!A:J, MATCH(INDEX( PointerTest!D:D, MATCH(B15, PointerTest!A:A, 0), 0), 'language&amp;DataTest'!A:A, 0), MATCH(HOME!$A$25, 'language&amp;DataTest'!$A$1:$H$1, 0))),                                          
IFERROR(INDEX('language&amp;DataTest'!A:J, MATCH(INDEX( PointerTest!E:E, MATCH(B15, PointerTest!A:A, 0), 0), 'language&amp;DataTest'!A:A, 0), MATCH(HOME!$A$25, 'language&amp;DataTest'!$A$1:$H$1, 0))))</f>
        <v>Marill</v>
      </c>
      <c r="D15" s="69" t="str">
        <f t="array" ref="D15">TEXTJOIN("", TRUE, 
IFERROR(INDEX('language&amp;DataTest'!A:J, MATCH(INDEX( PointerTest!C:C, MATCH(INDEX(PointerTest!B:B, MATCH(B15, PointerTest!A:A, 0)), PointerTest!A:A, 0), 0), 'language&amp;DataTest'!A:A, 0), MATCH(HOME!$A$25, 'language&amp;DataTest'!$A$1:$H$1, 0))),                      
IFERROR(INDEX('language&amp;DataTest'!A:J, MATCH(INDEX( PointerTest!D:D, MATCH(INDEX(PointerTest!B:B, MATCH(B15, PointerTest!A:A, 0)), PointerTest!A:A, 0), 0), 'language&amp;DataTest'!A:A, 0), MATCH(HOME!$A$25, 'language&amp;DataTest'!$A$1:$H$1, 0))),                                          
IFERROR(INDEX('language&amp;DataTest'!A:J, MATCH(INDEX( PointerTest!E:E, MATCH(INDEX(PointerTest!B:B, MATCH(B15, PointerTest!A:A, 0)), PointerTest!A:A, 0), 0), 'language&amp;DataTest'!A:A, 0), MATCH(HOME!$A$25, 'language&amp;DataTest'!$A$1:$H$1, 0))))</f>
        <v>Arceus</v>
      </c>
      <c r="E15" s="69" t="str">
        <f t="array" ref="E15">INDEX( PointerTest!F:F, MATCH(B15, PointerTest!A:A, 0), 0)</f>
        <v>♢</v>
      </c>
      <c r="F15" s="70">
        <f t="array" ref="F15">LET(percentage,XLOOKUP($E15,$K$2:$K$10,L$2:L$10,"",0)/(COUNTIFS($E:$E,$E15,$D:$D,RegularFormula!$D$2)+COUNTIFS($E:$E,$E15,$D:$D,IF($D15=RegularFormula!$D$2,$K$15,$D15))),IFERROR(IF(percentage,percentage,""),""))</f>
        <v>0.03225806452</v>
      </c>
      <c r="G15" s="71" t="str">
        <f t="array" ref="G15">LET(percentage,XLOOKUP($E15,$K$2:$K$10,M$2:M$10,"",0)/(COUNTIFS($E:$E,$E15,$D:$D,RegularFormula!$D$2)+COUNTIFS($E:$E,$E15,$D:$D,IF($D15=RegularFormula!$D$2,$K$15,$D15))),IFERROR(IF(percentage,percentage,""),""))</f>
        <v/>
      </c>
      <c r="H15" s="71" t="str">
        <f t="array" ref="H15">LET(percentage,XLOOKUP($E15,$K$2:$K$10,N$2:N$10,"",0)/(COUNTIFS($E:$E,$E15,$D:$D,RegularFormula!$D$2)+COUNTIFS($E:$E,$E15,$D:$D,IF($D15=RegularFormula!$D$2,$K$15,$D15))),IFERROR(IF(percentage,percentage,""),""))</f>
        <v/>
      </c>
      <c r="I15" s="72" t="str">
        <f t="shared" si="1"/>
        <v/>
      </c>
      <c r="J15" s="73">
        <v>0.0</v>
      </c>
      <c r="K15" s="104" t="str">
        <f>C71</f>
        <v>Arceus</v>
      </c>
      <c r="L15" s="105">
        <f t="shared" si="3"/>
        <v>0.8125</v>
      </c>
      <c r="M15" s="105">
        <f>1-$L15</f>
        <v>0.1875</v>
      </c>
      <c r="N15" s="106" t="str">
        <f>(COUNTIFS($A$2:$A97,TRUE,$D$2:$D97,$K15)+COUNTIFS($A$2:$A97,TRUE,$D$2:$D97,RegularFormula!$D$2)&amp; "/" &amp; (COUNTIFS($D$2:$D97,$K15)+COUNTIFS($D$2:$D97,RegularFormula!$D$2)))</f>
        <v>78/96</v>
      </c>
      <c r="O15" s="103" t="str">
        <f>IFERROR(__xludf.DUMMYFUNCTION("""COMPUTED_VALUE"""),"A2a 091")</f>
        <v>A2a 091</v>
      </c>
      <c r="P15" s="103" t="str">
        <f>IFERROR(__xludf.DUMMYFUNCTION("""COMPUTED_VALUE"""),"Leafeon ex")</f>
        <v>Leafeon ex</v>
      </c>
      <c r="Q15" s="103" t="str">
        <f>IFERROR(__xludf.DUMMYFUNCTION("""COMPUTED_VALUE"""),"☆☆")</f>
        <v>☆☆</v>
      </c>
      <c r="R15" s="79">
        <f t="shared" si="2"/>
        <v>1250</v>
      </c>
    </row>
    <row r="16">
      <c r="A16" s="217" t="b">
        <v>1</v>
      </c>
      <c r="B16" s="218" t="s">
        <v>770</v>
      </c>
      <c r="C16" s="69" t="str">
        <f t="array" ref="C16">TEXTJOIN("", TRUE, IFERROR(INDEX('language&amp;DataTest'!A:J, MATCH(INDEX( PointerTest!C:C, MATCH(B16, PointerTest!A:A, 0), 0), 'language&amp;DataTest'!A:A, 0), MATCH(HOME!$A$25, 'language&amp;DataTest'!$A$1:$H$1, 0))),                      IFERROR(INDEX('language&amp;DataTest'!A:J, MATCH(INDEX( PointerTest!D:D, MATCH(B16, PointerTest!A:A, 0), 0), 'language&amp;DataTest'!A:A, 0), MATCH(HOME!$A$25, 'language&amp;DataTest'!$A$1:$H$1, 0))),                                          
IFERROR(INDEX('language&amp;DataTest'!A:J, MATCH(INDEX( PointerTest!E:E, MATCH(B16, PointerTest!A:A, 0), 0), 'language&amp;DataTest'!A:A, 0), MATCH(HOME!$A$25, 'language&amp;DataTest'!$A$1:$H$1, 0))))</f>
        <v>Azumarill</v>
      </c>
      <c r="D16" s="69" t="str">
        <f t="array" ref="D16">TEXTJOIN("", TRUE, 
IFERROR(INDEX('language&amp;DataTest'!A:J, MATCH(INDEX( PointerTest!C:C, MATCH(INDEX(PointerTest!B:B, MATCH(B16, PointerTest!A:A, 0)), PointerTest!A:A, 0), 0), 'language&amp;DataTest'!A:A, 0), MATCH(HOME!$A$25, 'language&amp;DataTest'!$A$1:$H$1, 0))),                      
IFERROR(INDEX('language&amp;DataTest'!A:J, MATCH(INDEX( PointerTest!D:D, MATCH(INDEX(PointerTest!B:B, MATCH(B16, PointerTest!A:A, 0)), PointerTest!A:A, 0), 0), 'language&amp;DataTest'!A:A, 0), MATCH(HOME!$A$25, 'language&amp;DataTest'!$A$1:$H$1, 0))),                                          
IFERROR(INDEX('language&amp;DataTest'!A:J, MATCH(INDEX( PointerTest!E:E, MATCH(INDEX(PointerTest!B:B, MATCH(B16, PointerTest!A:A, 0)), PointerTest!A:A, 0), 0), 'language&amp;DataTest'!A:A, 0), MATCH(HOME!$A$25, 'language&amp;DataTest'!$A$1:$H$1, 0))))</f>
        <v>Arceus</v>
      </c>
      <c r="E16" s="69" t="str">
        <f t="array" ref="E16">INDEX( PointerTest!F:F, MATCH(B16, PointerTest!A:A, 0), 0)</f>
        <v>♢</v>
      </c>
      <c r="F16" s="70">
        <f t="array" ref="F16">LET(percentage,XLOOKUP($E16,$K$2:$K$10,L$2:L$10,"",0)/(COUNTIFS($E:$E,$E16,$D:$D,RegularFormula!$D$2)+COUNTIFS($E:$E,$E16,$D:$D,IF($D16=RegularFormula!$D$2,$K$15,$D16))),IFERROR(IF(percentage,percentage,""),""))</f>
        <v>0.03225806452</v>
      </c>
      <c r="G16" s="71" t="str">
        <f t="array" ref="G16">LET(percentage,XLOOKUP($E16,$K$2:$K$10,M$2:M$10,"",0)/(COUNTIFS($E:$E,$E16,$D:$D,RegularFormula!$D$2)+COUNTIFS($E:$E,$E16,$D:$D,IF($D16=RegularFormula!$D$2,$K$15,$D16))),IFERROR(IF(percentage,percentage,""),""))</f>
        <v/>
      </c>
      <c r="H16" s="71" t="str">
        <f t="array" ref="H16">LET(percentage,XLOOKUP($E16,$K$2:$K$10,N$2:N$10,"",0)/(COUNTIFS($E:$E,$E16,$D:$D,RegularFormula!$D$2)+COUNTIFS($E:$E,$E16,$D:$D,IF($D16=RegularFormula!$D$2,$K$15,$D16))),IFERROR(IF(percentage,percentage,""),""))</f>
        <v/>
      </c>
      <c r="I16" s="72" t="str">
        <f t="shared" si="1"/>
        <v/>
      </c>
      <c r="J16" s="73">
        <v>0.0</v>
      </c>
      <c r="K16" s="219" t="s">
        <v>101</v>
      </c>
      <c r="L16" s="220" t="str">
        <f>IF(M15 = MAX(M15), K15, IF(#REF! = MAX(M15), #REF!, #REF!))</f>
        <v>Arceus</v>
      </c>
      <c r="M16" s="127"/>
      <c r="N16" s="221"/>
      <c r="O16" s="103" t="str">
        <f>IFERROR(__xludf.DUMMYFUNCTION("""COMPUTED_VALUE"""),"A2a 092")</f>
        <v>A2a 092</v>
      </c>
      <c r="P16" s="103" t="str">
        <f>IFERROR(__xludf.DUMMYFUNCTION("""COMPUTED_VALUE"""),"Glaceon ex")</f>
        <v>Glaceon ex</v>
      </c>
      <c r="Q16" s="103" t="str">
        <f>IFERROR(__xludf.DUMMYFUNCTION("""COMPUTED_VALUE"""),"☆☆")</f>
        <v>☆☆</v>
      </c>
      <c r="R16" s="79">
        <f t="shared" si="2"/>
        <v>1250</v>
      </c>
    </row>
    <row r="17">
      <c r="A17" s="217" t="b">
        <v>1</v>
      </c>
      <c r="B17" s="218" t="s">
        <v>771</v>
      </c>
      <c r="C17" s="69" t="str">
        <f t="array" ref="C17">TEXTJOIN("", TRUE, IFERROR(INDEX('language&amp;DataTest'!A:J, MATCH(INDEX( PointerTest!C:C, MATCH(B17, PointerTest!A:A, 0), 0), 'language&amp;DataTest'!A:A, 0), MATCH(HOME!$A$25, 'language&amp;DataTest'!$A$1:$H$1, 0))),                      IFERROR(INDEX('language&amp;DataTest'!A:J, MATCH(INDEX( PointerTest!D:D, MATCH(B17, PointerTest!A:A, 0), 0), 'language&amp;DataTest'!A:A, 0), MATCH(HOME!$A$25, 'language&amp;DataTest'!$A$1:$H$1, 0))),                                          
IFERROR(INDEX('language&amp;DataTest'!A:J, MATCH(INDEX( PointerTest!E:E, MATCH(B17, PointerTest!A:A, 0), 0), 'language&amp;DataTest'!A:A, 0), MATCH(HOME!$A$25, 'language&amp;DataTest'!$A$1:$H$1, 0))))</f>
        <v>Barboach</v>
      </c>
      <c r="D17" s="69" t="str">
        <f t="array" ref="D17">TEXTJOIN("", TRUE, 
IFERROR(INDEX('language&amp;DataTest'!A:J, MATCH(INDEX( PointerTest!C:C, MATCH(INDEX(PointerTest!B:B, MATCH(B17, PointerTest!A:A, 0)), PointerTest!A:A, 0), 0), 'language&amp;DataTest'!A:A, 0), MATCH(HOME!$A$25, 'language&amp;DataTest'!$A$1:$H$1, 0))),                      
IFERROR(INDEX('language&amp;DataTest'!A:J, MATCH(INDEX( PointerTest!D:D, MATCH(INDEX(PointerTest!B:B, MATCH(B17, PointerTest!A:A, 0)), PointerTest!A:A, 0), 0), 'language&amp;DataTest'!A:A, 0), MATCH(HOME!$A$25, 'language&amp;DataTest'!$A$1:$H$1, 0))),                                          
IFERROR(INDEX('language&amp;DataTest'!A:J, MATCH(INDEX( PointerTest!E:E, MATCH(INDEX(PointerTest!B:B, MATCH(B17, PointerTest!A:A, 0)), PointerTest!A:A, 0), 0), 'language&amp;DataTest'!A:A, 0), MATCH(HOME!$A$25, 'language&amp;DataTest'!$A$1:$H$1, 0))))</f>
        <v>Arceus</v>
      </c>
      <c r="E17" s="69" t="str">
        <f t="array" ref="E17">INDEX( PointerTest!F:F, MATCH(B17, PointerTest!A:A, 0), 0)</f>
        <v>♢</v>
      </c>
      <c r="F17" s="70">
        <f t="array" ref="F17">LET(percentage,XLOOKUP($E17,$K$2:$K$10,L$2:L$10,"",0)/(COUNTIFS($E:$E,$E17,$D:$D,RegularFormula!$D$2)+COUNTIFS($E:$E,$E17,$D:$D,IF($D17=RegularFormula!$D$2,$K$15,$D17))),IFERROR(IF(percentage,percentage,""),""))</f>
        <v>0.03225806452</v>
      </c>
      <c r="G17" s="71" t="str">
        <f t="array" ref="G17">LET(percentage,XLOOKUP($E17,$K$2:$K$10,M$2:M$10,"",0)/(COUNTIFS($E:$E,$E17,$D:$D,RegularFormula!$D$2)+COUNTIFS($E:$E,$E17,$D:$D,IF($D17=RegularFormula!$D$2,$K$15,$D17))),IFERROR(IF(percentage,percentage,""),""))</f>
        <v/>
      </c>
      <c r="H17" s="71" t="str">
        <f t="array" ref="H17">LET(percentage,XLOOKUP($E17,$K$2:$K$10,N$2:N$10,"",0)/(COUNTIFS($E:$E,$E17,$D:$D,RegularFormula!$D$2)+COUNTIFS($E:$E,$E17,$D:$D,IF($D17=RegularFormula!$D$2,$K$15,$D17))),IFERROR(IF(percentage,percentage,""),""))</f>
        <v/>
      </c>
      <c r="I17" s="72" t="str">
        <f t="shared" si="1"/>
        <v/>
      </c>
      <c r="J17" s="73">
        <v>0.0</v>
      </c>
      <c r="K17" s="96"/>
      <c r="N17" s="94"/>
      <c r="O17" s="103" t="str">
        <f>IFERROR(__xludf.DUMMYFUNCTION("""COMPUTED_VALUE"""),"A2a 093")</f>
        <v>A2a 093</v>
      </c>
      <c r="P17" s="103" t="str">
        <f>IFERROR(__xludf.DUMMYFUNCTION("""COMPUTED_VALUE"""),"Garchomp ex")</f>
        <v>Garchomp ex</v>
      </c>
      <c r="Q17" s="103" t="str">
        <f>IFERROR(__xludf.DUMMYFUNCTION("""COMPUTED_VALUE"""),"☆☆")</f>
        <v>☆☆</v>
      </c>
      <c r="R17" s="79">
        <f t="shared" si="2"/>
        <v>1250</v>
      </c>
    </row>
    <row r="18">
      <c r="A18" s="217" t="b">
        <v>1</v>
      </c>
      <c r="B18" s="218" t="s">
        <v>772</v>
      </c>
      <c r="C18" s="69" t="str">
        <f t="array" ref="C18">TEXTJOIN("", TRUE, IFERROR(INDEX('language&amp;DataTest'!A:J, MATCH(INDEX( PointerTest!C:C, MATCH(B18, PointerTest!A:A, 0), 0), 'language&amp;DataTest'!A:A, 0), MATCH(HOME!$A$25, 'language&amp;DataTest'!$A$1:$H$1, 0))),                      IFERROR(INDEX('language&amp;DataTest'!A:J, MATCH(INDEX( PointerTest!D:D, MATCH(B18, PointerTest!A:A, 0), 0), 'language&amp;DataTest'!A:A, 0), MATCH(HOME!$A$25, 'language&amp;DataTest'!$A$1:$H$1, 0))),                                          
IFERROR(INDEX('language&amp;DataTest'!A:J, MATCH(INDEX( PointerTest!E:E, MATCH(B18, PointerTest!A:A, 0), 0), 'language&amp;DataTest'!A:A, 0), MATCH(HOME!$A$25, 'language&amp;DataTest'!$A$1:$H$1, 0))))</f>
        <v>Whiscash</v>
      </c>
      <c r="D18" s="69" t="str">
        <f t="array" ref="D18">TEXTJOIN("", TRUE, 
IFERROR(INDEX('language&amp;DataTest'!A:J, MATCH(INDEX( PointerTest!C:C, MATCH(INDEX(PointerTest!B:B, MATCH(B18, PointerTest!A:A, 0)), PointerTest!A:A, 0), 0), 'language&amp;DataTest'!A:A, 0), MATCH(HOME!$A$25, 'language&amp;DataTest'!$A$1:$H$1, 0))),                      
IFERROR(INDEX('language&amp;DataTest'!A:J, MATCH(INDEX( PointerTest!D:D, MATCH(INDEX(PointerTest!B:B, MATCH(B18, PointerTest!A:A, 0)), PointerTest!A:A, 0), 0), 'language&amp;DataTest'!A:A, 0), MATCH(HOME!$A$25, 'language&amp;DataTest'!$A$1:$H$1, 0))),                                          
IFERROR(INDEX('language&amp;DataTest'!A:J, MATCH(INDEX( PointerTest!E:E, MATCH(INDEX(PointerTest!B:B, MATCH(B18, PointerTest!A:A, 0)), PointerTest!A:A, 0), 0), 'language&amp;DataTest'!A:A, 0), MATCH(HOME!$A$25, 'language&amp;DataTest'!$A$1:$H$1, 0))))</f>
        <v>Arceus</v>
      </c>
      <c r="E18" s="69" t="str">
        <f t="array" ref="E18">INDEX( PointerTest!F:F, MATCH(B18, PointerTest!A:A, 0), 0)</f>
        <v>♢♢</v>
      </c>
      <c r="F18" s="70" t="str">
        <f t="array" ref="F18">LET(percentage,XLOOKUP($E18,$K$2:$K$10,L$2:L$10,"",0)/(COUNTIFS($E:$E,$E18,$D:$D,RegularFormula!$D$2)+COUNTIFS($E:$E,$E18,$D:$D,IF($D18=RegularFormula!$D$2,$K$15,$D18))),IFERROR(IF(percentage,percentage,""),""))</f>
        <v/>
      </c>
      <c r="G18" s="71">
        <f t="array" ref="G18">LET(percentage,XLOOKUP($E18,$K$2:$K$10,M$2:M$10,"",0)/(COUNTIFS($E:$E,$E18,$D:$D,RegularFormula!$D$2)+COUNTIFS($E:$E,$E18,$D:$D,IF($D18=RegularFormula!$D$2,$K$15,$D18))),IFERROR(IF(percentage,percentage,""),""))</f>
        <v>0.03461538462</v>
      </c>
      <c r="H18" s="71">
        <f t="array" ref="H18">LET(percentage,XLOOKUP($E18,$K$2:$K$10,N$2:N$10,"",0)/(COUNTIFS($E:$E,$E18,$D:$D,RegularFormula!$D$2)+COUNTIFS($E:$E,$E18,$D:$D,IF($D18=RegularFormula!$D$2,$K$15,$D18))),IFERROR(IF(percentage,percentage,""),""))</f>
        <v>0.02307692308</v>
      </c>
      <c r="I18" s="72" t="str">
        <f t="shared" si="1"/>
        <v/>
      </c>
      <c r="J18" s="73">
        <v>0.0</v>
      </c>
      <c r="K18" s="114" t="s">
        <v>104</v>
      </c>
      <c r="L18" s="115"/>
      <c r="M18" s="115"/>
      <c r="N18" s="116"/>
      <c r="O18" s="103" t="str">
        <f>IFERROR(__xludf.DUMMYFUNCTION("""COMPUTED_VALUE"""),"A2a 094")</f>
        <v>A2a 094</v>
      </c>
      <c r="P18" s="103" t="str">
        <f>IFERROR(__xludf.DUMMYFUNCTION("""COMPUTED_VALUE"""),"Probopass ex")</f>
        <v>Probopass ex</v>
      </c>
      <c r="Q18" s="103" t="str">
        <f>IFERROR(__xludf.DUMMYFUNCTION("""COMPUTED_VALUE"""),"☆☆")</f>
        <v>☆☆</v>
      </c>
      <c r="R18" s="79">
        <f t="shared" si="2"/>
        <v>1250</v>
      </c>
    </row>
    <row r="19">
      <c r="A19" s="217" t="b">
        <v>1</v>
      </c>
      <c r="B19" s="218" t="s">
        <v>773</v>
      </c>
      <c r="C19" s="69" t="str">
        <f t="array" ref="C19">TEXTJOIN("", TRUE, IFERROR(INDEX('language&amp;DataTest'!A:J, MATCH(INDEX( PointerTest!C:C, MATCH(B19, PointerTest!A:A, 0), 0), 'language&amp;DataTest'!A:A, 0), MATCH(HOME!$A$25, 'language&amp;DataTest'!$A$1:$H$1, 0))),                      IFERROR(INDEX('language&amp;DataTest'!A:J, MATCH(INDEX( PointerTest!D:D, MATCH(B19, PointerTest!A:A, 0), 0), 'language&amp;DataTest'!A:A, 0), MATCH(HOME!$A$25, 'language&amp;DataTest'!$A$1:$H$1, 0))),                                          
IFERROR(INDEX('language&amp;DataTest'!A:J, MATCH(INDEX( PointerTest!E:E, MATCH(B19, PointerTest!A:A, 0), 0), 'language&amp;DataTest'!A:A, 0), MATCH(HOME!$A$25, 'language&amp;DataTest'!$A$1:$H$1, 0))))</f>
        <v>Snorunt</v>
      </c>
      <c r="D19" s="69" t="str">
        <f t="array" ref="D19">TEXTJOIN("", TRUE, 
IFERROR(INDEX('language&amp;DataTest'!A:J, MATCH(INDEX( PointerTest!C:C, MATCH(INDEX(PointerTest!B:B, MATCH(B19, PointerTest!A:A, 0)), PointerTest!A:A, 0), 0), 'language&amp;DataTest'!A:A, 0), MATCH(HOME!$A$25, 'language&amp;DataTest'!$A$1:$H$1, 0))),                      
IFERROR(INDEX('language&amp;DataTest'!A:J, MATCH(INDEX( PointerTest!D:D, MATCH(INDEX(PointerTest!B:B, MATCH(B19, PointerTest!A:A, 0)), PointerTest!A:A, 0), 0), 'language&amp;DataTest'!A:A, 0), MATCH(HOME!$A$25, 'language&amp;DataTest'!$A$1:$H$1, 0))),                                          
IFERROR(INDEX('language&amp;DataTest'!A:J, MATCH(INDEX( PointerTest!E:E, MATCH(INDEX(PointerTest!B:B, MATCH(B19, PointerTest!A:A, 0)), PointerTest!A:A, 0), 0), 'language&amp;DataTest'!A:A, 0), MATCH(HOME!$A$25, 'language&amp;DataTest'!$A$1:$H$1, 0))))</f>
        <v>Arceus</v>
      </c>
      <c r="E19" s="69" t="str">
        <f t="array" ref="E19">INDEX( PointerTest!F:F, MATCH(B19, PointerTest!A:A, 0), 0)</f>
        <v>♢</v>
      </c>
      <c r="F19" s="70">
        <f t="array" ref="F19">LET(percentage,XLOOKUP($E19,$K$2:$K$10,L$2:L$10,"",0)/(COUNTIFS($E:$E,$E19,$D:$D,RegularFormula!$D$2)+COUNTIFS($E:$E,$E19,$D:$D,IF($D19=RegularFormula!$D$2,$K$15,$D19))),IFERROR(IF(percentage,percentage,""),""))</f>
        <v>0.03225806452</v>
      </c>
      <c r="G19" s="71" t="str">
        <f t="array" ref="G19">LET(percentage,XLOOKUP($E19,$K$2:$K$10,M$2:M$10,"",0)/(COUNTIFS($E:$E,$E19,$D:$D,RegularFormula!$D$2)+COUNTIFS($E:$E,$E19,$D:$D,IF($D19=RegularFormula!$D$2,$K$15,$D19))),IFERROR(IF(percentage,percentage,""),""))</f>
        <v/>
      </c>
      <c r="H19" s="71" t="str">
        <f t="array" ref="H19">LET(percentage,XLOOKUP($E19,$K$2:$K$10,N$2:N$10,"",0)/(COUNTIFS($E:$E,$E19,$D:$D,RegularFormula!$D$2)+COUNTIFS($E:$E,$E19,$D:$D,IF($D19=RegularFormula!$D$2,$K$15,$D19))),IFERROR(IF(percentage,percentage,""),""))</f>
        <v/>
      </c>
      <c r="I19" s="72" t="str">
        <f t="shared" si="1"/>
        <v/>
      </c>
      <c r="J19" s="73">
        <v>0.0</v>
      </c>
      <c r="K19" s="118"/>
      <c r="N19" s="119"/>
      <c r="O19" s="103" t="str">
        <f>IFERROR(__xludf.DUMMYFUNCTION("""COMPUTED_VALUE"""),"A2a 096")</f>
        <v>A2a 096</v>
      </c>
      <c r="P19" s="103" t="str">
        <f>IFERROR(__xludf.DUMMYFUNCTION("""COMPUTED_VALUE"""),"Arceus ex")</f>
        <v>Arceus ex</v>
      </c>
      <c r="Q19" s="103" t="str">
        <f>IFERROR(__xludf.DUMMYFUNCTION("""COMPUTED_VALUE"""),"♛")</f>
        <v>♛</v>
      </c>
      <c r="R19" s="79">
        <f t="shared" si="2"/>
        <v>2500</v>
      </c>
    </row>
    <row r="20">
      <c r="A20" s="217" t="b">
        <v>1</v>
      </c>
      <c r="B20" s="218" t="s">
        <v>774</v>
      </c>
      <c r="C20" s="69" t="str">
        <f t="array" ref="C20">TEXTJOIN("", TRUE, IFERROR(INDEX('language&amp;DataTest'!A:J, MATCH(INDEX( PointerTest!C:C, MATCH(B20, PointerTest!A:A, 0), 0), 'language&amp;DataTest'!A:A, 0), MATCH(HOME!$A$25, 'language&amp;DataTest'!$A$1:$H$1, 0))),                      IFERROR(INDEX('language&amp;DataTest'!A:J, MATCH(INDEX( PointerTest!D:D, MATCH(B20, PointerTest!A:A, 0), 0), 'language&amp;DataTest'!A:A, 0), MATCH(HOME!$A$25, 'language&amp;DataTest'!$A$1:$H$1, 0))),                                          
IFERROR(INDEX('language&amp;DataTest'!A:J, MATCH(INDEX( PointerTest!E:E, MATCH(B20, PointerTest!A:A, 0), 0), 'language&amp;DataTest'!A:A, 0), MATCH(HOME!$A$25, 'language&amp;DataTest'!$A$1:$H$1, 0))))</f>
        <v>Froslass</v>
      </c>
      <c r="D20" s="69" t="str">
        <f t="array" ref="D20">TEXTJOIN("", TRUE, 
IFERROR(INDEX('language&amp;DataTest'!A:J, MATCH(INDEX( PointerTest!C:C, MATCH(INDEX(PointerTest!B:B, MATCH(B20, PointerTest!A:A, 0)), PointerTest!A:A, 0), 0), 'language&amp;DataTest'!A:A, 0), MATCH(HOME!$A$25, 'language&amp;DataTest'!$A$1:$H$1, 0))),                      
IFERROR(INDEX('language&amp;DataTest'!A:J, MATCH(INDEX( PointerTest!D:D, MATCH(INDEX(PointerTest!B:B, MATCH(B20, PointerTest!A:A, 0)), PointerTest!A:A, 0), 0), 'language&amp;DataTest'!A:A, 0), MATCH(HOME!$A$25, 'language&amp;DataTest'!$A$1:$H$1, 0))),                                          
IFERROR(INDEX('language&amp;DataTest'!A:J, MATCH(INDEX( PointerTest!E:E, MATCH(INDEX(PointerTest!B:B, MATCH(B20, PointerTest!A:A, 0)), PointerTest!A:A, 0), 0), 'language&amp;DataTest'!A:A, 0), MATCH(HOME!$A$25, 'language&amp;DataTest'!$A$1:$H$1, 0))))</f>
        <v>Arceus</v>
      </c>
      <c r="E20" s="69" t="str">
        <f t="array" ref="E20">INDEX( PointerTest!F:F, MATCH(B20, PointerTest!A:A, 0), 0)</f>
        <v>♢♢</v>
      </c>
      <c r="F20" s="70" t="str">
        <f t="array" ref="F20">LET(percentage,XLOOKUP($E20,$K$2:$K$10,L$2:L$10,"",0)/(COUNTIFS($E:$E,$E20,$D:$D,RegularFormula!$D$2)+COUNTIFS($E:$E,$E20,$D:$D,IF($D20=RegularFormula!$D$2,$K$15,$D20))),IFERROR(IF(percentage,percentage,""),""))</f>
        <v/>
      </c>
      <c r="G20" s="71">
        <f t="array" ref="G20">LET(percentage,XLOOKUP($E20,$K$2:$K$10,M$2:M$10,"",0)/(COUNTIFS($E:$E,$E20,$D:$D,RegularFormula!$D$2)+COUNTIFS($E:$E,$E20,$D:$D,IF($D20=RegularFormula!$D$2,$K$15,$D20))),IFERROR(IF(percentage,percentage,""),""))</f>
        <v>0.03461538462</v>
      </c>
      <c r="H20" s="71">
        <f t="array" ref="H20">LET(percentage,XLOOKUP($E20,$K$2:$K$10,N$2:N$10,"",0)/(COUNTIFS($E:$E,$E20,$D:$D,RegularFormula!$D$2)+COUNTIFS($E:$E,$E20,$D:$D,IF($D20=RegularFormula!$D$2,$K$15,$D20))),IFERROR(IF(percentage,percentage,""),""))</f>
        <v>0.02307692308</v>
      </c>
      <c r="I20" s="72" t="str">
        <f t="shared" si="1"/>
        <v/>
      </c>
      <c r="J20" s="73">
        <v>0.0</v>
      </c>
      <c r="K20" s="121" t="b">
        <v>1</v>
      </c>
      <c r="L20" s="69" t="s">
        <v>71</v>
      </c>
      <c r="M20" s="122" t="b">
        <v>1</v>
      </c>
      <c r="N20" s="222" t="s">
        <v>79</v>
      </c>
      <c r="O20" s="86"/>
      <c r="P20" s="86"/>
      <c r="Q20" s="86"/>
      <c r="R20" s="79" t="str">
        <f t="shared" si="2"/>
        <v/>
      </c>
    </row>
    <row r="21">
      <c r="A21" s="217" t="b">
        <v>1</v>
      </c>
      <c r="B21" s="218" t="s">
        <v>775</v>
      </c>
      <c r="C21" s="69" t="str">
        <f t="array" ref="C21">TEXTJOIN("", TRUE, IFERROR(INDEX('language&amp;DataTest'!A:J, MATCH(INDEX( PointerTest!C:C, MATCH(B21, PointerTest!A:A, 0), 0), 'language&amp;DataTest'!A:A, 0), MATCH(HOME!$A$25, 'language&amp;DataTest'!$A$1:$H$1, 0))),                      IFERROR(INDEX('language&amp;DataTest'!A:J, MATCH(INDEX( PointerTest!D:D, MATCH(B21, PointerTest!A:A, 0), 0), 'language&amp;DataTest'!A:A, 0), MATCH(HOME!$A$25, 'language&amp;DataTest'!$A$1:$H$1, 0))),                                          
IFERROR(INDEX('language&amp;DataTest'!A:J, MATCH(INDEX( PointerTest!E:E, MATCH(B21, PointerTest!A:A, 0), 0), 'language&amp;DataTest'!A:A, 0), MATCH(HOME!$A$25, 'language&amp;DataTest'!$A$1:$H$1, 0))))</f>
        <v>Snover</v>
      </c>
      <c r="D21" s="69" t="str">
        <f t="array" ref="D21">TEXTJOIN("", TRUE, 
IFERROR(INDEX('language&amp;DataTest'!A:J, MATCH(INDEX( PointerTest!C:C, MATCH(INDEX(PointerTest!B:B, MATCH(B21, PointerTest!A:A, 0)), PointerTest!A:A, 0), 0), 'language&amp;DataTest'!A:A, 0), MATCH(HOME!$A$25, 'language&amp;DataTest'!$A$1:$H$1, 0))),                      
IFERROR(INDEX('language&amp;DataTest'!A:J, MATCH(INDEX( PointerTest!D:D, MATCH(INDEX(PointerTest!B:B, MATCH(B21, PointerTest!A:A, 0)), PointerTest!A:A, 0), 0), 'language&amp;DataTest'!A:A, 0), MATCH(HOME!$A$25, 'language&amp;DataTest'!$A$1:$H$1, 0))),                                          
IFERROR(INDEX('language&amp;DataTest'!A:J, MATCH(INDEX( PointerTest!E:E, MATCH(INDEX(PointerTest!B:B, MATCH(B21, PointerTest!A:A, 0)), PointerTest!A:A, 0), 0), 'language&amp;DataTest'!A:A, 0), MATCH(HOME!$A$25, 'language&amp;DataTest'!$A$1:$H$1, 0))))</f>
        <v>Arceus</v>
      </c>
      <c r="E21" s="69" t="str">
        <f t="array" ref="E21">INDEX( PointerTest!F:F, MATCH(B21, PointerTest!A:A, 0), 0)</f>
        <v>♢</v>
      </c>
      <c r="F21" s="70">
        <f t="array" ref="F21">LET(percentage,XLOOKUP($E21,$K$2:$K$10,L$2:L$10,"",0)/(COUNTIFS($E:$E,$E21,$D:$D,RegularFormula!$D$2)+COUNTIFS($E:$E,$E21,$D:$D,IF($D21=RegularFormula!$D$2,$K$15,$D21))),IFERROR(IF(percentage,percentage,""),""))</f>
        <v>0.03225806452</v>
      </c>
      <c r="G21" s="71" t="str">
        <f t="array" ref="G21">LET(percentage,XLOOKUP($E21,$K$2:$K$10,M$2:M$10,"",0)/(COUNTIFS($E:$E,$E21,$D:$D,RegularFormula!$D$2)+COUNTIFS($E:$E,$E21,$D:$D,IF($D21=RegularFormula!$D$2,$K$15,$D21))),IFERROR(IF(percentage,percentage,""),""))</f>
        <v/>
      </c>
      <c r="H21" s="71" t="str">
        <f t="array" ref="H21">LET(percentage,XLOOKUP($E21,$K$2:$K$10,N$2:N$10,"",0)/(COUNTIFS($E:$E,$E21,$D:$D,RegularFormula!$D$2)+COUNTIFS($E:$E,$E21,$D:$D,IF($D21=RegularFormula!$D$2,$K$15,$D21))),IFERROR(IF(percentage,percentage,""),""))</f>
        <v/>
      </c>
      <c r="I21" s="72" t="str">
        <f t="shared" si="1"/>
        <v/>
      </c>
      <c r="J21" s="73">
        <v>0.0</v>
      </c>
      <c r="K21" s="121" t="b">
        <v>1</v>
      </c>
      <c r="L21" s="69" t="s">
        <v>73</v>
      </c>
      <c r="M21" s="122" t="b">
        <v>1</v>
      </c>
      <c r="N21" s="222" t="s">
        <v>81</v>
      </c>
      <c r="O21" s="86"/>
      <c r="P21" s="86"/>
      <c r="Q21" s="86"/>
      <c r="R21" s="79" t="str">
        <f t="shared" si="2"/>
        <v/>
      </c>
    </row>
    <row r="22">
      <c r="A22" s="217" t="b">
        <v>1</v>
      </c>
      <c r="B22" s="218" t="s">
        <v>776</v>
      </c>
      <c r="C22" s="69" t="str">
        <f t="array" ref="C22">TEXTJOIN("", TRUE, IFERROR(INDEX('language&amp;DataTest'!A:J, MATCH(INDEX( PointerTest!C:C, MATCH(B22, PointerTest!A:A, 0), 0), 'language&amp;DataTest'!A:A, 0), MATCH(HOME!$A$25, 'language&amp;DataTest'!$A$1:$H$1, 0))),                      IFERROR(INDEX('language&amp;DataTest'!A:J, MATCH(INDEX( PointerTest!D:D, MATCH(B22, PointerTest!A:A, 0), 0), 'language&amp;DataTest'!A:A, 0), MATCH(HOME!$A$25, 'language&amp;DataTest'!$A$1:$H$1, 0))),                                          
IFERROR(INDEX('language&amp;DataTest'!A:J, MATCH(INDEX( PointerTest!E:E, MATCH(B22, PointerTest!A:A, 0), 0), 'language&amp;DataTest'!A:A, 0), MATCH(HOME!$A$25, 'language&amp;DataTest'!$A$1:$H$1, 0))))</f>
        <v>Abomasnow</v>
      </c>
      <c r="D22" s="69" t="str">
        <f t="array" ref="D22">TEXTJOIN("", TRUE, 
IFERROR(INDEX('language&amp;DataTest'!A:J, MATCH(INDEX( PointerTest!C:C, MATCH(INDEX(PointerTest!B:B, MATCH(B22, PointerTest!A:A, 0)), PointerTest!A:A, 0), 0), 'language&amp;DataTest'!A:A, 0), MATCH(HOME!$A$25, 'language&amp;DataTest'!$A$1:$H$1, 0))),                      
IFERROR(INDEX('language&amp;DataTest'!A:J, MATCH(INDEX( PointerTest!D:D, MATCH(INDEX(PointerTest!B:B, MATCH(B22, PointerTest!A:A, 0)), PointerTest!A:A, 0), 0), 'language&amp;DataTest'!A:A, 0), MATCH(HOME!$A$25, 'language&amp;DataTest'!$A$1:$H$1, 0))),                                          
IFERROR(INDEX('language&amp;DataTest'!A:J, MATCH(INDEX( PointerTest!E:E, MATCH(INDEX(PointerTest!B:B, MATCH(B22, PointerTest!A:A, 0)), PointerTest!A:A, 0), 0), 'language&amp;DataTest'!A:A, 0), MATCH(HOME!$A$25, 'language&amp;DataTest'!$A$1:$H$1, 0))))</f>
        <v>Arceus</v>
      </c>
      <c r="E22" s="69" t="str">
        <f t="array" ref="E22">INDEX( PointerTest!F:F, MATCH(B22, PointerTest!A:A, 0), 0)</f>
        <v>♢♢♢</v>
      </c>
      <c r="F22" s="70" t="str">
        <f t="array" ref="F22">LET(percentage,XLOOKUP($E22,$K$2:$K$10,L$2:L$10,"",0)/(COUNTIFS($E:$E,$E22,$D:$D,RegularFormula!$D$2)+COUNTIFS($E:$E,$E22,$D:$D,IF($D22=RegularFormula!$D$2,$K$15,$D22))),IFERROR(IF(percentage,percentage,""),""))</f>
        <v/>
      </c>
      <c r="G22" s="71">
        <f t="array" ref="G22">LET(percentage,XLOOKUP($E22,$K$2:$K$10,M$2:M$10,"",0)/(COUNTIFS($E:$E,$E22,$D:$D,RegularFormula!$D$2)+COUNTIFS($E:$E,$E22,$D:$D,IF($D22=RegularFormula!$D$2,$K$15,$D22))),IFERROR(IF(percentage,percentage,""),""))</f>
        <v>0.003846153846</v>
      </c>
      <c r="H22" s="71">
        <f t="array" ref="H22">LET(percentage,XLOOKUP($E22,$K$2:$K$10,N$2:N$10,"",0)/(COUNTIFS($E:$E,$E22,$D:$D,RegularFormula!$D$2)+COUNTIFS($E:$E,$E22,$D:$D,IF($D22=RegularFormula!$D$2,$K$15,$D22))),IFERROR(IF(percentage,percentage,""),""))</f>
        <v>0.01538461538</v>
      </c>
      <c r="I22" s="72" t="str">
        <f t="shared" si="1"/>
        <v/>
      </c>
      <c r="J22" s="73">
        <v>0.0</v>
      </c>
      <c r="K22" s="121" t="b">
        <v>1</v>
      </c>
      <c r="L22" s="69" t="s">
        <v>75</v>
      </c>
      <c r="M22" s="122" t="b">
        <v>1</v>
      </c>
      <c r="N22" s="222" t="s">
        <v>83</v>
      </c>
      <c r="O22" s="86"/>
      <c r="P22" s="86"/>
      <c r="Q22" s="86"/>
      <c r="R22" s="79" t="str">
        <f t="shared" si="2"/>
        <v/>
      </c>
    </row>
    <row r="23">
      <c r="A23" s="217" t="b">
        <v>1</v>
      </c>
      <c r="B23" s="218" t="s">
        <v>777</v>
      </c>
      <c r="C23" s="69" t="str">
        <f t="array" ref="C23">TEXTJOIN("", TRUE, IFERROR(INDEX('language&amp;DataTest'!A:J, MATCH(INDEX( PointerTest!C:C, MATCH(B23, PointerTest!A:A, 0), 0), 'language&amp;DataTest'!A:A, 0), MATCH(HOME!$A$25, 'language&amp;DataTest'!$A$1:$H$1, 0))),                      IFERROR(INDEX('language&amp;DataTest'!A:J, MATCH(INDEX( PointerTest!D:D, MATCH(B23, PointerTest!A:A, 0), 0), 'language&amp;DataTest'!A:A, 0), MATCH(HOME!$A$25, 'language&amp;DataTest'!$A$1:$H$1, 0))),                                          
IFERROR(INDEX('language&amp;DataTest'!A:J, MATCH(INDEX( PointerTest!E:E, MATCH(B23, PointerTest!A:A, 0), 0), 'language&amp;DataTest'!A:A, 0), MATCH(HOME!$A$25, 'language&amp;DataTest'!$A$1:$H$1, 0))))</f>
        <v>Glaceon ex</v>
      </c>
      <c r="D23" s="69" t="str">
        <f t="array" ref="D23">TEXTJOIN("", TRUE, 
IFERROR(INDEX('language&amp;DataTest'!A:J, MATCH(INDEX( PointerTest!C:C, MATCH(INDEX(PointerTest!B:B, MATCH(B23, PointerTest!A:A, 0)), PointerTest!A:A, 0), 0), 'language&amp;DataTest'!A:A, 0), MATCH(HOME!$A$25, 'language&amp;DataTest'!$A$1:$H$1, 0))),                      
IFERROR(INDEX('language&amp;DataTest'!A:J, MATCH(INDEX( PointerTest!D:D, MATCH(INDEX(PointerTest!B:B, MATCH(B23, PointerTest!A:A, 0)), PointerTest!A:A, 0), 0), 'language&amp;DataTest'!A:A, 0), MATCH(HOME!$A$25, 'language&amp;DataTest'!$A$1:$H$1, 0))),                                          
IFERROR(INDEX('language&amp;DataTest'!A:J, MATCH(INDEX( PointerTest!E:E, MATCH(INDEX(PointerTest!B:B, MATCH(B23, PointerTest!A:A, 0)), PointerTest!A:A, 0), 0), 'language&amp;DataTest'!A:A, 0), MATCH(HOME!$A$25, 'language&amp;DataTest'!$A$1:$H$1, 0))))</f>
        <v>Arceus</v>
      </c>
      <c r="E23" s="69" t="str">
        <f t="array" ref="E23">INDEX( PointerTest!F:F, MATCH(B23, PointerTest!A:A, 0), 0)</f>
        <v>♢♢♢♢</v>
      </c>
      <c r="F23" s="70" t="str">
        <f t="array" ref="F23">LET(percentage,XLOOKUP($E23,$K$2:$K$10,L$2:L$10,"",0)/(COUNTIFS($E:$E,$E23,$D:$D,RegularFormula!$D$2)+COUNTIFS($E:$E,$E23,$D:$D,IF($D23=RegularFormula!$D$2,$K$15,$D23))),IFERROR(IF(percentage,percentage,""),""))</f>
        <v/>
      </c>
      <c r="G23" s="71">
        <f t="array" ref="G23">LET(percentage,XLOOKUP($E23,$K$2:$K$10,M$2:M$10,"",0)/(COUNTIFS($E:$E,$E23,$D:$D,RegularFormula!$D$2)+COUNTIFS($E:$E,$E23,$D:$D,IF($D23=RegularFormula!$D$2,$K$15,$D23))),IFERROR(IF(percentage,percentage,""),""))</f>
        <v>0.003332</v>
      </c>
      <c r="H23" s="71">
        <f t="array" ref="H23">LET(percentage,XLOOKUP($E23,$K$2:$K$10,N$2:N$10,"",0)/(COUNTIFS($E:$E,$E23,$D:$D,RegularFormula!$D$2)+COUNTIFS($E:$E,$E23,$D:$D,IF($D23=RegularFormula!$D$2,$K$15,$D23))),IFERROR(IF(percentage,percentage,""),""))</f>
        <v>0.013328</v>
      </c>
      <c r="I23" s="72" t="str">
        <f t="shared" si="1"/>
        <v/>
      </c>
      <c r="J23" s="73">
        <v>0.0</v>
      </c>
      <c r="K23" s="121" t="b">
        <v>1</v>
      </c>
      <c r="L23" s="69" t="s">
        <v>77</v>
      </c>
      <c r="M23" s="122" t="b">
        <v>1</v>
      </c>
      <c r="N23" s="222" t="s">
        <v>85</v>
      </c>
      <c r="O23" s="86"/>
      <c r="P23" s="86"/>
      <c r="Q23" s="86"/>
      <c r="R23" s="79" t="str">
        <f t="shared" si="2"/>
        <v/>
      </c>
    </row>
    <row r="24">
      <c r="A24" s="217" t="b">
        <v>0</v>
      </c>
      <c r="B24" s="218" t="s">
        <v>778</v>
      </c>
      <c r="C24" s="69" t="str">
        <f t="array" ref="C24">TEXTJOIN("", TRUE, IFERROR(INDEX('language&amp;DataTest'!A:J, MATCH(INDEX( PointerTest!C:C, MATCH(B24, PointerTest!A:A, 0), 0), 'language&amp;DataTest'!A:A, 0), MATCH(HOME!$A$25, 'language&amp;DataTest'!$A$1:$H$1, 0))),                      IFERROR(INDEX('language&amp;DataTest'!A:J, MATCH(INDEX( PointerTest!D:D, MATCH(B24, PointerTest!A:A, 0), 0), 'language&amp;DataTest'!A:A, 0), MATCH(HOME!$A$25, 'language&amp;DataTest'!$A$1:$H$1, 0))),                                          
IFERROR(INDEX('language&amp;DataTest'!A:J, MATCH(INDEX( PointerTest!E:E, MATCH(B24, PointerTest!A:A, 0), 0), 'language&amp;DataTest'!A:A, 0), MATCH(HOME!$A$25, 'language&amp;DataTest'!$A$1:$H$1, 0))))</f>
        <v>Palkia</v>
      </c>
      <c r="D24" s="69" t="str">
        <f t="array" ref="D24">TEXTJOIN("", TRUE, 
IFERROR(INDEX('language&amp;DataTest'!A:J, MATCH(INDEX( PointerTest!C:C, MATCH(INDEX(PointerTest!B:B, MATCH(B24, PointerTest!A:A, 0)), PointerTest!A:A, 0), 0), 'language&amp;DataTest'!A:A, 0), MATCH(HOME!$A$25, 'language&amp;DataTest'!$A$1:$H$1, 0))),                      
IFERROR(INDEX('language&amp;DataTest'!A:J, MATCH(INDEX( PointerTest!D:D, MATCH(INDEX(PointerTest!B:B, MATCH(B24, PointerTest!A:A, 0)), PointerTest!A:A, 0), 0), 'language&amp;DataTest'!A:A, 0), MATCH(HOME!$A$25, 'language&amp;DataTest'!$A$1:$H$1, 0))),                                          
IFERROR(INDEX('language&amp;DataTest'!A:J, MATCH(INDEX( PointerTest!E:E, MATCH(INDEX(PointerTest!B:B, MATCH(B24, PointerTest!A:A, 0)), PointerTest!A:A, 0), 0), 'language&amp;DataTest'!A:A, 0), MATCH(HOME!$A$25, 'language&amp;DataTest'!$A$1:$H$1, 0))))</f>
        <v>Arceus</v>
      </c>
      <c r="E24" s="69" t="str">
        <f t="array" ref="E24">INDEX( PointerTest!F:F, MATCH(B24, PointerTest!A:A, 0), 0)</f>
        <v>♢♢♢</v>
      </c>
      <c r="F24" s="70" t="str">
        <f t="array" ref="F24">LET(percentage,XLOOKUP($E24,$K$2:$K$10,L$2:L$10,"",0)/(COUNTIFS($E:$E,$E24,$D:$D,RegularFormula!$D$2)+COUNTIFS($E:$E,$E24,$D:$D,IF($D24=RegularFormula!$D$2,$K$15,$D24))),IFERROR(IF(percentage,percentage,""),""))</f>
        <v/>
      </c>
      <c r="G24" s="71">
        <f t="array" ref="G24">LET(percentage,XLOOKUP($E24,$K$2:$K$10,M$2:M$10,"",0)/(COUNTIFS($E:$E,$E24,$D:$D,RegularFormula!$D$2)+COUNTIFS($E:$E,$E24,$D:$D,IF($D24=RegularFormula!$D$2,$K$15,$D24))),IFERROR(IF(percentage,percentage,""),""))</f>
        <v>0.003846153846</v>
      </c>
      <c r="H24" s="71">
        <f t="array" ref="H24">LET(percentage,XLOOKUP($E24,$K$2:$K$10,N$2:N$10,"",0)/(COUNTIFS($E:$E,$E24,$D:$D,RegularFormula!$D$2)+COUNTIFS($E:$E,$E24,$D:$D,IF($D24=RegularFormula!$D$2,$K$15,$D24))),IFERROR(IF(percentage,percentage,""),""))</f>
        <v>0.01538461538</v>
      </c>
      <c r="I24" s="72" t="str">
        <f t="shared" si="1"/>
        <v/>
      </c>
      <c r="J24" s="73">
        <v>0.0</v>
      </c>
      <c r="K24" s="123" t="b">
        <v>0</v>
      </c>
      <c r="L24" s="124" t="s">
        <v>112</v>
      </c>
      <c r="M24" s="124" t="b">
        <f>HOME!A27</f>
        <v>0</v>
      </c>
      <c r="N24" s="223" t="s">
        <v>113</v>
      </c>
      <c r="O24" s="86"/>
      <c r="P24" s="86"/>
      <c r="Q24" s="86"/>
      <c r="R24" s="79" t="str">
        <f t="shared" si="2"/>
        <v/>
      </c>
    </row>
    <row r="25">
      <c r="A25" s="217" t="b">
        <v>1</v>
      </c>
      <c r="B25" s="218" t="s">
        <v>779</v>
      </c>
      <c r="C25" s="69" t="str">
        <f t="array" ref="C25">TEXTJOIN("", TRUE, IFERROR(INDEX('language&amp;DataTest'!A:J, MATCH(INDEX( PointerTest!C:C, MATCH(B25, PointerTest!A:A, 0), 0), 'language&amp;DataTest'!A:A, 0), MATCH(HOME!$A$25, 'language&amp;DataTest'!$A$1:$H$1, 0))),                      IFERROR(INDEX('language&amp;DataTest'!A:J, MATCH(INDEX( PointerTest!D:D, MATCH(B25, PointerTest!A:A, 0), 0), 'language&amp;DataTest'!A:A, 0), MATCH(HOME!$A$25, 'language&amp;DataTest'!$A$1:$H$1, 0))),                                          
IFERROR(INDEX('language&amp;DataTest'!A:J, MATCH(INDEX( PointerTest!E:E, MATCH(B25, PointerTest!A:A, 0), 0), 'language&amp;DataTest'!A:A, 0), MATCH(HOME!$A$25, 'language&amp;DataTest'!$A$1:$H$1, 0))))</f>
        <v>Phione</v>
      </c>
      <c r="D25" s="69" t="str">
        <f t="array" ref="D25">TEXTJOIN("", TRUE, 
IFERROR(INDEX('language&amp;DataTest'!A:J, MATCH(INDEX( PointerTest!C:C, MATCH(INDEX(PointerTest!B:B, MATCH(B25, PointerTest!A:A, 0)), PointerTest!A:A, 0), 0), 'language&amp;DataTest'!A:A, 0), MATCH(HOME!$A$25, 'language&amp;DataTest'!$A$1:$H$1, 0))),                      
IFERROR(INDEX('language&amp;DataTest'!A:J, MATCH(INDEX( PointerTest!D:D, MATCH(INDEX(PointerTest!B:B, MATCH(B25, PointerTest!A:A, 0)), PointerTest!A:A, 0), 0), 'language&amp;DataTest'!A:A, 0), MATCH(HOME!$A$25, 'language&amp;DataTest'!$A$1:$H$1, 0))),                                          
IFERROR(INDEX('language&amp;DataTest'!A:J, MATCH(INDEX( PointerTest!E:E, MATCH(INDEX(PointerTest!B:B, MATCH(B25, PointerTest!A:A, 0)), PointerTest!A:A, 0), 0), 'language&amp;DataTest'!A:A, 0), MATCH(HOME!$A$25, 'language&amp;DataTest'!$A$1:$H$1, 0))))</f>
        <v>Arceus</v>
      </c>
      <c r="E25" s="69" t="str">
        <f t="array" ref="E25">INDEX( PointerTest!F:F, MATCH(B25, PointerTest!A:A, 0), 0)</f>
        <v>♢♢</v>
      </c>
      <c r="F25" s="70" t="str">
        <f t="array" ref="F25">LET(percentage,XLOOKUP($E25,$K$2:$K$10,L$2:L$10,"",0)/(COUNTIFS($E:$E,$E25,$D:$D,RegularFormula!$D$2)+COUNTIFS($E:$E,$E25,$D:$D,IF($D25=RegularFormula!$D$2,$K$15,$D25))),IFERROR(IF(percentage,percentage,""),""))</f>
        <v/>
      </c>
      <c r="G25" s="71">
        <f t="array" ref="G25">LET(percentage,XLOOKUP($E25,$K$2:$K$10,M$2:M$10,"",0)/(COUNTIFS($E:$E,$E25,$D:$D,RegularFormula!$D$2)+COUNTIFS($E:$E,$E25,$D:$D,IF($D25=RegularFormula!$D$2,$K$15,$D25))),IFERROR(IF(percentage,percentage,""),""))</f>
        <v>0.03461538462</v>
      </c>
      <c r="H25" s="71">
        <f t="array" ref="H25">LET(percentage,XLOOKUP($E25,$K$2:$K$10,N$2:N$10,"",0)/(COUNTIFS($E:$E,$E25,$D:$D,RegularFormula!$D$2)+COUNTIFS($E:$E,$E25,$D:$D,IF($D25=RegularFormula!$D$2,$K$15,$D25))),IFERROR(IF(percentage,percentage,""),""))</f>
        <v>0.02307692308</v>
      </c>
      <c r="I25" s="72" t="str">
        <f t="shared" si="1"/>
        <v/>
      </c>
      <c r="J25" s="73">
        <v>0.0</v>
      </c>
      <c r="K25" s="126" t="s">
        <v>115</v>
      </c>
      <c r="L25" s="127"/>
      <c r="M25" s="127"/>
      <c r="N25" s="128"/>
      <c r="O25" s="86"/>
      <c r="P25" s="86"/>
      <c r="Q25" s="86"/>
      <c r="R25" s="79" t="str">
        <f t="shared" si="2"/>
        <v/>
      </c>
    </row>
    <row r="26">
      <c r="A26" s="217" t="b">
        <v>1</v>
      </c>
      <c r="B26" s="218" t="s">
        <v>780</v>
      </c>
      <c r="C26" s="69" t="str">
        <f t="array" ref="C26">TEXTJOIN("", TRUE, IFERROR(INDEX('language&amp;DataTest'!A:J, MATCH(INDEX( PointerTest!C:C, MATCH(B26, PointerTest!A:A, 0), 0), 'language&amp;DataTest'!A:A, 0), MATCH(HOME!$A$25, 'language&amp;DataTest'!$A$1:$H$1, 0))),                      IFERROR(INDEX('language&amp;DataTest'!A:J, MATCH(INDEX( PointerTest!D:D, MATCH(B26, PointerTest!A:A, 0), 0), 'language&amp;DataTest'!A:A, 0), MATCH(HOME!$A$25, 'language&amp;DataTest'!$A$1:$H$1, 0))),                                          
IFERROR(INDEX('language&amp;DataTest'!A:J, MATCH(INDEX( PointerTest!E:E, MATCH(B26, PointerTest!A:A, 0), 0), 'language&amp;DataTest'!A:A, 0), MATCH(HOME!$A$25, 'language&amp;DataTest'!$A$1:$H$1, 0))))</f>
        <v>Pikachu</v>
      </c>
      <c r="D26" s="69" t="str">
        <f t="array" ref="D26">TEXTJOIN("", TRUE, 
IFERROR(INDEX('language&amp;DataTest'!A:J, MATCH(INDEX( PointerTest!C:C, MATCH(INDEX(PointerTest!B:B, MATCH(B26, PointerTest!A:A, 0)), PointerTest!A:A, 0), 0), 'language&amp;DataTest'!A:A, 0), MATCH(HOME!$A$25, 'language&amp;DataTest'!$A$1:$H$1, 0))),                      
IFERROR(INDEX('language&amp;DataTest'!A:J, MATCH(INDEX( PointerTest!D:D, MATCH(INDEX(PointerTest!B:B, MATCH(B26, PointerTest!A:A, 0)), PointerTest!A:A, 0), 0), 'language&amp;DataTest'!A:A, 0), MATCH(HOME!$A$25, 'language&amp;DataTest'!$A$1:$H$1, 0))),                                          
IFERROR(INDEX('language&amp;DataTest'!A:J, MATCH(INDEX( PointerTest!E:E, MATCH(INDEX(PointerTest!B:B, MATCH(B26, PointerTest!A:A, 0)), PointerTest!A:A, 0), 0), 'language&amp;DataTest'!A:A, 0), MATCH(HOME!$A$25, 'language&amp;DataTest'!$A$1:$H$1, 0))))</f>
        <v>Arceus</v>
      </c>
      <c r="E26" s="69" t="str">
        <f t="array" ref="E26">INDEX( PointerTest!F:F, MATCH(B26, PointerTest!A:A, 0), 0)</f>
        <v>♢</v>
      </c>
      <c r="F26" s="70">
        <f t="array" ref="F26">LET(percentage,XLOOKUP($E26,$K$2:$K$10,L$2:L$10,"",0)/(COUNTIFS($E:$E,$E26,$D:$D,RegularFormula!$D$2)+COUNTIFS($E:$E,$E26,$D:$D,IF($D26=RegularFormula!$D$2,$K$15,$D26))),IFERROR(IF(percentage,percentage,""),""))</f>
        <v>0.03225806452</v>
      </c>
      <c r="G26" s="71" t="str">
        <f t="array" ref="G26">LET(percentage,XLOOKUP($E26,$K$2:$K$10,M$2:M$10,"",0)/(COUNTIFS($E:$E,$E26,$D:$D,RegularFormula!$D$2)+COUNTIFS($E:$E,$E26,$D:$D,IF($D26=RegularFormula!$D$2,$K$15,$D26))),IFERROR(IF(percentage,percentage,""),""))</f>
        <v/>
      </c>
      <c r="H26" s="71" t="str">
        <f t="array" ref="H26">LET(percentage,XLOOKUP($E26,$K$2:$K$10,N$2:N$10,"",0)/(COUNTIFS($E:$E,$E26,$D:$D,RegularFormula!$D$2)+COUNTIFS($E:$E,$E26,$D:$D,IF($D26=RegularFormula!$D$2,$K$15,$D26))),IFERROR(IF(percentage,percentage,""),""))</f>
        <v/>
      </c>
      <c r="I26" s="72" t="str">
        <f t="shared" si="1"/>
        <v/>
      </c>
      <c r="J26" s="73">
        <v>0.0</v>
      </c>
      <c r="K26" s="129" t="s">
        <v>781</v>
      </c>
      <c r="L26" s="130" t="s">
        <v>92</v>
      </c>
      <c r="M26" s="130" t="s">
        <v>93</v>
      </c>
      <c r="N26" s="133" t="s">
        <v>94</v>
      </c>
      <c r="O26" s="86"/>
      <c r="P26" s="86"/>
      <c r="Q26" s="86"/>
      <c r="R26" s="79" t="str">
        <f t="shared" si="2"/>
        <v/>
      </c>
    </row>
    <row r="27">
      <c r="A27" s="217" t="b">
        <v>1</v>
      </c>
      <c r="B27" s="218" t="s">
        <v>782</v>
      </c>
      <c r="C27" s="69" t="str">
        <f t="array" ref="C27">TEXTJOIN("", TRUE, IFERROR(INDEX('language&amp;DataTest'!A:J, MATCH(INDEX( PointerTest!C:C, MATCH(B27, PointerTest!A:A, 0), 0), 'language&amp;DataTest'!A:A, 0), MATCH(HOME!$A$25, 'language&amp;DataTest'!$A$1:$H$1, 0))),                      IFERROR(INDEX('language&amp;DataTest'!A:J, MATCH(INDEX( PointerTest!D:D, MATCH(B27, PointerTest!A:A, 0), 0), 'language&amp;DataTest'!A:A, 0), MATCH(HOME!$A$25, 'language&amp;DataTest'!$A$1:$H$1, 0))),                                          
IFERROR(INDEX('language&amp;DataTest'!A:J, MATCH(INDEX( PointerTest!E:E, MATCH(B27, PointerTest!A:A, 0), 0), 'language&amp;DataTest'!A:A, 0), MATCH(HOME!$A$25, 'language&amp;DataTest'!$A$1:$H$1, 0))))</f>
        <v>Raichu</v>
      </c>
      <c r="D27" s="69" t="str">
        <f t="array" ref="D27">TEXTJOIN("", TRUE, 
IFERROR(INDEX('language&amp;DataTest'!A:J, MATCH(INDEX( PointerTest!C:C, MATCH(INDEX(PointerTest!B:B, MATCH(B27, PointerTest!A:A, 0)), PointerTest!A:A, 0), 0), 'language&amp;DataTest'!A:A, 0), MATCH(HOME!$A$25, 'language&amp;DataTest'!$A$1:$H$1, 0))),                      
IFERROR(INDEX('language&amp;DataTest'!A:J, MATCH(INDEX( PointerTest!D:D, MATCH(INDEX(PointerTest!B:B, MATCH(B27, PointerTest!A:A, 0)), PointerTest!A:A, 0), 0), 'language&amp;DataTest'!A:A, 0), MATCH(HOME!$A$25, 'language&amp;DataTest'!$A$1:$H$1, 0))),                                          
IFERROR(INDEX('language&amp;DataTest'!A:J, MATCH(INDEX( PointerTest!E:E, MATCH(INDEX(PointerTest!B:B, MATCH(B27, PointerTest!A:A, 0)), PointerTest!A:A, 0), 0), 'language&amp;DataTest'!A:A, 0), MATCH(HOME!$A$25, 'language&amp;DataTest'!$A$1:$H$1, 0))))</f>
        <v>Arceus</v>
      </c>
      <c r="E27" s="69" t="str">
        <f t="array" ref="E27">INDEX( PointerTest!F:F, MATCH(B27, PointerTest!A:A, 0), 0)</f>
        <v>♢♢♢</v>
      </c>
      <c r="F27" s="70" t="str">
        <f t="array" ref="F27">LET(percentage,XLOOKUP($E27,$K$2:$K$10,L$2:L$10,"",0)/(COUNTIFS($E:$E,$E27,$D:$D,RegularFormula!$D$2)+COUNTIFS($E:$E,$E27,$D:$D,IF($D27=RegularFormula!$D$2,$K$15,$D27))),IFERROR(IF(percentage,percentage,""),""))</f>
        <v/>
      </c>
      <c r="G27" s="71">
        <f t="array" ref="G27">LET(percentage,XLOOKUP($E27,$K$2:$K$10,M$2:M$10,"",0)/(COUNTIFS($E:$E,$E27,$D:$D,RegularFormula!$D$2)+COUNTIFS($E:$E,$E27,$D:$D,IF($D27=RegularFormula!$D$2,$K$15,$D27))),IFERROR(IF(percentage,percentage,""),""))</f>
        <v>0.003846153846</v>
      </c>
      <c r="H27" s="71">
        <f t="array" ref="H27">LET(percentage,XLOOKUP($E27,$K$2:$K$10,N$2:N$10,"",0)/(COUNTIFS($E:$E,$E27,$D:$D,RegularFormula!$D$2)+COUNTIFS($E:$E,$E27,$D:$D,IF($D27=RegularFormula!$D$2,$K$15,$D27))),IFERROR(IF(percentage,percentage,""),""))</f>
        <v>0.01538461538</v>
      </c>
      <c r="I27" s="72" t="str">
        <f t="shared" si="1"/>
        <v/>
      </c>
      <c r="J27" s="73">
        <v>0.0</v>
      </c>
      <c r="K27" s="131" t="s">
        <v>96</v>
      </c>
      <c r="L27" s="132">
        <f t="shared" ref="L27:L28" si="4">IFERROR(LEFT($N27,SEARCH("/",$N27)-1)/RIGHT($N27,LEN($N27)-SEARCH("/",$N27)),0)</f>
        <v>0.8125</v>
      </c>
      <c r="M27" s="132">
        <f t="shared" ref="M27:M28" si="5">1-$L27</f>
        <v>0.1875</v>
      </c>
      <c r="N27" s="133" t="str">
        <f t="array" ref="N27">SUMPRODUCT(COUNTIFS($A$2:$A97,TRUE,$E$2:$E97,CardCategories),{$K$20:$K$23;$M$20:$M$23}) &amp; "/" &amp; SUMPRODUCT(COUNTIFS($E$2:$E97,CardCategories),{$K$20:$K$23;$M$20:$M$23})</f>
        <v>78/96</v>
      </c>
      <c r="O27" s="103"/>
      <c r="P27" s="103"/>
      <c r="Q27" s="103"/>
      <c r="R27" s="79" t="str">
        <f t="shared" si="2"/>
        <v/>
      </c>
    </row>
    <row r="28">
      <c r="A28" s="217" t="b">
        <v>1</v>
      </c>
      <c r="B28" s="218" t="s">
        <v>783</v>
      </c>
      <c r="C28" s="69" t="str">
        <f t="array" ref="C28">TEXTJOIN("", TRUE, IFERROR(INDEX('language&amp;DataTest'!A:J, MATCH(INDEX( PointerTest!C:C, MATCH(B28, PointerTest!A:A, 0), 0), 'language&amp;DataTest'!A:A, 0), MATCH(HOME!$A$25, 'language&amp;DataTest'!$A$1:$H$1, 0))),                      IFERROR(INDEX('language&amp;DataTest'!A:J, MATCH(INDEX( PointerTest!D:D, MATCH(B28, PointerTest!A:A, 0), 0), 'language&amp;DataTest'!A:A, 0), MATCH(HOME!$A$25, 'language&amp;DataTest'!$A$1:$H$1, 0))),                                          
IFERROR(INDEX('language&amp;DataTest'!A:J, MATCH(INDEX( PointerTest!E:E, MATCH(B28, PointerTest!A:A, 0), 0), 'language&amp;DataTest'!A:A, 0), MATCH(HOME!$A$25, 'language&amp;DataTest'!$A$1:$H$1, 0))))</f>
        <v>Electrike</v>
      </c>
      <c r="D28" s="69" t="str">
        <f t="array" ref="D28">TEXTJOIN("", TRUE, 
IFERROR(INDEX('language&amp;DataTest'!A:J, MATCH(INDEX( PointerTest!C:C, MATCH(INDEX(PointerTest!B:B, MATCH(B28, PointerTest!A:A, 0)), PointerTest!A:A, 0), 0), 'language&amp;DataTest'!A:A, 0), MATCH(HOME!$A$25, 'language&amp;DataTest'!$A$1:$H$1, 0))),                      
IFERROR(INDEX('language&amp;DataTest'!A:J, MATCH(INDEX( PointerTest!D:D, MATCH(INDEX(PointerTest!B:B, MATCH(B28, PointerTest!A:A, 0)), PointerTest!A:A, 0), 0), 'language&amp;DataTest'!A:A, 0), MATCH(HOME!$A$25, 'language&amp;DataTest'!$A$1:$H$1, 0))),                                          
IFERROR(INDEX('language&amp;DataTest'!A:J, MATCH(INDEX( PointerTest!E:E, MATCH(INDEX(PointerTest!B:B, MATCH(B28, PointerTest!A:A, 0)), PointerTest!A:A, 0), 0), 'language&amp;DataTest'!A:A, 0), MATCH(HOME!$A$25, 'language&amp;DataTest'!$A$1:$H$1, 0))))</f>
        <v>Arceus</v>
      </c>
      <c r="E28" s="69" t="str">
        <f t="array" ref="E28">INDEX( PointerTest!F:F, MATCH(B28, PointerTest!A:A, 0), 0)</f>
        <v>♢</v>
      </c>
      <c r="F28" s="70">
        <f t="array" ref="F28">LET(percentage,XLOOKUP($E28,$K$2:$K$10,L$2:L$10,"",0)/(COUNTIFS($E:$E,$E28,$D:$D,RegularFormula!$D$2)+COUNTIFS($E:$E,$E28,$D:$D,IF($D28=RegularFormula!$D$2,$K$15,$D28))),IFERROR(IF(percentage,percentage,""),""))</f>
        <v>0.03225806452</v>
      </c>
      <c r="G28" s="71" t="str">
        <f t="array" ref="G28">LET(percentage,XLOOKUP($E28,$K$2:$K$10,M$2:M$10,"",0)/(COUNTIFS($E:$E,$E28,$D:$D,RegularFormula!$D$2)+COUNTIFS($E:$E,$E28,$D:$D,IF($D28=RegularFormula!$D$2,$K$15,$D28))),IFERROR(IF(percentage,percentage,""),""))</f>
        <v/>
      </c>
      <c r="H28" s="71" t="str">
        <f t="array" ref="H28">LET(percentage,XLOOKUP($E28,$K$2:$K$10,N$2:N$10,"",0)/(COUNTIFS($E:$E,$E28,$D:$D,RegularFormula!$D$2)+COUNTIFS($E:$E,$E28,$D:$D,IF($D28=RegularFormula!$D$2,$K$15,$D28))),IFERROR(IF(percentage,percentage,""),""))</f>
        <v/>
      </c>
      <c r="I28" s="72" t="str">
        <f t="shared" si="1"/>
        <v/>
      </c>
      <c r="J28" s="73">
        <v>0.0</v>
      </c>
      <c r="K28" s="134" t="str">
        <f>C71</f>
        <v>Arceus</v>
      </c>
      <c r="L28" s="132">
        <f t="shared" si="4"/>
        <v>0.8125</v>
      </c>
      <c r="M28" s="132">
        <f t="shared" si="5"/>
        <v>0.1875</v>
      </c>
      <c r="N28" s="135" t="str">
        <f t="array" ref="N28">SUMPRODUCT(COUNTIFS($A$2:$A97,TRUE,$E$2:$E97,CardCategories,$D$2:$D97,$K28),{$K$20:$K$23;$M$20:$M$23}) &amp; "/" &amp; SUMPRODUCT(COUNTIFS($E$2:$E97,CardCategories,$D$2:$D97,$K28),{$K$20:$K$23;$M$20:$M$23})</f>
        <v>78/96</v>
      </c>
      <c r="O28" s="103"/>
      <c r="P28" s="103"/>
      <c r="Q28" s="103"/>
      <c r="R28" s="79" t="str">
        <f t="shared" si="2"/>
        <v/>
      </c>
    </row>
    <row r="29">
      <c r="A29" s="217" t="b">
        <v>1</v>
      </c>
      <c r="B29" s="218" t="s">
        <v>784</v>
      </c>
      <c r="C29" s="69" t="str">
        <f t="array" ref="C29">TEXTJOIN("", TRUE, IFERROR(INDEX('language&amp;DataTest'!A:J, MATCH(INDEX( PointerTest!C:C, MATCH(B29, PointerTest!A:A, 0), 0), 'language&amp;DataTest'!A:A, 0), MATCH(HOME!$A$25, 'language&amp;DataTest'!$A$1:$H$1, 0))),                      IFERROR(INDEX('language&amp;DataTest'!A:J, MATCH(INDEX( PointerTest!D:D, MATCH(B29, PointerTest!A:A, 0), 0), 'language&amp;DataTest'!A:A, 0), MATCH(HOME!$A$25, 'language&amp;DataTest'!$A$1:$H$1, 0))),                                          
IFERROR(INDEX('language&amp;DataTest'!A:J, MATCH(INDEX( PointerTest!E:E, MATCH(B29, PointerTest!A:A, 0), 0), 'language&amp;DataTest'!A:A, 0), MATCH(HOME!$A$25, 'language&amp;DataTest'!$A$1:$H$1, 0))))</f>
        <v>Manectric</v>
      </c>
      <c r="D29" s="69" t="str">
        <f t="array" ref="D29">TEXTJOIN("", TRUE, 
IFERROR(INDEX('language&amp;DataTest'!A:J, MATCH(INDEX( PointerTest!C:C, MATCH(INDEX(PointerTest!B:B, MATCH(B29, PointerTest!A:A, 0)), PointerTest!A:A, 0), 0), 'language&amp;DataTest'!A:A, 0), MATCH(HOME!$A$25, 'language&amp;DataTest'!$A$1:$H$1, 0))),                      
IFERROR(INDEX('language&amp;DataTest'!A:J, MATCH(INDEX( PointerTest!D:D, MATCH(INDEX(PointerTest!B:B, MATCH(B29, PointerTest!A:A, 0)), PointerTest!A:A, 0), 0), 'language&amp;DataTest'!A:A, 0), MATCH(HOME!$A$25, 'language&amp;DataTest'!$A$1:$H$1, 0))),                                          
IFERROR(INDEX('language&amp;DataTest'!A:J, MATCH(INDEX( PointerTest!E:E, MATCH(INDEX(PointerTest!B:B, MATCH(B29, PointerTest!A:A, 0)), PointerTest!A:A, 0), 0), 'language&amp;DataTest'!A:A, 0), MATCH(HOME!$A$25, 'language&amp;DataTest'!$A$1:$H$1, 0))))</f>
        <v>Arceus</v>
      </c>
      <c r="E29" s="69" t="str">
        <f t="array" ref="E29">INDEX( PointerTest!F:F, MATCH(B29, PointerTest!A:A, 0), 0)</f>
        <v>♢♢</v>
      </c>
      <c r="F29" s="70" t="str">
        <f t="array" ref="F29">LET(percentage,XLOOKUP($E29,$K$2:$K$10,L$2:L$10,"",0)/(COUNTIFS($E:$E,$E29,$D:$D,RegularFormula!$D$2)+COUNTIFS($E:$E,$E29,$D:$D,IF($D29=RegularFormula!$D$2,$K$15,$D29))),IFERROR(IF(percentage,percentage,""),""))</f>
        <v/>
      </c>
      <c r="G29" s="71">
        <f t="array" ref="G29">LET(percentage,XLOOKUP($E29,$K$2:$K$10,M$2:M$10,"",0)/(COUNTIFS($E:$E,$E29,$D:$D,RegularFormula!$D$2)+COUNTIFS($E:$E,$E29,$D:$D,IF($D29=RegularFormula!$D$2,$K$15,$D29))),IFERROR(IF(percentage,percentage,""),""))</f>
        <v>0.03461538462</v>
      </c>
      <c r="H29" s="71">
        <f t="array" ref="H29">LET(percentage,XLOOKUP($E29,$K$2:$K$10,N$2:N$10,"",0)/(COUNTIFS($E:$E,$E29,$D:$D,RegularFormula!$D$2)+COUNTIFS($E:$E,$E29,$D:$D,IF($D29=RegularFormula!$D$2,$K$15,$D29))),IFERROR(IF(percentage,percentage,""),""))</f>
        <v>0.02307692308</v>
      </c>
      <c r="I29" s="72" t="str">
        <f t="shared" si="1"/>
        <v/>
      </c>
      <c r="J29" s="73">
        <v>0.0</v>
      </c>
      <c r="K29" s="139" t="s">
        <v>101</v>
      </c>
      <c r="L29" s="140" t="str">
        <f>IF(M28 = MAX(M28), K28, IF(#REF! = MAX(M28), #REF!, #REF!))</f>
        <v>Arceus</v>
      </c>
      <c r="N29" s="119"/>
      <c r="O29" s="103"/>
      <c r="P29" s="103"/>
      <c r="Q29" s="103"/>
      <c r="R29" s="79" t="str">
        <f t="shared" si="2"/>
        <v/>
      </c>
    </row>
    <row r="30">
      <c r="A30" s="217" t="b">
        <v>1</v>
      </c>
      <c r="B30" s="218" t="s">
        <v>785</v>
      </c>
      <c r="C30" s="69" t="str">
        <f t="array" ref="C30">TEXTJOIN("", TRUE, IFERROR(INDEX('language&amp;DataTest'!A:J, MATCH(INDEX( PointerTest!C:C, MATCH(B30, PointerTest!A:A, 0), 0), 'language&amp;DataTest'!A:A, 0), MATCH(HOME!$A$25, 'language&amp;DataTest'!$A$1:$H$1, 0))),                      IFERROR(INDEX('language&amp;DataTest'!A:J, MATCH(INDEX( PointerTest!D:D, MATCH(B30, PointerTest!A:A, 0), 0), 'language&amp;DataTest'!A:A, 0), MATCH(HOME!$A$25, 'language&amp;DataTest'!$A$1:$H$1, 0))),                                          
IFERROR(INDEX('language&amp;DataTest'!A:J, MATCH(INDEX( PointerTest!E:E, MATCH(B30, PointerTest!A:A, 0), 0), 'language&amp;DataTest'!A:A, 0), MATCH(HOME!$A$25, 'language&amp;DataTest'!$A$1:$H$1, 0))))</f>
        <v>Clefairy</v>
      </c>
      <c r="D30" s="69" t="str">
        <f t="array" ref="D30">TEXTJOIN("", TRUE, 
IFERROR(INDEX('language&amp;DataTest'!A:J, MATCH(INDEX( PointerTest!C:C, MATCH(INDEX(PointerTest!B:B, MATCH(B30, PointerTest!A:A, 0)), PointerTest!A:A, 0), 0), 'language&amp;DataTest'!A:A, 0), MATCH(HOME!$A$25, 'language&amp;DataTest'!$A$1:$H$1, 0))),                      
IFERROR(INDEX('language&amp;DataTest'!A:J, MATCH(INDEX( PointerTest!D:D, MATCH(INDEX(PointerTest!B:B, MATCH(B30, PointerTest!A:A, 0)), PointerTest!A:A, 0), 0), 'language&amp;DataTest'!A:A, 0), MATCH(HOME!$A$25, 'language&amp;DataTest'!$A$1:$H$1, 0))),                                          
IFERROR(INDEX('language&amp;DataTest'!A:J, MATCH(INDEX( PointerTest!E:E, MATCH(INDEX(PointerTest!B:B, MATCH(B30, PointerTest!A:A, 0)), PointerTest!A:A, 0), 0), 'language&amp;DataTest'!A:A, 0), MATCH(HOME!$A$25, 'language&amp;DataTest'!$A$1:$H$1, 0))))</f>
        <v>Arceus</v>
      </c>
      <c r="E30" s="69" t="str">
        <f t="array" ref="E30">INDEX( PointerTest!F:F, MATCH(B30, PointerTest!A:A, 0), 0)</f>
        <v>♢</v>
      </c>
      <c r="F30" s="70">
        <f t="array" ref="F30">LET(percentage,XLOOKUP($E30,$K$2:$K$10,L$2:L$10,"",0)/(COUNTIFS($E:$E,$E30,$D:$D,RegularFormula!$D$2)+COUNTIFS($E:$E,$E30,$D:$D,IF($D30=RegularFormula!$D$2,$K$15,$D30))),IFERROR(IF(percentage,percentage,""),""))</f>
        <v>0.03225806452</v>
      </c>
      <c r="G30" s="71" t="str">
        <f t="array" ref="G30">LET(percentage,XLOOKUP($E30,$K$2:$K$10,M$2:M$10,"",0)/(COUNTIFS($E:$E,$E30,$D:$D,RegularFormula!$D$2)+COUNTIFS($E:$E,$E30,$D:$D,IF($D30=RegularFormula!$D$2,$K$15,$D30))),IFERROR(IF(percentage,percentage,""),""))</f>
        <v/>
      </c>
      <c r="H30" s="71" t="str">
        <f t="array" ref="H30">LET(percentage,XLOOKUP($E30,$K$2:$K$10,N$2:N$10,"",0)/(COUNTIFS($E:$E,$E30,$D:$D,RegularFormula!$D$2)+COUNTIFS($E:$E,$E30,$D:$D,IF($D30=RegularFormula!$D$2,$K$15,$D30))),IFERROR(IF(percentage,percentage,""),""))</f>
        <v/>
      </c>
      <c r="I30" s="72" t="str">
        <f t="shared" si="1"/>
        <v/>
      </c>
      <c r="J30" s="73">
        <v>0.0</v>
      </c>
      <c r="K30" s="118"/>
      <c r="N30" s="119"/>
      <c r="O30" s="103"/>
      <c r="P30" s="103"/>
      <c r="Q30" s="103"/>
      <c r="R30" s="79" t="str">
        <f t="shared" si="2"/>
        <v/>
      </c>
    </row>
    <row r="31">
      <c r="A31" s="217" t="b">
        <v>1</v>
      </c>
      <c r="B31" s="218" t="s">
        <v>786</v>
      </c>
      <c r="C31" s="69" t="str">
        <f t="array" ref="C31">TEXTJOIN("", TRUE, IFERROR(INDEX('language&amp;DataTest'!A:J, MATCH(INDEX( PointerTest!C:C, MATCH(B31, PointerTest!A:A, 0), 0), 'language&amp;DataTest'!A:A, 0), MATCH(HOME!$A$25, 'language&amp;DataTest'!$A$1:$H$1, 0))),                      IFERROR(INDEX('language&amp;DataTest'!A:J, MATCH(INDEX( PointerTest!D:D, MATCH(B31, PointerTest!A:A, 0), 0), 'language&amp;DataTest'!A:A, 0), MATCH(HOME!$A$25, 'language&amp;DataTest'!$A$1:$H$1, 0))),                                          
IFERROR(INDEX('language&amp;DataTest'!A:J, MATCH(INDEX( PointerTest!E:E, MATCH(B31, PointerTest!A:A, 0), 0), 'language&amp;DataTest'!A:A, 0), MATCH(HOME!$A$25, 'language&amp;DataTest'!$A$1:$H$1, 0))))</f>
        <v>Clefable</v>
      </c>
      <c r="D31" s="69" t="str">
        <f t="array" ref="D31">TEXTJOIN("", TRUE, 
IFERROR(INDEX('language&amp;DataTest'!A:J, MATCH(INDEX( PointerTest!C:C, MATCH(INDEX(PointerTest!B:B, MATCH(B31, PointerTest!A:A, 0)), PointerTest!A:A, 0), 0), 'language&amp;DataTest'!A:A, 0), MATCH(HOME!$A$25, 'language&amp;DataTest'!$A$1:$H$1, 0))),                      
IFERROR(INDEX('language&amp;DataTest'!A:J, MATCH(INDEX( PointerTest!D:D, MATCH(INDEX(PointerTest!B:B, MATCH(B31, PointerTest!A:A, 0)), PointerTest!A:A, 0), 0), 'language&amp;DataTest'!A:A, 0), MATCH(HOME!$A$25, 'language&amp;DataTest'!$A$1:$H$1, 0))),                                          
IFERROR(INDEX('language&amp;DataTest'!A:J, MATCH(INDEX( PointerTest!E:E, MATCH(INDEX(PointerTest!B:B, MATCH(B31, PointerTest!A:A, 0)), PointerTest!A:A, 0), 0), 'language&amp;DataTest'!A:A, 0), MATCH(HOME!$A$25, 'language&amp;DataTest'!$A$1:$H$1, 0))))</f>
        <v>Arceus</v>
      </c>
      <c r="E31" s="69" t="str">
        <f t="array" ref="E31">INDEX( PointerTest!F:F, MATCH(B31, PointerTest!A:A, 0), 0)</f>
        <v>♢♢</v>
      </c>
      <c r="F31" s="70" t="str">
        <f t="array" ref="F31">LET(percentage,XLOOKUP($E31,$K$2:$K$10,L$2:L$10,"",0)/(COUNTIFS($E:$E,$E31,$D:$D,RegularFormula!$D$2)+COUNTIFS($E:$E,$E31,$D:$D,IF($D31=RegularFormula!$D$2,$K$15,$D31))),IFERROR(IF(percentage,percentage,""),""))</f>
        <v/>
      </c>
      <c r="G31" s="71">
        <f t="array" ref="G31">LET(percentage,XLOOKUP($E31,$K$2:$K$10,M$2:M$10,"",0)/(COUNTIFS($E:$E,$E31,$D:$D,RegularFormula!$D$2)+COUNTIFS($E:$E,$E31,$D:$D,IF($D31=RegularFormula!$D$2,$K$15,$D31))),IFERROR(IF(percentage,percentage,""),""))</f>
        <v>0.03461538462</v>
      </c>
      <c r="H31" s="71">
        <f t="array" ref="H31">LET(percentage,XLOOKUP($E31,$K$2:$K$10,N$2:N$10,"",0)/(COUNTIFS($E:$E,$E31,$D:$D,RegularFormula!$D$2)+COUNTIFS($E:$E,$E31,$D:$D,IF($D31=RegularFormula!$D$2,$K$15,$D31))),IFERROR(IF(percentage,percentage,""),""))</f>
        <v>0.02307692308</v>
      </c>
      <c r="I31" s="72" t="str">
        <f t="shared" si="1"/>
        <v/>
      </c>
      <c r="J31" s="73">
        <v>0.0</v>
      </c>
      <c r="K31" s="144" t="s">
        <v>127</v>
      </c>
      <c r="N31" s="119"/>
      <c r="O31" s="103"/>
      <c r="P31" s="103"/>
      <c r="Q31" s="103"/>
      <c r="R31" s="79" t="str">
        <f t="shared" si="2"/>
        <v/>
      </c>
    </row>
    <row r="32">
      <c r="A32" s="217" t="b">
        <v>1</v>
      </c>
      <c r="B32" s="218" t="s">
        <v>787</v>
      </c>
      <c r="C32" s="69" t="str">
        <f t="array" ref="C32">TEXTJOIN("", TRUE, IFERROR(INDEX('language&amp;DataTest'!A:J, MATCH(INDEX( PointerTest!C:C, MATCH(B32, PointerTest!A:A, 0), 0), 'language&amp;DataTest'!A:A, 0), MATCH(HOME!$A$25, 'language&amp;DataTest'!$A$1:$H$1, 0))),                      IFERROR(INDEX('language&amp;DataTest'!A:J, MATCH(INDEX( PointerTest!D:D, MATCH(B32, PointerTest!A:A, 0), 0), 'language&amp;DataTest'!A:A, 0), MATCH(HOME!$A$25, 'language&amp;DataTest'!$A$1:$H$1, 0))),                                          
IFERROR(INDEX('language&amp;DataTest'!A:J, MATCH(INDEX( PointerTest!E:E, MATCH(B32, PointerTest!A:A, 0), 0), 'language&amp;DataTest'!A:A, 0), MATCH(HOME!$A$25, 'language&amp;DataTest'!$A$1:$H$1, 0))))</f>
        <v>Gastly</v>
      </c>
      <c r="D32" s="69" t="str">
        <f t="array" ref="D32">TEXTJOIN("", TRUE, 
IFERROR(INDEX('language&amp;DataTest'!A:J, MATCH(INDEX( PointerTest!C:C, MATCH(INDEX(PointerTest!B:B, MATCH(B32, PointerTest!A:A, 0)), PointerTest!A:A, 0), 0), 'language&amp;DataTest'!A:A, 0), MATCH(HOME!$A$25, 'language&amp;DataTest'!$A$1:$H$1, 0))),                      
IFERROR(INDEX('language&amp;DataTest'!A:J, MATCH(INDEX( PointerTest!D:D, MATCH(INDEX(PointerTest!B:B, MATCH(B32, PointerTest!A:A, 0)), PointerTest!A:A, 0), 0), 'language&amp;DataTest'!A:A, 0), MATCH(HOME!$A$25, 'language&amp;DataTest'!$A$1:$H$1, 0))),                                          
IFERROR(INDEX('language&amp;DataTest'!A:J, MATCH(INDEX( PointerTest!E:E, MATCH(INDEX(PointerTest!B:B, MATCH(B32, PointerTest!A:A, 0)), PointerTest!A:A, 0), 0), 'language&amp;DataTest'!A:A, 0), MATCH(HOME!$A$25, 'language&amp;DataTest'!$A$1:$H$1, 0))))</f>
        <v>Arceus</v>
      </c>
      <c r="E32" s="69" t="str">
        <f t="array" ref="E32">INDEX( PointerTest!F:F, MATCH(B32, PointerTest!A:A, 0), 0)</f>
        <v>♢</v>
      </c>
      <c r="F32" s="70">
        <f t="array" ref="F32">LET(percentage,XLOOKUP($E32,$K$2:$K$10,L$2:L$10,"",0)/(COUNTIFS($E:$E,$E32,$D:$D,RegularFormula!$D$2)+COUNTIFS($E:$E,$E32,$D:$D,IF($D32=RegularFormula!$D$2,$K$15,$D32))),IFERROR(IF(percentage,percentage,""),""))</f>
        <v>0.03225806452</v>
      </c>
      <c r="G32" s="71" t="str">
        <f t="array" ref="G32">LET(percentage,XLOOKUP($E32,$K$2:$K$10,M$2:M$10,"",0)/(COUNTIFS($E:$E,$E32,$D:$D,RegularFormula!$D$2)+COUNTIFS($E:$E,$E32,$D:$D,IF($D32=RegularFormula!$D$2,$K$15,$D32))),IFERROR(IF(percentage,percentage,""),""))</f>
        <v/>
      </c>
      <c r="H32" s="71" t="str">
        <f t="array" ref="H32">LET(percentage,XLOOKUP($E32,$K$2:$K$10,N$2:N$10,"",0)/(COUNTIFS($E:$E,$E32,$D:$D,RegularFormula!$D$2)+COUNTIFS($E:$E,$E32,$D:$D,IF($D32=RegularFormula!$D$2,$K$15,$D32))),IFERROR(IF(percentage,percentage,""),""))</f>
        <v/>
      </c>
      <c r="I32" s="72" t="str">
        <f t="shared" si="1"/>
        <v/>
      </c>
      <c r="J32" s="73">
        <v>0.0</v>
      </c>
      <c r="K32" s="145" t="s">
        <v>91</v>
      </c>
      <c r="L32" s="69" t="s">
        <v>58</v>
      </c>
      <c r="M32" s="69" t="s">
        <v>59</v>
      </c>
      <c r="N32" s="222" t="s">
        <v>60</v>
      </c>
      <c r="O32" s="103"/>
      <c r="P32" s="103"/>
      <c r="Q32" s="103"/>
      <c r="R32" s="79" t="str">
        <f t="shared" si="2"/>
        <v/>
      </c>
    </row>
    <row r="33">
      <c r="A33" s="217" t="b">
        <v>1</v>
      </c>
      <c r="B33" s="218" t="s">
        <v>788</v>
      </c>
      <c r="C33" s="69" t="str">
        <f t="array" ref="C33">TEXTJOIN("", TRUE, IFERROR(INDEX('language&amp;DataTest'!A:J, MATCH(INDEX( PointerTest!C:C, MATCH(B33, PointerTest!A:A, 0), 0), 'language&amp;DataTest'!A:A, 0), MATCH(HOME!$A$25, 'language&amp;DataTest'!$A$1:$H$1, 0))),                      IFERROR(INDEX('language&amp;DataTest'!A:J, MATCH(INDEX( PointerTest!D:D, MATCH(B33, PointerTest!A:A, 0), 0), 'language&amp;DataTest'!A:A, 0), MATCH(HOME!$A$25, 'language&amp;DataTest'!$A$1:$H$1, 0))),                                          
IFERROR(INDEX('language&amp;DataTest'!A:J, MATCH(INDEX( PointerTest!E:E, MATCH(B33, PointerTest!A:A, 0), 0), 'language&amp;DataTest'!A:A, 0), MATCH(HOME!$A$25, 'language&amp;DataTest'!$A$1:$H$1, 0))))</f>
        <v>Haunter</v>
      </c>
      <c r="D33" s="69" t="str">
        <f t="array" ref="D33">TEXTJOIN("", TRUE, 
IFERROR(INDEX('language&amp;DataTest'!A:J, MATCH(INDEX( PointerTest!C:C, MATCH(INDEX(PointerTest!B:B, MATCH(B33, PointerTest!A:A, 0)), PointerTest!A:A, 0), 0), 'language&amp;DataTest'!A:A, 0), MATCH(HOME!$A$25, 'language&amp;DataTest'!$A$1:$H$1, 0))),                      
IFERROR(INDEX('language&amp;DataTest'!A:J, MATCH(INDEX( PointerTest!D:D, MATCH(INDEX(PointerTest!B:B, MATCH(B33, PointerTest!A:A, 0)), PointerTest!A:A, 0), 0), 'language&amp;DataTest'!A:A, 0), MATCH(HOME!$A$25, 'language&amp;DataTest'!$A$1:$H$1, 0))),                                          
IFERROR(INDEX('language&amp;DataTest'!A:J, MATCH(INDEX( PointerTest!E:E, MATCH(INDEX(PointerTest!B:B, MATCH(B33, PointerTest!A:A, 0)), PointerTest!A:A, 0), 0), 'language&amp;DataTest'!A:A, 0), MATCH(HOME!$A$25, 'language&amp;DataTest'!$A$1:$H$1, 0))))</f>
        <v>Arceus</v>
      </c>
      <c r="E33" s="69" t="str">
        <f t="array" ref="E33">INDEX( PointerTest!F:F, MATCH(B33, PointerTest!A:A, 0), 0)</f>
        <v>♢</v>
      </c>
      <c r="F33" s="70">
        <f t="array" ref="F33">LET(percentage,XLOOKUP($E33,$K$2:$K$10,L$2:L$10,"",0)/(COUNTIFS($E:$E,$E33,$D:$D,RegularFormula!$D$2)+COUNTIFS($E:$E,$E33,$D:$D,IF($D33=RegularFormula!$D$2,$K$15,$D33))),IFERROR(IF(percentage,percentage,""),""))</f>
        <v>0.03225806452</v>
      </c>
      <c r="G33" s="71" t="str">
        <f t="array" ref="G33">LET(percentage,XLOOKUP($E33,$K$2:$K$10,M$2:M$10,"",0)/(COUNTIFS($E:$E,$E33,$D:$D,RegularFormula!$D$2)+COUNTIFS($E:$E,$E33,$D:$D,IF($D33=RegularFormula!$D$2,$K$15,$D33))),IFERROR(IF(percentage,percentage,""),""))</f>
        <v/>
      </c>
      <c r="H33" s="71" t="str">
        <f t="array" ref="H33">LET(percentage,XLOOKUP($E33,$K$2:$K$10,N$2:N$10,"",0)/(COUNTIFS($E:$E,$E33,$D:$D,RegularFormula!$D$2)+COUNTIFS($E:$E,$E33,$D:$D,IF($D33=RegularFormula!$D$2,$K$15,$D33))),IFERROR(IF(percentage,percentage,""),""))</f>
        <v/>
      </c>
      <c r="I33" s="72" t="str">
        <f t="shared" si="1"/>
        <v/>
      </c>
      <c r="J33" s="73">
        <v>0.0</v>
      </c>
      <c r="K33" s="134" t="str">
        <f>C71</f>
        <v>Arceus</v>
      </c>
      <c r="L33" s="70">
        <f t="array" ref="L33">SUMPRODUCT((COUNTIFS($A$2:$A97,FALSE,$D$2:$D97,$K33,$E$2:$E97,CardCategories)+COUNTIFS($A$2:$A97,FALSE,$D$2:$D97,RegularFormula!$D$2,$E$2:$E97,CardCategories))/(COUNTIFS($D$2:$D97,$K33,$E$2:$E97,CardCategories)+COUNTIFS($D$2:$D97,RegularFormula!$D$2,$E$2:$E97,CardCategories)),{$K$20:$K$23;$M$20:$M$23}*Probabilities13)</f>
        <v>0.0002529535256</v>
      </c>
      <c r="M33" s="70">
        <f t="array" ref="M33">SUMPRODUCT((COUNTIFS($A$2:$A97,FALSE,$D$2:$D97,$K33,$E$2:$E97,CardCategories)+COUNTIFS($A$2:$A97,FALSE,$D$2:$D97,RegularFormula!$D$2,$E$2:$E97,CardCategories))/(COUNTIFS($D$2:$D97,$K33,$E$2:$E97,CardCategories)+COUNTIFS($D$2:$D97,RegularFormula!$D$2,$E$2:$E97,CardCategories)),{$K$20:$K$23;$M$20:$M$23}*Probabilities4)</f>
        <v>0.02838708455</v>
      </c>
      <c r="N33" s="224">
        <f t="array" ref="N33">SUMPRODUCT((COUNTIFS($A$2:$A97,FALSE,$D$2:$D97,$K33,$E$2:$E97,CardCategories)+COUNTIFS($A$2:$A97,FALSE,$D$2:$D97,RegularFormula!$D$2,$E$2:$E97,CardCategories))/(COUNTIFS($D$2:$D97,$K33,$E$2:$E97,CardCategories)+COUNTIFS($D$2:$D97,RegularFormula!$D$2,$E$2:$E97,CardCategories)),{$K$20:$K$23;$M$20:$M$23}*Probabilities5)</f>
        <v>0.1127894776</v>
      </c>
      <c r="O33" s="103"/>
      <c r="P33" s="103"/>
      <c r="Q33" s="103"/>
      <c r="R33" s="79" t="str">
        <f t="shared" si="2"/>
        <v/>
      </c>
    </row>
    <row r="34">
      <c r="A34" s="217" t="b">
        <v>1</v>
      </c>
      <c r="B34" s="218" t="s">
        <v>789</v>
      </c>
      <c r="C34" s="69" t="str">
        <f t="array" ref="C34">TEXTJOIN("", TRUE, IFERROR(INDEX('language&amp;DataTest'!A:J, MATCH(INDEX( PointerTest!C:C, MATCH(B34, PointerTest!A:A, 0), 0), 'language&amp;DataTest'!A:A, 0), MATCH(HOME!$A$25, 'language&amp;DataTest'!$A$1:$H$1, 0))),                      IFERROR(INDEX('language&amp;DataTest'!A:J, MATCH(INDEX( PointerTest!D:D, MATCH(B34, PointerTest!A:A, 0), 0), 'language&amp;DataTest'!A:A, 0), MATCH(HOME!$A$25, 'language&amp;DataTest'!$A$1:$H$1, 0))),                                          
IFERROR(INDEX('language&amp;DataTest'!A:J, MATCH(INDEX( PointerTest!E:E, MATCH(B34, PointerTest!A:A, 0), 0), 'language&amp;DataTest'!A:A, 0), MATCH(HOME!$A$25, 'language&amp;DataTest'!$A$1:$H$1, 0))))</f>
        <v>Gengar</v>
      </c>
      <c r="D34" s="69" t="str">
        <f t="array" ref="D34">TEXTJOIN("", TRUE, 
IFERROR(INDEX('language&amp;DataTest'!A:J, MATCH(INDEX( PointerTest!C:C, MATCH(INDEX(PointerTest!B:B, MATCH(B34, PointerTest!A:A, 0)), PointerTest!A:A, 0), 0), 'language&amp;DataTest'!A:A, 0), MATCH(HOME!$A$25, 'language&amp;DataTest'!$A$1:$H$1, 0))),                      
IFERROR(INDEX('language&amp;DataTest'!A:J, MATCH(INDEX( PointerTest!D:D, MATCH(INDEX(PointerTest!B:B, MATCH(B34, PointerTest!A:A, 0)), PointerTest!A:A, 0), 0), 'language&amp;DataTest'!A:A, 0), MATCH(HOME!$A$25, 'language&amp;DataTest'!$A$1:$H$1, 0))),                                          
IFERROR(INDEX('language&amp;DataTest'!A:J, MATCH(INDEX( PointerTest!E:E, MATCH(INDEX(PointerTest!B:B, MATCH(B34, PointerTest!A:A, 0)), PointerTest!A:A, 0), 0), 'language&amp;DataTest'!A:A, 0), MATCH(HOME!$A$25, 'language&amp;DataTest'!$A$1:$H$1, 0))))</f>
        <v>Arceus</v>
      </c>
      <c r="E34" s="69" t="str">
        <f t="array" ref="E34">INDEX( PointerTest!F:F, MATCH(B34, PointerTest!A:A, 0), 0)</f>
        <v>♢♢</v>
      </c>
      <c r="F34" s="70" t="str">
        <f t="array" ref="F34">LET(percentage,XLOOKUP($E34,$K$2:$K$10,L$2:L$10,"",0)/(COUNTIFS($E:$E,$E34,$D:$D,RegularFormula!$D$2)+COUNTIFS($E:$E,$E34,$D:$D,IF($D34=RegularFormula!$D$2,$K$15,$D34))),IFERROR(IF(percentage,percentage,""),""))</f>
        <v/>
      </c>
      <c r="G34" s="71">
        <f t="array" ref="G34">LET(percentage,XLOOKUP($E34,$K$2:$K$10,M$2:M$10,"",0)/(COUNTIFS($E:$E,$E34,$D:$D,RegularFormula!$D$2)+COUNTIFS($E:$E,$E34,$D:$D,IF($D34=RegularFormula!$D$2,$K$15,$D34))),IFERROR(IF(percentage,percentage,""),""))</f>
        <v>0.03461538462</v>
      </c>
      <c r="H34" s="71">
        <f t="array" ref="H34">LET(percentage,XLOOKUP($E34,$K$2:$K$10,N$2:N$10,"",0)/(COUNTIFS($E:$E,$E34,$D:$D,RegularFormula!$D$2)+COUNTIFS($E:$E,$E34,$D:$D,IF($D34=RegularFormula!$D$2,$K$15,$D34))),IFERROR(IF(percentage,percentage,""),""))</f>
        <v>0.02307692308</v>
      </c>
      <c r="I34" s="72" t="str">
        <f t="shared" si="1"/>
        <v/>
      </c>
      <c r="J34" s="73">
        <v>0.0</v>
      </c>
      <c r="K34" s="147" t="s">
        <v>134</v>
      </c>
      <c r="L34" s="140" t="str">
        <f>IF(L33 = MAX(L33), K33, IF(#REF! = MAX(L33), #REF!, #REF!))</f>
        <v>Arceus</v>
      </c>
      <c r="M34" s="140" t="str">
        <f>IF(M33 = MAX(M33), K33, IF(#REF! = MAX(M33), #REF!, #REF!))</f>
        <v>Arceus</v>
      </c>
      <c r="N34" s="225" t="str">
        <f>IF(N33 = MAX(N33), K33, IF(#REF! = MAX(N33), #REF!, #REF!))</f>
        <v>Arceus</v>
      </c>
      <c r="O34" s="103"/>
      <c r="P34" s="103"/>
      <c r="Q34" s="103"/>
      <c r="R34" s="79" t="str">
        <f t="shared" si="2"/>
        <v/>
      </c>
    </row>
    <row r="35">
      <c r="A35" s="217" t="b">
        <v>1</v>
      </c>
      <c r="B35" s="218" t="s">
        <v>790</v>
      </c>
      <c r="C35" s="69" t="str">
        <f t="array" ref="C35">TEXTJOIN("", TRUE, IFERROR(INDEX('language&amp;DataTest'!A:J, MATCH(INDEX( PointerTest!C:C, MATCH(B35, PointerTest!A:A, 0), 0), 'language&amp;DataTest'!A:A, 0), MATCH(HOME!$A$25, 'language&amp;DataTest'!$A$1:$H$1, 0))),                      IFERROR(INDEX('language&amp;DataTest'!A:J, MATCH(INDEX( PointerTest!D:D, MATCH(B35, PointerTest!A:A, 0), 0), 'language&amp;DataTest'!A:A, 0), MATCH(HOME!$A$25, 'language&amp;DataTest'!$A$1:$H$1, 0))),                                          
IFERROR(INDEX('language&amp;DataTest'!A:J, MATCH(INDEX( PointerTest!E:E, MATCH(B35, PointerTest!A:A, 0), 0), 'language&amp;DataTest'!A:A, 0), MATCH(HOME!$A$25, 'language&amp;DataTest'!$A$1:$H$1, 0))))</f>
        <v>Unown</v>
      </c>
      <c r="D35" s="69" t="str">
        <f t="array" ref="D35">TEXTJOIN("", TRUE, 
IFERROR(INDEX('language&amp;DataTest'!A:J, MATCH(INDEX( PointerTest!C:C, MATCH(INDEX(PointerTest!B:B, MATCH(B35, PointerTest!A:A, 0)), PointerTest!A:A, 0), 0), 'language&amp;DataTest'!A:A, 0), MATCH(HOME!$A$25, 'language&amp;DataTest'!$A$1:$H$1, 0))),                      
IFERROR(INDEX('language&amp;DataTest'!A:J, MATCH(INDEX( PointerTest!D:D, MATCH(INDEX(PointerTest!B:B, MATCH(B35, PointerTest!A:A, 0)), PointerTest!A:A, 0), 0), 'language&amp;DataTest'!A:A, 0), MATCH(HOME!$A$25, 'language&amp;DataTest'!$A$1:$H$1, 0))),                                          
IFERROR(INDEX('language&amp;DataTest'!A:J, MATCH(INDEX( PointerTest!E:E, MATCH(INDEX(PointerTest!B:B, MATCH(B35, PointerTest!A:A, 0)), PointerTest!A:A, 0), 0), 'language&amp;DataTest'!A:A, 0), MATCH(HOME!$A$25, 'language&amp;DataTest'!$A$1:$H$1, 0))))</f>
        <v>Arceus</v>
      </c>
      <c r="E35" s="69" t="str">
        <f t="array" ref="E35">INDEX( PointerTest!F:F, MATCH(B35, PointerTest!A:A, 0), 0)</f>
        <v>♢♢</v>
      </c>
      <c r="F35" s="70" t="str">
        <f t="array" ref="F35">LET(percentage,XLOOKUP($E35,$K$2:$K$10,L$2:L$10,"",0)/(COUNTIFS($E:$E,$E35,$D:$D,RegularFormula!$D$2)+COUNTIFS($E:$E,$E35,$D:$D,IF($D35=RegularFormula!$D$2,$K$15,$D35))),IFERROR(IF(percentage,percentage,""),""))</f>
        <v/>
      </c>
      <c r="G35" s="71">
        <f t="array" ref="G35">LET(percentage,XLOOKUP($E35,$K$2:$K$10,M$2:M$10,"",0)/(COUNTIFS($E:$E,$E35,$D:$D,RegularFormula!$D$2)+COUNTIFS($E:$E,$E35,$D:$D,IF($D35=RegularFormula!$D$2,$K$15,$D35))),IFERROR(IF(percentage,percentage,""),""))</f>
        <v>0.03461538462</v>
      </c>
      <c r="H35" s="71">
        <f t="array" ref="H35">LET(percentage,XLOOKUP($E35,$K$2:$K$10,N$2:N$10,"",0)/(COUNTIFS($E:$E,$E35,$D:$D,RegularFormula!$D$2)+COUNTIFS($E:$E,$E35,$D:$D,IF($D35=RegularFormula!$D$2,$K$15,$D35))),IFERROR(IF(percentage,percentage,""),""))</f>
        <v>0.02307692308</v>
      </c>
      <c r="I35" s="72" t="str">
        <f t="shared" si="1"/>
        <v/>
      </c>
      <c r="J35" s="73">
        <v>0.0</v>
      </c>
      <c r="K35" s="118"/>
      <c r="N35" s="119"/>
      <c r="O35" s="86"/>
      <c r="P35" s="86"/>
      <c r="Q35" s="86"/>
      <c r="R35" s="79" t="str">
        <f t="shared" si="2"/>
        <v/>
      </c>
    </row>
    <row r="36">
      <c r="A36" s="217" t="b">
        <v>0</v>
      </c>
      <c r="B36" s="218" t="s">
        <v>791</v>
      </c>
      <c r="C36" s="69" t="str">
        <f t="array" ref="C36">TEXTJOIN("", TRUE, IFERROR(INDEX('language&amp;DataTest'!A:J, MATCH(INDEX( PointerTest!C:C, MATCH(B36, PointerTest!A:A, 0), 0), 'language&amp;DataTest'!A:A, 0), MATCH(HOME!$A$25, 'language&amp;DataTest'!$A$1:$H$1, 0))),                      IFERROR(INDEX('language&amp;DataTest'!A:J, MATCH(INDEX( PointerTest!D:D, MATCH(B36, PointerTest!A:A, 0), 0), 'language&amp;DataTest'!A:A, 0), MATCH(HOME!$A$25, 'language&amp;DataTest'!$A$1:$H$1, 0))),                                          
IFERROR(INDEX('language&amp;DataTest'!A:J, MATCH(INDEX( PointerTest!E:E, MATCH(B36, PointerTest!A:A, 0), 0), 'language&amp;DataTest'!A:A, 0), MATCH(HOME!$A$25, 'language&amp;DataTest'!$A$1:$H$1, 0))))</f>
        <v>Rotom</v>
      </c>
      <c r="D36" s="69" t="str">
        <f t="array" ref="D36">TEXTJOIN("", TRUE, 
IFERROR(INDEX('language&amp;DataTest'!A:J, MATCH(INDEX( PointerTest!C:C, MATCH(INDEX(PointerTest!B:B, MATCH(B36, PointerTest!A:A, 0)), PointerTest!A:A, 0), 0), 'language&amp;DataTest'!A:A, 0), MATCH(HOME!$A$25, 'language&amp;DataTest'!$A$1:$H$1, 0))),                      
IFERROR(INDEX('language&amp;DataTest'!A:J, MATCH(INDEX( PointerTest!D:D, MATCH(INDEX(PointerTest!B:B, MATCH(B36, PointerTest!A:A, 0)), PointerTest!A:A, 0), 0), 'language&amp;DataTest'!A:A, 0), MATCH(HOME!$A$25, 'language&amp;DataTest'!$A$1:$H$1, 0))),                                          
IFERROR(INDEX('language&amp;DataTest'!A:J, MATCH(INDEX( PointerTest!E:E, MATCH(INDEX(PointerTest!B:B, MATCH(B36, PointerTest!A:A, 0)), PointerTest!A:A, 0), 0), 'language&amp;DataTest'!A:A, 0), MATCH(HOME!$A$25, 'language&amp;DataTest'!$A$1:$H$1, 0))))</f>
        <v>Arceus</v>
      </c>
      <c r="E36" s="69" t="str">
        <f t="array" ref="E36">INDEX( PointerTest!F:F, MATCH(B36, PointerTest!A:A, 0), 0)</f>
        <v>♢♢♢</v>
      </c>
      <c r="F36" s="70" t="str">
        <f t="array" ref="F36">LET(percentage,XLOOKUP($E36,$K$2:$K$10,L$2:L$10,"",0)/(COUNTIFS($E:$E,$E36,$D:$D,RegularFormula!$D$2)+COUNTIFS($E:$E,$E36,$D:$D,IF($D36=RegularFormula!$D$2,$K$15,$D36))),IFERROR(IF(percentage,percentage,""),""))</f>
        <v/>
      </c>
      <c r="G36" s="71">
        <f t="array" ref="G36">LET(percentage,XLOOKUP($E36,$K$2:$K$10,M$2:M$10,"",0)/(COUNTIFS($E:$E,$E36,$D:$D,RegularFormula!$D$2)+COUNTIFS($E:$E,$E36,$D:$D,IF($D36=RegularFormula!$D$2,$K$15,$D36))),IFERROR(IF(percentage,percentage,""),""))</f>
        <v>0.003846153846</v>
      </c>
      <c r="H36" s="71">
        <f t="array" ref="H36">LET(percentage,XLOOKUP($E36,$K$2:$K$10,N$2:N$10,"",0)/(COUNTIFS($E:$E,$E36,$D:$D,RegularFormula!$D$2)+COUNTIFS($E:$E,$E36,$D:$D,IF($D36=RegularFormula!$D$2,$K$15,$D36))),IFERROR(IF(percentage,percentage,""),""))</f>
        <v>0.01538461538</v>
      </c>
      <c r="I36" s="72" t="str">
        <f t="shared" si="1"/>
        <v/>
      </c>
      <c r="J36" s="73">
        <v>0.0</v>
      </c>
      <c r="K36" s="149" t="s">
        <v>137</v>
      </c>
      <c r="N36" s="119"/>
      <c r="O36" s="86"/>
      <c r="P36" s="86"/>
      <c r="Q36" s="86"/>
      <c r="R36" s="79" t="str">
        <f t="shared" si="2"/>
        <v/>
      </c>
    </row>
    <row r="37">
      <c r="A37" s="217" t="b">
        <v>1</v>
      </c>
      <c r="B37" s="218" t="s">
        <v>792</v>
      </c>
      <c r="C37" s="69" t="str">
        <f t="array" ref="C37">TEXTJOIN("", TRUE, IFERROR(INDEX('language&amp;DataTest'!A:J, MATCH(INDEX( PointerTest!C:C, MATCH(B37, PointerTest!A:A, 0), 0), 'language&amp;DataTest'!A:A, 0), MATCH(HOME!$A$25, 'language&amp;DataTest'!$A$1:$H$1, 0))),                      IFERROR(INDEX('language&amp;DataTest'!A:J, MATCH(INDEX( PointerTest!D:D, MATCH(B37, PointerTest!A:A, 0), 0), 'language&amp;DataTest'!A:A, 0), MATCH(HOME!$A$25, 'language&amp;DataTest'!$A$1:$H$1, 0))),                                          
IFERROR(INDEX('language&amp;DataTest'!A:J, MATCH(INDEX( PointerTest!E:E, MATCH(B37, PointerTest!A:A, 0), 0), 'language&amp;DataTest'!A:A, 0), MATCH(HOME!$A$25, 'language&amp;DataTest'!$A$1:$H$1, 0))))</f>
        <v>Sudowoodo</v>
      </c>
      <c r="D37" s="69" t="str">
        <f t="array" ref="D37">TEXTJOIN("", TRUE, 
IFERROR(INDEX('language&amp;DataTest'!A:J, MATCH(INDEX( PointerTest!C:C, MATCH(INDEX(PointerTest!B:B, MATCH(B37, PointerTest!A:A, 0)), PointerTest!A:A, 0), 0), 'language&amp;DataTest'!A:A, 0), MATCH(HOME!$A$25, 'language&amp;DataTest'!$A$1:$H$1, 0))),                      
IFERROR(INDEX('language&amp;DataTest'!A:J, MATCH(INDEX( PointerTest!D:D, MATCH(INDEX(PointerTest!B:B, MATCH(B37, PointerTest!A:A, 0)), PointerTest!A:A, 0), 0), 'language&amp;DataTest'!A:A, 0), MATCH(HOME!$A$25, 'language&amp;DataTest'!$A$1:$H$1, 0))),                                          
IFERROR(INDEX('language&amp;DataTest'!A:J, MATCH(INDEX( PointerTest!E:E, MATCH(INDEX(PointerTest!B:B, MATCH(B37, PointerTest!A:A, 0)), PointerTest!A:A, 0), 0), 'language&amp;DataTest'!A:A, 0), MATCH(HOME!$A$25, 'language&amp;DataTest'!$A$1:$H$1, 0))))</f>
        <v>Arceus</v>
      </c>
      <c r="E37" s="69" t="str">
        <f t="array" ref="E37">INDEX( PointerTest!F:F, MATCH(B37, PointerTest!A:A, 0), 0)</f>
        <v>♢♢</v>
      </c>
      <c r="F37" s="70" t="str">
        <f t="array" ref="F37">LET(percentage,XLOOKUP($E37,$K$2:$K$10,L$2:L$10,"",0)/(COUNTIFS($E:$E,$E37,$D:$D,RegularFormula!$D$2)+COUNTIFS($E:$E,$E37,$D:$D,IF($D37=RegularFormula!$D$2,$K$15,$D37))),IFERROR(IF(percentage,percentage,""),""))</f>
        <v/>
      </c>
      <c r="G37" s="71">
        <f t="array" ref="G37">LET(percentage,XLOOKUP($E37,$K$2:$K$10,M$2:M$10,"",0)/(COUNTIFS($E:$E,$E37,$D:$D,RegularFormula!$D$2)+COUNTIFS($E:$E,$E37,$D:$D,IF($D37=RegularFormula!$D$2,$K$15,$D37))),IFERROR(IF(percentage,percentage,""),""))</f>
        <v>0.03461538462</v>
      </c>
      <c r="H37" s="71">
        <f t="array" ref="H37">LET(percentage,XLOOKUP($E37,$K$2:$K$10,N$2:N$10,"",0)/(COUNTIFS($E:$E,$E37,$D:$D,RegularFormula!$D$2)+COUNTIFS($E:$E,$E37,$D:$D,IF($D37=RegularFormula!$D$2,$K$15,$D37))),IFERROR(IF(percentage,percentage,""),""))</f>
        <v>0.02307692308</v>
      </c>
      <c r="I37" s="72" t="str">
        <f t="shared" si="1"/>
        <v/>
      </c>
      <c r="J37" s="73">
        <v>0.0</v>
      </c>
      <c r="K37" s="226"/>
      <c r="M37" s="150" t="s">
        <v>140</v>
      </c>
      <c r="N37" s="119"/>
      <c r="O37" s="146"/>
      <c r="P37" s="146"/>
      <c r="Q37" s="146"/>
      <c r="R37" s="79" t="str">
        <f t="shared" si="2"/>
        <v/>
      </c>
    </row>
    <row r="38">
      <c r="A38" s="217" t="b">
        <v>1</v>
      </c>
      <c r="B38" s="218" t="s">
        <v>793</v>
      </c>
      <c r="C38" s="69" t="str">
        <f t="array" ref="C38">TEXTJOIN("", TRUE, IFERROR(INDEX('language&amp;DataTest'!A:J, MATCH(INDEX( PointerTest!C:C, MATCH(B38, PointerTest!A:A, 0), 0), 'language&amp;DataTest'!A:A, 0), MATCH(HOME!$A$25, 'language&amp;DataTest'!$A$1:$H$1, 0))),                      IFERROR(INDEX('language&amp;DataTest'!A:J, MATCH(INDEX( PointerTest!D:D, MATCH(B38, PointerTest!A:A, 0), 0), 'language&amp;DataTest'!A:A, 0), MATCH(HOME!$A$25, 'language&amp;DataTest'!$A$1:$H$1, 0))),                                          
IFERROR(INDEX('language&amp;DataTest'!A:J, MATCH(INDEX( PointerTest!E:E, MATCH(B38, PointerTest!A:A, 0), 0), 'language&amp;DataTest'!A:A, 0), MATCH(HOME!$A$25, 'language&amp;DataTest'!$A$1:$H$1, 0))))</f>
        <v>Phanpy</v>
      </c>
      <c r="D38" s="69" t="str">
        <f t="array" ref="D38">TEXTJOIN("", TRUE, 
IFERROR(INDEX('language&amp;DataTest'!A:J, MATCH(INDEX( PointerTest!C:C, MATCH(INDEX(PointerTest!B:B, MATCH(B38, PointerTest!A:A, 0)), PointerTest!A:A, 0), 0), 'language&amp;DataTest'!A:A, 0), MATCH(HOME!$A$25, 'language&amp;DataTest'!$A$1:$H$1, 0))),                      
IFERROR(INDEX('language&amp;DataTest'!A:J, MATCH(INDEX( PointerTest!D:D, MATCH(INDEX(PointerTest!B:B, MATCH(B38, PointerTest!A:A, 0)), PointerTest!A:A, 0), 0), 'language&amp;DataTest'!A:A, 0), MATCH(HOME!$A$25, 'language&amp;DataTest'!$A$1:$H$1, 0))),                                          
IFERROR(INDEX('language&amp;DataTest'!A:J, MATCH(INDEX( PointerTest!E:E, MATCH(INDEX(PointerTest!B:B, MATCH(B38, PointerTest!A:A, 0)), PointerTest!A:A, 0), 0), 'language&amp;DataTest'!A:A, 0), MATCH(HOME!$A$25, 'language&amp;DataTest'!$A$1:$H$1, 0))))</f>
        <v>Arceus</v>
      </c>
      <c r="E38" s="69" t="str">
        <f t="array" ref="E38">INDEX( PointerTest!F:F, MATCH(B38, PointerTest!A:A, 0), 0)</f>
        <v>♢</v>
      </c>
      <c r="F38" s="70">
        <f t="array" ref="F38">LET(percentage,XLOOKUP($E38,$K$2:$K$10,L$2:L$10,"",0)/(COUNTIFS($E:$E,$E38,$D:$D,RegularFormula!$D$2)+COUNTIFS($E:$E,$E38,$D:$D,IF($D38=RegularFormula!$D$2,$K$15,$D38))),IFERROR(IF(percentage,percentage,""),""))</f>
        <v>0.03225806452</v>
      </c>
      <c r="G38" s="71" t="str">
        <f t="array" ref="G38">LET(percentage,XLOOKUP($E38,$K$2:$K$10,M$2:M$10,"",0)/(COUNTIFS($E:$E,$E38,$D:$D,RegularFormula!$D$2)+COUNTIFS($E:$E,$E38,$D:$D,IF($D38=RegularFormula!$D$2,$K$15,$D38))),IFERROR(IF(percentage,percentage,""),""))</f>
        <v/>
      </c>
      <c r="H38" s="71" t="str">
        <f t="array" ref="H38">LET(percentage,XLOOKUP($E38,$K$2:$K$10,N$2:N$10,"",0)/(COUNTIFS($E:$E,$E38,$D:$D,RegularFormula!$D$2)+COUNTIFS($E:$E,$E38,$D:$D,IF($D38=RegularFormula!$D$2,$K$15,$D38))),IFERROR(IF(percentage,percentage,""),""))</f>
        <v/>
      </c>
      <c r="I38" s="72" t="str">
        <f t="shared" si="1"/>
        <v/>
      </c>
      <c r="J38" s="73">
        <v>0.0</v>
      </c>
      <c r="K38" s="134" t="str">
        <f>C71</f>
        <v>Arceus</v>
      </c>
      <c r="L38" s="71">
        <f>1-((1-L33)^3*(1-M33)*(1-N33))</f>
        <v>0.1386287892</v>
      </c>
      <c r="M38" s="140" t="str">
        <f>K38</f>
        <v>Arceus</v>
      </c>
      <c r="N38" s="119"/>
      <c r="O38" s="146"/>
      <c r="P38" s="146"/>
      <c r="Q38" s="146"/>
      <c r="R38" s="79" t="str">
        <f t="shared" si="2"/>
        <v/>
      </c>
    </row>
    <row r="39">
      <c r="A39" s="217" t="b">
        <v>1</v>
      </c>
      <c r="B39" s="218" t="s">
        <v>794</v>
      </c>
      <c r="C39" s="69" t="str">
        <f t="array" ref="C39">TEXTJOIN("", TRUE, IFERROR(INDEX('language&amp;DataTest'!A:J, MATCH(INDEX( PointerTest!C:C, MATCH(B39, PointerTest!A:A, 0), 0), 'language&amp;DataTest'!A:A, 0), MATCH(HOME!$A$25, 'language&amp;DataTest'!$A$1:$H$1, 0))),                      IFERROR(INDEX('language&amp;DataTest'!A:J, MATCH(INDEX( PointerTest!D:D, MATCH(B39, PointerTest!A:A, 0), 0), 'language&amp;DataTest'!A:A, 0), MATCH(HOME!$A$25, 'language&amp;DataTest'!$A$1:$H$1, 0))),                                          
IFERROR(INDEX('language&amp;DataTest'!A:J, MATCH(INDEX( PointerTest!E:E, MATCH(B39, PointerTest!A:A, 0), 0), 'language&amp;DataTest'!A:A, 0), MATCH(HOME!$A$25, 'language&amp;DataTest'!$A$1:$H$1, 0))))</f>
        <v>Donphan</v>
      </c>
      <c r="D39" s="69" t="str">
        <f t="array" ref="D39">TEXTJOIN("", TRUE, 
IFERROR(INDEX('language&amp;DataTest'!A:J, MATCH(INDEX( PointerTest!C:C, MATCH(INDEX(PointerTest!B:B, MATCH(B39, PointerTest!A:A, 0)), PointerTest!A:A, 0), 0), 'language&amp;DataTest'!A:A, 0), MATCH(HOME!$A$25, 'language&amp;DataTest'!$A$1:$H$1, 0))),                      
IFERROR(INDEX('language&amp;DataTest'!A:J, MATCH(INDEX( PointerTest!D:D, MATCH(INDEX(PointerTest!B:B, MATCH(B39, PointerTest!A:A, 0)), PointerTest!A:A, 0), 0), 'language&amp;DataTest'!A:A, 0), MATCH(HOME!$A$25, 'language&amp;DataTest'!$A$1:$H$1, 0))),                                          
IFERROR(INDEX('language&amp;DataTest'!A:J, MATCH(INDEX( PointerTest!E:E, MATCH(INDEX(PointerTest!B:B, MATCH(B39, PointerTest!A:A, 0)), PointerTest!A:A, 0), 0), 'language&amp;DataTest'!A:A, 0), MATCH(HOME!$A$25, 'language&amp;DataTest'!$A$1:$H$1, 0))))</f>
        <v>Arceus</v>
      </c>
      <c r="E39" s="69" t="str">
        <f t="array" ref="E39">INDEX( PointerTest!F:F, MATCH(B39, PointerTest!A:A, 0), 0)</f>
        <v>♢♢</v>
      </c>
      <c r="F39" s="70" t="str">
        <f t="array" ref="F39">LET(percentage,XLOOKUP($E39,$K$2:$K$10,L$2:L$10,"",0)/(COUNTIFS($E:$E,$E39,$D:$D,RegularFormula!$D$2)+COUNTIFS($E:$E,$E39,$D:$D,IF($D39=RegularFormula!$D$2,$K$15,$D39))),IFERROR(IF(percentage,percentage,""),""))</f>
        <v/>
      </c>
      <c r="G39" s="71">
        <f t="array" ref="G39">LET(percentage,XLOOKUP($E39,$K$2:$K$10,M$2:M$10,"",0)/(COUNTIFS($E:$E,$E39,$D:$D,RegularFormula!$D$2)+COUNTIFS($E:$E,$E39,$D:$D,IF($D39=RegularFormula!$D$2,$K$15,$D39))),IFERROR(IF(percentage,percentage,""),""))</f>
        <v>0.03461538462</v>
      </c>
      <c r="H39" s="71">
        <f t="array" ref="H39">LET(percentage,XLOOKUP($E39,$K$2:$K$10,N$2:N$10,"",0)/(COUNTIFS($E:$E,$E39,$D:$D,RegularFormula!$D$2)+COUNTIFS($E:$E,$E39,$D:$D,IF($D39=RegularFormula!$D$2,$K$15,$D39))),IFERROR(IF(percentage,percentage,""),""))</f>
        <v>0.02307692308</v>
      </c>
      <c r="I39" s="72" t="str">
        <f t="shared" si="1"/>
        <v/>
      </c>
      <c r="J39" s="73">
        <v>0.0</v>
      </c>
      <c r="K39" s="227"/>
      <c r="L39" s="228"/>
      <c r="M39" s="112"/>
      <c r="N39" s="154"/>
      <c r="O39" s="146"/>
      <c r="P39" s="146"/>
      <c r="Q39" s="146"/>
      <c r="R39" s="79" t="str">
        <f t="shared" si="2"/>
        <v/>
      </c>
    </row>
    <row r="40">
      <c r="A40" s="217" t="b">
        <v>1</v>
      </c>
      <c r="B40" s="218" t="s">
        <v>795</v>
      </c>
      <c r="C40" s="69" t="str">
        <f t="array" ref="C40">TEXTJOIN("", TRUE, IFERROR(INDEX('language&amp;DataTest'!A:J, MATCH(INDEX( PointerTest!C:C, MATCH(B40, PointerTest!A:A, 0), 0), 'language&amp;DataTest'!A:A, 0), MATCH(HOME!$A$25, 'language&amp;DataTest'!$A$1:$H$1, 0))),                      IFERROR(INDEX('language&amp;DataTest'!A:J, MATCH(INDEX( PointerTest!D:D, MATCH(B40, PointerTest!A:A, 0), 0), 'language&amp;DataTest'!A:A, 0), MATCH(HOME!$A$25, 'language&amp;DataTest'!$A$1:$H$1, 0))),                                          
IFERROR(INDEX('language&amp;DataTest'!A:J, MATCH(INDEX( PointerTest!E:E, MATCH(B40, PointerTest!A:A, 0), 0), 'language&amp;DataTest'!A:A, 0), MATCH(HOME!$A$25, 'language&amp;DataTest'!$A$1:$H$1, 0))))</f>
        <v>Larvitar</v>
      </c>
      <c r="D40" s="69" t="str">
        <f t="array" ref="D40">TEXTJOIN("", TRUE, 
IFERROR(INDEX('language&amp;DataTest'!A:J, MATCH(INDEX( PointerTest!C:C, MATCH(INDEX(PointerTest!B:B, MATCH(B40, PointerTest!A:A, 0)), PointerTest!A:A, 0), 0), 'language&amp;DataTest'!A:A, 0), MATCH(HOME!$A$25, 'language&amp;DataTest'!$A$1:$H$1, 0))),                      
IFERROR(INDEX('language&amp;DataTest'!A:J, MATCH(INDEX( PointerTest!D:D, MATCH(INDEX(PointerTest!B:B, MATCH(B40, PointerTest!A:A, 0)), PointerTest!A:A, 0), 0), 'language&amp;DataTest'!A:A, 0), MATCH(HOME!$A$25, 'language&amp;DataTest'!$A$1:$H$1, 0))),                                          
IFERROR(INDEX('language&amp;DataTest'!A:J, MATCH(INDEX( PointerTest!E:E, MATCH(INDEX(PointerTest!B:B, MATCH(B40, PointerTest!A:A, 0)), PointerTest!A:A, 0), 0), 'language&amp;DataTest'!A:A, 0), MATCH(HOME!$A$25, 'language&amp;DataTest'!$A$1:$H$1, 0))))</f>
        <v>Arceus</v>
      </c>
      <c r="E40" s="69" t="str">
        <f t="array" ref="E40">INDEX( PointerTest!F:F, MATCH(B40, PointerTest!A:A, 0), 0)</f>
        <v>♢</v>
      </c>
      <c r="F40" s="70">
        <f t="array" ref="F40">LET(percentage,XLOOKUP($E40,$K$2:$K$10,L$2:L$10,"",0)/(COUNTIFS($E:$E,$E40,$D:$D,RegularFormula!$D$2)+COUNTIFS($E:$E,$E40,$D:$D,IF($D40=RegularFormula!$D$2,$K$15,$D40))),IFERROR(IF(percentage,percentage,""),""))</f>
        <v>0.03225806452</v>
      </c>
      <c r="G40" s="71" t="str">
        <f t="array" ref="G40">LET(percentage,XLOOKUP($E40,$K$2:$K$10,M$2:M$10,"",0)/(COUNTIFS($E:$E,$E40,$D:$D,RegularFormula!$D$2)+COUNTIFS($E:$E,$E40,$D:$D,IF($D40=RegularFormula!$D$2,$K$15,$D40))),IFERROR(IF(percentage,percentage,""),""))</f>
        <v/>
      </c>
      <c r="H40" s="71" t="str">
        <f t="array" ref="H40">LET(percentage,XLOOKUP($E40,$K$2:$K$10,N$2:N$10,"",0)/(COUNTIFS($E:$E,$E40,$D:$D,RegularFormula!$D$2)+COUNTIFS($E:$E,$E40,$D:$D,IF($D40=RegularFormula!$D$2,$K$15,$D40))),IFERROR(IF(percentage,percentage,""),""))</f>
        <v/>
      </c>
      <c r="I40" s="72" t="str">
        <f t="shared" si="1"/>
        <v/>
      </c>
      <c r="J40" s="73">
        <v>0.0</v>
      </c>
      <c r="O40" s="103"/>
      <c r="P40" s="103"/>
      <c r="Q40" s="103"/>
      <c r="R40" s="79" t="str">
        <f t="shared" si="2"/>
        <v/>
      </c>
    </row>
    <row r="41">
      <c r="A41" s="217" t="b">
        <v>1</v>
      </c>
      <c r="B41" s="218" t="s">
        <v>796</v>
      </c>
      <c r="C41" s="69" t="str">
        <f t="array" ref="C41">TEXTJOIN("", TRUE, IFERROR(INDEX('language&amp;DataTest'!A:J, MATCH(INDEX( PointerTest!C:C, MATCH(B41, PointerTest!A:A, 0), 0), 'language&amp;DataTest'!A:A, 0), MATCH(HOME!$A$25, 'language&amp;DataTest'!$A$1:$H$1, 0))),                      IFERROR(INDEX('language&amp;DataTest'!A:J, MATCH(INDEX( PointerTest!D:D, MATCH(B41, PointerTest!A:A, 0), 0), 'language&amp;DataTest'!A:A, 0), MATCH(HOME!$A$25, 'language&amp;DataTest'!$A$1:$H$1, 0))),                                          
IFERROR(INDEX('language&amp;DataTest'!A:J, MATCH(INDEX( PointerTest!E:E, MATCH(B41, PointerTest!A:A, 0), 0), 'language&amp;DataTest'!A:A, 0), MATCH(HOME!$A$25, 'language&amp;DataTest'!$A$1:$H$1, 0))))</f>
        <v>Pupitar</v>
      </c>
      <c r="D41" s="69" t="str">
        <f t="array" ref="D41">TEXTJOIN("", TRUE, 
IFERROR(INDEX('language&amp;DataTest'!A:J, MATCH(INDEX( PointerTest!C:C, MATCH(INDEX(PointerTest!B:B, MATCH(B41, PointerTest!A:A, 0)), PointerTest!A:A, 0), 0), 'language&amp;DataTest'!A:A, 0), MATCH(HOME!$A$25, 'language&amp;DataTest'!$A$1:$H$1, 0))),                      
IFERROR(INDEX('language&amp;DataTest'!A:J, MATCH(INDEX( PointerTest!D:D, MATCH(INDEX(PointerTest!B:B, MATCH(B41, PointerTest!A:A, 0)), PointerTest!A:A, 0), 0), 'language&amp;DataTest'!A:A, 0), MATCH(HOME!$A$25, 'language&amp;DataTest'!$A$1:$H$1, 0))),                                          
IFERROR(INDEX('language&amp;DataTest'!A:J, MATCH(INDEX( PointerTest!E:E, MATCH(INDEX(PointerTest!B:B, MATCH(B41, PointerTest!A:A, 0)), PointerTest!A:A, 0), 0), 'language&amp;DataTest'!A:A, 0), MATCH(HOME!$A$25, 'language&amp;DataTest'!$A$1:$H$1, 0))))</f>
        <v>Arceus</v>
      </c>
      <c r="E41" s="69" t="str">
        <f t="array" ref="E41">INDEX( PointerTest!F:F, MATCH(B41, PointerTest!A:A, 0), 0)</f>
        <v>♢♢</v>
      </c>
      <c r="F41" s="70" t="str">
        <f t="array" ref="F41">LET(percentage,XLOOKUP($E41,$K$2:$K$10,L$2:L$10,"",0)/(COUNTIFS($E:$E,$E41,$D:$D,RegularFormula!$D$2)+COUNTIFS($E:$E,$E41,$D:$D,IF($D41=RegularFormula!$D$2,$K$15,$D41))),IFERROR(IF(percentage,percentage,""),""))</f>
        <v/>
      </c>
      <c r="G41" s="71">
        <f t="array" ref="G41">LET(percentage,XLOOKUP($E41,$K$2:$K$10,M$2:M$10,"",0)/(COUNTIFS($E:$E,$E41,$D:$D,RegularFormula!$D$2)+COUNTIFS($E:$E,$E41,$D:$D,IF($D41=RegularFormula!$D$2,$K$15,$D41))),IFERROR(IF(percentage,percentage,""),""))</f>
        <v>0.03461538462</v>
      </c>
      <c r="H41" s="71">
        <f t="array" ref="H41">LET(percentage,XLOOKUP($E41,$K$2:$K$10,N$2:N$10,"",0)/(COUNTIFS($E:$E,$E41,$D:$D,RegularFormula!$D$2)+COUNTIFS($E:$E,$E41,$D:$D,IF($D41=RegularFormula!$D$2,$K$15,$D41))),IFERROR(IF(percentage,percentage,""),""))</f>
        <v>0.02307692308</v>
      </c>
      <c r="I41" s="72" t="str">
        <f t="shared" si="1"/>
        <v/>
      </c>
      <c r="J41" s="73">
        <v>0.0</v>
      </c>
      <c r="O41" s="103"/>
      <c r="P41" s="103"/>
      <c r="Q41" s="103"/>
      <c r="R41" s="79" t="str">
        <f t="shared" si="2"/>
        <v/>
      </c>
    </row>
    <row r="42">
      <c r="A42" s="217" t="b">
        <v>1</v>
      </c>
      <c r="B42" s="218" t="s">
        <v>797</v>
      </c>
      <c r="C42" s="69" t="str">
        <f t="array" ref="C42">TEXTJOIN("", TRUE, IFERROR(INDEX('language&amp;DataTest'!A:J, MATCH(INDEX( PointerTest!C:C, MATCH(B42, PointerTest!A:A, 0), 0), 'language&amp;DataTest'!A:A, 0), MATCH(HOME!$A$25, 'language&amp;DataTest'!$A$1:$H$1, 0))),                      IFERROR(INDEX('language&amp;DataTest'!A:J, MATCH(INDEX( PointerTest!D:D, MATCH(B42, PointerTest!A:A, 0), 0), 'language&amp;DataTest'!A:A, 0), MATCH(HOME!$A$25, 'language&amp;DataTest'!$A$1:$H$1, 0))),                                          
IFERROR(INDEX('language&amp;DataTest'!A:J, MATCH(INDEX( PointerTest!E:E, MATCH(B42, PointerTest!A:A, 0), 0), 'language&amp;DataTest'!A:A, 0), MATCH(HOME!$A$25, 'language&amp;DataTest'!$A$1:$H$1, 0))))</f>
        <v>Tyranitar</v>
      </c>
      <c r="D42" s="69" t="str">
        <f t="array" ref="D42">TEXTJOIN("", TRUE, 
IFERROR(INDEX('language&amp;DataTest'!A:J, MATCH(INDEX( PointerTest!C:C, MATCH(INDEX(PointerTest!B:B, MATCH(B42, PointerTest!A:A, 0)), PointerTest!A:A, 0), 0), 'language&amp;DataTest'!A:A, 0), MATCH(HOME!$A$25, 'language&amp;DataTest'!$A$1:$H$1, 0))),                      
IFERROR(INDEX('language&amp;DataTest'!A:J, MATCH(INDEX( PointerTest!D:D, MATCH(INDEX(PointerTest!B:B, MATCH(B42, PointerTest!A:A, 0)), PointerTest!A:A, 0), 0), 'language&amp;DataTest'!A:A, 0), MATCH(HOME!$A$25, 'language&amp;DataTest'!$A$1:$H$1, 0))),                                          
IFERROR(INDEX('language&amp;DataTest'!A:J, MATCH(INDEX( PointerTest!E:E, MATCH(INDEX(PointerTest!B:B, MATCH(B42, PointerTest!A:A, 0)), PointerTest!A:A, 0), 0), 'language&amp;DataTest'!A:A, 0), MATCH(HOME!$A$25, 'language&amp;DataTest'!$A$1:$H$1, 0))))</f>
        <v>Arceus</v>
      </c>
      <c r="E42" s="69" t="str">
        <f t="array" ref="E42">INDEX( PointerTest!F:F, MATCH(B42, PointerTest!A:A, 0), 0)</f>
        <v>♢♢♢</v>
      </c>
      <c r="F42" s="70" t="str">
        <f t="array" ref="F42">LET(percentage,XLOOKUP($E42,$K$2:$K$10,L$2:L$10,"",0)/(COUNTIFS($E:$E,$E42,$D:$D,RegularFormula!$D$2)+COUNTIFS($E:$E,$E42,$D:$D,IF($D42=RegularFormula!$D$2,$K$15,$D42))),IFERROR(IF(percentage,percentage,""),""))</f>
        <v/>
      </c>
      <c r="G42" s="71">
        <f t="array" ref="G42">LET(percentage,XLOOKUP($E42,$K$2:$K$10,M$2:M$10,"",0)/(COUNTIFS($E:$E,$E42,$D:$D,RegularFormula!$D$2)+COUNTIFS($E:$E,$E42,$D:$D,IF($D42=RegularFormula!$D$2,$K$15,$D42))),IFERROR(IF(percentage,percentage,""),""))</f>
        <v>0.003846153846</v>
      </c>
      <c r="H42" s="71">
        <f t="array" ref="H42">LET(percentage,XLOOKUP($E42,$K$2:$K$10,N$2:N$10,"",0)/(COUNTIFS($E:$E,$E42,$D:$D,RegularFormula!$D$2)+COUNTIFS($E:$E,$E42,$D:$D,IF($D42=RegularFormula!$D$2,$K$15,$D42))),IFERROR(IF(percentage,percentage,""),""))</f>
        <v>0.01538461538</v>
      </c>
      <c r="I42" s="72" t="str">
        <f t="shared" si="1"/>
        <v/>
      </c>
      <c r="J42" s="73">
        <v>0.0</v>
      </c>
      <c r="O42" s="148"/>
      <c r="P42" s="148"/>
      <c r="Q42" s="148"/>
      <c r="R42" s="79" t="str">
        <f t="shared" si="2"/>
        <v/>
      </c>
    </row>
    <row r="43">
      <c r="A43" s="217" t="b">
        <v>1</v>
      </c>
      <c r="B43" s="218" t="s">
        <v>798</v>
      </c>
      <c r="C43" s="69" t="str">
        <f t="array" ref="C43">TEXTJOIN("", TRUE, IFERROR(INDEX('language&amp;DataTest'!A:J, MATCH(INDEX( PointerTest!C:C, MATCH(B43, PointerTest!A:A, 0), 0), 'language&amp;DataTest'!A:A, 0), MATCH(HOME!$A$25, 'language&amp;DataTest'!$A$1:$H$1, 0))),                      IFERROR(INDEX('language&amp;DataTest'!A:J, MATCH(INDEX( PointerTest!D:D, MATCH(B43, PointerTest!A:A, 0), 0), 'language&amp;DataTest'!A:A, 0), MATCH(HOME!$A$25, 'language&amp;DataTest'!$A$1:$H$1, 0))),                                          
IFERROR(INDEX('language&amp;DataTest'!A:J, MATCH(INDEX( PointerTest!E:E, MATCH(B43, PointerTest!A:A, 0), 0), 'language&amp;DataTest'!A:A, 0), MATCH(HOME!$A$25, 'language&amp;DataTest'!$A$1:$H$1, 0))))</f>
        <v>Nosepass</v>
      </c>
      <c r="D43" s="69" t="str">
        <f t="array" ref="D43">TEXTJOIN("", TRUE, 
IFERROR(INDEX('language&amp;DataTest'!A:J, MATCH(INDEX( PointerTest!C:C, MATCH(INDEX(PointerTest!B:B, MATCH(B43, PointerTest!A:A, 0)), PointerTest!A:A, 0), 0), 'language&amp;DataTest'!A:A, 0), MATCH(HOME!$A$25, 'language&amp;DataTest'!$A$1:$H$1, 0))),                      
IFERROR(INDEX('language&amp;DataTest'!A:J, MATCH(INDEX( PointerTest!D:D, MATCH(INDEX(PointerTest!B:B, MATCH(B43, PointerTest!A:A, 0)), PointerTest!A:A, 0), 0), 'language&amp;DataTest'!A:A, 0), MATCH(HOME!$A$25, 'language&amp;DataTest'!$A$1:$H$1, 0))),                                          
IFERROR(INDEX('language&amp;DataTest'!A:J, MATCH(INDEX( PointerTest!E:E, MATCH(INDEX(PointerTest!B:B, MATCH(B43, PointerTest!A:A, 0)), PointerTest!A:A, 0), 0), 'language&amp;DataTest'!A:A, 0), MATCH(HOME!$A$25, 'language&amp;DataTest'!$A$1:$H$1, 0))))</f>
        <v>Arceus</v>
      </c>
      <c r="E43" s="69" t="str">
        <f t="array" ref="E43">INDEX( PointerTest!F:F, MATCH(B43, PointerTest!A:A, 0), 0)</f>
        <v>♢</v>
      </c>
      <c r="F43" s="70">
        <f t="array" ref="F43">LET(percentage,XLOOKUP($E43,$K$2:$K$10,L$2:L$10,"",0)/(COUNTIFS($E:$E,$E43,$D:$D,RegularFormula!$D$2)+COUNTIFS($E:$E,$E43,$D:$D,IF($D43=RegularFormula!$D$2,$K$15,$D43))),IFERROR(IF(percentage,percentage,""),""))</f>
        <v>0.03225806452</v>
      </c>
      <c r="G43" s="71" t="str">
        <f t="array" ref="G43">LET(percentage,XLOOKUP($E43,$K$2:$K$10,M$2:M$10,"",0)/(COUNTIFS($E:$E,$E43,$D:$D,RegularFormula!$D$2)+COUNTIFS($E:$E,$E43,$D:$D,IF($D43=RegularFormula!$D$2,$K$15,$D43))),IFERROR(IF(percentage,percentage,""),""))</f>
        <v/>
      </c>
      <c r="H43" s="71" t="str">
        <f t="array" ref="H43">LET(percentage,XLOOKUP($E43,$K$2:$K$10,N$2:N$10,"",0)/(COUNTIFS($E:$E,$E43,$D:$D,RegularFormula!$D$2)+COUNTIFS($E:$E,$E43,$D:$D,IF($D43=RegularFormula!$D$2,$K$15,$D43))),IFERROR(IF(percentage,percentage,""),""))</f>
        <v/>
      </c>
      <c r="I43" s="72" t="str">
        <f t="shared" si="1"/>
        <v/>
      </c>
      <c r="J43" s="73">
        <v>0.0</v>
      </c>
      <c r="O43" s="148"/>
      <c r="P43" s="148"/>
      <c r="Q43" s="148"/>
      <c r="R43" s="79" t="str">
        <f t="shared" si="2"/>
        <v/>
      </c>
    </row>
    <row r="44">
      <c r="A44" s="217" t="b">
        <v>1</v>
      </c>
      <c r="B44" s="218" t="s">
        <v>799</v>
      </c>
      <c r="C44" s="69" t="str">
        <f t="array" ref="C44">TEXTJOIN("", TRUE, IFERROR(INDEX('language&amp;DataTest'!A:J, MATCH(INDEX( PointerTest!C:C, MATCH(B44, PointerTest!A:A, 0), 0), 'language&amp;DataTest'!A:A, 0), MATCH(HOME!$A$25, 'language&amp;DataTest'!$A$1:$H$1, 0))),                      IFERROR(INDEX('language&amp;DataTest'!A:J, MATCH(INDEX( PointerTest!D:D, MATCH(B44, PointerTest!A:A, 0), 0), 'language&amp;DataTest'!A:A, 0), MATCH(HOME!$A$25, 'language&amp;DataTest'!$A$1:$H$1, 0))),                                          
IFERROR(INDEX('language&amp;DataTest'!A:J, MATCH(INDEX( PointerTest!E:E, MATCH(B44, PointerTest!A:A, 0), 0), 'language&amp;DataTest'!A:A, 0), MATCH(HOME!$A$25, 'language&amp;DataTest'!$A$1:$H$1, 0))))</f>
        <v>Meditite</v>
      </c>
      <c r="D44" s="69" t="str">
        <f t="array" ref="D44">TEXTJOIN("", TRUE, 
IFERROR(INDEX('language&amp;DataTest'!A:J, MATCH(INDEX( PointerTest!C:C, MATCH(INDEX(PointerTest!B:B, MATCH(B44, PointerTest!A:A, 0)), PointerTest!A:A, 0), 0), 'language&amp;DataTest'!A:A, 0), MATCH(HOME!$A$25, 'language&amp;DataTest'!$A$1:$H$1, 0))),                      
IFERROR(INDEX('language&amp;DataTest'!A:J, MATCH(INDEX( PointerTest!D:D, MATCH(INDEX(PointerTest!B:B, MATCH(B44, PointerTest!A:A, 0)), PointerTest!A:A, 0), 0), 'language&amp;DataTest'!A:A, 0), MATCH(HOME!$A$25, 'language&amp;DataTest'!$A$1:$H$1, 0))),                                          
IFERROR(INDEX('language&amp;DataTest'!A:J, MATCH(INDEX( PointerTest!E:E, MATCH(INDEX(PointerTest!B:B, MATCH(B44, PointerTest!A:A, 0)), PointerTest!A:A, 0), 0), 'language&amp;DataTest'!A:A, 0), MATCH(HOME!$A$25, 'language&amp;DataTest'!$A$1:$H$1, 0))))</f>
        <v>Arceus</v>
      </c>
      <c r="E44" s="69" t="str">
        <f t="array" ref="E44">INDEX( PointerTest!F:F, MATCH(B44, PointerTest!A:A, 0), 0)</f>
        <v>♢</v>
      </c>
      <c r="F44" s="70">
        <f t="array" ref="F44">LET(percentage,XLOOKUP($E44,$K$2:$K$10,L$2:L$10,"",0)/(COUNTIFS($E:$E,$E44,$D:$D,RegularFormula!$D$2)+COUNTIFS($E:$E,$E44,$D:$D,IF($D44=RegularFormula!$D$2,$K$15,$D44))),IFERROR(IF(percentage,percentage,""),""))</f>
        <v>0.03225806452</v>
      </c>
      <c r="G44" s="71" t="str">
        <f t="array" ref="G44">LET(percentage,XLOOKUP($E44,$K$2:$K$10,M$2:M$10,"",0)/(COUNTIFS($E:$E,$E44,$D:$D,RegularFormula!$D$2)+COUNTIFS($E:$E,$E44,$D:$D,IF($D44=RegularFormula!$D$2,$K$15,$D44))),IFERROR(IF(percentage,percentage,""),""))</f>
        <v/>
      </c>
      <c r="H44" s="71" t="str">
        <f t="array" ref="H44">LET(percentage,XLOOKUP($E44,$K$2:$K$10,N$2:N$10,"",0)/(COUNTIFS($E:$E,$E44,$D:$D,RegularFormula!$D$2)+COUNTIFS($E:$E,$E44,$D:$D,IF($D44=RegularFormula!$D$2,$K$15,$D44))),IFERROR(IF(percentage,percentage,""),""))</f>
        <v/>
      </c>
      <c r="I44" s="72" t="str">
        <f t="shared" si="1"/>
        <v/>
      </c>
      <c r="J44" s="73">
        <v>0.0</v>
      </c>
      <c r="O44" s="103"/>
      <c r="P44" s="103"/>
      <c r="Q44" s="103"/>
      <c r="R44" s="79" t="str">
        <f t="shared" si="2"/>
        <v/>
      </c>
    </row>
    <row r="45">
      <c r="A45" s="217" t="b">
        <v>1</v>
      </c>
      <c r="B45" s="218" t="s">
        <v>800</v>
      </c>
      <c r="C45" s="69" t="str">
        <f t="array" ref="C45">TEXTJOIN("", TRUE, IFERROR(INDEX('language&amp;DataTest'!A:J, MATCH(INDEX( PointerTest!C:C, MATCH(B45, PointerTest!A:A, 0), 0), 'language&amp;DataTest'!A:A, 0), MATCH(HOME!$A$25, 'language&amp;DataTest'!$A$1:$H$1, 0))),                      IFERROR(INDEX('language&amp;DataTest'!A:J, MATCH(INDEX( PointerTest!D:D, MATCH(B45, PointerTest!A:A, 0), 0), 'language&amp;DataTest'!A:A, 0), MATCH(HOME!$A$25, 'language&amp;DataTest'!$A$1:$H$1, 0))),                                          
IFERROR(INDEX('language&amp;DataTest'!A:J, MATCH(INDEX( PointerTest!E:E, MATCH(B45, PointerTest!A:A, 0), 0), 'language&amp;DataTest'!A:A, 0), MATCH(HOME!$A$25, 'language&amp;DataTest'!$A$1:$H$1, 0))))</f>
        <v>Medicham</v>
      </c>
      <c r="D45" s="69" t="str">
        <f t="array" ref="D45">TEXTJOIN("", TRUE, 
IFERROR(INDEX('language&amp;DataTest'!A:J, MATCH(INDEX( PointerTest!C:C, MATCH(INDEX(PointerTest!B:B, MATCH(B45, PointerTest!A:A, 0)), PointerTest!A:A, 0), 0), 'language&amp;DataTest'!A:A, 0), MATCH(HOME!$A$25, 'language&amp;DataTest'!$A$1:$H$1, 0))),                      
IFERROR(INDEX('language&amp;DataTest'!A:J, MATCH(INDEX( PointerTest!D:D, MATCH(INDEX(PointerTest!B:B, MATCH(B45, PointerTest!A:A, 0)), PointerTest!A:A, 0), 0), 'language&amp;DataTest'!A:A, 0), MATCH(HOME!$A$25, 'language&amp;DataTest'!$A$1:$H$1, 0))),                                          
IFERROR(INDEX('language&amp;DataTest'!A:J, MATCH(INDEX( PointerTest!E:E, MATCH(INDEX(PointerTest!B:B, MATCH(B45, PointerTest!A:A, 0)), PointerTest!A:A, 0), 0), 'language&amp;DataTest'!A:A, 0), MATCH(HOME!$A$25, 'language&amp;DataTest'!$A$1:$H$1, 0))))</f>
        <v>Arceus</v>
      </c>
      <c r="E45" s="69" t="str">
        <f t="array" ref="E45">INDEX( PointerTest!F:F, MATCH(B45, PointerTest!A:A, 0), 0)</f>
        <v>♢♢</v>
      </c>
      <c r="F45" s="70" t="str">
        <f t="array" ref="F45">LET(percentage,XLOOKUP($E45,$K$2:$K$10,L$2:L$10,"",0)/(COUNTIFS($E:$E,$E45,$D:$D,RegularFormula!$D$2)+COUNTIFS($E:$E,$E45,$D:$D,IF($D45=RegularFormula!$D$2,$K$15,$D45))),IFERROR(IF(percentage,percentage,""),""))</f>
        <v/>
      </c>
      <c r="G45" s="71">
        <f t="array" ref="G45">LET(percentage,XLOOKUP($E45,$K$2:$K$10,M$2:M$10,"",0)/(COUNTIFS($E:$E,$E45,$D:$D,RegularFormula!$D$2)+COUNTIFS($E:$E,$E45,$D:$D,IF($D45=RegularFormula!$D$2,$K$15,$D45))),IFERROR(IF(percentage,percentage,""),""))</f>
        <v>0.03461538462</v>
      </c>
      <c r="H45" s="71">
        <f t="array" ref="H45">LET(percentage,XLOOKUP($E45,$K$2:$K$10,N$2:N$10,"",0)/(COUNTIFS($E:$E,$E45,$D:$D,RegularFormula!$D$2)+COUNTIFS($E:$E,$E45,$D:$D,IF($D45=RegularFormula!$D$2,$K$15,$D45))),IFERROR(IF(percentage,percentage,""),""))</f>
        <v>0.02307692308</v>
      </c>
      <c r="I45" s="72" t="str">
        <f t="shared" si="1"/>
        <v/>
      </c>
      <c r="J45" s="73">
        <v>0.0</v>
      </c>
      <c r="O45" s="103"/>
      <c r="P45" s="103"/>
      <c r="Q45" s="103"/>
      <c r="R45" s="79" t="str">
        <f t="shared" si="2"/>
        <v/>
      </c>
    </row>
    <row r="46">
      <c r="A46" s="217" t="b">
        <v>1</v>
      </c>
      <c r="B46" s="218" t="s">
        <v>801</v>
      </c>
      <c r="C46" s="69" t="str">
        <f t="array" ref="C46">TEXTJOIN("", TRUE, IFERROR(INDEX('language&amp;DataTest'!A:J, MATCH(INDEX( PointerTest!C:C, MATCH(B46, PointerTest!A:A, 0), 0), 'language&amp;DataTest'!A:A, 0), MATCH(HOME!$A$25, 'language&amp;DataTest'!$A$1:$H$1, 0))),                      IFERROR(INDEX('language&amp;DataTest'!A:J, MATCH(INDEX( PointerTest!D:D, MATCH(B46, PointerTest!A:A, 0), 0), 'language&amp;DataTest'!A:A, 0), MATCH(HOME!$A$25, 'language&amp;DataTest'!$A$1:$H$1, 0))),                                          
IFERROR(INDEX('language&amp;DataTest'!A:J, MATCH(INDEX( PointerTest!E:E, MATCH(B46, PointerTest!A:A, 0), 0), 'language&amp;DataTest'!A:A, 0), MATCH(HOME!$A$25, 'language&amp;DataTest'!$A$1:$H$1, 0))))</f>
        <v>Gible</v>
      </c>
      <c r="D46" s="69" t="str">
        <f t="array" ref="D46">TEXTJOIN("", TRUE, 
IFERROR(INDEX('language&amp;DataTest'!A:J, MATCH(INDEX( PointerTest!C:C, MATCH(INDEX(PointerTest!B:B, MATCH(B46, PointerTest!A:A, 0)), PointerTest!A:A, 0), 0), 'language&amp;DataTest'!A:A, 0), MATCH(HOME!$A$25, 'language&amp;DataTest'!$A$1:$H$1, 0))),                      
IFERROR(INDEX('language&amp;DataTest'!A:J, MATCH(INDEX( PointerTest!D:D, MATCH(INDEX(PointerTest!B:B, MATCH(B46, PointerTest!A:A, 0)), PointerTest!A:A, 0), 0), 'language&amp;DataTest'!A:A, 0), MATCH(HOME!$A$25, 'language&amp;DataTest'!$A$1:$H$1, 0))),                                          
IFERROR(INDEX('language&amp;DataTest'!A:J, MATCH(INDEX( PointerTest!E:E, MATCH(INDEX(PointerTest!B:B, MATCH(B46, PointerTest!A:A, 0)), PointerTest!A:A, 0), 0), 'language&amp;DataTest'!A:A, 0), MATCH(HOME!$A$25, 'language&amp;DataTest'!$A$1:$H$1, 0))))</f>
        <v>Arceus</v>
      </c>
      <c r="E46" s="69" t="str">
        <f t="array" ref="E46">INDEX( PointerTest!F:F, MATCH(B46, PointerTest!A:A, 0), 0)</f>
        <v>♢</v>
      </c>
      <c r="F46" s="70">
        <f t="array" ref="F46">LET(percentage,XLOOKUP($E46,$K$2:$K$10,L$2:L$10,"",0)/(COUNTIFS($E:$E,$E46,$D:$D,RegularFormula!$D$2)+COUNTIFS($E:$E,$E46,$D:$D,IF($D46=RegularFormula!$D$2,$K$15,$D46))),IFERROR(IF(percentage,percentage,""),""))</f>
        <v>0.03225806452</v>
      </c>
      <c r="G46" s="71" t="str">
        <f t="array" ref="G46">LET(percentage,XLOOKUP($E46,$K$2:$K$10,M$2:M$10,"",0)/(COUNTIFS($E:$E,$E46,$D:$D,RegularFormula!$D$2)+COUNTIFS($E:$E,$E46,$D:$D,IF($D46=RegularFormula!$D$2,$K$15,$D46))),IFERROR(IF(percentage,percentage,""),""))</f>
        <v/>
      </c>
      <c r="H46" s="71" t="str">
        <f t="array" ref="H46">LET(percentage,XLOOKUP($E46,$K$2:$K$10,N$2:N$10,"",0)/(COUNTIFS($E:$E,$E46,$D:$D,RegularFormula!$D$2)+COUNTIFS($E:$E,$E46,$D:$D,IF($D46=RegularFormula!$D$2,$K$15,$D46))),IFERROR(IF(percentage,percentage,""),""))</f>
        <v/>
      </c>
      <c r="I46" s="72" t="str">
        <f t="shared" si="1"/>
        <v/>
      </c>
      <c r="J46" s="73">
        <v>0.0</v>
      </c>
      <c r="O46" s="148"/>
      <c r="P46" s="148"/>
      <c r="Q46" s="148"/>
      <c r="R46" s="79" t="str">
        <f t="shared" si="2"/>
        <v/>
      </c>
    </row>
    <row r="47">
      <c r="A47" s="217" t="b">
        <v>1</v>
      </c>
      <c r="B47" s="218" t="s">
        <v>802</v>
      </c>
      <c r="C47" s="69" t="str">
        <f t="array" ref="C47">TEXTJOIN("", TRUE, IFERROR(INDEX('language&amp;DataTest'!A:J, MATCH(INDEX( PointerTest!C:C, MATCH(B47, PointerTest!A:A, 0), 0), 'language&amp;DataTest'!A:A, 0), MATCH(HOME!$A$25, 'language&amp;DataTest'!$A$1:$H$1, 0))),                      IFERROR(INDEX('language&amp;DataTest'!A:J, MATCH(INDEX( PointerTest!D:D, MATCH(B47, PointerTest!A:A, 0), 0), 'language&amp;DataTest'!A:A, 0), MATCH(HOME!$A$25, 'language&amp;DataTest'!$A$1:$H$1, 0))),                                          
IFERROR(INDEX('language&amp;DataTest'!A:J, MATCH(INDEX( PointerTest!E:E, MATCH(B47, PointerTest!A:A, 0), 0), 'language&amp;DataTest'!A:A, 0), MATCH(HOME!$A$25, 'language&amp;DataTest'!$A$1:$H$1, 0))))</f>
        <v>Gabite</v>
      </c>
      <c r="D47" s="69" t="str">
        <f t="array" ref="D47">TEXTJOIN("", TRUE, 
IFERROR(INDEX('language&amp;DataTest'!A:J, MATCH(INDEX( PointerTest!C:C, MATCH(INDEX(PointerTest!B:B, MATCH(B47, PointerTest!A:A, 0)), PointerTest!A:A, 0), 0), 'language&amp;DataTest'!A:A, 0), MATCH(HOME!$A$25, 'language&amp;DataTest'!$A$1:$H$1, 0))),                      
IFERROR(INDEX('language&amp;DataTest'!A:J, MATCH(INDEX( PointerTest!D:D, MATCH(INDEX(PointerTest!B:B, MATCH(B47, PointerTest!A:A, 0)), PointerTest!A:A, 0), 0), 'language&amp;DataTest'!A:A, 0), MATCH(HOME!$A$25, 'language&amp;DataTest'!$A$1:$H$1, 0))),                                          
IFERROR(INDEX('language&amp;DataTest'!A:J, MATCH(INDEX( PointerTest!E:E, MATCH(INDEX(PointerTest!B:B, MATCH(B47, PointerTest!A:A, 0)), PointerTest!A:A, 0), 0), 'language&amp;DataTest'!A:A, 0), MATCH(HOME!$A$25, 'language&amp;DataTest'!$A$1:$H$1, 0))))</f>
        <v>Arceus</v>
      </c>
      <c r="E47" s="69" t="str">
        <f t="array" ref="E47">INDEX( PointerTest!F:F, MATCH(B47, PointerTest!A:A, 0), 0)</f>
        <v>♢</v>
      </c>
      <c r="F47" s="70">
        <f t="array" ref="F47">LET(percentage,XLOOKUP($E47,$K$2:$K$10,L$2:L$10,"",0)/(COUNTIFS($E:$E,$E47,$D:$D,RegularFormula!$D$2)+COUNTIFS($E:$E,$E47,$D:$D,IF($D47=RegularFormula!$D$2,$K$15,$D47))),IFERROR(IF(percentage,percentage,""),""))</f>
        <v>0.03225806452</v>
      </c>
      <c r="G47" s="71" t="str">
        <f t="array" ref="G47">LET(percentage,XLOOKUP($E47,$K$2:$K$10,M$2:M$10,"",0)/(COUNTIFS($E:$E,$E47,$D:$D,RegularFormula!$D$2)+COUNTIFS($E:$E,$E47,$D:$D,IF($D47=RegularFormula!$D$2,$K$15,$D47))),IFERROR(IF(percentage,percentage,""),""))</f>
        <v/>
      </c>
      <c r="H47" s="71" t="str">
        <f t="array" ref="H47">LET(percentage,XLOOKUP($E47,$K$2:$K$10,N$2:N$10,"",0)/(COUNTIFS($E:$E,$E47,$D:$D,RegularFormula!$D$2)+COUNTIFS($E:$E,$E47,$D:$D,IF($D47=RegularFormula!$D$2,$K$15,$D47))),IFERROR(IF(percentage,percentage,""),""))</f>
        <v/>
      </c>
      <c r="I47" s="72" t="str">
        <f t="shared" si="1"/>
        <v/>
      </c>
      <c r="J47" s="73">
        <v>0.0</v>
      </c>
      <c r="K47" s="100"/>
      <c r="O47" s="148"/>
      <c r="P47" s="148"/>
      <c r="Q47" s="148"/>
      <c r="R47" s="79" t="str">
        <f t="shared" si="2"/>
        <v/>
      </c>
    </row>
    <row r="48">
      <c r="A48" s="217" t="b">
        <v>1</v>
      </c>
      <c r="B48" s="218" t="s">
        <v>803</v>
      </c>
      <c r="C48" s="69" t="str">
        <f t="array" ref="C48">TEXTJOIN("", TRUE, IFERROR(INDEX('language&amp;DataTest'!A:J, MATCH(INDEX( PointerTest!C:C, MATCH(B48, PointerTest!A:A, 0), 0), 'language&amp;DataTest'!A:A, 0), MATCH(HOME!$A$25, 'language&amp;DataTest'!$A$1:$H$1, 0))),                      IFERROR(INDEX('language&amp;DataTest'!A:J, MATCH(INDEX( PointerTest!D:D, MATCH(B48, PointerTest!A:A, 0), 0), 'language&amp;DataTest'!A:A, 0), MATCH(HOME!$A$25, 'language&amp;DataTest'!$A$1:$H$1, 0))),                                          
IFERROR(INDEX('language&amp;DataTest'!A:J, MATCH(INDEX( PointerTest!E:E, MATCH(B48, PointerTest!A:A, 0), 0), 'language&amp;DataTest'!A:A, 0), MATCH(HOME!$A$25, 'language&amp;DataTest'!$A$1:$H$1, 0))))</f>
        <v>Garchomp ex</v>
      </c>
      <c r="D48" s="69" t="str">
        <f t="array" ref="D48">TEXTJOIN("", TRUE, 
IFERROR(INDEX('language&amp;DataTest'!A:J, MATCH(INDEX( PointerTest!C:C, MATCH(INDEX(PointerTest!B:B, MATCH(B48, PointerTest!A:A, 0)), PointerTest!A:A, 0), 0), 'language&amp;DataTest'!A:A, 0), MATCH(HOME!$A$25, 'language&amp;DataTest'!$A$1:$H$1, 0))),                      
IFERROR(INDEX('language&amp;DataTest'!A:J, MATCH(INDEX( PointerTest!D:D, MATCH(INDEX(PointerTest!B:B, MATCH(B48, PointerTest!A:A, 0)), PointerTest!A:A, 0), 0), 'language&amp;DataTest'!A:A, 0), MATCH(HOME!$A$25, 'language&amp;DataTest'!$A$1:$H$1, 0))),                                          
IFERROR(INDEX('language&amp;DataTest'!A:J, MATCH(INDEX( PointerTest!E:E, MATCH(INDEX(PointerTest!B:B, MATCH(B48, PointerTest!A:A, 0)), PointerTest!A:A, 0), 0), 'language&amp;DataTest'!A:A, 0), MATCH(HOME!$A$25, 'language&amp;DataTest'!$A$1:$H$1, 0))))</f>
        <v>Arceus</v>
      </c>
      <c r="E48" s="69" t="str">
        <f t="array" ref="E48">INDEX( PointerTest!F:F, MATCH(B48, PointerTest!A:A, 0), 0)</f>
        <v>♢♢♢♢</v>
      </c>
      <c r="F48" s="70" t="str">
        <f t="array" ref="F48">LET(percentage,XLOOKUP($E48,$K$2:$K$10,L$2:L$10,"",0)/(COUNTIFS($E:$E,$E48,$D:$D,RegularFormula!$D$2)+COUNTIFS($E:$E,$E48,$D:$D,IF($D48=RegularFormula!$D$2,$K$15,$D48))),IFERROR(IF(percentage,percentage,""),""))</f>
        <v/>
      </c>
      <c r="G48" s="71">
        <f t="array" ref="G48">LET(percentage,XLOOKUP($E48,$K$2:$K$10,M$2:M$10,"",0)/(COUNTIFS($E:$E,$E48,$D:$D,RegularFormula!$D$2)+COUNTIFS($E:$E,$E48,$D:$D,IF($D48=RegularFormula!$D$2,$K$15,$D48))),IFERROR(IF(percentage,percentage,""),""))</f>
        <v>0.003332</v>
      </c>
      <c r="H48" s="71">
        <f t="array" ref="H48">LET(percentage,XLOOKUP($E48,$K$2:$K$10,N$2:N$10,"",0)/(COUNTIFS($E:$E,$E48,$D:$D,RegularFormula!$D$2)+COUNTIFS($E:$E,$E48,$D:$D,IF($D48=RegularFormula!$D$2,$K$15,$D48))),IFERROR(IF(percentage,percentage,""),""))</f>
        <v>0.013328</v>
      </c>
      <c r="I48" s="72" t="str">
        <f t="shared" si="1"/>
        <v/>
      </c>
      <c r="J48" s="73">
        <v>0.0</v>
      </c>
      <c r="K48" s="100"/>
      <c r="O48" s="148"/>
      <c r="P48" s="148"/>
      <c r="Q48" s="148"/>
      <c r="R48" s="79" t="str">
        <f t="shared" si="2"/>
        <v/>
      </c>
    </row>
    <row r="49">
      <c r="A49" s="217" t="b">
        <v>1</v>
      </c>
      <c r="B49" s="218" t="s">
        <v>804</v>
      </c>
      <c r="C49" s="69" t="str">
        <f t="array" ref="C49">TEXTJOIN("", TRUE, IFERROR(INDEX('language&amp;DataTest'!A:J, MATCH(INDEX( PointerTest!C:C, MATCH(B49, PointerTest!A:A, 0), 0), 'language&amp;DataTest'!A:A, 0), MATCH(HOME!$A$25, 'language&amp;DataTest'!$A$1:$H$1, 0))),                      IFERROR(INDEX('language&amp;DataTest'!A:J, MATCH(INDEX( PointerTest!D:D, MATCH(B49, PointerTest!A:A, 0), 0), 'language&amp;DataTest'!A:A, 0), MATCH(HOME!$A$25, 'language&amp;DataTest'!$A$1:$H$1, 0))),                                          
IFERROR(INDEX('language&amp;DataTest'!A:J, MATCH(INDEX( PointerTest!E:E, MATCH(B49, PointerTest!A:A, 0), 0), 'language&amp;DataTest'!A:A, 0), MATCH(HOME!$A$25, 'language&amp;DataTest'!$A$1:$H$1, 0))))</f>
        <v>Zubat</v>
      </c>
      <c r="D49" s="69" t="str">
        <f t="array" ref="D49">TEXTJOIN("", TRUE, 
IFERROR(INDEX('language&amp;DataTest'!A:J, MATCH(INDEX( PointerTest!C:C, MATCH(INDEX(PointerTest!B:B, MATCH(B49, PointerTest!A:A, 0)), PointerTest!A:A, 0), 0), 'language&amp;DataTest'!A:A, 0), MATCH(HOME!$A$25, 'language&amp;DataTest'!$A$1:$H$1, 0))),                      
IFERROR(INDEX('language&amp;DataTest'!A:J, MATCH(INDEX( PointerTest!D:D, MATCH(INDEX(PointerTest!B:B, MATCH(B49, PointerTest!A:A, 0)), PointerTest!A:A, 0), 0), 'language&amp;DataTest'!A:A, 0), MATCH(HOME!$A$25, 'language&amp;DataTest'!$A$1:$H$1, 0))),                                          
IFERROR(INDEX('language&amp;DataTest'!A:J, MATCH(INDEX( PointerTest!E:E, MATCH(INDEX(PointerTest!B:B, MATCH(B49, PointerTest!A:A, 0)), PointerTest!A:A, 0), 0), 'language&amp;DataTest'!A:A, 0), MATCH(HOME!$A$25, 'language&amp;DataTest'!$A$1:$H$1, 0))))</f>
        <v>Arceus</v>
      </c>
      <c r="E49" s="69" t="str">
        <f t="array" ref="E49">INDEX( PointerTest!F:F, MATCH(B49, PointerTest!A:A, 0), 0)</f>
        <v>♢</v>
      </c>
      <c r="F49" s="70">
        <f t="array" ref="F49">LET(percentage,XLOOKUP($E49,$K$2:$K$10,L$2:L$10,"",0)/(COUNTIFS($E:$E,$E49,$D:$D,RegularFormula!$D$2)+COUNTIFS($E:$E,$E49,$D:$D,IF($D49=RegularFormula!$D$2,$K$15,$D49))),IFERROR(IF(percentage,percentage,""),""))</f>
        <v>0.03225806452</v>
      </c>
      <c r="G49" s="71" t="str">
        <f t="array" ref="G49">LET(percentage,XLOOKUP($E49,$K$2:$K$10,M$2:M$10,"",0)/(COUNTIFS($E:$E,$E49,$D:$D,RegularFormula!$D$2)+COUNTIFS($E:$E,$E49,$D:$D,IF($D49=RegularFormula!$D$2,$K$15,$D49))),IFERROR(IF(percentage,percentage,""),""))</f>
        <v/>
      </c>
      <c r="H49" s="71" t="str">
        <f t="array" ref="H49">LET(percentage,XLOOKUP($E49,$K$2:$K$10,N$2:N$10,"",0)/(COUNTIFS($E:$E,$E49,$D:$D,RegularFormula!$D$2)+COUNTIFS($E:$E,$E49,$D:$D,IF($D49=RegularFormula!$D$2,$K$15,$D49))),IFERROR(IF(percentage,percentage,""),""))</f>
        <v/>
      </c>
      <c r="I49" s="72" t="str">
        <f t="shared" si="1"/>
        <v/>
      </c>
      <c r="J49" s="73">
        <v>0.0</v>
      </c>
      <c r="K49" s="100"/>
      <c r="O49" s="103"/>
      <c r="P49" s="103"/>
      <c r="Q49" s="103"/>
      <c r="R49" s="79" t="str">
        <f t="shared" si="2"/>
        <v/>
      </c>
    </row>
    <row r="50">
      <c r="A50" s="217" t="b">
        <v>1</v>
      </c>
      <c r="B50" s="218" t="s">
        <v>805</v>
      </c>
      <c r="C50" s="69" t="str">
        <f t="array" ref="C50">TEXTJOIN("", TRUE, IFERROR(INDEX('language&amp;DataTest'!A:J, MATCH(INDEX( PointerTest!C:C, MATCH(B50, PointerTest!A:A, 0), 0), 'language&amp;DataTest'!A:A, 0), MATCH(HOME!$A$25, 'language&amp;DataTest'!$A$1:$H$1, 0))),                      IFERROR(INDEX('language&amp;DataTest'!A:J, MATCH(INDEX( PointerTest!D:D, MATCH(B50, PointerTest!A:A, 0), 0), 'language&amp;DataTest'!A:A, 0), MATCH(HOME!$A$25, 'language&amp;DataTest'!$A$1:$H$1, 0))),                                          
IFERROR(INDEX('language&amp;DataTest'!A:J, MATCH(INDEX( PointerTest!E:E, MATCH(B50, PointerTest!A:A, 0), 0), 'language&amp;DataTest'!A:A, 0), MATCH(HOME!$A$25, 'language&amp;DataTest'!$A$1:$H$1, 0))))</f>
        <v>Golbat</v>
      </c>
      <c r="D50" s="69" t="str">
        <f t="array" ref="D50">TEXTJOIN("", TRUE, 
IFERROR(INDEX('language&amp;DataTest'!A:J, MATCH(INDEX( PointerTest!C:C, MATCH(INDEX(PointerTest!B:B, MATCH(B50, PointerTest!A:A, 0)), PointerTest!A:A, 0), 0), 'language&amp;DataTest'!A:A, 0), MATCH(HOME!$A$25, 'language&amp;DataTest'!$A$1:$H$1, 0))),                      
IFERROR(INDEX('language&amp;DataTest'!A:J, MATCH(INDEX( PointerTest!D:D, MATCH(INDEX(PointerTest!B:B, MATCH(B50, PointerTest!A:A, 0)), PointerTest!A:A, 0), 0), 'language&amp;DataTest'!A:A, 0), MATCH(HOME!$A$25, 'language&amp;DataTest'!$A$1:$H$1, 0))),                                          
IFERROR(INDEX('language&amp;DataTest'!A:J, MATCH(INDEX( PointerTest!E:E, MATCH(INDEX(PointerTest!B:B, MATCH(B50, PointerTest!A:A, 0)), PointerTest!A:A, 0), 0), 'language&amp;DataTest'!A:A, 0), MATCH(HOME!$A$25, 'language&amp;DataTest'!$A$1:$H$1, 0))))</f>
        <v>Arceus</v>
      </c>
      <c r="E50" s="69" t="str">
        <f t="array" ref="E50">INDEX( PointerTest!F:F, MATCH(B50, PointerTest!A:A, 0), 0)</f>
        <v>♢</v>
      </c>
      <c r="F50" s="70">
        <f t="array" ref="F50">LET(percentage,XLOOKUP($E50,$K$2:$K$10,L$2:L$10,"",0)/(COUNTIFS($E:$E,$E50,$D:$D,RegularFormula!$D$2)+COUNTIFS($E:$E,$E50,$D:$D,IF($D50=RegularFormula!$D$2,$K$15,$D50))),IFERROR(IF(percentage,percentage,""),""))</f>
        <v>0.03225806452</v>
      </c>
      <c r="G50" s="71" t="str">
        <f t="array" ref="G50">LET(percentage,XLOOKUP($E50,$K$2:$K$10,M$2:M$10,"",0)/(COUNTIFS($E:$E,$E50,$D:$D,RegularFormula!$D$2)+COUNTIFS($E:$E,$E50,$D:$D,IF($D50=RegularFormula!$D$2,$K$15,$D50))),IFERROR(IF(percentage,percentage,""),""))</f>
        <v/>
      </c>
      <c r="H50" s="71" t="str">
        <f t="array" ref="H50">LET(percentage,XLOOKUP($E50,$K$2:$K$10,N$2:N$10,"",0)/(COUNTIFS($E:$E,$E50,$D:$D,RegularFormula!$D$2)+COUNTIFS($E:$E,$E50,$D:$D,IF($D50=RegularFormula!$D$2,$K$15,$D50))),IFERROR(IF(percentage,percentage,""),""))</f>
        <v/>
      </c>
      <c r="I50" s="72" t="str">
        <f t="shared" si="1"/>
        <v/>
      </c>
      <c r="J50" s="73">
        <v>0.0</v>
      </c>
      <c r="K50" s="100"/>
      <c r="O50" s="163"/>
      <c r="P50" s="163"/>
      <c r="Q50" s="163"/>
      <c r="R50" s="79" t="str">
        <f t="shared" si="2"/>
        <v/>
      </c>
    </row>
    <row r="51">
      <c r="A51" s="217" t="b">
        <v>0</v>
      </c>
      <c r="B51" s="218" t="s">
        <v>806</v>
      </c>
      <c r="C51" s="69" t="str">
        <f t="array" ref="C51">TEXTJOIN("", TRUE, IFERROR(INDEX('language&amp;DataTest'!A:J, MATCH(INDEX( PointerTest!C:C, MATCH(B51, PointerTest!A:A, 0), 0), 'language&amp;DataTest'!A:A, 0), MATCH(HOME!$A$25, 'language&amp;DataTest'!$A$1:$H$1, 0))),                      IFERROR(INDEX('language&amp;DataTest'!A:J, MATCH(INDEX( PointerTest!D:D, MATCH(B51, PointerTest!A:A, 0), 0), 'language&amp;DataTest'!A:A, 0), MATCH(HOME!$A$25, 'language&amp;DataTest'!$A$1:$H$1, 0))),                                          
IFERROR(INDEX('language&amp;DataTest'!A:J, MATCH(INDEX( PointerTest!E:E, MATCH(B51, PointerTest!A:A, 0), 0), 'language&amp;DataTest'!A:A, 0), MATCH(HOME!$A$25, 'language&amp;DataTest'!$A$1:$H$1, 0))))</f>
        <v>Crobat</v>
      </c>
      <c r="D51" s="69" t="str">
        <f t="array" ref="D51">TEXTJOIN("", TRUE, 
IFERROR(INDEX('language&amp;DataTest'!A:J, MATCH(INDEX( PointerTest!C:C, MATCH(INDEX(PointerTest!B:B, MATCH(B51, PointerTest!A:A, 0)), PointerTest!A:A, 0), 0), 'language&amp;DataTest'!A:A, 0), MATCH(HOME!$A$25, 'language&amp;DataTest'!$A$1:$H$1, 0))),                      
IFERROR(INDEX('language&amp;DataTest'!A:J, MATCH(INDEX( PointerTest!D:D, MATCH(INDEX(PointerTest!B:B, MATCH(B51, PointerTest!A:A, 0)), PointerTest!A:A, 0), 0), 'language&amp;DataTest'!A:A, 0), MATCH(HOME!$A$25, 'language&amp;DataTest'!$A$1:$H$1, 0))),                                          
IFERROR(INDEX('language&amp;DataTest'!A:J, MATCH(INDEX( PointerTest!E:E, MATCH(INDEX(PointerTest!B:B, MATCH(B51, PointerTest!A:A, 0)), PointerTest!A:A, 0), 0), 'language&amp;DataTest'!A:A, 0), MATCH(HOME!$A$25, 'language&amp;DataTest'!$A$1:$H$1, 0))))</f>
        <v>Arceus</v>
      </c>
      <c r="E51" s="69" t="str">
        <f t="array" ref="E51">INDEX( PointerTest!F:F, MATCH(B51, PointerTest!A:A, 0), 0)</f>
        <v>♢♢♢</v>
      </c>
      <c r="F51" s="70" t="str">
        <f t="array" ref="F51">LET(percentage,XLOOKUP($E51,$K$2:$K$10,L$2:L$10,"",0)/(COUNTIFS($E:$E,$E51,$D:$D,RegularFormula!$D$2)+COUNTIFS($E:$E,$E51,$D:$D,IF($D51=RegularFormula!$D$2,$K$15,$D51))),IFERROR(IF(percentage,percentage,""),""))</f>
        <v/>
      </c>
      <c r="G51" s="71">
        <f t="array" ref="G51">LET(percentage,XLOOKUP($E51,$K$2:$K$10,M$2:M$10,"",0)/(COUNTIFS($E:$E,$E51,$D:$D,RegularFormula!$D$2)+COUNTIFS($E:$E,$E51,$D:$D,IF($D51=RegularFormula!$D$2,$K$15,$D51))),IFERROR(IF(percentage,percentage,""),""))</f>
        <v>0.003846153846</v>
      </c>
      <c r="H51" s="71">
        <f t="array" ref="H51">LET(percentage,XLOOKUP($E51,$K$2:$K$10,N$2:N$10,"",0)/(COUNTIFS($E:$E,$E51,$D:$D,RegularFormula!$D$2)+COUNTIFS($E:$E,$E51,$D:$D,IF($D51=RegularFormula!$D$2,$K$15,$D51))),IFERROR(IF(percentage,percentage,""),""))</f>
        <v>0.01538461538</v>
      </c>
      <c r="I51" s="72" t="str">
        <f t="shared" si="1"/>
        <v/>
      </c>
      <c r="J51" s="73">
        <v>0.0</v>
      </c>
      <c r="K51" s="100"/>
      <c r="O51" s="163"/>
      <c r="P51" s="163"/>
      <c r="Q51" s="163"/>
      <c r="R51" s="79" t="str">
        <f t="shared" si="2"/>
        <v/>
      </c>
    </row>
    <row r="52">
      <c r="A52" s="217" t="b">
        <v>1</v>
      </c>
      <c r="B52" s="218" t="s">
        <v>807</v>
      </c>
      <c r="C52" s="69" t="str">
        <f t="array" ref="C52">TEXTJOIN("", TRUE, IFERROR(INDEX('language&amp;DataTest'!A:J, MATCH(INDEX( PointerTest!C:C, MATCH(B52, PointerTest!A:A, 0), 0), 'language&amp;DataTest'!A:A, 0), MATCH(HOME!$A$25, 'language&amp;DataTest'!$A$1:$H$1, 0))),                      IFERROR(INDEX('language&amp;DataTest'!A:J, MATCH(INDEX( PointerTest!D:D, MATCH(B52, PointerTest!A:A, 0), 0), 'language&amp;DataTest'!A:A, 0), MATCH(HOME!$A$25, 'language&amp;DataTest'!$A$1:$H$1, 0))),                                          
IFERROR(INDEX('language&amp;DataTest'!A:J, MATCH(INDEX( PointerTest!E:E, MATCH(B52, PointerTest!A:A, 0), 0), 'language&amp;DataTest'!A:A, 0), MATCH(HOME!$A$25, 'language&amp;DataTest'!$A$1:$H$1, 0))))</f>
        <v>Croagunk</v>
      </c>
      <c r="D52" s="69" t="str">
        <f t="array" ref="D52">TEXTJOIN("", TRUE, 
IFERROR(INDEX('language&amp;DataTest'!A:J, MATCH(INDEX( PointerTest!C:C, MATCH(INDEX(PointerTest!B:B, MATCH(B52, PointerTest!A:A, 0)), PointerTest!A:A, 0), 0), 'language&amp;DataTest'!A:A, 0), MATCH(HOME!$A$25, 'language&amp;DataTest'!$A$1:$H$1, 0))),                      
IFERROR(INDEX('language&amp;DataTest'!A:J, MATCH(INDEX( PointerTest!D:D, MATCH(INDEX(PointerTest!B:B, MATCH(B52, PointerTest!A:A, 0)), PointerTest!A:A, 0), 0), 'language&amp;DataTest'!A:A, 0), MATCH(HOME!$A$25, 'language&amp;DataTest'!$A$1:$H$1, 0))),                                          
IFERROR(INDEX('language&amp;DataTest'!A:J, MATCH(INDEX( PointerTest!E:E, MATCH(INDEX(PointerTest!B:B, MATCH(B52, PointerTest!A:A, 0)), PointerTest!A:A, 0), 0), 'language&amp;DataTest'!A:A, 0), MATCH(HOME!$A$25, 'language&amp;DataTest'!$A$1:$H$1, 0))))</f>
        <v>Arceus</v>
      </c>
      <c r="E52" s="69" t="str">
        <f t="array" ref="E52">INDEX( PointerTest!F:F, MATCH(B52, PointerTest!A:A, 0), 0)</f>
        <v>♢</v>
      </c>
      <c r="F52" s="70">
        <f t="array" ref="F52">LET(percentage,XLOOKUP($E52,$K$2:$K$10,L$2:L$10,"",0)/(COUNTIFS($E:$E,$E52,$D:$D,RegularFormula!$D$2)+COUNTIFS($E:$E,$E52,$D:$D,IF($D52=RegularFormula!$D$2,$K$15,$D52))),IFERROR(IF(percentage,percentage,""),""))</f>
        <v>0.03225806452</v>
      </c>
      <c r="G52" s="71" t="str">
        <f t="array" ref="G52">LET(percentage,XLOOKUP($E52,$K$2:$K$10,M$2:M$10,"",0)/(COUNTIFS($E:$E,$E52,$D:$D,RegularFormula!$D$2)+COUNTIFS($E:$E,$E52,$D:$D,IF($D52=RegularFormula!$D$2,$K$15,$D52))),IFERROR(IF(percentage,percentage,""),""))</f>
        <v/>
      </c>
      <c r="H52" s="71" t="str">
        <f t="array" ref="H52">LET(percentage,XLOOKUP($E52,$K$2:$K$10,N$2:N$10,"",0)/(COUNTIFS($E:$E,$E52,$D:$D,RegularFormula!$D$2)+COUNTIFS($E:$E,$E52,$D:$D,IF($D52=RegularFormula!$D$2,$K$15,$D52))),IFERROR(IF(percentage,percentage,""),""))</f>
        <v/>
      </c>
      <c r="I52" s="72" t="str">
        <f t="shared" si="1"/>
        <v/>
      </c>
      <c r="J52" s="73">
        <v>0.0</v>
      </c>
      <c r="K52" s="100"/>
      <c r="O52" s="163"/>
      <c r="P52" s="163"/>
      <c r="Q52" s="163"/>
      <c r="R52" s="79" t="str">
        <f t="shared" si="2"/>
        <v/>
      </c>
    </row>
    <row r="53">
      <c r="A53" s="217" t="b">
        <v>1</v>
      </c>
      <c r="B53" s="218" t="s">
        <v>808</v>
      </c>
      <c r="C53" s="69" t="str">
        <f t="array" ref="C53">TEXTJOIN("", TRUE, IFERROR(INDEX('language&amp;DataTest'!A:J, MATCH(INDEX( PointerTest!C:C, MATCH(B53, PointerTest!A:A, 0), 0), 'language&amp;DataTest'!A:A, 0), MATCH(HOME!$A$25, 'language&amp;DataTest'!$A$1:$H$1, 0))),                      IFERROR(INDEX('language&amp;DataTest'!A:J, MATCH(INDEX( PointerTest!D:D, MATCH(B53, PointerTest!A:A, 0), 0), 'language&amp;DataTest'!A:A, 0), MATCH(HOME!$A$25, 'language&amp;DataTest'!$A$1:$H$1, 0))),                                          
IFERROR(INDEX('language&amp;DataTest'!A:J, MATCH(INDEX( PointerTest!E:E, MATCH(B53, PointerTest!A:A, 0), 0), 'language&amp;DataTest'!A:A, 0), MATCH(HOME!$A$25, 'language&amp;DataTest'!$A$1:$H$1, 0))))</f>
        <v>Toxicroak</v>
      </c>
      <c r="D53" s="69" t="str">
        <f t="array" ref="D53">TEXTJOIN("", TRUE, 
IFERROR(INDEX('language&amp;DataTest'!A:J, MATCH(INDEX( PointerTest!C:C, MATCH(INDEX(PointerTest!B:B, MATCH(B53, PointerTest!A:A, 0)), PointerTest!A:A, 0), 0), 'language&amp;DataTest'!A:A, 0), MATCH(HOME!$A$25, 'language&amp;DataTest'!$A$1:$H$1, 0))),                      
IFERROR(INDEX('language&amp;DataTest'!A:J, MATCH(INDEX( PointerTest!D:D, MATCH(INDEX(PointerTest!B:B, MATCH(B53, PointerTest!A:A, 0)), PointerTest!A:A, 0), 0), 'language&amp;DataTest'!A:A, 0), MATCH(HOME!$A$25, 'language&amp;DataTest'!$A$1:$H$1, 0))),                                          
IFERROR(INDEX('language&amp;DataTest'!A:J, MATCH(INDEX( PointerTest!E:E, MATCH(INDEX(PointerTest!B:B, MATCH(B53, PointerTest!A:A, 0)), PointerTest!A:A, 0), 0), 'language&amp;DataTest'!A:A, 0), MATCH(HOME!$A$25, 'language&amp;DataTest'!$A$1:$H$1, 0))))</f>
        <v>Arceus</v>
      </c>
      <c r="E53" s="69" t="str">
        <f t="array" ref="E53">INDEX( PointerTest!F:F, MATCH(B53, PointerTest!A:A, 0), 0)</f>
        <v>♢♢</v>
      </c>
      <c r="F53" s="70" t="str">
        <f t="array" ref="F53">LET(percentage,XLOOKUP($E53,$K$2:$K$10,L$2:L$10,"",0)/(COUNTIFS($E:$E,$E53,$D:$D,RegularFormula!$D$2)+COUNTIFS($E:$E,$E53,$D:$D,IF($D53=RegularFormula!$D$2,$K$15,$D53))),IFERROR(IF(percentage,percentage,""),""))</f>
        <v/>
      </c>
      <c r="G53" s="71">
        <f t="array" ref="G53">LET(percentage,XLOOKUP($E53,$K$2:$K$10,M$2:M$10,"",0)/(COUNTIFS($E:$E,$E53,$D:$D,RegularFormula!$D$2)+COUNTIFS($E:$E,$E53,$D:$D,IF($D53=RegularFormula!$D$2,$K$15,$D53))),IFERROR(IF(percentage,percentage,""),""))</f>
        <v>0.03461538462</v>
      </c>
      <c r="H53" s="71">
        <f t="array" ref="H53">LET(percentage,XLOOKUP($E53,$K$2:$K$10,N$2:N$10,"",0)/(COUNTIFS($E:$E,$E53,$D:$D,RegularFormula!$D$2)+COUNTIFS($E:$E,$E53,$D:$D,IF($D53=RegularFormula!$D$2,$K$15,$D53))),IFERROR(IF(percentage,percentage,""),""))</f>
        <v>0.02307692308</v>
      </c>
      <c r="I53" s="72" t="str">
        <f t="shared" si="1"/>
        <v/>
      </c>
      <c r="J53" s="73">
        <v>0.0</v>
      </c>
      <c r="K53" s="100"/>
      <c r="O53" s="163"/>
      <c r="P53" s="163"/>
      <c r="Q53" s="163"/>
      <c r="R53" s="79" t="str">
        <f t="shared" si="2"/>
        <v/>
      </c>
    </row>
    <row r="54">
      <c r="A54" s="217" t="b">
        <v>1</v>
      </c>
      <c r="B54" s="218" t="s">
        <v>809</v>
      </c>
      <c r="C54" s="69" t="str">
        <f t="array" ref="C54">TEXTJOIN("", TRUE, IFERROR(INDEX('language&amp;DataTest'!A:J, MATCH(INDEX( PointerTest!C:C, MATCH(B54, PointerTest!A:A, 0), 0), 'language&amp;DataTest'!A:A, 0), MATCH(HOME!$A$25, 'language&amp;DataTest'!$A$1:$H$1, 0))),                      IFERROR(INDEX('language&amp;DataTest'!A:J, MATCH(INDEX( PointerTest!D:D, MATCH(B54, PointerTest!A:A, 0), 0), 'language&amp;DataTest'!A:A, 0), MATCH(HOME!$A$25, 'language&amp;DataTest'!$A$1:$H$1, 0))),                                          
IFERROR(INDEX('language&amp;DataTest'!A:J, MATCH(INDEX( PointerTest!E:E, MATCH(B54, PointerTest!A:A, 0), 0), 'language&amp;DataTest'!A:A, 0), MATCH(HOME!$A$25, 'language&amp;DataTest'!$A$1:$H$1, 0))))</f>
        <v>Magnemite</v>
      </c>
      <c r="D54" s="69" t="str">
        <f t="array" ref="D54">TEXTJOIN("", TRUE, 
IFERROR(INDEX('language&amp;DataTest'!A:J, MATCH(INDEX( PointerTest!C:C, MATCH(INDEX(PointerTest!B:B, MATCH(B54, PointerTest!A:A, 0)), PointerTest!A:A, 0), 0), 'language&amp;DataTest'!A:A, 0), MATCH(HOME!$A$25, 'language&amp;DataTest'!$A$1:$H$1, 0))),                      
IFERROR(INDEX('language&amp;DataTest'!A:J, MATCH(INDEX( PointerTest!D:D, MATCH(INDEX(PointerTest!B:B, MATCH(B54, PointerTest!A:A, 0)), PointerTest!A:A, 0), 0), 'language&amp;DataTest'!A:A, 0), MATCH(HOME!$A$25, 'language&amp;DataTest'!$A$1:$H$1, 0))),                                          
IFERROR(INDEX('language&amp;DataTest'!A:J, MATCH(INDEX( PointerTest!E:E, MATCH(INDEX(PointerTest!B:B, MATCH(B54, PointerTest!A:A, 0)), PointerTest!A:A, 0), 0), 'language&amp;DataTest'!A:A, 0), MATCH(HOME!$A$25, 'language&amp;DataTest'!$A$1:$H$1, 0))))</f>
        <v>Arceus</v>
      </c>
      <c r="E54" s="69" t="str">
        <f t="array" ref="E54">INDEX( PointerTest!F:F, MATCH(B54, PointerTest!A:A, 0), 0)</f>
        <v>♢</v>
      </c>
      <c r="F54" s="70">
        <f t="array" ref="F54">LET(percentage,XLOOKUP($E54,$K$2:$K$10,L$2:L$10,"",0)/(COUNTIFS($E:$E,$E54,$D:$D,RegularFormula!$D$2)+COUNTIFS($E:$E,$E54,$D:$D,IF($D54=RegularFormula!$D$2,$K$15,$D54))),IFERROR(IF(percentage,percentage,""),""))</f>
        <v>0.03225806452</v>
      </c>
      <c r="G54" s="71" t="str">
        <f t="array" ref="G54">LET(percentage,XLOOKUP($E54,$K$2:$K$10,M$2:M$10,"",0)/(COUNTIFS($E:$E,$E54,$D:$D,RegularFormula!$D$2)+COUNTIFS($E:$E,$E54,$D:$D,IF($D54=RegularFormula!$D$2,$K$15,$D54))),IFERROR(IF(percentage,percentage,""),""))</f>
        <v/>
      </c>
      <c r="H54" s="71" t="str">
        <f t="array" ref="H54">LET(percentage,XLOOKUP($E54,$K$2:$K$10,N$2:N$10,"",0)/(COUNTIFS($E:$E,$E54,$D:$D,RegularFormula!$D$2)+COUNTIFS($E:$E,$E54,$D:$D,IF($D54=RegularFormula!$D$2,$K$15,$D54))),IFERROR(IF(percentage,percentage,""),""))</f>
        <v/>
      </c>
      <c r="I54" s="72" t="str">
        <f t="shared" si="1"/>
        <v/>
      </c>
      <c r="J54" s="73">
        <v>0.0</v>
      </c>
      <c r="K54" s="100"/>
      <c r="O54" s="163"/>
      <c r="P54" s="163"/>
      <c r="Q54" s="163"/>
      <c r="R54" s="79" t="str">
        <f t="shared" si="2"/>
        <v/>
      </c>
    </row>
    <row r="55">
      <c r="A55" s="217" t="b">
        <v>1</v>
      </c>
      <c r="B55" s="218" t="s">
        <v>810</v>
      </c>
      <c r="C55" s="69" t="str">
        <f t="array" ref="C55">TEXTJOIN("", TRUE, IFERROR(INDEX('language&amp;DataTest'!A:J, MATCH(INDEX( PointerTest!C:C, MATCH(B55, PointerTest!A:A, 0), 0), 'language&amp;DataTest'!A:A, 0), MATCH(HOME!$A$25, 'language&amp;DataTest'!$A$1:$H$1, 0))),                      IFERROR(INDEX('language&amp;DataTest'!A:J, MATCH(INDEX( PointerTest!D:D, MATCH(B55, PointerTest!A:A, 0), 0), 'language&amp;DataTest'!A:A, 0), MATCH(HOME!$A$25, 'language&amp;DataTest'!$A$1:$H$1, 0))),                                          
IFERROR(INDEX('language&amp;DataTest'!A:J, MATCH(INDEX( PointerTest!E:E, MATCH(B55, PointerTest!A:A, 0), 0), 'language&amp;DataTest'!A:A, 0), MATCH(HOME!$A$25, 'language&amp;DataTest'!$A$1:$H$1, 0))))</f>
        <v>Magneton</v>
      </c>
      <c r="D55" s="69" t="str">
        <f t="array" ref="D55">TEXTJOIN("", TRUE, 
IFERROR(INDEX('language&amp;DataTest'!A:J, MATCH(INDEX( PointerTest!C:C, MATCH(INDEX(PointerTest!B:B, MATCH(B55, PointerTest!A:A, 0)), PointerTest!A:A, 0), 0), 'language&amp;DataTest'!A:A, 0), MATCH(HOME!$A$25, 'language&amp;DataTest'!$A$1:$H$1, 0))),                      
IFERROR(INDEX('language&amp;DataTest'!A:J, MATCH(INDEX( PointerTest!D:D, MATCH(INDEX(PointerTest!B:B, MATCH(B55, PointerTest!A:A, 0)), PointerTest!A:A, 0), 0), 'language&amp;DataTest'!A:A, 0), MATCH(HOME!$A$25, 'language&amp;DataTest'!$A$1:$H$1, 0))),                                          
IFERROR(INDEX('language&amp;DataTest'!A:J, MATCH(INDEX( PointerTest!E:E, MATCH(INDEX(PointerTest!B:B, MATCH(B55, PointerTest!A:A, 0)), PointerTest!A:A, 0), 0), 'language&amp;DataTest'!A:A, 0), MATCH(HOME!$A$25, 'language&amp;DataTest'!$A$1:$H$1, 0))))</f>
        <v>Arceus</v>
      </c>
      <c r="E55" s="69" t="str">
        <f t="array" ref="E55">INDEX( PointerTest!F:F, MATCH(B55, PointerTest!A:A, 0), 0)</f>
        <v>♢</v>
      </c>
      <c r="F55" s="70">
        <f t="array" ref="F55">LET(percentage,XLOOKUP($E55,$K$2:$K$10,L$2:L$10,"",0)/(COUNTIFS($E:$E,$E55,$D:$D,RegularFormula!$D$2)+COUNTIFS($E:$E,$E55,$D:$D,IF($D55=RegularFormula!$D$2,$K$15,$D55))),IFERROR(IF(percentage,percentage,""),""))</f>
        <v>0.03225806452</v>
      </c>
      <c r="G55" s="71" t="str">
        <f t="array" ref="G55">LET(percentage,XLOOKUP($E55,$K$2:$K$10,M$2:M$10,"",0)/(COUNTIFS($E:$E,$E55,$D:$D,RegularFormula!$D$2)+COUNTIFS($E:$E,$E55,$D:$D,IF($D55=RegularFormula!$D$2,$K$15,$D55))),IFERROR(IF(percentage,percentage,""),""))</f>
        <v/>
      </c>
      <c r="H55" s="71" t="str">
        <f t="array" ref="H55">LET(percentage,XLOOKUP($E55,$K$2:$K$10,N$2:N$10,"",0)/(COUNTIFS($E:$E,$E55,$D:$D,RegularFormula!$D$2)+COUNTIFS($E:$E,$E55,$D:$D,IF($D55=RegularFormula!$D$2,$K$15,$D55))),IFERROR(IF(percentage,percentage,""),""))</f>
        <v/>
      </c>
      <c r="I55" s="72" t="str">
        <f t="shared" si="1"/>
        <v/>
      </c>
      <c r="J55" s="73">
        <v>0.0</v>
      </c>
      <c r="K55" s="100"/>
      <c r="O55" s="163"/>
      <c r="P55" s="163"/>
      <c r="Q55" s="163"/>
      <c r="R55" s="79" t="str">
        <f t="shared" si="2"/>
        <v/>
      </c>
    </row>
    <row r="56">
      <c r="A56" s="217" t="b">
        <v>1</v>
      </c>
      <c r="B56" s="218" t="s">
        <v>811</v>
      </c>
      <c r="C56" s="69" t="str">
        <f t="array" ref="C56">TEXTJOIN("", TRUE, IFERROR(INDEX('language&amp;DataTest'!A:J, MATCH(INDEX( PointerTest!C:C, MATCH(B56, PointerTest!A:A, 0), 0), 'language&amp;DataTest'!A:A, 0), MATCH(HOME!$A$25, 'language&amp;DataTest'!$A$1:$H$1, 0))),                      IFERROR(INDEX('language&amp;DataTest'!A:J, MATCH(INDEX( PointerTest!D:D, MATCH(B56, PointerTest!A:A, 0), 0), 'language&amp;DataTest'!A:A, 0), MATCH(HOME!$A$25, 'language&amp;DataTest'!$A$1:$H$1, 0))),                                          
IFERROR(INDEX('language&amp;DataTest'!A:J, MATCH(INDEX( PointerTest!E:E, MATCH(B56, PointerTest!A:A, 0), 0), 'language&amp;DataTest'!A:A, 0), MATCH(HOME!$A$25, 'language&amp;DataTest'!$A$1:$H$1, 0))))</f>
        <v>Magnezone</v>
      </c>
      <c r="D56" s="69" t="str">
        <f t="array" ref="D56">TEXTJOIN("", TRUE, 
IFERROR(INDEX('language&amp;DataTest'!A:J, MATCH(INDEX( PointerTest!C:C, MATCH(INDEX(PointerTest!B:B, MATCH(B56, PointerTest!A:A, 0)), PointerTest!A:A, 0), 0), 'language&amp;DataTest'!A:A, 0), MATCH(HOME!$A$25, 'language&amp;DataTest'!$A$1:$H$1, 0))),                      
IFERROR(INDEX('language&amp;DataTest'!A:J, MATCH(INDEX( PointerTest!D:D, MATCH(INDEX(PointerTest!B:B, MATCH(B56, PointerTest!A:A, 0)), PointerTest!A:A, 0), 0), 'language&amp;DataTest'!A:A, 0), MATCH(HOME!$A$25, 'language&amp;DataTest'!$A$1:$H$1, 0))),                                          
IFERROR(INDEX('language&amp;DataTest'!A:J, MATCH(INDEX( PointerTest!E:E, MATCH(INDEX(PointerTest!B:B, MATCH(B56, PointerTest!A:A, 0)), PointerTest!A:A, 0), 0), 'language&amp;DataTest'!A:A, 0), MATCH(HOME!$A$25, 'language&amp;DataTest'!$A$1:$H$1, 0))))</f>
        <v>Arceus</v>
      </c>
      <c r="E56" s="69" t="str">
        <f t="array" ref="E56">INDEX( PointerTest!F:F, MATCH(B56, PointerTest!A:A, 0), 0)</f>
        <v>♢♢♢</v>
      </c>
      <c r="F56" s="70" t="str">
        <f t="array" ref="F56">LET(percentage,XLOOKUP($E56,$K$2:$K$10,L$2:L$10,"",0)/(COUNTIFS($E:$E,$E56,$D:$D,RegularFormula!$D$2)+COUNTIFS($E:$E,$E56,$D:$D,IF($D56=RegularFormula!$D$2,$K$15,$D56))),IFERROR(IF(percentage,percentage,""),""))</f>
        <v/>
      </c>
      <c r="G56" s="71">
        <f t="array" ref="G56">LET(percentage,XLOOKUP($E56,$K$2:$K$10,M$2:M$10,"",0)/(COUNTIFS($E:$E,$E56,$D:$D,RegularFormula!$D$2)+COUNTIFS($E:$E,$E56,$D:$D,IF($D56=RegularFormula!$D$2,$K$15,$D56))),IFERROR(IF(percentage,percentage,""),""))</f>
        <v>0.003846153846</v>
      </c>
      <c r="H56" s="71">
        <f t="array" ref="H56">LET(percentage,XLOOKUP($E56,$K$2:$K$10,N$2:N$10,"",0)/(COUNTIFS($E:$E,$E56,$D:$D,RegularFormula!$D$2)+COUNTIFS($E:$E,$E56,$D:$D,IF($D56=RegularFormula!$D$2,$K$15,$D56))),IFERROR(IF(percentage,percentage,""),""))</f>
        <v>0.01538461538</v>
      </c>
      <c r="I56" s="72" t="str">
        <f t="shared" si="1"/>
        <v/>
      </c>
      <c r="J56" s="73">
        <v>0.0</v>
      </c>
      <c r="K56" s="100"/>
      <c r="O56" s="163"/>
      <c r="P56" s="163"/>
      <c r="Q56" s="163"/>
      <c r="R56" s="79" t="str">
        <f t="shared" si="2"/>
        <v/>
      </c>
    </row>
    <row r="57">
      <c r="A57" s="217" t="b">
        <v>1</v>
      </c>
      <c r="B57" s="218" t="s">
        <v>812</v>
      </c>
      <c r="C57" s="69" t="str">
        <f t="array" ref="C57">TEXTJOIN("", TRUE, IFERROR(INDEX('language&amp;DataTest'!A:J, MATCH(INDEX( PointerTest!C:C, MATCH(B57, PointerTest!A:A, 0), 0), 'language&amp;DataTest'!A:A, 0), MATCH(HOME!$A$25, 'language&amp;DataTest'!$A$1:$H$1, 0))),                      IFERROR(INDEX('language&amp;DataTest'!A:J, MATCH(INDEX( PointerTest!D:D, MATCH(B57, PointerTest!A:A, 0), 0), 'language&amp;DataTest'!A:A, 0), MATCH(HOME!$A$25, 'language&amp;DataTest'!$A$1:$H$1, 0))),                                          
IFERROR(INDEX('language&amp;DataTest'!A:J, MATCH(INDEX( PointerTest!E:E, MATCH(B57, PointerTest!A:A, 0), 0), 'language&amp;DataTest'!A:A, 0), MATCH(HOME!$A$25, 'language&amp;DataTest'!$A$1:$H$1, 0))))</f>
        <v>Mawile</v>
      </c>
      <c r="D57" s="69" t="str">
        <f t="array" ref="D57">TEXTJOIN("", TRUE, 
IFERROR(INDEX('language&amp;DataTest'!A:J, MATCH(INDEX( PointerTest!C:C, MATCH(INDEX(PointerTest!B:B, MATCH(B57, PointerTest!A:A, 0)), PointerTest!A:A, 0), 0), 'language&amp;DataTest'!A:A, 0), MATCH(HOME!$A$25, 'language&amp;DataTest'!$A$1:$H$1, 0))),                      
IFERROR(INDEX('language&amp;DataTest'!A:J, MATCH(INDEX( PointerTest!D:D, MATCH(INDEX(PointerTest!B:B, MATCH(B57, PointerTest!A:A, 0)), PointerTest!A:A, 0), 0), 'language&amp;DataTest'!A:A, 0), MATCH(HOME!$A$25, 'language&amp;DataTest'!$A$1:$H$1, 0))),                                          
IFERROR(INDEX('language&amp;DataTest'!A:J, MATCH(INDEX( PointerTest!E:E, MATCH(INDEX(PointerTest!B:B, MATCH(B57, PointerTest!A:A, 0)), PointerTest!A:A, 0), 0), 'language&amp;DataTest'!A:A, 0), MATCH(HOME!$A$25, 'language&amp;DataTest'!$A$1:$H$1, 0))))</f>
        <v>Arceus</v>
      </c>
      <c r="E57" s="69" t="str">
        <f t="array" ref="E57">INDEX( PointerTest!F:F, MATCH(B57, PointerTest!A:A, 0), 0)</f>
        <v>♢</v>
      </c>
      <c r="F57" s="70">
        <f t="array" ref="F57">LET(percentage,XLOOKUP($E57,$K$2:$K$10,L$2:L$10,"",0)/(COUNTIFS($E:$E,$E57,$D:$D,RegularFormula!$D$2)+COUNTIFS($E:$E,$E57,$D:$D,IF($D57=RegularFormula!$D$2,$K$15,$D57))),IFERROR(IF(percentage,percentage,""),""))</f>
        <v>0.03225806452</v>
      </c>
      <c r="G57" s="71" t="str">
        <f t="array" ref="G57">LET(percentage,XLOOKUP($E57,$K$2:$K$10,M$2:M$10,"",0)/(COUNTIFS($E:$E,$E57,$D:$D,RegularFormula!$D$2)+COUNTIFS($E:$E,$E57,$D:$D,IF($D57=RegularFormula!$D$2,$K$15,$D57))),IFERROR(IF(percentage,percentage,""),""))</f>
        <v/>
      </c>
      <c r="H57" s="71" t="str">
        <f t="array" ref="H57">LET(percentage,XLOOKUP($E57,$K$2:$K$10,N$2:N$10,"",0)/(COUNTIFS($E:$E,$E57,$D:$D,RegularFormula!$D$2)+COUNTIFS($E:$E,$E57,$D:$D,IF($D57=RegularFormula!$D$2,$K$15,$D57))),IFERROR(IF(percentage,percentage,""),""))</f>
        <v/>
      </c>
      <c r="I57" s="72" t="str">
        <f t="shared" si="1"/>
        <v/>
      </c>
      <c r="J57" s="73">
        <v>0.0</v>
      </c>
      <c r="K57" s="100"/>
      <c r="O57" s="163"/>
      <c r="P57" s="163"/>
      <c r="Q57" s="163"/>
      <c r="R57" s="79" t="str">
        <f t="shared" si="2"/>
        <v/>
      </c>
    </row>
    <row r="58">
      <c r="A58" s="217" t="b">
        <v>1</v>
      </c>
      <c r="B58" s="218" t="s">
        <v>813</v>
      </c>
      <c r="C58" s="69" t="str">
        <f t="array" ref="C58">TEXTJOIN("", TRUE, IFERROR(INDEX('language&amp;DataTest'!A:J, MATCH(INDEX( PointerTest!C:C, MATCH(B58, PointerTest!A:A, 0), 0), 'language&amp;DataTest'!A:A, 0), MATCH(HOME!$A$25, 'language&amp;DataTest'!$A$1:$H$1, 0))),                      IFERROR(INDEX('language&amp;DataTest'!A:J, MATCH(INDEX( PointerTest!D:D, MATCH(B58, PointerTest!A:A, 0), 0), 'language&amp;DataTest'!A:A, 0), MATCH(HOME!$A$25, 'language&amp;DataTest'!$A$1:$H$1, 0))),                                          
IFERROR(INDEX('language&amp;DataTest'!A:J, MATCH(INDEX( PointerTest!E:E, MATCH(B58, PointerTest!A:A, 0), 0), 'language&amp;DataTest'!A:A, 0), MATCH(HOME!$A$25, 'language&amp;DataTest'!$A$1:$H$1, 0))))</f>
        <v>Probopass ex</v>
      </c>
      <c r="D58" s="69" t="str">
        <f t="array" ref="D58">TEXTJOIN("", TRUE, 
IFERROR(INDEX('language&amp;DataTest'!A:J, MATCH(INDEX( PointerTest!C:C, MATCH(INDEX(PointerTest!B:B, MATCH(B58, PointerTest!A:A, 0)), PointerTest!A:A, 0), 0), 'language&amp;DataTest'!A:A, 0), MATCH(HOME!$A$25, 'language&amp;DataTest'!$A$1:$H$1, 0))),                      
IFERROR(INDEX('language&amp;DataTest'!A:J, MATCH(INDEX( PointerTest!D:D, MATCH(INDEX(PointerTest!B:B, MATCH(B58, PointerTest!A:A, 0)), PointerTest!A:A, 0), 0), 'language&amp;DataTest'!A:A, 0), MATCH(HOME!$A$25, 'language&amp;DataTest'!$A$1:$H$1, 0))),                                          
IFERROR(INDEX('language&amp;DataTest'!A:J, MATCH(INDEX( PointerTest!E:E, MATCH(INDEX(PointerTest!B:B, MATCH(B58, PointerTest!A:A, 0)), PointerTest!A:A, 0), 0), 'language&amp;DataTest'!A:A, 0), MATCH(HOME!$A$25, 'language&amp;DataTest'!$A$1:$H$1, 0))))</f>
        <v>Arceus</v>
      </c>
      <c r="E58" s="69" t="str">
        <f t="array" ref="E58">INDEX( PointerTest!F:F, MATCH(B58, PointerTest!A:A, 0), 0)</f>
        <v>♢♢♢♢</v>
      </c>
      <c r="F58" s="70" t="str">
        <f t="array" ref="F58">LET(percentage,XLOOKUP($E58,$K$2:$K$10,L$2:L$10,"",0)/(COUNTIFS($E:$E,$E58,$D:$D,RegularFormula!$D$2)+COUNTIFS($E:$E,$E58,$D:$D,IF($D58=RegularFormula!$D$2,$K$15,$D58))),IFERROR(IF(percentage,percentage,""),""))</f>
        <v/>
      </c>
      <c r="G58" s="71">
        <f t="array" ref="G58">LET(percentage,XLOOKUP($E58,$K$2:$K$10,M$2:M$10,"",0)/(COUNTIFS($E:$E,$E58,$D:$D,RegularFormula!$D$2)+COUNTIFS($E:$E,$E58,$D:$D,IF($D58=RegularFormula!$D$2,$K$15,$D58))),IFERROR(IF(percentage,percentage,""),""))</f>
        <v>0.003332</v>
      </c>
      <c r="H58" s="71">
        <f t="array" ref="H58">LET(percentage,XLOOKUP($E58,$K$2:$K$10,N$2:N$10,"",0)/(COUNTIFS($E:$E,$E58,$D:$D,RegularFormula!$D$2)+COUNTIFS($E:$E,$E58,$D:$D,IF($D58=RegularFormula!$D$2,$K$15,$D58))),IFERROR(IF(percentage,percentage,""),""))</f>
        <v>0.013328</v>
      </c>
      <c r="I58" s="72" t="str">
        <f t="shared" si="1"/>
        <v/>
      </c>
      <c r="J58" s="73">
        <v>0.0</v>
      </c>
      <c r="K58" s="100"/>
      <c r="O58" s="163"/>
      <c r="P58" s="163"/>
      <c r="Q58" s="163"/>
      <c r="R58" s="79" t="str">
        <f t="shared" si="2"/>
        <v/>
      </c>
    </row>
    <row r="59">
      <c r="A59" s="217" t="b">
        <v>1</v>
      </c>
      <c r="B59" s="218" t="s">
        <v>814</v>
      </c>
      <c r="C59" s="69" t="str">
        <f t="array" ref="C59">TEXTJOIN("", TRUE, IFERROR(INDEX('language&amp;DataTest'!A:J, MATCH(INDEX( PointerTest!C:C, MATCH(B59, PointerTest!A:A, 0), 0), 'language&amp;DataTest'!A:A, 0), MATCH(HOME!$A$25, 'language&amp;DataTest'!$A$1:$H$1, 0))),                      IFERROR(INDEX('language&amp;DataTest'!A:J, MATCH(INDEX( PointerTest!D:D, MATCH(B59, PointerTest!A:A, 0), 0), 'language&amp;DataTest'!A:A, 0), MATCH(HOME!$A$25, 'language&amp;DataTest'!$A$1:$H$1, 0))),                                          
IFERROR(INDEX('language&amp;DataTest'!A:J, MATCH(INDEX( PointerTest!E:E, MATCH(B59, PointerTest!A:A, 0), 0), 'language&amp;DataTest'!A:A, 0), MATCH(HOME!$A$25, 'language&amp;DataTest'!$A$1:$H$1, 0))))</f>
        <v>Bronzor</v>
      </c>
      <c r="D59" s="69" t="str">
        <f t="array" ref="D59">TEXTJOIN("", TRUE, 
IFERROR(INDEX('language&amp;DataTest'!A:J, MATCH(INDEX( PointerTest!C:C, MATCH(INDEX(PointerTest!B:B, MATCH(B59, PointerTest!A:A, 0)), PointerTest!A:A, 0), 0), 'language&amp;DataTest'!A:A, 0), MATCH(HOME!$A$25, 'language&amp;DataTest'!$A$1:$H$1, 0))),                      
IFERROR(INDEX('language&amp;DataTest'!A:J, MATCH(INDEX( PointerTest!D:D, MATCH(INDEX(PointerTest!B:B, MATCH(B59, PointerTest!A:A, 0)), PointerTest!A:A, 0), 0), 'language&amp;DataTest'!A:A, 0), MATCH(HOME!$A$25, 'language&amp;DataTest'!$A$1:$H$1, 0))),                                          
IFERROR(INDEX('language&amp;DataTest'!A:J, MATCH(INDEX( PointerTest!E:E, MATCH(INDEX(PointerTest!B:B, MATCH(B59, PointerTest!A:A, 0)), PointerTest!A:A, 0), 0), 'language&amp;DataTest'!A:A, 0), MATCH(HOME!$A$25, 'language&amp;DataTest'!$A$1:$H$1, 0))))</f>
        <v>Arceus</v>
      </c>
      <c r="E59" s="69" t="str">
        <f t="array" ref="E59">INDEX( PointerTest!F:F, MATCH(B59, PointerTest!A:A, 0), 0)</f>
        <v>♢</v>
      </c>
      <c r="F59" s="70">
        <f t="array" ref="F59">LET(percentage,XLOOKUP($E59,$K$2:$K$10,L$2:L$10,"",0)/(COUNTIFS($E:$E,$E59,$D:$D,RegularFormula!$D$2)+COUNTIFS($E:$E,$E59,$D:$D,IF($D59=RegularFormula!$D$2,$K$15,$D59))),IFERROR(IF(percentage,percentage,""),""))</f>
        <v>0.03225806452</v>
      </c>
      <c r="G59" s="71" t="str">
        <f t="array" ref="G59">LET(percentage,XLOOKUP($E59,$K$2:$K$10,M$2:M$10,"",0)/(COUNTIFS($E:$E,$E59,$D:$D,RegularFormula!$D$2)+COUNTIFS($E:$E,$E59,$D:$D,IF($D59=RegularFormula!$D$2,$K$15,$D59))),IFERROR(IF(percentage,percentage,""),""))</f>
        <v/>
      </c>
      <c r="H59" s="71" t="str">
        <f t="array" ref="H59">LET(percentage,XLOOKUP($E59,$K$2:$K$10,N$2:N$10,"",0)/(COUNTIFS($E:$E,$E59,$D:$D,RegularFormula!$D$2)+COUNTIFS($E:$E,$E59,$D:$D,IF($D59=RegularFormula!$D$2,$K$15,$D59))),IFERROR(IF(percentage,percentage,""),""))</f>
        <v/>
      </c>
      <c r="I59" s="72" t="str">
        <f t="shared" si="1"/>
        <v/>
      </c>
      <c r="J59" s="73">
        <v>0.0</v>
      </c>
      <c r="K59" s="100"/>
      <c r="O59" s="163"/>
      <c r="P59" s="163"/>
      <c r="Q59" s="163"/>
      <c r="R59" s="79" t="str">
        <f t="shared" si="2"/>
        <v/>
      </c>
    </row>
    <row r="60">
      <c r="A60" s="217" t="b">
        <v>1</v>
      </c>
      <c r="B60" s="218" t="s">
        <v>815</v>
      </c>
      <c r="C60" s="69" t="str">
        <f t="array" ref="C60">TEXTJOIN("", TRUE, IFERROR(INDEX('language&amp;DataTest'!A:J, MATCH(INDEX( PointerTest!C:C, MATCH(B60, PointerTest!A:A, 0), 0), 'language&amp;DataTest'!A:A, 0), MATCH(HOME!$A$25, 'language&amp;DataTest'!$A$1:$H$1, 0))),                      IFERROR(INDEX('language&amp;DataTest'!A:J, MATCH(INDEX( PointerTest!D:D, MATCH(B60, PointerTest!A:A, 0), 0), 'language&amp;DataTest'!A:A, 0), MATCH(HOME!$A$25, 'language&amp;DataTest'!$A$1:$H$1, 0))),                                          
IFERROR(INDEX('language&amp;DataTest'!A:J, MATCH(INDEX( PointerTest!E:E, MATCH(B60, PointerTest!A:A, 0), 0), 'language&amp;DataTest'!A:A, 0), MATCH(HOME!$A$25, 'language&amp;DataTest'!$A$1:$H$1, 0))))</f>
        <v>Bronzong</v>
      </c>
      <c r="D60" s="69" t="str">
        <f t="array" ref="D60">TEXTJOIN("", TRUE, 
IFERROR(INDEX('language&amp;DataTest'!A:J, MATCH(INDEX( PointerTest!C:C, MATCH(INDEX(PointerTest!B:B, MATCH(B60, PointerTest!A:A, 0)), PointerTest!A:A, 0), 0), 'language&amp;DataTest'!A:A, 0), MATCH(HOME!$A$25, 'language&amp;DataTest'!$A$1:$H$1, 0))),                      
IFERROR(INDEX('language&amp;DataTest'!A:J, MATCH(INDEX( PointerTest!D:D, MATCH(INDEX(PointerTest!B:B, MATCH(B60, PointerTest!A:A, 0)), PointerTest!A:A, 0), 0), 'language&amp;DataTest'!A:A, 0), MATCH(HOME!$A$25, 'language&amp;DataTest'!$A$1:$H$1, 0))),                                          
IFERROR(INDEX('language&amp;DataTest'!A:J, MATCH(INDEX( PointerTest!E:E, MATCH(INDEX(PointerTest!B:B, MATCH(B60, PointerTest!A:A, 0)), PointerTest!A:A, 0), 0), 'language&amp;DataTest'!A:A, 0), MATCH(HOME!$A$25, 'language&amp;DataTest'!$A$1:$H$1, 0))))</f>
        <v>Arceus</v>
      </c>
      <c r="E60" s="69" t="str">
        <f t="array" ref="E60">INDEX( PointerTest!F:F, MATCH(B60, PointerTest!A:A, 0), 0)</f>
        <v>♢♢</v>
      </c>
      <c r="F60" s="70" t="str">
        <f t="array" ref="F60">LET(percentage,XLOOKUP($E60,$K$2:$K$10,L$2:L$10,"",0)/(COUNTIFS($E:$E,$E60,$D:$D,RegularFormula!$D$2)+COUNTIFS($E:$E,$E60,$D:$D,IF($D60=RegularFormula!$D$2,$K$15,$D60))),IFERROR(IF(percentage,percentage,""),""))</f>
        <v/>
      </c>
      <c r="G60" s="71">
        <f t="array" ref="G60">LET(percentage,XLOOKUP($E60,$K$2:$K$10,M$2:M$10,"",0)/(COUNTIFS($E:$E,$E60,$D:$D,RegularFormula!$D$2)+COUNTIFS($E:$E,$E60,$D:$D,IF($D60=RegularFormula!$D$2,$K$15,$D60))),IFERROR(IF(percentage,percentage,""),""))</f>
        <v>0.03461538462</v>
      </c>
      <c r="H60" s="71">
        <f t="array" ref="H60">LET(percentage,XLOOKUP($E60,$K$2:$K$10,N$2:N$10,"",0)/(COUNTIFS($E:$E,$E60,$D:$D,RegularFormula!$D$2)+COUNTIFS($E:$E,$E60,$D:$D,IF($D60=RegularFormula!$D$2,$K$15,$D60))),IFERROR(IF(percentage,percentage,""),""))</f>
        <v>0.02307692308</v>
      </c>
      <c r="I60" s="72" t="str">
        <f t="shared" si="1"/>
        <v/>
      </c>
      <c r="J60" s="73">
        <v>0.0</v>
      </c>
      <c r="K60" s="100"/>
      <c r="O60" s="163"/>
      <c r="P60" s="163"/>
      <c r="Q60" s="163"/>
      <c r="R60" s="79" t="str">
        <f t="shared" si="2"/>
        <v/>
      </c>
    </row>
    <row r="61">
      <c r="A61" s="217" t="b">
        <v>1</v>
      </c>
      <c r="B61" s="218" t="s">
        <v>816</v>
      </c>
      <c r="C61" s="69" t="str">
        <f t="array" ref="C61">TEXTJOIN("", TRUE, IFERROR(INDEX('language&amp;DataTest'!A:J, MATCH(INDEX( PointerTest!C:C, MATCH(B61, PointerTest!A:A, 0), 0), 'language&amp;DataTest'!A:A, 0), MATCH(HOME!$A$25, 'language&amp;DataTest'!$A$1:$H$1, 0))),                      IFERROR(INDEX('language&amp;DataTest'!A:J, MATCH(INDEX( PointerTest!D:D, MATCH(B61, PointerTest!A:A, 0), 0), 'language&amp;DataTest'!A:A, 0), MATCH(HOME!$A$25, 'language&amp;DataTest'!$A$1:$H$1, 0))),                                          
IFERROR(INDEX('language&amp;DataTest'!A:J, MATCH(INDEX( PointerTest!E:E, MATCH(B61, PointerTest!A:A, 0), 0), 'language&amp;DataTest'!A:A, 0), MATCH(HOME!$A$25, 'language&amp;DataTest'!$A$1:$H$1, 0))))</f>
        <v>Dialga</v>
      </c>
      <c r="D61" s="69" t="str">
        <f t="array" ref="D61">TEXTJOIN("", TRUE, 
IFERROR(INDEX('language&amp;DataTest'!A:J, MATCH(INDEX( PointerTest!C:C, MATCH(INDEX(PointerTest!B:B, MATCH(B61, PointerTest!A:A, 0)), PointerTest!A:A, 0), 0), 'language&amp;DataTest'!A:A, 0), MATCH(HOME!$A$25, 'language&amp;DataTest'!$A$1:$H$1, 0))),                      
IFERROR(INDEX('language&amp;DataTest'!A:J, MATCH(INDEX( PointerTest!D:D, MATCH(INDEX(PointerTest!B:B, MATCH(B61, PointerTest!A:A, 0)), PointerTest!A:A, 0), 0), 'language&amp;DataTest'!A:A, 0), MATCH(HOME!$A$25, 'language&amp;DataTest'!$A$1:$H$1, 0))),                                          
IFERROR(INDEX('language&amp;DataTest'!A:J, MATCH(INDEX( PointerTest!E:E, MATCH(INDEX(PointerTest!B:B, MATCH(B61, PointerTest!A:A, 0)), PointerTest!A:A, 0), 0), 'language&amp;DataTest'!A:A, 0), MATCH(HOME!$A$25, 'language&amp;DataTest'!$A$1:$H$1, 0))))</f>
        <v>Arceus</v>
      </c>
      <c r="E61" s="69" t="str">
        <f t="array" ref="E61">INDEX( PointerTest!F:F, MATCH(B61, PointerTest!A:A, 0), 0)</f>
        <v>♢♢♢</v>
      </c>
      <c r="F61" s="70" t="str">
        <f t="array" ref="F61">LET(percentage,XLOOKUP($E61,$K$2:$K$10,L$2:L$10,"",0)/(COUNTIFS($E:$E,$E61,$D:$D,RegularFormula!$D$2)+COUNTIFS($E:$E,$E61,$D:$D,IF($D61=RegularFormula!$D$2,$K$15,$D61))),IFERROR(IF(percentage,percentage,""),""))</f>
        <v/>
      </c>
      <c r="G61" s="71">
        <f t="array" ref="G61">LET(percentage,XLOOKUP($E61,$K$2:$K$10,M$2:M$10,"",0)/(COUNTIFS($E:$E,$E61,$D:$D,RegularFormula!$D$2)+COUNTIFS($E:$E,$E61,$D:$D,IF($D61=RegularFormula!$D$2,$K$15,$D61))),IFERROR(IF(percentage,percentage,""),""))</f>
        <v>0.003846153846</v>
      </c>
      <c r="H61" s="71">
        <f t="array" ref="H61">LET(percentage,XLOOKUP($E61,$K$2:$K$10,N$2:N$10,"",0)/(COUNTIFS($E:$E,$E61,$D:$D,RegularFormula!$D$2)+COUNTIFS($E:$E,$E61,$D:$D,IF($D61=RegularFormula!$D$2,$K$15,$D61))),IFERROR(IF(percentage,percentage,""),""))</f>
        <v>0.01538461538</v>
      </c>
      <c r="I61" s="72" t="str">
        <f t="shared" si="1"/>
        <v/>
      </c>
      <c r="J61" s="73">
        <v>0.0</v>
      </c>
      <c r="K61" s="100"/>
      <c r="O61" s="163"/>
      <c r="P61" s="163"/>
      <c r="Q61" s="163"/>
      <c r="R61" s="79" t="str">
        <f t="shared" si="2"/>
        <v/>
      </c>
    </row>
    <row r="62">
      <c r="A62" s="217" t="b">
        <v>0</v>
      </c>
      <c r="B62" s="218" t="s">
        <v>817</v>
      </c>
      <c r="C62" s="69" t="str">
        <f t="array" ref="C62">TEXTJOIN("", TRUE, IFERROR(INDEX('language&amp;DataTest'!A:J, MATCH(INDEX( PointerTest!C:C, MATCH(B62, PointerTest!A:A, 0), 0), 'language&amp;DataTest'!A:A, 0), MATCH(HOME!$A$25, 'language&amp;DataTest'!$A$1:$H$1, 0))),                      IFERROR(INDEX('language&amp;DataTest'!A:J, MATCH(INDEX( PointerTest!D:D, MATCH(B62, PointerTest!A:A, 0), 0), 'language&amp;DataTest'!A:A, 0), MATCH(HOME!$A$25, 'language&amp;DataTest'!$A$1:$H$1, 0))),                                          
IFERROR(INDEX('language&amp;DataTest'!A:J, MATCH(INDEX( PointerTest!E:E, MATCH(B62, PointerTest!A:A, 0), 0), 'language&amp;DataTest'!A:A, 0), MATCH(HOME!$A$25, 'language&amp;DataTest'!$A$1:$H$1, 0))))</f>
        <v>Giratina</v>
      </c>
      <c r="D62" s="69" t="str">
        <f t="array" ref="D62">TEXTJOIN("", TRUE, 
IFERROR(INDEX('language&amp;DataTest'!A:J, MATCH(INDEX( PointerTest!C:C, MATCH(INDEX(PointerTest!B:B, MATCH(B62, PointerTest!A:A, 0)), PointerTest!A:A, 0), 0), 'language&amp;DataTest'!A:A, 0), MATCH(HOME!$A$25, 'language&amp;DataTest'!$A$1:$H$1, 0))),                      
IFERROR(INDEX('language&amp;DataTest'!A:J, MATCH(INDEX( PointerTest!D:D, MATCH(INDEX(PointerTest!B:B, MATCH(B62, PointerTest!A:A, 0)), PointerTest!A:A, 0), 0), 'language&amp;DataTest'!A:A, 0), MATCH(HOME!$A$25, 'language&amp;DataTest'!$A$1:$H$1, 0))),                                          
IFERROR(INDEX('language&amp;DataTest'!A:J, MATCH(INDEX( PointerTest!E:E, MATCH(INDEX(PointerTest!B:B, MATCH(B62, PointerTest!A:A, 0)), PointerTest!A:A, 0), 0), 'language&amp;DataTest'!A:A, 0), MATCH(HOME!$A$25, 'language&amp;DataTest'!$A$1:$H$1, 0))))</f>
        <v>Arceus</v>
      </c>
      <c r="E62" s="69" t="str">
        <f t="array" ref="E62">INDEX( PointerTest!F:F, MATCH(B62, PointerTest!A:A, 0), 0)</f>
        <v>♢♢♢</v>
      </c>
      <c r="F62" s="70" t="str">
        <f t="array" ref="F62">LET(percentage,XLOOKUP($E62,$K$2:$K$10,L$2:L$10,"",0)/(COUNTIFS($E:$E,$E62,$D:$D,RegularFormula!$D$2)+COUNTIFS($E:$E,$E62,$D:$D,IF($D62=RegularFormula!$D$2,$K$15,$D62))),IFERROR(IF(percentage,percentage,""),""))</f>
        <v/>
      </c>
      <c r="G62" s="71">
        <f t="array" ref="G62">LET(percentage,XLOOKUP($E62,$K$2:$K$10,M$2:M$10,"",0)/(COUNTIFS($E:$E,$E62,$D:$D,RegularFormula!$D$2)+COUNTIFS($E:$E,$E62,$D:$D,IF($D62=RegularFormula!$D$2,$K$15,$D62))),IFERROR(IF(percentage,percentage,""),""))</f>
        <v>0.003846153846</v>
      </c>
      <c r="H62" s="71">
        <f t="array" ref="H62">LET(percentage,XLOOKUP($E62,$K$2:$K$10,N$2:N$10,"",0)/(COUNTIFS($E:$E,$E62,$D:$D,RegularFormula!$D$2)+COUNTIFS($E:$E,$E62,$D:$D,IF($D62=RegularFormula!$D$2,$K$15,$D62))),IFERROR(IF(percentage,percentage,""),""))</f>
        <v>0.01538461538</v>
      </c>
      <c r="I62" s="72" t="str">
        <f t="shared" si="1"/>
        <v/>
      </c>
      <c r="J62" s="73">
        <v>0.0</v>
      </c>
      <c r="K62" s="100"/>
      <c r="O62" s="163"/>
      <c r="P62" s="163"/>
      <c r="Q62" s="163"/>
      <c r="R62" s="79" t="str">
        <f t="shared" si="2"/>
        <v/>
      </c>
    </row>
    <row r="63">
      <c r="A63" s="217" t="b">
        <v>1</v>
      </c>
      <c r="B63" s="218" t="s">
        <v>818</v>
      </c>
      <c r="C63" s="69" t="str">
        <f t="array" ref="C63">TEXTJOIN("", TRUE, IFERROR(INDEX('language&amp;DataTest'!A:J, MATCH(INDEX( PointerTest!C:C, MATCH(B63, PointerTest!A:A, 0), 0), 'language&amp;DataTest'!A:A, 0), MATCH(HOME!$A$25, 'language&amp;DataTest'!$A$1:$H$1, 0))),                      IFERROR(INDEX('language&amp;DataTest'!A:J, MATCH(INDEX( PointerTest!D:D, MATCH(B63, PointerTest!A:A, 0), 0), 'language&amp;DataTest'!A:A, 0), MATCH(HOME!$A$25, 'language&amp;DataTest'!$A$1:$H$1, 0))),                                          
IFERROR(INDEX('language&amp;DataTest'!A:J, MATCH(INDEX( PointerTest!E:E, MATCH(B63, PointerTest!A:A, 0), 0), 'language&amp;DataTest'!A:A, 0), MATCH(HOME!$A$25, 'language&amp;DataTest'!$A$1:$H$1, 0))))</f>
        <v>Eevee</v>
      </c>
      <c r="D63" s="69" t="str">
        <f t="array" ref="D63">TEXTJOIN("", TRUE, 
IFERROR(INDEX('language&amp;DataTest'!A:J, MATCH(INDEX( PointerTest!C:C, MATCH(INDEX(PointerTest!B:B, MATCH(B63, PointerTest!A:A, 0)), PointerTest!A:A, 0), 0), 'language&amp;DataTest'!A:A, 0), MATCH(HOME!$A$25, 'language&amp;DataTest'!$A$1:$H$1, 0))),                      
IFERROR(INDEX('language&amp;DataTest'!A:J, MATCH(INDEX( PointerTest!D:D, MATCH(INDEX(PointerTest!B:B, MATCH(B63, PointerTest!A:A, 0)), PointerTest!A:A, 0), 0), 'language&amp;DataTest'!A:A, 0), MATCH(HOME!$A$25, 'language&amp;DataTest'!$A$1:$H$1, 0))),                                          
IFERROR(INDEX('language&amp;DataTest'!A:J, MATCH(INDEX( PointerTest!E:E, MATCH(INDEX(PointerTest!B:B, MATCH(B63, PointerTest!A:A, 0)), PointerTest!A:A, 0), 0), 'language&amp;DataTest'!A:A, 0), MATCH(HOME!$A$25, 'language&amp;DataTest'!$A$1:$H$1, 0))))</f>
        <v>Arceus</v>
      </c>
      <c r="E63" s="69" t="str">
        <f t="array" ref="E63">INDEX( PointerTest!F:F, MATCH(B63, PointerTest!A:A, 0), 0)</f>
        <v>♢</v>
      </c>
      <c r="F63" s="70">
        <f t="array" ref="F63">LET(percentage,XLOOKUP($E63,$K$2:$K$10,L$2:L$10,"",0)/(COUNTIFS($E:$E,$E63,$D:$D,RegularFormula!$D$2)+COUNTIFS($E:$E,$E63,$D:$D,IF($D63=RegularFormula!$D$2,$K$15,$D63))),IFERROR(IF(percentage,percentage,""),""))</f>
        <v>0.03225806452</v>
      </c>
      <c r="G63" s="71" t="str">
        <f t="array" ref="G63">LET(percentage,XLOOKUP($E63,$K$2:$K$10,M$2:M$10,"",0)/(COUNTIFS($E:$E,$E63,$D:$D,RegularFormula!$D$2)+COUNTIFS($E:$E,$E63,$D:$D,IF($D63=RegularFormula!$D$2,$K$15,$D63))),IFERROR(IF(percentage,percentage,""),""))</f>
        <v/>
      </c>
      <c r="H63" s="71" t="str">
        <f t="array" ref="H63">LET(percentage,XLOOKUP($E63,$K$2:$K$10,N$2:N$10,"",0)/(COUNTIFS($E:$E,$E63,$D:$D,RegularFormula!$D$2)+COUNTIFS($E:$E,$E63,$D:$D,IF($D63=RegularFormula!$D$2,$K$15,$D63))),IFERROR(IF(percentage,percentage,""),""))</f>
        <v/>
      </c>
      <c r="I63" s="72" t="str">
        <f t="shared" si="1"/>
        <v/>
      </c>
      <c r="J63" s="73">
        <v>0.0</v>
      </c>
      <c r="K63" s="100"/>
      <c r="O63" s="163"/>
      <c r="P63" s="163"/>
      <c r="Q63" s="163"/>
      <c r="R63" s="79" t="str">
        <f t="shared" si="2"/>
        <v/>
      </c>
    </row>
    <row r="64">
      <c r="A64" s="217" t="b">
        <v>1</v>
      </c>
      <c r="B64" s="218" t="s">
        <v>819</v>
      </c>
      <c r="C64" s="69" t="str">
        <f t="array" ref="C64">TEXTJOIN("", TRUE, IFERROR(INDEX('language&amp;DataTest'!A:J, MATCH(INDEX( PointerTest!C:C, MATCH(B64, PointerTest!A:A, 0), 0), 'language&amp;DataTest'!A:A, 0), MATCH(HOME!$A$25, 'language&amp;DataTest'!$A$1:$H$1, 0))),                      IFERROR(INDEX('language&amp;DataTest'!A:J, MATCH(INDEX( PointerTest!D:D, MATCH(B64, PointerTest!A:A, 0), 0), 'language&amp;DataTest'!A:A, 0), MATCH(HOME!$A$25, 'language&amp;DataTest'!$A$1:$H$1, 0))),                                          
IFERROR(INDEX('language&amp;DataTest'!A:J, MATCH(INDEX( PointerTest!E:E, MATCH(B64, PointerTest!A:A, 0), 0), 'language&amp;DataTest'!A:A, 0), MATCH(HOME!$A$25, 'language&amp;DataTest'!$A$1:$H$1, 0))))</f>
        <v>Snorlax</v>
      </c>
      <c r="D64" s="69" t="str">
        <f t="array" ref="D64">TEXTJOIN("", TRUE, 
IFERROR(INDEX('language&amp;DataTest'!A:J, MATCH(INDEX( PointerTest!C:C, MATCH(INDEX(PointerTest!B:B, MATCH(B64, PointerTest!A:A, 0)), PointerTest!A:A, 0), 0), 'language&amp;DataTest'!A:A, 0), MATCH(HOME!$A$25, 'language&amp;DataTest'!$A$1:$H$1, 0))),                      
IFERROR(INDEX('language&amp;DataTest'!A:J, MATCH(INDEX( PointerTest!D:D, MATCH(INDEX(PointerTest!B:B, MATCH(B64, PointerTest!A:A, 0)), PointerTest!A:A, 0), 0), 'language&amp;DataTest'!A:A, 0), MATCH(HOME!$A$25, 'language&amp;DataTest'!$A$1:$H$1, 0))),                                          
IFERROR(INDEX('language&amp;DataTest'!A:J, MATCH(INDEX( PointerTest!E:E, MATCH(INDEX(PointerTest!B:B, MATCH(B64, PointerTest!A:A, 0)), PointerTest!A:A, 0), 0), 'language&amp;DataTest'!A:A, 0), MATCH(HOME!$A$25, 'language&amp;DataTest'!$A$1:$H$1, 0))))</f>
        <v>Arceus</v>
      </c>
      <c r="E64" s="69" t="str">
        <f t="array" ref="E64">INDEX( PointerTest!F:F, MATCH(B64, PointerTest!A:A, 0), 0)</f>
        <v>♢♢</v>
      </c>
      <c r="F64" s="70" t="str">
        <f t="array" ref="F64">LET(percentage,XLOOKUP($E64,$K$2:$K$10,L$2:L$10,"",0)/(COUNTIFS($E:$E,$E64,$D:$D,RegularFormula!$D$2)+COUNTIFS($E:$E,$E64,$D:$D,IF($D64=RegularFormula!$D$2,$K$15,$D64))),IFERROR(IF(percentage,percentage,""),""))</f>
        <v/>
      </c>
      <c r="G64" s="71">
        <f t="array" ref="G64">LET(percentage,XLOOKUP($E64,$K$2:$K$10,M$2:M$10,"",0)/(COUNTIFS($E:$E,$E64,$D:$D,RegularFormula!$D$2)+COUNTIFS($E:$E,$E64,$D:$D,IF($D64=RegularFormula!$D$2,$K$15,$D64))),IFERROR(IF(percentage,percentage,""),""))</f>
        <v>0.03461538462</v>
      </c>
      <c r="H64" s="71">
        <f t="array" ref="H64">LET(percentage,XLOOKUP($E64,$K$2:$K$10,N$2:N$10,"",0)/(COUNTIFS($E:$E,$E64,$D:$D,RegularFormula!$D$2)+COUNTIFS($E:$E,$E64,$D:$D,IF($D64=RegularFormula!$D$2,$K$15,$D64))),IFERROR(IF(percentage,percentage,""),""))</f>
        <v>0.02307692308</v>
      </c>
      <c r="I64" s="72" t="str">
        <f t="shared" si="1"/>
        <v/>
      </c>
      <c r="J64" s="73">
        <v>0.0</v>
      </c>
      <c r="K64" s="100"/>
      <c r="O64" s="163"/>
      <c r="P64" s="163"/>
      <c r="Q64" s="163"/>
      <c r="R64" s="79" t="str">
        <f t="shared" si="2"/>
        <v/>
      </c>
    </row>
    <row r="65">
      <c r="A65" s="217" t="b">
        <v>1</v>
      </c>
      <c r="B65" s="218" t="s">
        <v>820</v>
      </c>
      <c r="C65" s="69" t="str">
        <f t="array" ref="C65">TEXTJOIN("", TRUE, IFERROR(INDEX('language&amp;DataTest'!A:J, MATCH(INDEX( PointerTest!C:C, MATCH(B65, PointerTest!A:A, 0), 0), 'language&amp;DataTest'!A:A, 0), MATCH(HOME!$A$25, 'language&amp;DataTest'!$A$1:$H$1, 0))),                      IFERROR(INDEX('language&amp;DataTest'!A:J, MATCH(INDEX( PointerTest!D:D, MATCH(B65, PointerTest!A:A, 0), 0), 'language&amp;DataTest'!A:A, 0), MATCH(HOME!$A$25, 'language&amp;DataTest'!$A$1:$H$1, 0))),                                          
IFERROR(INDEX('language&amp;DataTest'!A:J, MATCH(INDEX( PointerTest!E:E, MATCH(B65, PointerTest!A:A, 0), 0), 'language&amp;DataTest'!A:A, 0), MATCH(HOME!$A$25, 'language&amp;DataTest'!$A$1:$H$1, 0))))</f>
        <v>Hoothoot</v>
      </c>
      <c r="D65" s="69" t="str">
        <f t="array" ref="D65">TEXTJOIN("", TRUE, 
IFERROR(INDEX('language&amp;DataTest'!A:J, MATCH(INDEX( PointerTest!C:C, MATCH(INDEX(PointerTest!B:B, MATCH(B65, PointerTest!A:A, 0)), PointerTest!A:A, 0), 0), 'language&amp;DataTest'!A:A, 0), MATCH(HOME!$A$25, 'language&amp;DataTest'!$A$1:$H$1, 0))),                      
IFERROR(INDEX('language&amp;DataTest'!A:J, MATCH(INDEX( PointerTest!D:D, MATCH(INDEX(PointerTest!B:B, MATCH(B65, PointerTest!A:A, 0)), PointerTest!A:A, 0), 0), 'language&amp;DataTest'!A:A, 0), MATCH(HOME!$A$25, 'language&amp;DataTest'!$A$1:$H$1, 0))),                                          
IFERROR(INDEX('language&amp;DataTest'!A:J, MATCH(INDEX( PointerTest!E:E, MATCH(INDEX(PointerTest!B:B, MATCH(B65, PointerTest!A:A, 0)), PointerTest!A:A, 0), 0), 'language&amp;DataTest'!A:A, 0), MATCH(HOME!$A$25, 'language&amp;DataTest'!$A$1:$H$1, 0))))</f>
        <v>Arceus</v>
      </c>
      <c r="E65" s="69" t="str">
        <f t="array" ref="E65">INDEX( PointerTest!F:F, MATCH(B65, PointerTest!A:A, 0), 0)</f>
        <v>♢</v>
      </c>
      <c r="F65" s="70">
        <f t="array" ref="F65">LET(percentage,XLOOKUP($E65,$K$2:$K$10,L$2:L$10,"",0)/(COUNTIFS($E:$E,$E65,$D:$D,RegularFormula!$D$2)+COUNTIFS($E:$E,$E65,$D:$D,IF($D65=RegularFormula!$D$2,$K$15,$D65))),IFERROR(IF(percentage,percentage,""),""))</f>
        <v>0.03225806452</v>
      </c>
      <c r="G65" s="71" t="str">
        <f t="array" ref="G65">LET(percentage,XLOOKUP($E65,$K$2:$K$10,M$2:M$10,"",0)/(COUNTIFS($E:$E,$E65,$D:$D,RegularFormula!$D$2)+COUNTIFS($E:$E,$E65,$D:$D,IF($D65=RegularFormula!$D$2,$K$15,$D65))),IFERROR(IF(percentage,percentage,""),""))</f>
        <v/>
      </c>
      <c r="H65" s="71" t="str">
        <f t="array" ref="H65">LET(percentage,XLOOKUP($E65,$K$2:$K$10,N$2:N$10,"",0)/(COUNTIFS($E:$E,$E65,$D:$D,RegularFormula!$D$2)+COUNTIFS($E:$E,$E65,$D:$D,IF($D65=RegularFormula!$D$2,$K$15,$D65))),IFERROR(IF(percentage,percentage,""),""))</f>
        <v/>
      </c>
      <c r="I65" s="72" t="str">
        <f t="shared" si="1"/>
        <v/>
      </c>
      <c r="J65" s="73">
        <v>0.0</v>
      </c>
      <c r="K65" s="100"/>
      <c r="O65" s="163"/>
      <c r="P65" s="163"/>
      <c r="Q65" s="163"/>
      <c r="R65" s="79" t="str">
        <f t="shared" si="2"/>
        <v/>
      </c>
    </row>
    <row r="66">
      <c r="A66" s="217" t="b">
        <v>1</v>
      </c>
      <c r="B66" s="218" t="s">
        <v>821</v>
      </c>
      <c r="C66" s="69" t="str">
        <f t="array" ref="C66">TEXTJOIN("", TRUE, IFERROR(INDEX('language&amp;DataTest'!A:J, MATCH(INDEX( PointerTest!C:C, MATCH(B66, PointerTest!A:A, 0), 0), 'language&amp;DataTest'!A:A, 0), MATCH(HOME!$A$25, 'language&amp;DataTest'!$A$1:$H$1, 0))),                      IFERROR(INDEX('language&amp;DataTest'!A:J, MATCH(INDEX( PointerTest!D:D, MATCH(B66, PointerTest!A:A, 0), 0), 'language&amp;DataTest'!A:A, 0), MATCH(HOME!$A$25, 'language&amp;DataTest'!$A$1:$H$1, 0))),                                          
IFERROR(INDEX('language&amp;DataTest'!A:J, MATCH(INDEX( PointerTest!E:E, MATCH(B66, PointerTest!A:A, 0), 0), 'language&amp;DataTest'!A:A, 0), MATCH(HOME!$A$25, 'language&amp;DataTest'!$A$1:$H$1, 0))))</f>
        <v>Noctowl</v>
      </c>
      <c r="D66" s="69" t="str">
        <f t="array" ref="D66">TEXTJOIN("", TRUE, 
IFERROR(INDEX('language&amp;DataTest'!A:J, MATCH(INDEX( PointerTest!C:C, MATCH(INDEX(PointerTest!B:B, MATCH(B66, PointerTest!A:A, 0)), PointerTest!A:A, 0), 0), 'language&amp;DataTest'!A:A, 0), MATCH(HOME!$A$25, 'language&amp;DataTest'!$A$1:$H$1, 0))),                      
IFERROR(INDEX('language&amp;DataTest'!A:J, MATCH(INDEX( PointerTest!D:D, MATCH(INDEX(PointerTest!B:B, MATCH(B66, PointerTest!A:A, 0)), PointerTest!A:A, 0), 0), 'language&amp;DataTest'!A:A, 0), MATCH(HOME!$A$25, 'language&amp;DataTest'!$A$1:$H$1, 0))),                                          
IFERROR(INDEX('language&amp;DataTest'!A:J, MATCH(INDEX( PointerTest!E:E, MATCH(INDEX(PointerTest!B:B, MATCH(B66, PointerTest!A:A, 0)), PointerTest!A:A, 0), 0), 'language&amp;DataTest'!A:A, 0), MATCH(HOME!$A$25, 'language&amp;DataTest'!$A$1:$H$1, 0))))</f>
        <v>Arceus</v>
      </c>
      <c r="E66" s="69" t="str">
        <f t="array" ref="E66">INDEX( PointerTest!F:F, MATCH(B66, PointerTest!A:A, 0), 0)</f>
        <v>♢♢</v>
      </c>
      <c r="F66" s="70" t="str">
        <f t="array" ref="F66">LET(percentage,XLOOKUP($E66,$K$2:$K$10,L$2:L$10,"",0)/(COUNTIFS($E:$E,$E66,$D:$D,RegularFormula!$D$2)+COUNTIFS($E:$E,$E66,$D:$D,IF($D66=RegularFormula!$D$2,$K$15,$D66))),IFERROR(IF(percentage,percentage,""),""))</f>
        <v/>
      </c>
      <c r="G66" s="71">
        <f t="array" ref="G66">LET(percentage,XLOOKUP($E66,$K$2:$K$10,M$2:M$10,"",0)/(COUNTIFS($E:$E,$E66,$D:$D,RegularFormula!$D$2)+COUNTIFS($E:$E,$E66,$D:$D,IF($D66=RegularFormula!$D$2,$K$15,$D66))),IFERROR(IF(percentage,percentage,""),""))</f>
        <v>0.03461538462</v>
      </c>
      <c r="H66" s="71">
        <f t="array" ref="H66">LET(percentage,XLOOKUP($E66,$K$2:$K$10,N$2:N$10,"",0)/(COUNTIFS($E:$E,$E66,$D:$D,RegularFormula!$D$2)+COUNTIFS($E:$E,$E66,$D:$D,IF($D66=RegularFormula!$D$2,$K$15,$D66))),IFERROR(IF(percentage,percentage,""),""))</f>
        <v>0.02307692308</v>
      </c>
      <c r="I66" s="72" t="str">
        <f t="shared" si="1"/>
        <v/>
      </c>
      <c r="J66" s="73">
        <v>0.0</v>
      </c>
      <c r="K66" s="100"/>
      <c r="O66" s="163"/>
      <c r="P66" s="163"/>
      <c r="Q66" s="163"/>
      <c r="R66" s="79" t="str">
        <f t="shared" si="2"/>
        <v/>
      </c>
    </row>
    <row r="67">
      <c r="A67" s="217" t="b">
        <v>1</v>
      </c>
      <c r="B67" s="218" t="s">
        <v>822</v>
      </c>
      <c r="C67" s="69" t="str">
        <f t="array" ref="C67">TEXTJOIN("", TRUE, IFERROR(INDEX('language&amp;DataTest'!A:J, MATCH(INDEX( PointerTest!C:C, MATCH(B67, PointerTest!A:A, 0), 0), 'language&amp;DataTest'!A:A, 0), MATCH(HOME!$A$25, 'language&amp;DataTest'!$A$1:$H$1, 0))),                      IFERROR(INDEX('language&amp;DataTest'!A:J, MATCH(INDEX( PointerTest!D:D, MATCH(B67, PointerTest!A:A, 0), 0), 'language&amp;DataTest'!A:A, 0), MATCH(HOME!$A$25, 'language&amp;DataTest'!$A$1:$H$1, 0))),                                          
IFERROR(INDEX('language&amp;DataTest'!A:J, MATCH(INDEX( PointerTest!E:E, MATCH(B67, PointerTest!A:A, 0), 0), 'language&amp;DataTest'!A:A, 0), MATCH(HOME!$A$25, 'language&amp;DataTest'!$A$1:$H$1, 0))))</f>
        <v>Starly</v>
      </c>
      <c r="D67" s="69" t="str">
        <f t="array" ref="D67">TEXTJOIN("", TRUE, 
IFERROR(INDEX('language&amp;DataTest'!A:J, MATCH(INDEX( PointerTest!C:C, MATCH(INDEX(PointerTest!B:B, MATCH(B67, PointerTest!A:A, 0)), PointerTest!A:A, 0), 0), 'language&amp;DataTest'!A:A, 0), MATCH(HOME!$A$25, 'language&amp;DataTest'!$A$1:$H$1, 0))),                      
IFERROR(INDEX('language&amp;DataTest'!A:J, MATCH(INDEX( PointerTest!D:D, MATCH(INDEX(PointerTest!B:B, MATCH(B67, PointerTest!A:A, 0)), PointerTest!A:A, 0), 0), 'language&amp;DataTest'!A:A, 0), MATCH(HOME!$A$25, 'language&amp;DataTest'!$A$1:$H$1, 0))),                                          
IFERROR(INDEX('language&amp;DataTest'!A:J, MATCH(INDEX( PointerTest!E:E, MATCH(INDEX(PointerTest!B:B, MATCH(B67, PointerTest!A:A, 0)), PointerTest!A:A, 0), 0), 'language&amp;DataTest'!A:A, 0), MATCH(HOME!$A$25, 'language&amp;DataTest'!$A$1:$H$1, 0))))</f>
        <v>Arceus</v>
      </c>
      <c r="E67" s="69" t="str">
        <f t="array" ref="E67">INDEX( PointerTest!F:F, MATCH(B67, PointerTest!A:A, 0), 0)</f>
        <v>♢</v>
      </c>
      <c r="F67" s="70">
        <f t="array" ref="F67">LET(percentage,XLOOKUP($E67,$K$2:$K$10,L$2:L$10,"",0)/(COUNTIFS($E:$E,$E67,$D:$D,RegularFormula!$D$2)+COUNTIFS($E:$E,$E67,$D:$D,IF($D67=RegularFormula!$D$2,$K$15,$D67))),IFERROR(IF(percentage,percentage,""),""))</f>
        <v>0.03225806452</v>
      </c>
      <c r="G67" s="71" t="str">
        <f t="array" ref="G67">LET(percentage,XLOOKUP($E67,$K$2:$K$10,M$2:M$10,"",0)/(COUNTIFS($E:$E,$E67,$D:$D,RegularFormula!$D$2)+COUNTIFS($E:$E,$E67,$D:$D,IF($D67=RegularFormula!$D$2,$K$15,$D67))),IFERROR(IF(percentage,percentage,""),""))</f>
        <v/>
      </c>
      <c r="H67" s="71" t="str">
        <f t="array" ref="H67">LET(percentage,XLOOKUP($E67,$K$2:$K$10,N$2:N$10,"",0)/(COUNTIFS($E:$E,$E67,$D:$D,RegularFormula!$D$2)+COUNTIFS($E:$E,$E67,$D:$D,IF($D67=RegularFormula!$D$2,$K$15,$D67))),IFERROR(IF(percentage,percentage,""),""))</f>
        <v/>
      </c>
      <c r="I67" s="72" t="str">
        <f t="shared" si="1"/>
        <v/>
      </c>
      <c r="J67" s="73">
        <v>0.0</v>
      </c>
      <c r="K67" s="100"/>
      <c r="O67" s="163"/>
      <c r="P67" s="163"/>
      <c r="Q67" s="163"/>
      <c r="R67" s="79" t="str">
        <f t="shared" si="2"/>
        <v/>
      </c>
    </row>
    <row r="68">
      <c r="A68" s="217" t="b">
        <v>1</v>
      </c>
      <c r="B68" s="218" t="s">
        <v>823</v>
      </c>
      <c r="C68" s="69" t="str">
        <f t="array" ref="C68">TEXTJOIN("", TRUE, IFERROR(INDEX('language&amp;DataTest'!A:J, MATCH(INDEX( PointerTest!C:C, MATCH(B68, PointerTest!A:A, 0), 0), 'language&amp;DataTest'!A:A, 0), MATCH(HOME!$A$25, 'language&amp;DataTest'!$A$1:$H$1, 0))),                      IFERROR(INDEX('language&amp;DataTest'!A:J, MATCH(INDEX( PointerTest!D:D, MATCH(B68, PointerTest!A:A, 0), 0), 'language&amp;DataTest'!A:A, 0), MATCH(HOME!$A$25, 'language&amp;DataTest'!$A$1:$H$1, 0))),                                          
IFERROR(INDEX('language&amp;DataTest'!A:J, MATCH(INDEX( PointerTest!E:E, MATCH(B68, PointerTest!A:A, 0), 0), 'language&amp;DataTest'!A:A, 0), MATCH(HOME!$A$25, 'language&amp;DataTest'!$A$1:$H$1, 0))))</f>
        <v>Staravia</v>
      </c>
      <c r="D68" s="69" t="str">
        <f t="array" ref="D68">TEXTJOIN("", TRUE, 
IFERROR(INDEX('language&amp;DataTest'!A:J, MATCH(INDEX( PointerTest!C:C, MATCH(INDEX(PointerTest!B:B, MATCH(B68, PointerTest!A:A, 0)), PointerTest!A:A, 0), 0), 'language&amp;DataTest'!A:A, 0), MATCH(HOME!$A$25, 'language&amp;DataTest'!$A$1:$H$1, 0))),                      
IFERROR(INDEX('language&amp;DataTest'!A:J, MATCH(INDEX( PointerTest!D:D, MATCH(INDEX(PointerTest!B:B, MATCH(B68, PointerTest!A:A, 0)), PointerTest!A:A, 0), 0), 'language&amp;DataTest'!A:A, 0), MATCH(HOME!$A$25, 'language&amp;DataTest'!$A$1:$H$1, 0))),                                          
IFERROR(INDEX('language&amp;DataTest'!A:J, MATCH(INDEX( PointerTest!E:E, MATCH(INDEX(PointerTest!B:B, MATCH(B68, PointerTest!A:A, 0)), PointerTest!A:A, 0), 0), 'language&amp;DataTest'!A:A, 0), MATCH(HOME!$A$25, 'language&amp;DataTest'!$A$1:$H$1, 0))))</f>
        <v>Arceus</v>
      </c>
      <c r="E68" s="69" t="str">
        <f t="array" ref="E68">INDEX( PointerTest!F:F, MATCH(B68, PointerTest!A:A, 0), 0)</f>
        <v>♢</v>
      </c>
      <c r="F68" s="70">
        <f t="array" ref="F68">LET(percentage,XLOOKUP($E68,$K$2:$K$10,L$2:L$10,"",0)/(COUNTIFS($E:$E,$E68,$D:$D,RegularFormula!$D$2)+COUNTIFS($E:$E,$E68,$D:$D,IF($D68=RegularFormula!$D$2,$K$15,$D68))),IFERROR(IF(percentage,percentage,""),""))</f>
        <v>0.03225806452</v>
      </c>
      <c r="G68" s="71" t="str">
        <f t="array" ref="G68">LET(percentage,XLOOKUP($E68,$K$2:$K$10,M$2:M$10,"",0)/(COUNTIFS($E:$E,$E68,$D:$D,RegularFormula!$D$2)+COUNTIFS($E:$E,$E68,$D:$D,IF($D68=RegularFormula!$D$2,$K$15,$D68))),IFERROR(IF(percentage,percentage,""),""))</f>
        <v/>
      </c>
      <c r="H68" s="71" t="str">
        <f t="array" ref="H68">LET(percentage,XLOOKUP($E68,$K$2:$K$10,N$2:N$10,"",0)/(COUNTIFS($E:$E,$E68,$D:$D,RegularFormula!$D$2)+COUNTIFS($E:$E,$E68,$D:$D,IF($D68=RegularFormula!$D$2,$K$15,$D68))),IFERROR(IF(percentage,percentage,""),""))</f>
        <v/>
      </c>
      <c r="I68" s="72" t="str">
        <f t="shared" si="1"/>
        <v/>
      </c>
      <c r="J68" s="73">
        <v>0.0</v>
      </c>
      <c r="K68" s="100"/>
      <c r="O68" s="163"/>
      <c r="P68" s="163"/>
      <c r="Q68" s="163"/>
      <c r="R68" s="79" t="str">
        <f t="shared" si="2"/>
        <v/>
      </c>
    </row>
    <row r="69">
      <c r="A69" s="217" t="b">
        <v>1</v>
      </c>
      <c r="B69" s="218" t="s">
        <v>824</v>
      </c>
      <c r="C69" s="69" t="str">
        <f t="array" ref="C69">TEXTJOIN("", TRUE, IFERROR(INDEX('language&amp;DataTest'!A:J, MATCH(INDEX( PointerTest!C:C, MATCH(B69, PointerTest!A:A, 0), 0), 'language&amp;DataTest'!A:A, 0), MATCH(HOME!$A$25, 'language&amp;DataTest'!$A$1:$H$1, 0))),                      IFERROR(INDEX('language&amp;DataTest'!A:J, MATCH(INDEX( PointerTest!D:D, MATCH(B69, PointerTest!A:A, 0), 0), 'language&amp;DataTest'!A:A, 0), MATCH(HOME!$A$25, 'language&amp;DataTest'!$A$1:$H$1, 0))),                                          
IFERROR(INDEX('language&amp;DataTest'!A:J, MATCH(INDEX( PointerTest!E:E, MATCH(B69, PointerTest!A:A, 0), 0), 'language&amp;DataTest'!A:A, 0), MATCH(HOME!$A$25, 'language&amp;DataTest'!$A$1:$H$1, 0))))</f>
        <v>Staraptor</v>
      </c>
      <c r="D69" s="69" t="str">
        <f t="array" ref="D69">TEXTJOIN("", TRUE, 
IFERROR(INDEX('language&amp;DataTest'!A:J, MATCH(INDEX( PointerTest!C:C, MATCH(INDEX(PointerTest!B:B, MATCH(B69, PointerTest!A:A, 0)), PointerTest!A:A, 0), 0), 'language&amp;DataTest'!A:A, 0), MATCH(HOME!$A$25, 'language&amp;DataTest'!$A$1:$H$1, 0))),                      
IFERROR(INDEX('language&amp;DataTest'!A:J, MATCH(INDEX( PointerTest!D:D, MATCH(INDEX(PointerTest!B:B, MATCH(B69, PointerTest!A:A, 0)), PointerTest!A:A, 0), 0), 'language&amp;DataTest'!A:A, 0), MATCH(HOME!$A$25, 'language&amp;DataTest'!$A$1:$H$1, 0))),                                          
IFERROR(INDEX('language&amp;DataTest'!A:J, MATCH(INDEX( PointerTest!E:E, MATCH(INDEX(PointerTest!B:B, MATCH(B69, PointerTest!A:A, 0)), PointerTest!A:A, 0), 0), 'language&amp;DataTest'!A:A, 0), MATCH(HOME!$A$25, 'language&amp;DataTest'!$A$1:$H$1, 0))))</f>
        <v>Arceus</v>
      </c>
      <c r="E69" s="69" t="str">
        <f t="array" ref="E69">INDEX( PointerTest!F:F, MATCH(B69, PointerTest!A:A, 0), 0)</f>
        <v>♢♢</v>
      </c>
      <c r="F69" s="70" t="str">
        <f t="array" ref="F69">LET(percentage,XLOOKUP($E69,$K$2:$K$10,L$2:L$10,"",0)/(COUNTIFS($E:$E,$E69,$D:$D,RegularFormula!$D$2)+COUNTIFS($E:$E,$E69,$D:$D,IF($D69=RegularFormula!$D$2,$K$15,$D69))),IFERROR(IF(percentage,percentage,""),""))</f>
        <v/>
      </c>
      <c r="G69" s="71">
        <f t="array" ref="G69">LET(percentage,XLOOKUP($E69,$K$2:$K$10,M$2:M$10,"",0)/(COUNTIFS($E:$E,$E69,$D:$D,RegularFormula!$D$2)+COUNTIFS($E:$E,$E69,$D:$D,IF($D69=RegularFormula!$D$2,$K$15,$D69))),IFERROR(IF(percentage,percentage,""),""))</f>
        <v>0.03461538462</v>
      </c>
      <c r="H69" s="71">
        <f t="array" ref="H69">LET(percentage,XLOOKUP($E69,$K$2:$K$10,N$2:N$10,"",0)/(COUNTIFS($E:$E,$E69,$D:$D,RegularFormula!$D$2)+COUNTIFS($E:$E,$E69,$D:$D,IF($D69=RegularFormula!$D$2,$K$15,$D69))),IFERROR(IF(percentage,percentage,""),""))</f>
        <v>0.02307692308</v>
      </c>
      <c r="I69" s="72" t="str">
        <f t="shared" si="1"/>
        <v/>
      </c>
      <c r="J69" s="73">
        <v>0.0</v>
      </c>
      <c r="K69" s="100"/>
      <c r="O69" s="163"/>
      <c r="P69" s="163"/>
      <c r="Q69" s="163"/>
      <c r="R69" s="79" t="str">
        <f t="shared" si="2"/>
        <v/>
      </c>
    </row>
    <row r="70">
      <c r="A70" s="217" t="b">
        <v>1</v>
      </c>
      <c r="B70" s="218" t="s">
        <v>825</v>
      </c>
      <c r="C70" s="69" t="str">
        <f t="array" ref="C70">TEXTJOIN("", TRUE, IFERROR(INDEX('language&amp;DataTest'!A:J, MATCH(INDEX( PointerTest!C:C, MATCH(B70, PointerTest!A:A, 0), 0), 'language&amp;DataTest'!A:A, 0), MATCH(HOME!$A$25, 'language&amp;DataTest'!$A$1:$H$1, 0))),                      IFERROR(INDEX('language&amp;DataTest'!A:J, MATCH(INDEX( PointerTest!D:D, MATCH(B70, PointerTest!A:A, 0), 0), 'language&amp;DataTest'!A:A, 0), MATCH(HOME!$A$25, 'language&amp;DataTest'!$A$1:$H$1, 0))),                                          
IFERROR(INDEX('language&amp;DataTest'!A:J, MATCH(INDEX( PointerTest!E:E, MATCH(B70, PointerTest!A:A, 0), 0), 'language&amp;DataTest'!A:A, 0), MATCH(HOME!$A$25, 'language&amp;DataTest'!$A$1:$H$1, 0))))</f>
        <v>Shaymin</v>
      </c>
      <c r="D70" s="69" t="str">
        <f t="array" ref="D70">TEXTJOIN("", TRUE, 
IFERROR(INDEX('language&amp;DataTest'!A:J, MATCH(INDEX( PointerTest!C:C, MATCH(INDEX(PointerTest!B:B, MATCH(B70, PointerTest!A:A, 0)), PointerTest!A:A, 0), 0), 'language&amp;DataTest'!A:A, 0), MATCH(HOME!$A$25, 'language&amp;DataTest'!$A$1:$H$1, 0))),                      
IFERROR(INDEX('language&amp;DataTest'!A:J, MATCH(INDEX( PointerTest!D:D, MATCH(INDEX(PointerTest!B:B, MATCH(B70, PointerTest!A:A, 0)), PointerTest!A:A, 0), 0), 'language&amp;DataTest'!A:A, 0), MATCH(HOME!$A$25, 'language&amp;DataTest'!$A$1:$H$1, 0))),                                          
IFERROR(INDEX('language&amp;DataTest'!A:J, MATCH(INDEX( PointerTest!E:E, MATCH(INDEX(PointerTest!B:B, MATCH(B70, PointerTest!A:A, 0)), PointerTest!A:A, 0), 0), 'language&amp;DataTest'!A:A, 0), MATCH(HOME!$A$25, 'language&amp;DataTest'!$A$1:$H$1, 0))))</f>
        <v>Arceus</v>
      </c>
      <c r="E70" s="69" t="str">
        <f t="array" ref="E70">INDEX( PointerTest!F:F, MATCH(B70, PointerTest!A:A, 0), 0)</f>
        <v>♢♢♢</v>
      </c>
      <c r="F70" s="70" t="str">
        <f t="array" ref="F70">LET(percentage,XLOOKUP($E70,$K$2:$K$10,L$2:L$10,"",0)/(COUNTIFS($E:$E,$E70,$D:$D,RegularFormula!$D$2)+COUNTIFS($E:$E,$E70,$D:$D,IF($D70=RegularFormula!$D$2,$K$15,$D70))),IFERROR(IF(percentage,percentage,""),""))</f>
        <v/>
      </c>
      <c r="G70" s="71">
        <f t="array" ref="G70">LET(percentage,XLOOKUP($E70,$K$2:$K$10,M$2:M$10,"",0)/(COUNTIFS($E:$E,$E70,$D:$D,RegularFormula!$D$2)+COUNTIFS($E:$E,$E70,$D:$D,IF($D70=RegularFormula!$D$2,$K$15,$D70))),IFERROR(IF(percentage,percentage,""),""))</f>
        <v>0.003846153846</v>
      </c>
      <c r="H70" s="71">
        <f t="array" ref="H70">LET(percentage,XLOOKUP($E70,$K$2:$K$10,N$2:N$10,"",0)/(COUNTIFS($E:$E,$E70,$D:$D,RegularFormula!$D$2)+COUNTIFS($E:$E,$E70,$D:$D,IF($D70=RegularFormula!$D$2,$K$15,$D70))),IFERROR(IF(percentage,percentage,""),""))</f>
        <v>0.01538461538</v>
      </c>
      <c r="I70" s="72" t="str">
        <f t="shared" si="1"/>
        <v/>
      </c>
      <c r="J70" s="73">
        <v>0.0</v>
      </c>
      <c r="K70" s="100"/>
      <c r="L70" s="192"/>
      <c r="M70" s="192"/>
      <c r="N70" s="55"/>
      <c r="O70" s="103"/>
      <c r="P70" s="103"/>
      <c r="Q70" s="103"/>
      <c r="R70" s="79" t="str">
        <f t="shared" si="2"/>
        <v/>
      </c>
    </row>
    <row r="71">
      <c r="A71" s="217" t="b">
        <v>1</v>
      </c>
      <c r="B71" s="218" t="s">
        <v>26</v>
      </c>
      <c r="C71" s="69" t="str">
        <f t="array" ref="C71">TEXTJOIN("", TRUE, IFERROR(INDEX('language&amp;DataTest'!A:J, MATCH(INDEX( PointerTest!C:C, MATCH(B71, PointerTest!A:A, 0), 0), 'language&amp;DataTest'!A:A, 0), MATCH(HOME!$A$25, 'language&amp;DataTest'!$A$1:$H$1, 0))),                      IFERROR(INDEX('language&amp;DataTest'!A:J, MATCH(INDEX( PointerTest!D:D, MATCH(B71, PointerTest!A:A, 0), 0), 'language&amp;DataTest'!A:A, 0), MATCH(HOME!$A$25, 'language&amp;DataTest'!$A$1:$H$1, 0))),                                          
IFERROR(INDEX('language&amp;DataTest'!A:J, MATCH(INDEX( PointerTest!E:E, MATCH(B71, PointerTest!A:A, 0), 0), 'language&amp;DataTest'!A:A, 0), MATCH(HOME!$A$25, 'language&amp;DataTest'!$A$1:$H$1, 0))))</f>
        <v>Arceus</v>
      </c>
      <c r="D71" s="69" t="str">
        <f t="array" ref="D71">TEXTJOIN("", TRUE, 
IFERROR(INDEX('language&amp;DataTest'!A:J, MATCH(INDEX( PointerTest!C:C, MATCH(INDEX(PointerTest!B:B, MATCH(B71, PointerTest!A:A, 0)), PointerTest!A:A, 0), 0), 'language&amp;DataTest'!A:A, 0), MATCH(HOME!$A$25, 'language&amp;DataTest'!$A$1:$H$1, 0))),                      
IFERROR(INDEX('language&amp;DataTest'!A:J, MATCH(INDEX( PointerTest!D:D, MATCH(INDEX(PointerTest!B:B, MATCH(B71, PointerTest!A:A, 0)), PointerTest!A:A, 0), 0), 'language&amp;DataTest'!A:A, 0), MATCH(HOME!$A$25, 'language&amp;DataTest'!$A$1:$H$1, 0))),                                          
IFERROR(INDEX('language&amp;DataTest'!A:J, MATCH(INDEX( PointerTest!E:E, MATCH(INDEX(PointerTest!B:B, MATCH(B71, PointerTest!A:A, 0)), PointerTest!A:A, 0), 0), 'language&amp;DataTest'!A:A, 0), MATCH(HOME!$A$25, 'language&amp;DataTest'!$A$1:$H$1, 0))))</f>
        <v>Arceus</v>
      </c>
      <c r="E71" s="69" t="str">
        <f t="array" ref="E71">INDEX( PointerTest!F:F, MATCH(B71, PointerTest!A:A, 0), 0)</f>
        <v>♢♢♢</v>
      </c>
      <c r="F71" s="70" t="str">
        <f t="array" ref="F71">LET(percentage,XLOOKUP($E71,$K$2:$K$10,L$2:L$10,"",0)/(COUNTIFS($E:$E,$E71,$D:$D,RegularFormula!$D$2)+COUNTIFS($E:$E,$E71,$D:$D,IF($D71=RegularFormula!$D$2,$K$15,$D71))),IFERROR(IF(percentage,percentage,""),""))</f>
        <v/>
      </c>
      <c r="G71" s="71">
        <f t="array" ref="G71">LET(percentage,XLOOKUP($E71,$K$2:$K$10,M$2:M$10,"",0)/(COUNTIFS($E:$E,$E71,$D:$D,RegularFormula!$D$2)+COUNTIFS($E:$E,$E71,$D:$D,IF($D71=RegularFormula!$D$2,$K$15,$D71))),IFERROR(IF(percentage,percentage,""),""))</f>
        <v>0.003846153846</v>
      </c>
      <c r="H71" s="71">
        <f t="array" ref="H71">LET(percentage,XLOOKUP($E71,$K$2:$K$10,N$2:N$10,"",0)/(COUNTIFS($E:$E,$E71,$D:$D,RegularFormula!$D$2)+COUNTIFS($E:$E,$E71,$D:$D,IF($D71=RegularFormula!$D$2,$K$15,$D71))),IFERROR(IF(percentage,percentage,""),""))</f>
        <v>0.01538461538</v>
      </c>
      <c r="I71" s="72" t="str">
        <f t="shared" si="1"/>
        <v/>
      </c>
      <c r="J71" s="73">
        <v>0.0</v>
      </c>
      <c r="K71" s="193"/>
      <c r="L71" s="192"/>
      <c r="M71" s="192"/>
      <c r="N71" s="55"/>
      <c r="O71" s="103"/>
      <c r="P71" s="103"/>
      <c r="Q71" s="103"/>
      <c r="R71" s="79" t="str">
        <f t="shared" si="2"/>
        <v/>
      </c>
    </row>
    <row r="72">
      <c r="A72" s="217" t="b">
        <v>1</v>
      </c>
      <c r="B72" s="218" t="s">
        <v>826</v>
      </c>
      <c r="C72" s="69" t="str">
        <f t="array" ref="C72">TEXTJOIN("", TRUE, IFERROR(INDEX('language&amp;DataTest'!A:J, MATCH(INDEX( PointerTest!C:C, MATCH(B72, PointerTest!A:A, 0), 0), 'language&amp;DataTest'!A:A, 0), MATCH(HOME!$A$25, 'language&amp;DataTest'!$A$1:$H$1, 0))),                      IFERROR(INDEX('language&amp;DataTest'!A:J, MATCH(INDEX( PointerTest!D:D, MATCH(B72, PointerTest!A:A, 0), 0), 'language&amp;DataTest'!A:A, 0), MATCH(HOME!$A$25, 'language&amp;DataTest'!$A$1:$H$1, 0))),                                          
IFERROR(INDEX('language&amp;DataTest'!A:J, MATCH(INDEX( PointerTest!E:E, MATCH(B72, PointerTest!A:A, 0), 0), 'language&amp;DataTest'!A:A, 0), MATCH(HOME!$A$25, 'language&amp;DataTest'!$A$1:$H$1, 0))))</f>
        <v>Arceus ex</v>
      </c>
      <c r="D72" s="69" t="str">
        <f t="array" ref="D72">TEXTJOIN("", TRUE, 
IFERROR(INDEX('language&amp;DataTest'!A:J, MATCH(INDEX( PointerTest!C:C, MATCH(INDEX(PointerTest!B:B, MATCH(B72, PointerTest!A:A, 0)), PointerTest!A:A, 0), 0), 'language&amp;DataTest'!A:A, 0), MATCH(HOME!$A$25, 'language&amp;DataTest'!$A$1:$H$1, 0))),                      
IFERROR(INDEX('language&amp;DataTest'!A:J, MATCH(INDEX( PointerTest!D:D, MATCH(INDEX(PointerTest!B:B, MATCH(B72, PointerTest!A:A, 0)), PointerTest!A:A, 0), 0), 'language&amp;DataTest'!A:A, 0), MATCH(HOME!$A$25, 'language&amp;DataTest'!$A$1:$H$1, 0))),                                          
IFERROR(INDEX('language&amp;DataTest'!A:J, MATCH(INDEX( PointerTest!E:E, MATCH(INDEX(PointerTest!B:B, MATCH(B72, PointerTest!A:A, 0)), PointerTest!A:A, 0), 0), 'language&amp;DataTest'!A:A, 0), MATCH(HOME!$A$25, 'language&amp;DataTest'!$A$1:$H$1, 0))))</f>
        <v>Arceus</v>
      </c>
      <c r="E72" s="69" t="str">
        <f t="array" ref="E72">INDEX( PointerTest!F:F, MATCH(B72, PointerTest!A:A, 0), 0)</f>
        <v>♢♢♢♢</v>
      </c>
      <c r="F72" s="70" t="str">
        <f t="array" ref="F72">LET(percentage,XLOOKUP($E72,$K$2:$K$10,L$2:L$10,"",0)/(COUNTIFS($E:$E,$E72,$D:$D,RegularFormula!$D$2)+COUNTIFS($E:$E,$E72,$D:$D,IF($D72=RegularFormula!$D$2,$K$15,$D72))),IFERROR(IF(percentage,percentage,""),""))</f>
        <v/>
      </c>
      <c r="G72" s="71">
        <f t="array" ref="G72">LET(percentage,XLOOKUP($E72,$K$2:$K$10,M$2:M$10,"",0)/(COUNTIFS($E:$E,$E72,$D:$D,RegularFormula!$D$2)+COUNTIFS($E:$E,$E72,$D:$D,IF($D72=RegularFormula!$D$2,$K$15,$D72))),IFERROR(IF(percentage,percentage,""),""))</f>
        <v>0.003332</v>
      </c>
      <c r="H72" s="71">
        <f t="array" ref="H72">LET(percentage,XLOOKUP($E72,$K$2:$K$10,N$2:N$10,"",0)/(COUNTIFS($E:$E,$E72,$D:$D,RegularFormula!$D$2)+COUNTIFS($E:$E,$E72,$D:$D,IF($D72=RegularFormula!$D$2,$K$15,$D72))),IFERROR(IF(percentage,percentage,""),""))</f>
        <v>0.013328</v>
      </c>
      <c r="I72" s="72" t="str">
        <f t="shared" si="1"/>
        <v/>
      </c>
      <c r="J72" s="73">
        <v>0.0</v>
      </c>
      <c r="K72" s="194"/>
      <c r="L72" s="192"/>
      <c r="M72" s="192"/>
      <c r="N72" s="55"/>
      <c r="O72" s="103"/>
      <c r="P72" s="103"/>
      <c r="Q72" s="103"/>
      <c r="R72" s="79" t="str">
        <f t="shared" si="2"/>
        <v/>
      </c>
    </row>
    <row r="73">
      <c r="A73" s="217" t="b">
        <v>1</v>
      </c>
      <c r="B73" s="218" t="s">
        <v>827</v>
      </c>
      <c r="C73" s="69" t="str">
        <f t="array" ref="C73">TEXTJOIN("", TRUE, IFERROR(INDEX('language&amp;DataTest'!A:J, MATCH(INDEX( PointerTest!C:C, MATCH(B73, PointerTest!A:A, 0), 0), 'language&amp;DataTest'!A:A, 0), MATCH(HOME!$A$25, 'language&amp;DataTest'!$A$1:$H$1, 0))),                      IFERROR(INDEX('language&amp;DataTest'!A:J, MATCH(INDEX( PointerTest!D:D, MATCH(B73, PointerTest!A:A, 0), 0), 'language&amp;DataTest'!A:A, 0), MATCH(HOME!$A$25, 'language&amp;DataTest'!$A$1:$H$1, 0))),                                          
IFERROR(INDEX('language&amp;DataTest'!A:J, MATCH(INDEX( PointerTest!E:E, MATCH(B73, PointerTest!A:A, 0), 0), 'language&amp;DataTest'!A:A, 0), MATCH(HOME!$A$25, 'language&amp;DataTest'!$A$1:$H$1, 0))))</f>
        <v>Irida</v>
      </c>
      <c r="D73" s="69" t="str">
        <f t="array" ref="D73">TEXTJOIN("", TRUE, 
IFERROR(INDEX('language&amp;DataTest'!A:J, MATCH(INDEX( PointerTest!C:C, MATCH(INDEX(PointerTest!B:B, MATCH(B73, PointerTest!A:A, 0)), PointerTest!A:A, 0), 0), 'language&amp;DataTest'!A:A, 0), MATCH(HOME!$A$25, 'language&amp;DataTest'!$A$1:$H$1, 0))),                      
IFERROR(INDEX('language&amp;DataTest'!A:J, MATCH(INDEX( PointerTest!D:D, MATCH(INDEX(PointerTest!B:B, MATCH(B73, PointerTest!A:A, 0)), PointerTest!A:A, 0), 0), 'language&amp;DataTest'!A:A, 0), MATCH(HOME!$A$25, 'language&amp;DataTest'!$A$1:$H$1, 0))),                                          
IFERROR(INDEX('language&amp;DataTest'!A:J, MATCH(INDEX( PointerTest!E:E, MATCH(INDEX(PointerTest!B:B, MATCH(B73, PointerTest!A:A, 0)), PointerTest!A:A, 0), 0), 'language&amp;DataTest'!A:A, 0), MATCH(HOME!$A$25, 'language&amp;DataTest'!$A$1:$H$1, 0))))</f>
        <v>Arceus</v>
      </c>
      <c r="E73" s="69" t="str">
        <f t="array" ref="E73">INDEX( PointerTest!F:F, MATCH(B73, PointerTest!A:A, 0), 0)</f>
        <v>♢♢</v>
      </c>
      <c r="F73" s="70" t="str">
        <f t="array" ref="F73">LET(percentage,XLOOKUP($E73,$K$2:$K$10,L$2:L$10,"",0)/(COUNTIFS($E:$E,$E73,$D:$D,RegularFormula!$D$2)+COUNTIFS($E:$E,$E73,$D:$D,IF($D73=RegularFormula!$D$2,$K$15,$D73))),IFERROR(IF(percentage,percentage,""),""))</f>
        <v/>
      </c>
      <c r="G73" s="71">
        <f t="array" ref="G73">LET(percentage,XLOOKUP($E73,$K$2:$K$10,M$2:M$10,"",0)/(COUNTIFS($E:$E,$E73,$D:$D,RegularFormula!$D$2)+COUNTIFS($E:$E,$E73,$D:$D,IF($D73=RegularFormula!$D$2,$K$15,$D73))),IFERROR(IF(percentage,percentage,""),""))</f>
        <v>0.03461538462</v>
      </c>
      <c r="H73" s="71">
        <f t="array" ref="H73">LET(percentage,XLOOKUP($E73,$K$2:$K$10,N$2:N$10,"",0)/(COUNTIFS($E:$E,$E73,$D:$D,RegularFormula!$D$2)+COUNTIFS($E:$E,$E73,$D:$D,IF($D73=RegularFormula!$D$2,$K$15,$D73))),IFERROR(IF(percentage,percentage,""),""))</f>
        <v>0.02307692308</v>
      </c>
      <c r="I73" s="72" t="str">
        <f t="shared" si="1"/>
        <v/>
      </c>
      <c r="J73" s="73">
        <v>0.0</v>
      </c>
      <c r="K73" s="194"/>
      <c r="L73" s="192"/>
      <c r="M73" s="192"/>
      <c r="N73" s="55"/>
      <c r="O73" s="103"/>
      <c r="P73" s="103"/>
      <c r="Q73" s="103"/>
      <c r="R73" s="79" t="str">
        <f t="shared" si="2"/>
        <v/>
      </c>
    </row>
    <row r="74">
      <c r="A74" s="217" t="b">
        <v>1</v>
      </c>
      <c r="B74" s="218" t="s">
        <v>828</v>
      </c>
      <c r="C74" s="69" t="str">
        <f t="array" ref="C74">TEXTJOIN("", TRUE, IFERROR(INDEX('language&amp;DataTest'!A:J, MATCH(INDEX( PointerTest!C:C, MATCH(B74, PointerTest!A:A, 0), 0), 'language&amp;DataTest'!A:A, 0), MATCH(HOME!$A$25, 'language&amp;DataTest'!$A$1:$H$1, 0))),                      IFERROR(INDEX('language&amp;DataTest'!A:J, MATCH(INDEX( PointerTest!D:D, MATCH(B74, PointerTest!A:A, 0), 0), 'language&amp;DataTest'!A:A, 0), MATCH(HOME!$A$25, 'language&amp;DataTest'!$A$1:$H$1, 0))),                                          
IFERROR(INDEX('language&amp;DataTest'!A:J, MATCH(INDEX( PointerTest!E:E, MATCH(B74, PointerTest!A:A, 0), 0), 'language&amp;DataTest'!A:A, 0), MATCH(HOME!$A$25, 'language&amp;DataTest'!$A$1:$H$1, 0))))</f>
        <v>Celestic Town Elder</v>
      </c>
      <c r="D74" s="69" t="str">
        <f t="array" ref="D74">TEXTJOIN("", TRUE, 
IFERROR(INDEX('language&amp;DataTest'!A:J, MATCH(INDEX( PointerTest!C:C, MATCH(INDEX(PointerTest!B:B, MATCH(B74, PointerTest!A:A, 0)), PointerTest!A:A, 0), 0), 'language&amp;DataTest'!A:A, 0), MATCH(HOME!$A$25, 'language&amp;DataTest'!$A$1:$H$1, 0))),                      
IFERROR(INDEX('language&amp;DataTest'!A:J, MATCH(INDEX( PointerTest!D:D, MATCH(INDEX(PointerTest!B:B, MATCH(B74, PointerTest!A:A, 0)), PointerTest!A:A, 0), 0), 'language&amp;DataTest'!A:A, 0), MATCH(HOME!$A$25, 'language&amp;DataTest'!$A$1:$H$1, 0))),                                          
IFERROR(INDEX('language&amp;DataTest'!A:J, MATCH(INDEX( PointerTest!E:E, MATCH(INDEX(PointerTest!B:B, MATCH(B74, PointerTest!A:A, 0)), PointerTest!A:A, 0), 0), 'language&amp;DataTest'!A:A, 0), MATCH(HOME!$A$25, 'language&amp;DataTest'!$A$1:$H$1, 0))))</f>
        <v>Arceus</v>
      </c>
      <c r="E74" s="69" t="str">
        <f t="array" ref="E74">INDEX( PointerTest!F:F, MATCH(B74, PointerTest!A:A, 0), 0)</f>
        <v>♢♢</v>
      </c>
      <c r="F74" s="70" t="str">
        <f t="array" ref="F74">LET(percentage,XLOOKUP($E74,$K$2:$K$10,L$2:L$10,"",0)/(COUNTIFS($E:$E,$E74,$D:$D,RegularFormula!$D$2)+COUNTIFS($E:$E,$E74,$D:$D,IF($D74=RegularFormula!$D$2,$K$15,$D74))),IFERROR(IF(percentage,percentage,""),""))</f>
        <v/>
      </c>
      <c r="G74" s="71">
        <f t="array" ref="G74">LET(percentage,XLOOKUP($E74,$K$2:$K$10,M$2:M$10,"",0)/(COUNTIFS($E:$E,$E74,$D:$D,RegularFormula!$D$2)+COUNTIFS($E:$E,$E74,$D:$D,IF($D74=RegularFormula!$D$2,$K$15,$D74))),IFERROR(IF(percentage,percentage,""),""))</f>
        <v>0.03461538462</v>
      </c>
      <c r="H74" s="71">
        <f t="array" ref="H74">LET(percentage,XLOOKUP($E74,$K$2:$K$10,N$2:N$10,"",0)/(COUNTIFS($E:$E,$E74,$D:$D,RegularFormula!$D$2)+COUNTIFS($E:$E,$E74,$D:$D,IF($D74=RegularFormula!$D$2,$K$15,$D74))),IFERROR(IF(percentage,percentage,""),""))</f>
        <v>0.02307692308</v>
      </c>
      <c r="I74" s="72" t="str">
        <f t="shared" si="1"/>
        <v/>
      </c>
      <c r="J74" s="73">
        <v>0.0</v>
      </c>
      <c r="K74" s="194"/>
      <c r="L74" s="55"/>
      <c r="M74" s="55"/>
      <c r="N74" s="55"/>
      <c r="O74" s="103"/>
      <c r="P74" s="103"/>
      <c r="Q74" s="103"/>
      <c r="R74" s="79" t="str">
        <f t="shared" si="2"/>
        <v/>
      </c>
    </row>
    <row r="75">
      <c r="A75" s="217" t="b">
        <v>1</v>
      </c>
      <c r="B75" s="218" t="s">
        <v>829</v>
      </c>
      <c r="C75" s="69" t="str">
        <f t="array" ref="C75">TEXTJOIN("", TRUE, IFERROR(INDEX('language&amp;DataTest'!A:J, MATCH(INDEX( PointerTest!C:C, MATCH(B75, PointerTest!A:A, 0), 0), 'language&amp;DataTest'!A:A, 0), MATCH(HOME!$A$25, 'language&amp;DataTest'!$A$1:$H$1, 0))),                      IFERROR(INDEX('language&amp;DataTest'!A:J, MATCH(INDEX( PointerTest!D:D, MATCH(B75, PointerTest!A:A, 0), 0), 'language&amp;DataTest'!A:A, 0), MATCH(HOME!$A$25, 'language&amp;DataTest'!$A$1:$H$1, 0))),                                          
IFERROR(INDEX('language&amp;DataTest'!A:J, MATCH(INDEX( PointerTest!E:E, MATCH(B75, PointerTest!A:A, 0), 0), 'language&amp;DataTest'!A:A, 0), MATCH(HOME!$A$25, 'language&amp;DataTest'!$A$1:$H$1, 0))))</f>
        <v>Barry</v>
      </c>
      <c r="D75" s="69" t="str">
        <f t="array" ref="D75">TEXTJOIN("", TRUE, 
IFERROR(INDEX('language&amp;DataTest'!A:J, MATCH(INDEX( PointerTest!C:C, MATCH(INDEX(PointerTest!B:B, MATCH(B75, PointerTest!A:A, 0)), PointerTest!A:A, 0), 0), 'language&amp;DataTest'!A:A, 0), MATCH(HOME!$A$25, 'language&amp;DataTest'!$A$1:$H$1, 0))),                      
IFERROR(INDEX('language&amp;DataTest'!A:J, MATCH(INDEX( PointerTest!D:D, MATCH(INDEX(PointerTest!B:B, MATCH(B75, PointerTest!A:A, 0)), PointerTest!A:A, 0), 0), 'language&amp;DataTest'!A:A, 0), MATCH(HOME!$A$25, 'language&amp;DataTest'!$A$1:$H$1, 0))),                                          
IFERROR(INDEX('language&amp;DataTest'!A:J, MATCH(INDEX( PointerTest!E:E, MATCH(INDEX(PointerTest!B:B, MATCH(B75, PointerTest!A:A, 0)), PointerTest!A:A, 0), 0), 'language&amp;DataTest'!A:A, 0), MATCH(HOME!$A$25, 'language&amp;DataTest'!$A$1:$H$1, 0))))</f>
        <v>Arceus</v>
      </c>
      <c r="E75" s="69" t="str">
        <f t="array" ref="E75">INDEX( PointerTest!F:F, MATCH(B75, PointerTest!A:A, 0), 0)</f>
        <v>♢♢</v>
      </c>
      <c r="F75" s="70" t="str">
        <f t="array" ref="F75">LET(percentage,XLOOKUP($E75,$K$2:$K$10,L$2:L$10,"",0)/(COUNTIFS($E:$E,$E75,$D:$D,RegularFormula!$D$2)+COUNTIFS($E:$E,$E75,$D:$D,IF($D75=RegularFormula!$D$2,$K$15,$D75))),IFERROR(IF(percentage,percentage,""),""))</f>
        <v/>
      </c>
      <c r="G75" s="71">
        <f t="array" ref="G75">LET(percentage,XLOOKUP($E75,$K$2:$K$10,M$2:M$10,"",0)/(COUNTIFS($E:$E,$E75,$D:$D,RegularFormula!$D$2)+COUNTIFS($E:$E,$E75,$D:$D,IF($D75=RegularFormula!$D$2,$K$15,$D75))),IFERROR(IF(percentage,percentage,""),""))</f>
        <v>0.03461538462</v>
      </c>
      <c r="H75" s="71">
        <f t="array" ref="H75">LET(percentage,XLOOKUP($E75,$K$2:$K$10,N$2:N$10,"",0)/(COUNTIFS($E:$E,$E75,$D:$D,RegularFormula!$D$2)+COUNTIFS($E:$E,$E75,$D:$D,IF($D75=RegularFormula!$D$2,$K$15,$D75))),IFERROR(IF(percentage,percentage,""),""))</f>
        <v>0.02307692308</v>
      </c>
      <c r="I75" s="72" t="str">
        <f t="shared" si="1"/>
        <v/>
      </c>
      <c r="J75" s="73">
        <v>0.0</v>
      </c>
      <c r="K75" s="194"/>
      <c r="L75" s="55"/>
      <c r="M75" s="55"/>
      <c r="N75" s="55"/>
      <c r="O75" s="103"/>
      <c r="P75" s="103"/>
      <c r="Q75" s="103"/>
      <c r="R75" s="79" t="str">
        <f t="shared" si="2"/>
        <v/>
      </c>
    </row>
    <row r="76">
      <c r="A76" s="217" t="b">
        <v>1</v>
      </c>
      <c r="B76" s="218" t="s">
        <v>830</v>
      </c>
      <c r="C76" s="69" t="str">
        <f t="array" ref="C76">TEXTJOIN("", TRUE, IFERROR(INDEX('language&amp;DataTest'!A:J, MATCH(INDEX( PointerTest!C:C, MATCH(B76, PointerTest!A:A, 0), 0), 'language&amp;DataTest'!A:A, 0), MATCH(HOME!$A$25, 'language&amp;DataTest'!$A$1:$H$1, 0))),                      IFERROR(INDEX('language&amp;DataTest'!A:J, MATCH(INDEX( PointerTest!D:D, MATCH(B76, PointerTest!A:A, 0), 0), 'language&amp;DataTest'!A:A, 0), MATCH(HOME!$A$25, 'language&amp;DataTest'!$A$1:$H$1, 0))),                                          
IFERROR(INDEX('language&amp;DataTest'!A:J, MATCH(INDEX( PointerTest!E:E, MATCH(B76, PointerTest!A:A, 0), 0), 'language&amp;DataTest'!A:A, 0), MATCH(HOME!$A$25, 'language&amp;DataTest'!$A$1:$H$1, 0))))</f>
        <v>Adaman</v>
      </c>
      <c r="D76" s="69" t="str">
        <f t="array" ref="D76">TEXTJOIN("", TRUE, 
IFERROR(INDEX('language&amp;DataTest'!A:J, MATCH(INDEX( PointerTest!C:C, MATCH(INDEX(PointerTest!B:B, MATCH(B76, PointerTest!A:A, 0)), PointerTest!A:A, 0), 0), 'language&amp;DataTest'!A:A, 0), MATCH(HOME!$A$25, 'language&amp;DataTest'!$A$1:$H$1, 0))),                      
IFERROR(INDEX('language&amp;DataTest'!A:J, MATCH(INDEX( PointerTest!D:D, MATCH(INDEX(PointerTest!B:B, MATCH(B76, PointerTest!A:A, 0)), PointerTest!A:A, 0), 0), 'language&amp;DataTest'!A:A, 0), MATCH(HOME!$A$25, 'language&amp;DataTest'!$A$1:$H$1, 0))),                                          
IFERROR(INDEX('language&amp;DataTest'!A:J, MATCH(INDEX( PointerTest!E:E, MATCH(INDEX(PointerTest!B:B, MATCH(B76, PointerTest!A:A, 0)), PointerTest!A:A, 0), 0), 'language&amp;DataTest'!A:A, 0), MATCH(HOME!$A$25, 'language&amp;DataTest'!$A$1:$H$1, 0))))</f>
        <v>Arceus</v>
      </c>
      <c r="E76" s="69" t="str">
        <f t="array" ref="E76">INDEX( PointerTest!F:F, MATCH(B76, PointerTest!A:A, 0), 0)</f>
        <v>♢♢</v>
      </c>
      <c r="F76" s="70" t="str">
        <f t="array" ref="F76">LET(percentage,XLOOKUP($E76,$K$2:$K$10,L$2:L$10,"",0)/(COUNTIFS($E:$E,$E76,$D:$D,RegularFormula!$D$2)+COUNTIFS($E:$E,$E76,$D:$D,IF($D76=RegularFormula!$D$2,$K$15,$D76))),IFERROR(IF(percentage,percentage,""),""))</f>
        <v/>
      </c>
      <c r="G76" s="71">
        <f t="array" ref="G76">LET(percentage,XLOOKUP($E76,$K$2:$K$10,M$2:M$10,"",0)/(COUNTIFS($E:$E,$E76,$D:$D,RegularFormula!$D$2)+COUNTIFS($E:$E,$E76,$D:$D,IF($D76=RegularFormula!$D$2,$K$15,$D76))),IFERROR(IF(percentage,percentage,""),""))</f>
        <v>0.03461538462</v>
      </c>
      <c r="H76" s="71">
        <f t="array" ref="H76">LET(percentage,XLOOKUP($E76,$K$2:$K$10,N$2:N$10,"",0)/(COUNTIFS($E:$E,$E76,$D:$D,RegularFormula!$D$2)+COUNTIFS($E:$E,$E76,$D:$D,IF($D76=RegularFormula!$D$2,$K$15,$D76))),IFERROR(IF(percentage,percentage,""),""))</f>
        <v>0.02307692308</v>
      </c>
      <c r="I76" s="72" t="str">
        <f t="shared" si="1"/>
        <v/>
      </c>
      <c r="J76" s="73">
        <v>0.0</v>
      </c>
      <c r="K76" s="194"/>
      <c r="L76" s="55"/>
      <c r="M76" s="55"/>
      <c r="N76" s="55"/>
      <c r="O76" s="103"/>
      <c r="P76" s="103"/>
      <c r="Q76" s="103"/>
      <c r="R76" s="79" t="str">
        <f t="shared" si="2"/>
        <v/>
      </c>
    </row>
    <row r="77">
      <c r="A77" s="217" t="b">
        <v>1</v>
      </c>
      <c r="B77" s="218" t="s">
        <v>831</v>
      </c>
      <c r="C77" s="69" t="str">
        <f t="array" ref="C77">TEXTJOIN("", TRUE, IFERROR(INDEX('language&amp;DataTest'!A:J, MATCH(INDEX( PointerTest!C:C, MATCH(B77, PointerTest!A:A, 0), 0), 'language&amp;DataTest'!A:A, 0), MATCH(HOME!$A$25, 'language&amp;DataTest'!$A$1:$H$1, 0))),                      IFERROR(INDEX('language&amp;DataTest'!A:J, MATCH(INDEX( PointerTest!D:D, MATCH(B77, PointerTest!A:A, 0), 0), 'language&amp;DataTest'!A:A, 0), MATCH(HOME!$A$25, 'language&amp;DataTest'!$A$1:$H$1, 0))),                                          
IFERROR(INDEX('language&amp;DataTest'!A:J, MATCH(INDEX( PointerTest!E:E, MATCH(B77, PointerTest!A:A, 0), 0), 'language&amp;DataTest'!A:A, 0), MATCH(HOME!$A$25, 'language&amp;DataTest'!$A$1:$H$1, 0))))</f>
        <v>Houndoom</v>
      </c>
      <c r="D77" s="69" t="str">
        <f t="array" ref="D77">TEXTJOIN("", TRUE, 
IFERROR(INDEX('language&amp;DataTest'!A:J, MATCH(INDEX( PointerTest!C:C, MATCH(INDEX(PointerTest!B:B, MATCH(B77, PointerTest!A:A, 0)), PointerTest!A:A, 0), 0), 'language&amp;DataTest'!A:A, 0), MATCH(HOME!$A$25, 'language&amp;DataTest'!$A$1:$H$1, 0))),                      
IFERROR(INDEX('language&amp;DataTest'!A:J, MATCH(INDEX( PointerTest!D:D, MATCH(INDEX(PointerTest!B:B, MATCH(B77, PointerTest!A:A, 0)), PointerTest!A:A, 0), 0), 'language&amp;DataTest'!A:A, 0), MATCH(HOME!$A$25, 'language&amp;DataTest'!$A$1:$H$1, 0))),                                          
IFERROR(INDEX('language&amp;DataTest'!A:J, MATCH(INDEX( PointerTest!E:E, MATCH(INDEX(PointerTest!B:B, MATCH(B77, PointerTest!A:A, 0)), PointerTest!A:A, 0), 0), 'language&amp;DataTest'!A:A, 0), MATCH(HOME!$A$25, 'language&amp;DataTest'!$A$1:$H$1, 0))))</f>
        <v>Arceus</v>
      </c>
      <c r="E77" s="69" t="str">
        <f t="array" ref="E77">INDEX( PointerTest!F:F, MATCH(B77, PointerTest!A:A, 0), 0)</f>
        <v>☆</v>
      </c>
      <c r="F77" s="70" t="str">
        <f t="array" ref="F77">LET(percentage,XLOOKUP($E77,$K$2:$K$10,L$2:L$10,"",0)/(COUNTIFS($E:$E,$E77,$D:$D,RegularFormula!$D$2)+COUNTIFS($E:$E,$E77,$D:$D,IF($D77=RegularFormula!$D$2,$K$15,$D77))),IFERROR(IF(percentage,percentage,""),""))</f>
        <v/>
      </c>
      <c r="G77" s="71">
        <f t="array" ref="G77">LET(percentage,XLOOKUP($E77,$K$2:$K$10,M$2:M$10,"",0)/(COUNTIFS($E:$E,$E77,$D:$D,RegularFormula!$D$2)+COUNTIFS($E:$E,$E77,$D:$D,IF($D77=RegularFormula!$D$2,$K$15,$D77))),IFERROR(IF(percentage,percentage,""),""))</f>
        <v>0.004286666667</v>
      </c>
      <c r="H77" s="71">
        <f t="array" ref="H77">LET(percentage,XLOOKUP($E77,$K$2:$K$10,N$2:N$10,"",0)/(COUNTIFS($E:$E,$E77,$D:$D,RegularFormula!$D$2)+COUNTIFS($E:$E,$E77,$D:$D,IF($D77=RegularFormula!$D$2,$K$15,$D77))),IFERROR(IF(percentage,percentage,""),""))</f>
        <v>0.01714666667</v>
      </c>
      <c r="I77" s="72" t="str">
        <f t="shared" si="1"/>
        <v/>
      </c>
      <c r="J77" s="73">
        <v>0.0</v>
      </c>
      <c r="K77" s="194"/>
      <c r="L77" s="55"/>
      <c r="M77" s="55"/>
      <c r="N77" s="55"/>
      <c r="O77" s="103"/>
      <c r="P77" s="103"/>
      <c r="Q77" s="103"/>
      <c r="R77" s="79" t="str">
        <f t="shared" si="2"/>
        <v/>
      </c>
    </row>
    <row r="78">
      <c r="A78" s="217" t="b">
        <v>1</v>
      </c>
      <c r="B78" s="218" t="s">
        <v>832</v>
      </c>
      <c r="C78" s="69" t="str">
        <f t="array" ref="C78">TEXTJOIN("", TRUE, IFERROR(INDEX('language&amp;DataTest'!A:J, MATCH(INDEX( PointerTest!C:C, MATCH(B78, PointerTest!A:A, 0), 0), 'language&amp;DataTest'!A:A, 0), MATCH(HOME!$A$25, 'language&amp;DataTest'!$A$1:$H$1, 0))),                      IFERROR(INDEX('language&amp;DataTest'!A:J, MATCH(INDEX( PointerTest!D:D, MATCH(B78, PointerTest!A:A, 0), 0), 'language&amp;DataTest'!A:A, 0), MATCH(HOME!$A$25, 'language&amp;DataTest'!$A$1:$H$1, 0))),                                          
IFERROR(INDEX('language&amp;DataTest'!A:J, MATCH(INDEX( PointerTest!E:E, MATCH(B78, PointerTest!A:A, 0), 0), 'language&amp;DataTest'!A:A, 0), MATCH(HOME!$A$25, 'language&amp;DataTest'!$A$1:$H$1, 0))))</f>
        <v>Marill</v>
      </c>
      <c r="D78" s="69" t="str">
        <f t="array" ref="D78">TEXTJOIN("", TRUE, 
IFERROR(INDEX('language&amp;DataTest'!A:J, MATCH(INDEX( PointerTest!C:C, MATCH(INDEX(PointerTest!B:B, MATCH(B78, PointerTest!A:A, 0)), PointerTest!A:A, 0), 0), 'language&amp;DataTest'!A:A, 0), MATCH(HOME!$A$25, 'language&amp;DataTest'!$A$1:$H$1, 0))),                      
IFERROR(INDEX('language&amp;DataTest'!A:J, MATCH(INDEX( PointerTest!D:D, MATCH(INDEX(PointerTest!B:B, MATCH(B78, PointerTest!A:A, 0)), PointerTest!A:A, 0), 0), 'language&amp;DataTest'!A:A, 0), MATCH(HOME!$A$25, 'language&amp;DataTest'!$A$1:$H$1, 0))),                                          
IFERROR(INDEX('language&amp;DataTest'!A:J, MATCH(INDEX( PointerTest!E:E, MATCH(INDEX(PointerTest!B:B, MATCH(B78, PointerTest!A:A, 0)), PointerTest!A:A, 0), 0), 'language&amp;DataTest'!A:A, 0), MATCH(HOME!$A$25, 'language&amp;DataTest'!$A$1:$H$1, 0))))</f>
        <v>Arceus</v>
      </c>
      <c r="E78" s="69" t="str">
        <f t="array" ref="E78">INDEX( PointerTest!F:F, MATCH(B78, PointerTest!A:A, 0), 0)</f>
        <v>☆</v>
      </c>
      <c r="F78" s="70" t="str">
        <f t="array" ref="F78">LET(percentage,XLOOKUP($E78,$K$2:$K$10,L$2:L$10,"",0)/(COUNTIFS($E:$E,$E78,$D:$D,RegularFormula!$D$2)+COUNTIFS($E:$E,$E78,$D:$D,IF($D78=RegularFormula!$D$2,$K$15,$D78))),IFERROR(IF(percentage,percentage,""),""))</f>
        <v/>
      </c>
      <c r="G78" s="71">
        <f t="array" ref="G78">LET(percentage,XLOOKUP($E78,$K$2:$K$10,M$2:M$10,"",0)/(COUNTIFS($E:$E,$E78,$D:$D,RegularFormula!$D$2)+COUNTIFS($E:$E,$E78,$D:$D,IF($D78=RegularFormula!$D$2,$K$15,$D78))),IFERROR(IF(percentage,percentage,""),""))</f>
        <v>0.004286666667</v>
      </c>
      <c r="H78" s="71">
        <f t="array" ref="H78">LET(percentage,XLOOKUP($E78,$K$2:$K$10,N$2:N$10,"",0)/(COUNTIFS($E:$E,$E78,$D:$D,RegularFormula!$D$2)+COUNTIFS($E:$E,$E78,$D:$D,IF($D78=RegularFormula!$D$2,$K$15,$D78))),IFERROR(IF(percentage,percentage,""),""))</f>
        <v>0.01714666667</v>
      </c>
      <c r="I78" s="72" t="str">
        <f t="shared" si="1"/>
        <v/>
      </c>
      <c r="J78" s="73">
        <v>0.0</v>
      </c>
      <c r="K78" s="194"/>
      <c r="L78" s="55"/>
      <c r="M78" s="55"/>
      <c r="N78" s="55"/>
      <c r="O78" s="103"/>
      <c r="P78" s="103"/>
      <c r="Q78" s="103"/>
      <c r="R78" s="79" t="str">
        <f t="shared" si="2"/>
        <v/>
      </c>
    </row>
    <row r="79">
      <c r="A79" s="217" t="b">
        <v>1</v>
      </c>
      <c r="B79" s="218" t="s">
        <v>833</v>
      </c>
      <c r="C79" s="69" t="str">
        <f t="array" ref="C79">TEXTJOIN("", TRUE, IFERROR(INDEX('language&amp;DataTest'!A:J, MATCH(INDEX( PointerTest!C:C, MATCH(B79, PointerTest!A:A, 0), 0), 'language&amp;DataTest'!A:A, 0), MATCH(HOME!$A$25, 'language&amp;DataTest'!$A$1:$H$1, 0))),                      IFERROR(INDEX('language&amp;DataTest'!A:J, MATCH(INDEX( PointerTest!D:D, MATCH(B79, PointerTest!A:A, 0), 0), 'language&amp;DataTest'!A:A, 0), MATCH(HOME!$A$25, 'language&amp;DataTest'!$A$1:$H$1, 0))),                                          
IFERROR(INDEX('language&amp;DataTest'!A:J, MATCH(INDEX( PointerTest!E:E, MATCH(B79, PointerTest!A:A, 0), 0), 'language&amp;DataTest'!A:A, 0), MATCH(HOME!$A$25, 'language&amp;DataTest'!$A$1:$H$1, 0))))</f>
        <v>Unown</v>
      </c>
      <c r="D79" s="69" t="str">
        <f t="array" ref="D79">TEXTJOIN("", TRUE, 
IFERROR(INDEX('language&amp;DataTest'!A:J, MATCH(INDEX( PointerTest!C:C, MATCH(INDEX(PointerTest!B:B, MATCH(B79, PointerTest!A:A, 0)), PointerTest!A:A, 0), 0), 'language&amp;DataTest'!A:A, 0), MATCH(HOME!$A$25, 'language&amp;DataTest'!$A$1:$H$1, 0))),                      
IFERROR(INDEX('language&amp;DataTest'!A:J, MATCH(INDEX( PointerTest!D:D, MATCH(INDEX(PointerTest!B:B, MATCH(B79, PointerTest!A:A, 0)), PointerTest!A:A, 0), 0), 'language&amp;DataTest'!A:A, 0), MATCH(HOME!$A$25, 'language&amp;DataTest'!$A$1:$H$1, 0))),                                          
IFERROR(INDEX('language&amp;DataTest'!A:J, MATCH(INDEX( PointerTest!E:E, MATCH(INDEX(PointerTest!B:B, MATCH(B79, PointerTest!A:A, 0)), PointerTest!A:A, 0), 0), 'language&amp;DataTest'!A:A, 0), MATCH(HOME!$A$25, 'language&amp;DataTest'!$A$1:$H$1, 0))))</f>
        <v>Arceus</v>
      </c>
      <c r="E79" s="69" t="str">
        <f t="array" ref="E79">INDEX( PointerTest!F:F, MATCH(B79, PointerTest!A:A, 0), 0)</f>
        <v>☆</v>
      </c>
      <c r="F79" s="70" t="str">
        <f t="array" ref="F79">LET(percentage,XLOOKUP($E79,$K$2:$K$10,L$2:L$10,"",0)/(COUNTIFS($E:$E,$E79,$D:$D,RegularFormula!$D$2)+COUNTIFS($E:$E,$E79,$D:$D,IF($D79=RegularFormula!$D$2,$K$15,$D79))),IFERROR(IF(percentage,percentage,""),""))</f>
        <v/>
      </c>
      <c r="G79" s="71">
        <f t="array" ref="G79">LET(percentage,XLOOKUP($E79,$K$2:$K$10,M$2:M$10,"",0)/(COUNTIFS($E:$E,$E79,$D:$D,RegularFormula!$D$2)+COUNTIFS($E:$E,$E79,$D:$D,IF($D79=RegularFormula!$D$2,$K$15,$D79))),IFERROR(IF(percentage,percentage,""),""))</f>
        <v>0.004286666667</v>
      </c>
      <c r="H79" s="71">
        <f t="array" ref="H79">LET(percentage,XLOOKUP($E79,$K$2:$K$10,N$2:N$10,"",0)/(COUNTIFS($E:$E,$E79,$D:$D,RegularFormula!$D$2)+COUNTIFS($E:$E,$E79,$D:$D,IF($D79=RegularFormula!$D$2,$K$15,$D79))),IFERROR(IF(percentage,percentage,""),""))</f>
        <v>0.01714666667</v>
      </c>
      <c r="I79" s="72" t="str">
        <f t="shared" si="1"/>
        <v/>
      </c>
      <c r="J79" s="73">
        <v>0.0</v>
      </c>
      <c r="K79" s="194"/>
      <c r="L79" s="55" t="str">
        <f t="array" ref="L79">TEXTJOIN("", TRUE, 
IFERROR(INDEX('language&amp;DataTest'!A:J, MATCH(INDEX( PointerTest!C:C, MATCH(INDEX(PointerTest!B:B, MATCH(B28, PointerTest!A:A, 0)), PointerTest!A:A, 0), 0), 'language&amp;DataTest'!A:A, 0), MATCH(HOME!$A$25, HOME!$C$2:$C97, 0))),                      
IFERROR(INDEX('language&amp;DataTest'!A:J, MATCH(INDEX( PointerTest!D:D, MATCH(INDEX(PointerTest!B:B, MATCH(B28, PointerTest!A:A, 0)), PointerTest!A:A, 0), 0), 'language&amp;DataTest'!A:A, 0), MATCH(HOME!$A$25, HOME!$C$2:$C97, 0))),                                          
IFERROR(INDEX('language&amp;DataTest'!A:J, MATCH(INDEX( PointerTest!E:E, MATCH(INDEX(PointerTest!B:B, MATCH(B28, PointerTest!A:A, 0)), PointerTest!A:A, 0), 0), 'language&amp;DataTest'!A:A, 0), MATCH(HOME!$A$25, HOME!$C$2:$C97, 0))))</f>
        <v/>
      </c>
      <c r="M79" s="55"/>
      <c r="N79" s="55"/>
      <c r="O79" s="103"/>
      <c r="P79" s="103"/>
      <c r="Q79" s="103"/>
      <c r="R79" s="79" t="str">
        <f t="shared" si="2"/>
        <v/>
      </c>
    </row>
    <row r="80">
      <c r="A80" s="217" t="b">
        <v>1</v>
      </c>
      <c r="B80" s="218" t="s">
        <v>834</v>
      </c>
      <c r="C80" s="69" t="str">
        <f t="array" ref="C80">TEXTJOIN("", TRUE, IFERROR(INDEX('language&amp;DataTest'!A:J, MATCH(INDEX( PointerTest!C:C, MATCH(B80, PointerTest!A:A, 0), 0), 'language&amp;DataTest'!A:A, 0), MATCH(HOME!$A$25, 'language&amp;DataTest'!$A$1:$H$1, 0))),                      IFERROR(INDEX('language&amp;DataTest'!A:J, MATCH(INDEX( PointerTest!D:D, MATCH(B80, PointerTest!A:A, 0), 0), 'language&amp;DataTest'!A:A, 0), MATCH(HOME!$A$25, 'language&amp;DataTest'!$A$1:$H$1, 0))),                                          
IFERROR(INDEX('language&amp;DataTest'!A:J, MATCH(INDEX( PointerTest!E:E, MATCH(B80, PointerTest!A:A, 0), 0), 'language&amp;DataTest'!A:A, 0), MATCH(HOME!$A$25, 'language&amp;DataTest'!$A$1:$H$1, 0))))</f>
        <v>Sudowoodo</v>
      </c>
      <c r="D80" s="69" t="str">
        <f t="array" ref="D80">TEXTJOIN("", TRUE, 
IFERROR(INDEX('language&amp;DataTest'!A:J, MATCH(INDEX( PointerTest!C:C, MATCH(INDEX(PointerTest!B:B, MATCH(B80, PointerTest!A:A, 0)), PointerTest!A:A, 0), 0), 'language&amp;DataTest'!A:A, 0), MATCH(HOME!$A$25, 'language&amp;DataTest'!$A$1:$H$1, 0))),                      
IFERROR(INDEX('language&amp;DataTest'!A:J, MATCH(INDEX( PointerTest!D:D, MATCH(INDEX(PointerTest!B:B, MATCH(B80, PointerTest!A:A, 0)), PointerTest!A:A, 0), 0), 'language&amp;DataTest'!A:A, 0), MATCH(HOME!$A$25, 'language&amp;DataTest'!$A$1:$H$1, 0))),                                          
IFERROR(INDEX('language&amp;DataTest'!A:J, MATCH(INDEX( PointerTest!E:E, MATCH(INDEX(PointerTest!B:B, MATCH(B80, PointerTest!A:A, 0)), PointerTest!A:A, 0), 0), 'language&amp;DataTest'!A:A, 0), MATCH(HOME!$A$25, 'language&amp;DataTest'!$A$1:$H$1, 0))))</f>
        <v>Arceus</v>
      </c>
      <c r="E80" s="69" t="str">
        <f t="array" ref="E80">INDEX( PointerTest!F:F, MATCH(B80, PointerTest!A:A, 0), 0)</f>
        <v>☆</v>
      </c>
      <c r="F80" s="70" t="str">
        <f t="array" ref="F80">LET(percentage,XLOOKUP($E80,$K$2:$K$10,L$2:L$10,"",0)/(COUNTIFS($E:$E,$E80,$D:$D,RegularFormula!$D$2)+COUNTIFS($E:$E,$E80,$D:$D,IF($D80=RegularFormula!$D$2,$K$15,$D80))),IFERROR(IF(percentage,percentage,""),""))</f>
        <v/>
      </c>
      <c r="G80" s="71">
        <f t="array" ref="G80">LET(percentage,XLOOKUP($E80,$K$2:$K$10,M$2:M$10,"",0)/(COUNTIFS($E:$E,$E80,$D:$D,RegularFormula!$D$2)+COUNTIFS($E:$E,$E80,$D:$D,IF($D80=RegularFormula!$D$2,$K$15,$D80))),IFERROR(IF(percentage,percentage,""),""))</f>
        <v>0.004286666667</v>
      </c>
      <c r="H80" s="71">
        <f t="array" ref="H80">LET(percentage,XLOOKUP($E80,$K$2:$K$10,N$2:N$10,"",0)/(COUNTIFS($E:$E,$E80,$D:$D,RegularFormula!$D$2)+COUNTIFS($E:$E,$E80,$D:$D,IF($D80=RegularFormula!$D$2,$K$15,$D80))),IFERROR(IF(percentage,percentage,""),""))</f>
        <v>0.01714666667</v>
      </c>
      <c r="I80" s="72" t="str">
        <f t="shared" si="1"/>
        <v/>
      </c>
      <c r="J80" s="73">
        <v>0.0</v>
      </c>
      <c r="K80" s="194"/>
      <c r="L80" s="55"/>
      <c r="M80" s="55"/>
      <c r="N80" s="55"/>
      <c r="O80" s="103"/>
      <c r="P80" s="103"/>
      <c r="Q80" s="103"/>
      <c r="R80" s="79" t="str">
        <f t="shared" si="2"/>
        <v/>
      </c>
    </row>
    <row r="81">
      <c r="A81" s="217" t="b">
        <v>0</v>
      </c>
      <c r="B81" s="218" t="s">
        <v>835</v>
      </c>
      <c r="C81" s="69" t="str">
        <f t="array" ref="C81">TEXTJOIN("", TRUE, IFERROR(INDEX('language&amp;DataTest'!A:J, MATCH(INDEX( PointerTest!C:C, MATCH(B81, PointerTest!A:A, 0), 0), 'language&amp;DataTest'!A:A, 0), MATCH(HOME!$A$25, 'language&amp;DataTest'!$A$1:$H$1, 0))),                      IFERROR(INDEX('language&amp;DataTest'!A:J, MATCH(INDEX( PointerTest!D:D, MATCH(B81, PointerTest!A:A, 0), 0), 'language&amp;DataTest'!A:A, 0), MATCH(HOME!$A$25, 'language&amp;DataTest'!$A$1:$H$1, 0))),                                          
IFERROR(INDEX('language&amp;DataTest'!A:J, MATCH(INDEX( PointerTest!E:E, MATCH(B81, PointerTest!A:A, 0), 0), 'language&amp;DataTest'!A:A, 0), MATCH(HOME!$A$25, 'language&amp;DataTest'!$A$1:$H$1, 0))))</f>
        <v>Magnemite</v>
      </c>
      <c r="D81" s="69" t="str">
        <f t="array" ref="D81">TEXTJOIN("", TRUE, 
IFERROR(INDEX('language&amp;DataTest'!A:J, MATCH(INDEX( PointerTest!C:C, MATCH(INDEX(PointerTest!B:B, MATCH(B81, PointerTest!A:A, 0)), PointerTest!A:A, 0), 0), 'language&amp;DataTest'!A:A, 0), MATCH(HOME!$A$25, 'language&amp;DataTest'!$A$1:$H$1, 0))),                      
IFERROR(INDEX('language&amp;DataTest'!A:J, MATCH(INDEX( PointerTest!D:D, MATCH(INDEX(PointerTest!B:B, MATCH(B81, PointerTest!A:A, 0)), PointerTest!A:A, 0), 0), 'language&amp;DataTest'!A:A, 0), MATCH(HOME!$A$25, 'language&amp;DataTest'!$A$1:$H$1, 0))),                                          
IFERROR(INDEX('language&amp;DataTest'!A:J, MATCH(INDEX( PointerTest!E:E, MATCH(INDEX(PointerTest!B:B, MATCH(B81, PointerTest!A:A, 0)), PointerTest!A:A, 0), 0), 'language&amp;DataTest'!A:A, 0), MATCH(HOME!$A$25, 'language&amp;DataTest'!$A$1:$H$1, 0))))</f>
        <v>Arceus</v>
      </c>
      <c r="E81" s="69" t="str">
        <f t="array" ref="E81">INDEX( PointerTest!F:F, MATCH(B81, PointerTest!A:A, 0), 0)</f>
        <v>☆</v>
      </c>
      <c r="F81" s="70" t="str">
        <f t="array" ref="F81">LET(percentage,XLOOKUP($E81,$K$2:$K$10,L$2:L$10,"",0)/(COUNTIFS($E:$E,$E81,$D:$D,RegularFormula!$D$2)+COUNTIFS($E:$E,$E81,$D:$D,IF($D81=RegularFormula!$D$2,$K$15,$D81))),IFERROR(IF(percentage,percentage,""),""))</f>
        <v/>
      </c>
      <c r="G81" s="71">
        <f t="array" ref="G81">LET(percentage,XLOOKUP($E81,$K$2:$K$10,M$2:M$10,"",0)/(COUNTIFS($E:$E,$E81,$D:$D,RegularFormula!$D$2)+COUNTIFS($E:$E,$E81,$D:$D,IF($D81=RegularFormula!$D$2,$K$15,$D81))),IFERROR(IF(percentage,percentage,""),""))</f>
        <v>0.004286666667</v>
      </c>
      <c r="H81" s="71">
        <f t="array" ref="H81">LET(percentage,XLOOKUP($E81,$K$2:$K$10,N$2:N$10,"",0)/(COUNTIFS($E:$E,$E81,$D:$D,RegularFormula!$D$2)+COUNTIFS($E:$E,$E81,$D:$D,IF($D81=RegularFormula!$D$2,$K$15,$D81))),IFERROR(IF(percentage,percentage,""),""))</f>
        <v>0.01714666667</v>
      </c>
      <c r="I81" s="72" t="str">
        <f t="shared" si="1"/>
        <v/>
      </c>
      <c r="J81" s="73">
        <v>0.0</v>
      </c>
      <c r="K81" s="194"/>
      <c r="L81" s="55"/>
      <c r="M81" s="55"/>
      <c r="N81" s="55"/>
      <c r="O81" s="103"/>
      <c r="P81" s="103"/>
      <c r="Q81" s="103"/>
      <c r="R81" s="79" t="str">
        <f t="shared" si="2"/>
        <v/>
      </c>
    </row>
    <row r="82">
      <c r="A82" s="217" t="b">
        <v>1</v>
      </c>
      <c r="B82" s="218" t="s">
        <v>836</v>
      </c>
      <c r="C82" s="69" t="str">
        <f t="array" ref="C82">TEXTJOIN("", TRUE, IFERROR(INDEX('language&amp;DataTest'!A:J, MATCH(INDEX( PointerTest!C:C, MATCH(B82, PointerTest!A:A, 0), 0), 'language&amp;DataTest'!A:A, 0), MATCH(HOME!$A$25, 'language&amp;DataTest'!$A$1:$H$1, 0))),                      IFERROR(INDEX('language&amp;DataTest'!A:J, MATCH(INDEX( PointerTest!D:D, MATCH(B82, PointerTest!A:A, 0), 0), 'language&amp;DataTest'!A:A, 0), MATCH(HOME!$A$25, 'language&amp;DataTest'!$A$1:$H$1, 0))),                                          
IFERROR(INDEX('language&amp;DataTest'!A:J, MATCH(INDEX( PointerTest!E:E, MATCH(B82, PointerTest!A:A, 0), 0), 'language&amp;DataTest'!A:A, 0), MATCH(HOME!$A$25, 'language&amp;DataTest'!$A$1:$H$1, 0))))</f>
        <v>Shaymin</v>
      </c>
      <c r="D82" s="69" t="str">
        <f t="array" ref="D82">TEXTJOIN("", TRUE, 
IFERROR(INDEX('language&amp;DataTest'!A:J, MATCH(INDEX( PointerTest!C:C, MATCH(INDEX(PointerTest!B:B, MATCH(B82, PointerTest!A:A, 0)), PointerTest!A:A, 0), 0), 'language&amp;DataTest'!A:A, 0), MATCH(HOME!$A$25, 'language&amp;DataTest'!$A$1:$H$1, 0))),                      
IFERROR(INDEX('language&amp;DataTest'!A:J, MATCH(INDEX( PointerTest!D:D, MATCH(INDEX(PointerTest!B:B, MATCH(B82, PointerTest!A:A, 0)), PointerTest!A:A, 0), 0), 'language&amp;DataTest'!A:A, 0), MATCH(HOME!$A$25, 'language&amp;DataTest'!$A$1:$H$1, 0))),                                          
IFERROR(INDEX('language&amp;DataTest'!A:J, MATCH(INDEX( PointerTest!E:E, MATCH(INDEX(PointerTest!B:B, MATCH(B82, PointerTest!A:A, 0)), PointerTest!A:A, 0), 0), 'language&amp;DataTest'!A:A, 0), MATCH(HOME!$A$25, 'language&amp;DataTest'!$A$1:$H$1, 0))))</f>
        <v>Arceus</v>
      </c>
      <c r="E82" s="69" t="str">
        <f t="array" ref="E82">INDEX( PointerTest!F:F, MATCH(B82, PointerTest!A:A, 0), 0)</f>
        <v>☆</v>
      </c>
      <c r="F82" s="70" t="str">
        <f t="array" ref="F82">LET(percentage,XLOOKUP($E82,$K$2:$K$10,L$2:L$10,"",0)/(COUNTIFS($E:$E,$E82,$D:$D,RegularFormula!$D$2)+COUNTIFS($E:$E,$E82,$D:$D,IF($D82=RegularFormula!$D$2,$K$15,$D82))),IFERROR(IF(percentage,percentage,""),""))</f>
        <v/>
      </c>
      <c r="G82" s="71">
        <f t="array" ref="G82">LET(percentage,XLOOKUP($E82,$K$2:$K$10,M$2:M$10,"",0)/(COUNTIFS($E:$E,$E82,$D:$D,RegularFormula!$D$2)+COUNTIFS($E:$E,$E82,$D:$D,IF($D82=RegularFormula!$D$2,$K$15,$D82))),IFERROR(IF(percentage,percentage,""),""))</f>
        <v>0.004286666667</v>
      </c>
      <c r="H82" s="71">
        <f t="array" ref="H82">LET(percentage,XLOOKUP($E82,$K$2:$K$10,N$2:N$10,"",0)/(COUNTIFS($E:$E,$E82,$D:$D,RegularFormula!$D$2)+COUNTIFS($E:$E,$E82,$D:$D,IF($D82=RegularFormula!$D$2,$K$15,$D82))),IFERROR(IF(percentage,percentage,""),""))</f>
        <v>0.01714666667</v>
      </c>
      <c r="I82" s="72" t="str">
        <f t="shared" si="1"/>
        <v/>
      </c>
      <c r="J82" s="73">
        <v>0.0</v>
      </c>
      <c r="K82" s="194"/>
      <c r="L82" s="55"/>
      <c r="M82" s="55"/>
      <c r="N82" s="55"/>
      <c r="O82" s="103"/>
      <c r="P82" s="103"/>
      <c r="Q82" s="103"/>
      <c r="R82" s="79" t="str">
        <f t="shared" si="2"/>
        <v/>
      </c>
    </row>
    <row r="83">
      <c r="A83" s="217" t="b">
        <v>0</v>
      </c>
      <c r="B83" s="218" t="s">
        <v>837</v>
      </c>
      <c r="C83" s="69" t="str">
        <f t="array" ref="C83">TEXTJOIN("", TRUE, IFERROR(INDEX('language&amp;DataTest'!A:J, MATCH(INDEX( PointerTest!C:C, MATCH(B83, PointerTest!A:A, 0), 0), 'language&amp;DataTest'!A:A, 0), MATCH(HOME!$A$25, 'language&amp;DataTest'!$A$1:$H$1, 0))),                      IFERROR(INDEX('language&amp;DataTest'!A:J, MATCH(INDEX( PointerTest!D:D, MATCH(B83, PointerTest!A:A, 0), 0), 'language&amp;DataTest'!A:A, 0), MATCH(HOME!$A$25, 'language&amp;DataTest'!$A$1:$H$1, 0))),                                          
IFERROR(INDEX('language&amp;DataTest'!A:J, MATCH(INDEX( PointerTest!E:E, MATCH(B83, PointerTest!A:A, 0), 0), 'language&amp;DataTest'!A:A, 0), MATCH(HOME!$A$25, 'language&amp;DataTest'!$A$1:$H$1, 0))))</f>
        <v>Leafeon ex</v>
      </c>
      <c r="D83" s="69" t="str">
        <f t="array" ref="D83">TEXTJOIN("", TRUE, 
IFERROR(INDEX('language&amp;DataTest'!A:J, MATCH(INDEX( PointerTest!C:C, MATCH(INDEX(PointerTest!B:B, MATCH(B83, PointerTest!A:A, 0)), PointerTest!A:A, 0), 0), 'language&amp;DataTest'!A:A, 0), MATCH(HOME!$A$25, 'language&amp;DataTest'!$A$1:$H$1, 0))),                      
IFERROR(INDEX('language&amp;DataTest'!A:J, MATCH(INDEX( PointerTest!D:D, MATCH(INDEX(PointerTest!B:B, MATCH(B83, PointerTest!A:A, 0)), PointerTest!A:A, 0), 0), 'language&amp;DataTest'!A:A, 0), MATCH(HOME!$A$25, 'language&amp;DataTest'!$A$1:$H$1, 0))),                                          
IFERROR(INDEX('language&amp;DataTest'!A:J, MATCH(INDEX( PointerTest!E:E, MATCH(INDEX(PointerTest!B:B, MATCH(B83, PointerTest!A:A, 0)), PointerTest!A:A, 0), 0), 'language&amp;DataTest'!A:A, 0), MATCH(HOME!$A$25, 'language&amp;DataTest'!$A$1:$H$1, 0))))</f>
        <v>Arceus</v>
      </c>
      <c r="E83" s="69" t="str">
        <f t="array" ref="E83">INDEX( PointerTest!F:F, MATCH(B83, PointerTest!A:A, 0), 0)</f>
        <v>☆☆</v>
      </c>
      <c r="F83" s="70" t="str">
        <f t="array" ref="F83">LET(percentage,XLOOKUP($E83,$K$2:$K$10,L$2:L$10,"",0)/(COUNTIFS($E:$E,$E83,$D:$D,RegularFormula!$D$2)+COUNTIFS($E:$E,$E83,$D:$D,IF($D83=RegularFormula!$D$2,$K$15,$D83))),IFERROR(IF(percentage,percentage,""),""))</f>
        <v/>
      </c>
      <c r="G83" s="71">
        <f t="array" ref="G83">LET(percentage,XLOOKUP($E83,$K$2:$K$10,M$2:M$10,"",0)/(COUNTIFS($E:$E,$E83,$D:$D,RegularFormula!$D$2)+COUNTIFS($E:$E,$E83,$D:$D,IF($D83=RegularFormula!$D$2,$K$15,$D83))),IFERROR(IF(percentage,percentage,""),""))</f>
        <v>0.0003846153846</v>
      </c>
      <c r="H83" s="71">
        <f t="array" ref="H83">LET(percentage,XLOOKUP($E83,$K$2:$K$10,N$2:N$10,"",0)/(COUNTIFS($E:$E,$E83,$D:$D,RegularFormula!$D$2)+COUNTIFS($E:$E,$E83,$D:$D,IF($D83=RegularFormula!$D$2,$K$15,$D83))),IFERROR(IF(percentage,percentage,""),""))</f>
        <v>0.001538461538</v>
      </c>
      <c r="I83" s="72" t="str">
        <f t="shared" si="1"/>
        <v/>
      </c>
      <c r="J83" s="73">
        <v>0.0</v>
      </c>
      <c r="K83" s="194"/>
      <c r="L83" s="55"/>
      <c r="M83" s="55"/>
      <c r="N83" s="55"/>
      <c r="O83" s="103"/>
      <c r="P83" s="103"/>
      <c r="Q83" s="103"/>
      <c r="R83" s="79" t="str">
        <f t="shared" si="2"/>
        <v/>
      </c>
    </row>
    <row r="84">
      <c r="A84" s="217" t="b">
        <v>1</v>
      </c>
      <c r="B84" s="218" t="s">
        <v>838</v>
      </c>
      <c r="C84" s="69" t="str">
        <f t="array" ref="C84">TEXTJOIN("", TRUE, IFERROR(INDEX('language&amp;DataTest'!A:J, MATCH(INDEX( PointerTest!C:C, MATCH(B84, PointerTest!A:A, 0), 0), 'language&amp;DataTest'!A:A, 0), MATCH(HOME!$A$25, 'language&amp;DataTest'!$A$1:$H$1, 0))),                      IFERROR(INDEX('language&amp;DataTest'!A:J, MATCH(INDEX( PointerTest!D:D, MATCH(B84, PointerTest!A:A, 0), 0), 'language&amp;DataTest'!A:A, 0), MATCH(HOME!$A$25, 'language&amp;DataTest'!$A$1:$H$1, 0))),                                          
IFERROR(INDEX('language&amp;DataTest'!A:J, MATCH(INDEX( PointerTest!E:E, MATCH(B84, PointerTest!A:A, 0), 0), 'language&amp;DataTest'!A:A, 0), MATCH(HOME!$A$25, 'language&amp;DataTest'!$A$1:$H$1, 0))))</f>
        <v>Glaceon ex</v>
      </c>
      <c r="D84" s="69" t="str">
        <f t="array" ref="D84">TEXTJOIN("", TRUE, 
IFERROR(INDEX('language&amp;DataTest'!A:J, MATCH(INDEX( PointerTest!C:C, MATCH(INDEX(PointerTest!B:B, MATCH(B84, PointerTest!A:A, 0)), PointerTest!A:A, 0), 0), 'language&amp;DataTest'!A:A, 0), MATCH(HOME!$A$25, 'language&amp;DataTest'!$A$1:$H$1, 0))),                      
IFERROR(INDEX('language&amp;DataTest'!A:J, MATCH(INDEX( PointerTest!D:D, MATCH(INDEX(PointerTest!B:B, MATCH(B84, PointerTest!A:A, 0)), PointerTest!A:A, 0), 0), 'language&amp;DataTest'!A:A, 0), MATCH(HOME!$A$25, 'language&amp;DataTest'!$A$1:$H$1, 0))),                                          
IFERROR(INDEX('language&amp;DataTest'!A:J, MATCH(INDEX( PointerTest!E:E, MATCH(INDEX(PointerTest!B:B, MATCH(B84, PointerTest!A:A, 0)), PointerTest!A:A, 0), 0), 'language&amp;DataTest'!A:A, 0), MATCH(HOME!$A$25, 'language&amp;DataTest'!$A$1:$H$1, 0))))</f>
        <v>Arceus</v>
      </c>
      <c r="E84" s="69" t="str">
        <f t="array" ref="E84">INDEX( PointerTest!F:F, MATCH(B84, PointerTest!A:A, 0), 0)</f>
        <v>☆☆</v>
      </c>
      <c r="F84" s="70" t="str">
        <f t="array" ref="F84">LET(percentage,XLOOKUP($E84,$K$2:$K$10,L$2:L$10,"",0)/(COUNTIFS($E:$E,$E84,$D:$D,RegularFormula!$D$2)+COUNTIFS($E:$E,$E84,$D:$D,IF($D84=RegularFormula!$D$2,$K$15,$D84))),IFERROR(IF(percentage,percentage,""),""))</f>
        <v/>
      </c>
      <c r="G84" s="71">
        <f t="array" ref="G84">LET(percentage,XLOOKUP($E84,$K$2:$K$10,M$2:M$10,"",0)/(COUNTIFS($E:$E,$E84,$D:$D,RegularFormula!$D$2)+COUNTIFS($E:$E,$E84,$D:$D,IF($D84=RegularFormula!$D$2,$K$15,$D84))),IFERROR(IF(percentage,percentage,""),""))</f>
        <v>0.0003846153846</v>
      </c>
      <c r="H84" s="71">
        <f t="array" ref="H84">LET(percentage,XLOOKUP($E84,$K$2:$K$10,N$2:N$10,"",0)/(COUNTIFS($E:$E,$E84,$D:$D,RegularFormula!$D$2)+COUNTIFS($E:$E,$E84,$D:$D,IF($D84=RegularFormula!$D$2,$K$15,$D84))),IFERROR(IF(percentage,percentage,""),""))</f>
        <v>0.001538461538</v>
      </c>
      <c r="I84" s="72" t="str">
        <f t="shared" si="1"/>
        <v/>
      </c>
      <c r="J84" s="73">
        <v>0.0</v>
      </c>
      <c r="K84" s="194"/>
      <c r="L84" s="55"/>
      <c r="M84" s="55"/>
      <c r="N84" s="55"/>
      <c r="O84" s="103"/>
      <c r="P84" s="103"/>
      <c r="Q84" s="103"/>
      <c r="R84" s="79" t="str">
        <f t="shared" si="2"/>
        <v/>
      </c>
    </row>
    <row r="85">
      <c r="A85" s="217" t="b">
        <v>0</v>
      </c>
      <c r="B85" s="218" t="s">
        <v>839</v>
      </c>
      <c r="C85" s="69" t="str">
        <f t="array" ref="C85">TEXTJOIN("", TRUE, IFERROR(INDEX('language&amp;DataTest'!A:J, MATCH(INDEX( PointerTest!C:C, MATCH(B85, PointerTest!A:A, 0), 0), 'language&amp;DataTest'!A:A, 0), MATCH(HOME!$A$25, 'language&amp;DataTest'!$A$1:$H$1, 0))),                      IFERROR(INDEX('language&amp;DataTest'!A:J, MATCH(INDEX( PointerTest!D:D, MATCH(B85, PointerTest!A:A, 0), 0), 'language&amp;DataTest'!A:A, 0), MATCH(HOME!$A$25, 'language&amp;DataTest'!$A$1:$H$1, 0))),                                          
IFERROR(INDEX('language&amp;DataTest'!A:J, MATCH(INDEX( PointerTest!E:E, MATCH(B85, PointerTest!A:A, 0), 0), 'language&amp;DataTest'!A:A, 0), MATCH(HOME!$A$25, 'language&amp;DataTest'!$A$1:$H$1, 0))))</f>
        <v>Garchomp ex</v>
      </c>
      <c r="D85" s="69" t="str">
        <f t="array" ref="D85">TEXTJOIN("", TRUE, 
IFERROR(INDEX('language&amp;DataTest'!A:J, MATCH(INDEX( PointerTest!C:C, MATCH(INDEX(PointerTest!B:B, MATCH(B85, PointerTest!A:A, 0)), PointerTest!A:A, 0), 0), 'language&amp;DataTest'!A:A, 0), MATCH(HOME!$A$25, 'language&amp;DataTest'!$A$1:$H$1, 0))),                      
IFERROR(INDEX('language&amp;DataTest'!A:J, MATCH(INDEX( PointerTest!D:D, MATCH(INDEX(PointerTest!B:B, MATCH(B85, PointerTest!A:A, 0)), PointerTest!A:A, 0), 0), 'language&amp;DataTest'!A:A, 0), MATCH(HOME!$A$25, 'language&amp;DataTest'!$A$1:$H$1, 0))),                                          
IFERROR(INDEX('language&amp;DataTest'!A:J, MATCH(INDEX( PointerTest!E:E, MATCH(INDEX(PointerTest!B:B, MATCH(B85, PointerTest!A:A, 0)), PointerTest!A:A, 0), 0), 'language&amp;DataTest'!A:A, 0), MATCH(HOME!$A$25, 'language&amp;DataTest'!$A$1:$H$1, 0))))</f>
        <v>Arceus</v>
      </c>
      <c r="E85" s="69" t="str">
        <f t="array" ref="E85">INDEX( PointerTest!F:F, MATCH(B85, PointerTest!A:A, 0), 0)</f>
        <v>☆☆</v>
      </c>
      <c r="F85" s="70" t="str">
        <f t="array" ref="F85">LET(percentage,XLOOKUP($E85,$K$2:$K$10,L$2:L$10,"",0)/(COUNTIFS($E:$E,$E85,$D:$D,RegularFormula!$D$2)+COUNTIFS($E:$E,$E85,$D:$D,IF($D85=RegularFormula!$D$2,$K$15,$D85))),IFERROR(IF(percentage,percentage,""),""))</f>
        <v/>
      </c>
      <c r="G85" s="71">
        <f t="array" ref="G85">LET(percentage,XLOOKUP($E85,$K$2:$K$10,M$2:M$10,"",0)/(COUNTIFS($E:$E,$E85,$D:$D,RegularFormula!$D$2)+COUNTIFS($E:$E,$E85,$D:$D,IF($D85=RegularFormula!$D$2,$K$15,$D85))),IFERROR(IF(percentage,percentage,""),""))</f>
        <v>0.0003846153846</v>
      </c>
      <c r="H85" s="71">
        <f t="array" ref="H85">LET(percentage,XLOOKUP($E85,$K$2:$K$10,N$2:N$10,"",0)/(COUNTIFS($E:$E,$E85,$D:$D,RegularFormula!$D$2)+COUNTIFS($E:$E,$E85,$D:$D,IF($D85=RegularFormula!$D$2,$K$15,$D85))),IFERROR(IF(percentage,percentage,""),""))</f>
        <v>0.001538461538</v>
      </c>
      <c r="I85" s="72" t="str">
        <f t="shared" si="1"/>
        <v/>
      </c>
      <c r="J85" s="73">
        <v>0.0</v>
      </c>
      <c r="K85" s="194"/>
      <c r="L85" s="55"/>
      <c r="M85" s="55"/>
      <c r="N85" s="55"/>
      <c r="O85" s="103"/>
      <c r="P85" s="103"/>
      <c r="Q85" s="103"/>
      <c r="R85" s="79" t="str">
        <f t="shared" si="2"/>
        <v/>
      </c>
    </row>
    <row r="86">
      <c r="A86" s="217" t="b">
        <v>0</v>
      </c>
      <c r="B86" s="218" t="s">
        <v>840</v>
      </c>
      <c r="C86" s="69" t="str">
        <f t="array" ref="C86">TEXTJOIN("", TRUE, IFERROR(INDEX('language&amp;DataTest'!A:J, MATCH(INDEX( PointerTest!C:C, MATCH(B86, PointerTest!A:A, 0), 0), 'language&amp;DataTest'!A:A, 0), MATCH(HOME!$A$25, 'language&amp;DataTest'!$A$1:$H$1, 0))),                      IFERROR(INDEX('language&amp;DataTest'!A:J, MATCH(INDEX( PointerTest!D:D, MATCH(B86, PointerTest!A:A, 0), 0), 'language&amp;DataTest'!A:A, 0), MATCH(HOME!$A$25, 'language&amp;DataTest'!$A$1:$H$1, 0))),                                          
IFERROR(INDEX('language&amp;DataTest'!A:J, MATCH(INDEX( PointerTest!E:E, MATCH(B86, PointerTest!A:A, 0), 0), 'language&amp;DataTest'!A:A, 0), MATCH(HOME!$A$25, 'language&amp;DataTest'!$A$1:$H$1, 0))))</f>
        <v>Probopass ex</v>
      </c>
      <c r="D86" s="69" t="str">
        <f t="array" ref="D86">TEXTJOIN("", TRUE, 
IFERROR(INDEX('language&amp;DataTest'!A:J, MATCH(INDEX( PointerTest!C:C, MATCH(INDEX(PointerTest!B:B, MATCH(B86, PointerTest!A:A, 0)), PointerTest!A:A, 0), 0), 'language&amp;DataTest'!A:A, 0), MATCH(HOME!$A$25, 'language&amp;DataTest'!$A$1:$H$1, 0))),                      
IFERROR(INDEX('language&amp;DataTest'!A:J, MATCH(INDEX( PointerTest!D:D, MATCH(INDEX(PointerTest!B:B, MATCH(B86, PointerTest!A:A, 0)), PointerTest!A:A, 0), 0), 'language&amp;DataTest'!A:A, 0), MATCH(HOME!$A$25, 'language&amp;DataTest'!$A$1:$H$1, 0))),                                          
IFERROR(INDEX('language&amp;DataTest'!A:J, MATCH(INDEX( PointerTest!E:E, MATCH(INDEX(PointerTest!B:B, MATCH(B86, PointerTest!A:A, 0)), PointerTest!A:A, 0), 0), 'language&amp;DataTest'!A:A, 0), MATCH(HOME!$A$25, 'language&amp;DataTest'!$A$1:$H$1, 0))))</f>
        <v>Arceus</v>
      </c>
      <c r="E86" s="69" t="str">
        <f t="array" ref="E86">INDEX( PointerTest!F:F, MATCH(B86, PointerTest!A:A, 0), 0)</f>
        <v>☆☆</v>
      </c>
      <c r="F86" s="70" t="str">
        <f t="array" ref="F86">LET(percentage,XLOOKUP($E86,$K$2:$K$10,L$2:L$10,"",0)/(COUNTIFS($E:$E,$E86,$D:$D,RegularFormula!$D$2)+COUNTIFS($E:$E,$E86,$D:$D,IF($D86=RegularFormula!$D$2,$K$15,$D86))),IFERROR(IF(percentage,percentage,""),""))</f>
        <v/>
      </c>
      <c r="G86" s="71">
        <f t="array" ref="G86">LET(percentage,XLOOKUP($E86,$K$2:$K$10,M$2:M$10,"",0)/(COUNTIFS($E:$E,$E86,$D:$D,RegularFormula!$D$2)+COUNTIFS($E:$E,$E86,$D:$D,IF($D86=RegularFormula!$D$2,$K$15,$D86))),IFERROR(IF(percentage,percentage,""),""))</f>
        <v>0.0003846153846</v>
      </c>
      <c r="H86" s="71">
        <f t="array" ref="H86">LET(percentage,XLOOKUP($E86,$K$2:$K$10,N$2:N$10,"",0)/(COUNTIFS($E:$E,$E86,$D:$D,RegularFormula!$D$2)+COUNTIFS($E:$E,$E86,$D:$D,IF($D86=RegularFormula!$D$2,$K$15,$D86))),IFERROR(IF(percentage,percentage,""),""))</f>
        <v>0.001538461538</v>
      </c>
      <c r="I86" s="72" t="str">
        <f t="shared" si="1"/>
        <v/>
      </c>
      <c r="J86" s="73">
        <v>0.0</v>
      </c>
      <c r="K86" s="194"/>
      <c r="L86" s="55"/>
      <c r="M86" s="55"/>
      <c r="N86" s="55"/>
      <c r="O86" s="103"/>
      <c r="P86" s="103"/>
      <c r="Q86" s="103"/>
      <c r="R86" s="79" t="str">
        <f t="shared" si="2"/>
        <v/>
      </c>
    </row>
    <row r="87">
      <c r="A87" s="217" t="b">
        <v>0</v>
      </c>
      <c r="B87" s="218" t="s">
        <v>841</v>
      </c>
      <c r="C87" s="69" t="str">
        <f t="array" ref="C87">TEXTJOIN("", TRUE, IFERROR(INDEX('language&amp;DataTest'!A:J, MATCH(INDEX( PointerTest!C:C, MATCH(B87, PointerTest!A:A, 0), 0), 'language&amp;DataTest'!A:A, 0), MATCH(HOME!$A$25, 'language&amp;DataTest'!$A$1:$H$1, 0))),                      IFERROR(INDEX('language&amp;DataTest'!A:J, MATCH(INDEX( PointerTest!D:D, MATCH(B87, PointerTest!A:A, 0), 0), 'language&amp;DataTest'!A:A, 0), MATCH(HOME!$A$25, 'language&amp;DataTest'!$A$1:$H$1, 0))),                                          
IFERROR(INDEX('language&amp;DataTest'!A:J, MATCH(INDEX( PointerTest!E:E, MATCH(B87, PointerTest!A:A, 0), 0), 'language&amp;DataTest'!A:A, 0), MATCH(HOME!$A$25, 'language&amp;DataTest'!$A$1:$H$1, 0))))</f>
        <v>Arceus ex</v>
      </c>
      <c r="D87" s="69" t="str">
        <f t="array" ref="D87">TEXTJOIN("", TRUE, 
IFERROR(INDEX('language&amp;DataTest'!A:J, MATCH(INDEX( PointerTest!C:C, MATCH(INDEX(PointerTest!B:B, MATCH(B87, PointerTest!A:A, 0)), PointerTest!A:A, 0), 0), 'language&amp;DataTest'!A:A, 0), MATCH(HOME!$A$25, 'language&amp;DataTest'!$A$1:$H$1, 0))),                      
IFERROR(INDEX('language&amp;DataTest'!A:J, MATCH(INDEX( PointerTest!D:D, MATCH(INDEX(PointerTest!B:B, MATCH(B87, PointerTest!A:A, 0)), PointerTest!A:A, 0), 0), 'language&amp;DataTest'!A:A, 0), MATCH(HOME!$A$25, 'language&amp;DataTest'!$A$1:$H$1, 0))),                                          
IFERROR(INDEX('language&amp;DataTest'!A:J, MATCH(INDEX( PointerTest!E:E, MATCH(INDEX(PointerTest!B:B, MATCH(B87, PointerTest!A:A, 0)), PointerTest!A:A, 0), 0), 'language&amp;DataTest'!A:A, 0), MATCH(HOME!$A$25, 'language&amp;DataTest'!$A$1:$H$1, 0))))</f>
        <v>Arceus</v>
      </c>
      <c r="E87" s="69" t="str">
        <f t="array" ref="E87">INDEX( PointerTest!F:F, MATCH(B87, PointerTest!A:A, 0), 0)</f>
        <v>☆☆</v>
      </c>
      <c r="F87" s="70" t="str">
        <f t="array" ref="F87">LET(percentage,XLOOKUP($E87,$K$2:$K$10,L$2:L$10,"",0)/(COUNTIFS($E:$E,$E87,$D:$D,RegularFormula!$D$2)+COUNTIFS($E:$E,$E87,$D:$D,IF($D87=RegularFormula!$D$2,$K$15,$D87))),IFERROR(IF(percentage,percentage,""),""))</f>
        <v/>
      </c>
      <c r="G87" s="71">
        <f t="array" ref="G87">LET(percentage,XLOOKUP($E87,$K$2:$K$10,M$2:M$10,"",0)/(COUNTIFS($E:$E,$E87,$D:$D,RegularFormula!$D$2)+COUNTIFS($E:$E,$E87,$D:$D,IF($D87=RegularFormula!$D$2,$K$15,$D87))),IFERROR(IF(percentage,percentage,""),""))</f>
        <v>0.0003846153846</v>
      </c>
      <c r="H87" s="71">
        <f t="array" ref="H87">LET(percentage,XLOOKUP($E87,$K$2:$K$10,N$2:N$10,"",0)/(COUNTIFS($E:$E,$E87,$D:$D,RegularFormula!$D$2)+COUNTIFS($E:$E,$E87,$D:$D,IF($D87=RegularFormula!$D$2,$K$15,$D87))),IFERROR(IF(percentage,percentage,""),""))</f>
        <v>0.001538461538</v>
      </c>
      <c r="I87" s="72" t="str">
        <f t="shared" si="1"/>
        <v/>
      </c>
      <c r="J87" s="73">
        <v>0.0</v>
      </c>
      <c r="K87" s="194"/>
      <c r="L87" s="55"/>
      <c r="M87" s="55"/>
      <c r="N87" s="55"/>
      <c r="O87" s="103"/>
      <c r="P87" s="103"/>
      <c r="Q87" s="103"/>
      <c r="R87" s="79"/>
    </row>
    <row r="88">
      <c r="A88" s="217" t="b">
        <v>0</v>
      </c>
      <c r="B88" s="218" t="s">
        <v>842</v>
      </c>
      <c r="C88" s="69" t="str">
        <f t="array" ref="C88">TEXTJOIN("", TRUE, IFERROR(INDEX('language&amp;DataTest'!A:J, MATCH(INDEX( PointerTest!C:C, MATCH(B88, PointerTest!A:A, 0), 0), 'language&amp;DataTest'!A:A, 0), MATCH(HOME!$A$25, 'language&amp;DataTest'!$A$1:$H$1, 0))),                      IFERROR(INDEX('language&amp;DataTest'!A:J, MATCH(INDEX( PointerTest!D:D, MATCH(B88, PointerTest!A:A, 0), 0), 'language&amp;DataTest'!A:A, 0), MATCH(HOME!$A$25, 'language&amp;DataTest'!$A$1:$H$1, 0))),                                          
IFERROR(INDEX('language&amp;DataTest'!A:J, MATCH(INDEX( PointerTest!E:E, MATCH(B88, PointerTest!A:A, 0), 0), 'language&amp;DataTest'!A:A, 0), MATCH(HOME!$A$25, 'language&amp;DataTest'!$A$1:$H$1, 0))))</f>
        <v>Irida</v>
      </c>
      <c r="D88" s="69" t="str">
        <f t="array" ref="D88">TEXTJOIN("", TRUE, 
IFERROR(INDEX('language&amp;DataTest'!A:J, MATCH(INDEX( PointerTest!C:C, MATCH(INDEX(PointerTest!B:B, MATCH(B88, PointerTest!A:A, 0)), PointerTest!A:A, 0), 0), 'language&amp;DataTest'!A:A, 0), MATCH(HOME!$A$25, 'language&amp;DataTest'!$A$1:$H$1, 0))),                      
IFERROR(INDEX('language&amp;DataTest'!A:J, MATCH(INDEX( PointerTest!D:D, MATCH(INDEX(PointerTest!B:B, MATCH(B88, PointerTest!A:A, 0)), PointerTest!A:A, 0), 0), 'language&amp;DataTest'!A:A, 0), MATCH(HOME!$A$25, 'language&amp;DataTest'!$A$1:$H$1, 0))),                                          
IFERROR(INDEX('language&amp;DataTest'!A:J, MATCH(INDEX( PointerTest!E:E, MATCH(INDEX(PointerTest!B:B, MATCH(B88, PointerTest!A:A, 0)), PointerTest!A:A, 0), 0), 'language&amp;DataTest'!A:A, 0), MATCH(HOME!$A$25, 'language&amp;DataTest'!$A$1:$H$1, 0))))</f>
        <v>Arceus</v>
      </c>
      <c r="E88" s="69" t="str">
        <f t="array" ref="E88">INDEX( PointerTest!F:F, MATCH(B88, PointerTest!A:A, 0), 0)</f>
        <v>☆☆</v>
      </c>
      <c r="F88" s="70" t="str">
        <f t="array" ref="F88">LET(percentage,XLOOKUP($E88,$K$2:$K$10,L$2:L$10,"",0)/(COUNTIFS($E:$E,$E88,$D:$D,RegularFormula!$D$2)+COUNTIFS($E:$E,$E88,$D:$D,IF($D88=RegularFormula!$D$2,$K$15,$D88))),IFERROR(IF(percentage,percentage,""),""))</f>
        <v/>
      </c>
      <c r="G88" s="71">
        <f t="array" ref="G88">LET(percentage,XLOOKUP($E88,$K$2:$K$10,M$2:M$10,"",0)/(COUNTIFS($E:$E,$E88,$D:$D,RegularFormula!$D$2)+COUNTIFS($E:$E,$E88,$D:$D,IF($D88=RegularFormula!$D$2,$K$15,$D88))),IFERROR(IF(percentage,percentage,""),""))</f>
        <v>0.0003846153846</v>
      </c>
      <c r="H88" s="71">
        <f t="array" ref="H88">LET(percentage,XLOOKUP($E88,$K$2:$K$10,N$2:N$10,"",0)/(COUNTIFS($E:$E,$E88,$D:$D,RegularFormula!$D$2)+COUNTIFS($E:$E,$E88,$D:$D,IF($D88=RegularFormula!$D$2,$K$15,$D88))),IFERROR(IF(percentage,percentage,""),""))</f>
        <v>0.001538461538</v>
      </c>
      <c r="I88" s="72" t="str">
        <f t="shared" si="1"/>
        <v/>
      </c>
      <c r="J88" s="73">
        <v>0.0</v>
      </c>
      <c r="K88" s="194"/>
      <c r="L88" s="55"/>
      <c r="M88" s="55"/>
      <c r="N88" s="55"/>
      <c r="O88" s="103"/>
      <c r="P88" s="103"/>
      <c r="Q88" s="103"/>
      <c r="R88" s="79"/>
    </row>
    <row r="89">
      <c r="A89" s="217" t="b">
        <v>0</v>
      </c>
      <c r="B89" s="218" t="s">
        <v>843</v>
      </c>
      <c r="C89" s="69" t="str">
        <f t="array" ref="C89">TEXTJOIN("", TRUE, IFERROR(INDEX('language&amp;DataTest'!A:J, MATCH(INDEX( PointerTest!C:C, MATCH(B89, PointerTest!A:A, 0), 0), 'language&amp;DataTest'!A:A, 0), MATCH(HOME!$A$25, 'language&amp;DataTest'!$A$1:$H$1, 0))),                      IFERROR(INDEX('language&amp;DataTest'!A:J, MATCH(INDEX( PointerTest!D:D, MATCH(B89, PointerTest!A:A, 0), 0), 'language&amp;DataTest'!A:A, 0), MATCH(HOME!$A$25, 'language&amp;DataTest'!$A$1:$H$1, 0))),                                          
IFERROR(INDEX('language&amp;DataTest'!A:J, MATCH(INDEX( PointerTest!E:E, MATCH(B89, PointerTest!A:A, 0), 0), 'language&amp;DataTest'!A:A, 0), MATCH(HOME!$A$25, 'language&amp;DataTest'!$A$1:$H$1, 0))))</f>
        <v>Celestic Town Elder</v>
      </c>
      <c r="D89" s="69" t="str">
        <f t="array" ref="D89">TEXTJOIN("", TRUE, 
IFERROR(INDEX('language&amp;DataTest'!A:J, MATCH(INDEX( PointerTest!C:C, MATCH(INDEX(PointerTest!B:B, MATCH(B89, PointerTest!A:A, 0)), PointerTest!A:A, 0), 0), 'language&amp;DataTest'!A:A, 0), MATCH(HOME!$A$25, 'language&amp;DataTest'!$A$1:$H$1, 0))),                      
IFERROR(INDEX('language&amp;DataTest'!A:J, MATCH(INDEX( PointerTest!D:D, MATCH(INDEX(PointerTest!B:B, MATCH(B89, PointerTest!A:A, 0)), PointerTest!A:A, 0), 0), 'language&amp;DataTest'!A:A, 0), MATCH(HOME!$A$25, 'language&amp;DataTest'!$A$1:$H$1, 0))),                                          
IFERROR(INDEX('language&amp;DataTest'!A:J, MATCH(INDEX( PointerTest!E:E, MATCH(INDEX(PointerTest!B:B, MATCH(B89, PointerTest!A:A, 0)), PointerTest!A:A, 0), 0), 'language&amp;DataTest'!A:A, 0), MATCH(HOME!$A$25, 'language&amp;DataTest'!$A$1:$H$1, 0))))</f>
        <v>Arceus</v>
      </c>
      <c r="E89" s="69" t="str">
        <f t="array" ref="E89">INDEX( PointerTest!F:F, MATCH(B89, PointerTest!A:A, 0), 0)</f>
        <v>☆☆</v>
      </c>
      <c r="F89" s="70" t="str">
        <f t="array" ref="F89">LET(percentage,XLOOKUP($E89,$K$2:$K$10,L$2:L$10,"",0)/(COUNTIFS($E:$E,$E89,$D:$D,RegularFormula!$D$2)+COUNTIFS($E:$E,$E89,$D:$D,IF($D89=RegularFormula!$D$2,$K$15,$D89))),IFERROR(IF(percentage,percentage,""),""))</f>
        <v/>
      </c>
      <c r="G89" s="71">
        <f t="array" ref="G89">LET(percentage,XLOOKUP($E89,$K$2:$K$10,M$2:M$10,"",0)/(COUNTIFS($E:$E,$E89,$D:$D,RegularFormula!$D$2)+COUNTIFS($E:$E,$E89,$D:$D,IF($D89=RegularFormula!$D$2,$K$15,$D89))),IFERROR(IF(percentage,percentage,""),""))</f>
        <v>0.0003846153846</v>
      </c>
      <c r="H89" s="71">
        <f t="array" ref="H89">LET(percentage,XLOOKUP($E89,$K$2:$K$10,N$2:N$10,"",0)/(COUNTIFS($E:$E,$E89,$D:$D,RegularFormula!$D$2)+COUNTIFS($E:$E,$E89,$D:$D,IF($D89=RegularFormula!$D$2,$K$15,$D89))),IFERROR(IF(percentage,percentage,""),""))</f>
        <v>0.001538461538</v>
      </c>
      <c r="I89" s="72" t="str">
        <f t="shared" si="1"/>
        <v/>
      </c>
      <c r="J89" s="73">
        <v>0.0</v>
      </c>
      <c r="K89" s="194"/>
      <c r="L89" s="55"/>
      <c r="M89" s="55"/>
      <c r="N89" s="55"/>
      <c r="O89" s="103"/>
      <c r="P89" s="103"/>
      <c r="Q89" s="103"/>
      <c r="R89" s="79"/>
    </row>
    <row r="90">
      <c r="A90" s="217" t="b">
        <v>0</v>
      </c>
      <c r="B90" s="218" t="s">
        <v>844</v>
      </c>
      <c r="C90" s="69" t="str">
        <f t="array" ref="C90">TEXTJOIN("", TRUE, IFERROR(INDEX('language&amp;DataTest'!A:J, MATCH(INDEX( PointerTest!C:C, MATCH(B90, PointerTest!A:A, 0), 0), 'language&amp;DataTest'!A:A, 0), MATCH(HOME!$A$25, 'language&amp;DataTest'!$A$1:$H$1, 0))),                      IFERROR(INDEX('language&amp;DataTest'!A:J, MATCH(INDEX( PointerTest!D:D, MATCH(B90, PointerTest!A:A, 0), 0), 'language&amp;DataTest'!A:A, 0), MATCH(HOME!$A$25, 'language&amp;DataTest'!$A$1:$H$1, 0))),                                          
IFERROR(INDEX('language&amp;DataTest'!A:J, MATCH(INDEX( PointerTest!E:E, MATCH(B90, PointerTest!A:A, 0), 0), 'language&amp;DataTest'!A:A, 0), MATCH(HOME!$A$25, 'language&amp;DataTest'!$A$1:$H$1, 0))))</f>
        <v>Barry</v>
      </c>
      <c r="D90" s="69" t="str">
        <f t="array" ref="D90">TEXTJOIN("", TRUE, 
IFERROR(INDEX('language&amp;DataTest'!A:J, MATCH(INDEX( PointerTest!C:C, MATCH(INDEX(PointerTest!B:B, MATCH(B90, PointerTest!A:A, 0)), PointerTest!A:A, 0), 0), 'language&amp;DataTest'!A:A, 0), MATCH(HOME!$A$25, 'language&amp;DataTest'!$A$1:$H$1, 0))),                      
IFERROR(INDEX('language&amp;DataTest'!A:J, MATCH(INDEX( PointerTest!D:D, MATCH(INDEX(PointerTest!B:B, MATCH(B90, PointerTest!A:A, 0)), PointerTest!A:A, 0), 0), 'language&amp;DataTest'!A:A, 0), MATCH(HOME!$A$25, 'language&amp;DataTest'!$A$1:$H$1, 0))),                                          
IFERROR(INDEX('language&amp;DataTest'!A:J, MATCH(INDEX( PointerTest!E:E, MATCH(INDEX(PointerTest!B:B, MATCH(B90, PointerTest!A:A, 0)), PointerTest!A:A, 0), 0), 'language&amp;DataTest'!A:A, 0), MATCH(HOME!$A$25, 'language&amp;DataTest'!$A$1:$H$1, 0))))</f>
        <v>Arceus</v>
      </c>
      <c r="E90" s="69" t="str">
        <f t="array" ref="E90">INDEX( PointerTest!F:F, MATCH(B90, PointerTest!A:A, 0), 0)</f>
        <v>☆☆</v>
      </c>
      <c r="F90" s="70" t="str">
        <f t="array" ref="F90">LET(percentage,XLOOKUP($E90,$K$2:$K$10,L$2:L$10,"",0)/(COUNTIFS($E:$E,$E90,$D:$D,RegularFormula!$D$2)+COUNTIFS($E:$E,$E90,$D:$D,IF($D90=RegularFormula!$D$2,$K$15,$D90))),IFERROR(IF(percentage,percentage,""),""))</f>
        <v/>
      </c>
      <c r="G90" s="71">
        <f t="array" ref="G90">LET(percentage,XLOOKUP($E90,$K$2:$K$10,M$2:M$10,"",0)/(COUNTIFS($E:$E,$E90,$D:$D,RegularFormula!$D$2)+COUNTIFS($E:$E,$E90,$D:$D,IF($D90=RegularFormula!$D$2,$K$15,$D90))),IFERROR(IF(percentage,percentage,""),""))</f>
        <v>0.0003846153846</v>
      </c>
      <c r="H90" s="71">
        <f t="array" ref="H90">LET(percentage,XLOOKUP($E90,$K$2:$K$10,N$2:N$10,"",0)/(COUNTIFS($E:$E,$E90,$D:$D,RegularFormula!$D$2)+COUNTIFS($E:$E,$E90,$D:$D,IF($D90=RegularFormula!$D$2,$K$15,$D90))),IFERROR(IF(percentage,percentage,""),""))</f>
        <v>0.001538461538</v>
      </c>
      <c r="I90" s="72" t="str">
        <f t="shared" si="1"/>
        <v/>
      </c>
      <c r="J90" s="73">
        <v>0.0</v>
      </c>
      <c r="K90" s="194"/>
      <c r="L90" s="55"/>
      <c r="M90" s="55"/>
      <c r="N90" s="55"/>
      <c r="O90" s="103"/>
      <c r="P90" s="103"/>
      <c r="Q90" s="103"/>
      <c r="R90" s="79"/>
    </row>
    <row r="91">
      <c r="A91" s="217" t="b">
        <v>1</v>
      </c>
      <c r="B91" s="218" t="s">
        <v>845</v>
      </c>
      <c r="C91" s="69" t="str">
        <f t="array" ref="C91">TEXTJOIN("", TRUE, IFERROR(INDEX('language&amp;DataTest'!A:J, MATCH(INDEX( PointerTest!C:C, MATCH(B91, PointerTest!A:A, 0), 0), 'language&amp;DataTest'!A:A, 0), MATCH(HOME!$A$25, 'language&amp;DataTest'!$A$1:$H$1, 0))),                      IFERROR(INDEX('language&amp;DataTest'!A:J, MATCH(INDEX( PointerTest!D:D, MATCH(B91, PointerTest!A:A, 0), 0), 'language&amp;DataTest'!A:A, 0), MATCH(HOME!$A$25, 'language&amp;DataTest'!$A$1:$H$1, 0))),                                          
IFERROR(INDEX('language&amp;DataTest'!A:J, MATCH(INDEX( PointerTest!E:E, MATCH(B91, PointerTest!A:A, 0), 0), 'language&amp;DataTest'!A:A, 0), MATCH(HOME!$A$25, 'language&amp;DataTest'!$A$1:$H$1, 0))))</f>
        <v>Adaman</v>
      </c>
      <c r="D91" s="69" t="str">
        <f t="array" ref="D91">TEXTJOIN("", TRUE, 
IFERROR(INDEX('language&amp;DataTest'!A:J, MATCH(INDEX( PointerTest!C:C, MATCH(INDEX(PointerTest!B:B, MATCH(B91, PointerTest!A:A, 0)), PointerTest!A:A, 0), 0), 'language&amp;DataTest'!A:A, 0), MATCH(HOME!$A$25, 'language&amp;DataTest'!$A$1:$H$1, 0))),                      
IFERROR(INDEX('language&amp;DataTest'!A:J, MATCH(INDEX( PointerTest!D:D, MATCH(INDEX(PointerTest!B:B, MATCH(B91, PointerTest!A:A, 0)), PointerTest!A:A, 0), 0), 'language&amp;DataTest'!A:A, 0), MATCH(HOME!$A$25, 'language&amp;DataTest'!$A$1:$H$1, 0))),                                          
IFERROR(INDEX('language&amp;DataTest'!A:J, MATCH(INDEX( PointerTest!E:E, MATCH(INDEX(PointerTest!B:B, MATCH(B91, PointerTest!A:A, 0)), PointerTest!A:A, 0), 0), 'language&amp;DataTest'!A:A, 0), MATCH(HOME!$A$25, 'language&amp;DataTest'!$A$1:$H$1, 0))))</f>
        <v>Arceus</v>
      </c>
      <c r="E91" s="69" t="str">
        <f t="array" ref="E91">INDEX( PointerTest!F:F, MATCH(B91, PointerTest!A:A, 0), 0)</f>
        <v>☆☆</v>
      </c>
      <c r="F91" s="70" t="str">
        <f t="array" ref="F91">LET(percentage,XLOOKUP($E91,$K$2:$K$10,L$2:L$10,"",0)/(COUNTIFS($E:$E,$E91,$D:$D,RegularFormula!$D$2)+COUNTIFS($E:$E,$E91,$D:$D,IF($D91=RegularFormula!$D$2,$K$15,$D91))),IFERROR(IF(percentage,percentage,""),""))</f>
        <v/>
      </c>
      <c r="G91" s="71">
        <f t="array" ref="G91">LET(percentage,XLOOKUP($E91,$K$2:$K$10,M$2:M$10,"",0)/(COUNTIFS($E:$E,$E91,$D:$D,RegularFormula!$D$2)+COUNTIFS($E:$E,$E91,$D:$D,IF($D91=RegularFormula!$D$2,$K$15,$D91))),IFERROR(IF(percentage,percentage,""),""))</f>
        <v>0.0003846153846</v>
      </c>
      <c r="H91" s="71">
        <f t="array" ref="H91">LET(percentage,XLOOKUP($E91,$K$2:$K$10,N$2:N$10,"",0)/(COUNTIFS($E:$E,$E91,$D:$D,RegularFormula!$D$2)+COUNTIFS($E:$E,$E91,$D:$D,IF($D91=RegularFormula!$D$2,$K$15,$D91))),IFERROR(IF(percentage,percentage,""),""))</f>
        <v>0.001538461538</v>
      </c>
      <c r="I91" s="72" t="str">
        <f t="shared" si="1"/>
        <v/>
      </c>
      <c r="J91" s="73">
        <v>0.0</v>
      </c>
      <c r="K91" s="194"/>
      <c r="L91" s="55"/>
      <c r="M91" s="55"/>
      <c r="N91" s="55"/>
      <c r="O91" s="103"/>
      <c r="P91" s="103"/>
      <c r="Q91" s="103"/>
      <c r="R91" s="79"/>
    </row>
    <row r="92">
      <c r="A92" s="217" t="b">
        <v>0</v>
      </c>
      <c r="B92" s="218" t="s">
        <v>846</v>
      </c>
      <c r="C92" s="69" t="str">
        <f t="array" ref="C92">TEXTJOIN("", TRUE, IFERROR(INDEX('language&amp;DataTest'!A:J, MATCH(INDEX( PointerTest!C:C, MATCH(B92, PointerTest!A:A, 0), 0), 'language&amp;DataTest'!A:A, 0), MATCH(HOME!$A$25, 'language&amp;DataTest'!$A$1:$H$1, 0))),                      IFERROR(INDEX('language&amp;DataTest'!A:J, MATCH(INDEX( PointerTest!D:D, MATCH(B92, PointerTest!A:A, 0), 0), 'language&amp;DataTest'!A:A, 0), MATCH(HOME!$A$25, 'language&amp;DataTest'!$A$1:$H$1, 0))),                                          
IFERROR(INDEX('language&amp;DataTest'!A:J, MATCH(INDEX( PointerTest!E:E, MATCH(B92, PointerTest!A:A, 0), 0), 'language&amp;DataTest'!A:A, 0), MATCH(HOME!$A$25, 'language&amp;DataTest'!$A$1:$H$1, 0))))</f>
        <v>Leafeon ex</v>
      </c>
      <c r="D92" s="69" t="str">
        <f t="array" ref="D92">TEXTJOIN("", TRUE, 
IFERROR(INDEX('language&amp;DataTest'!A:J, MATCH(INDEX( PointerTest!C:C, MATCH(INDEX(PointerTest!B:B, MATCH(B92, PointerTest!A:A, 0)), PointerTest!A:A, 0), 0), 'language&amp;DataTest'!A:A, 0), MATCH(HOME!$A$25, 'language&amp;DataTest'!$A$1:$H$1, 0))),                      
IFERROR(INDEX('language&amp;DataTest'!A:J, MATCH(INDEX( PointerTest!D:D, MATCH(INDEX(PointerTest!B:B, MATCH(B92, PointerTest!A:A, 0)), PointerTest!A:A, 0), 0), 'language&amp;DataTest'!A:A, 0), MATCH(HOME!$A$25, 'language&amp;DataTest'!$A$1:$H$1, 0))),                                          
IFERROR(INDEX('language&amp;DataTest'!A:J, MATCH(INDEX( PointerTest!E:E, MATCH(INDEX(PointerTest!B:B, MATCH(B92, PointerTest!A:A, 0)), PointerTest!A:A, 0), 0), 'language&amp;DataTest'!A:A, 0), MATCH(HOME!$A$25, 'language&amp;DataTest'!$A$1:$H$1, 0))))</f>
        <v>Arceus</v>
      </c>
      <c r="E92" s="69" t="str">
        <f t="array" ref="E92">INDEX( PointerTest!F:F, MATCH(B92, PointerTest!A:A, 0), 0)</f>
        <v>☆☆</v>
      </c>
      <c r="F92" s="70" t="str">
        <f t="array" ref="F92">LET(percentage,XLOOKUP($E92,$K$2:$K$10,L$2:L$10,"",0)/(COUNTIFS($E:$E,$E92,$D:$D,RegularFormula!$D$2)+COUNTIFS($E:$E,$E92,$D:$D,IF($D92=RegularFormula!$D$2,$K$15,$D92))),IFERROR(IF(percentage,percentage,""),""))</f>
        <v/>
      </c>
      <c r="G92" s="71">
        <f t="array" ref="G92">LET(percentage,XLOOKUP($E92,$K$2:$K$10,M$2:M$10,"",0)/(COUNTIFS($E:$E,$E92,$D:$D,RegularFormula!$D$2)+COUNTIFS($E:$E,$E92,$D:$D,IF($D92=RegularFormula!$D$2,$K$15,$D92))),IFERROR(IF(percentage,percentage,""),""))</f>
        <v>0.0003846153846</v>
      </c>
      <c r="H92" s="71">
        <f t="array" ref="H92">LET(percentage,XLOOKUP($E92,$K$2:$K$10,N$2:N$10,"",0)/(COUNTIFS($E:$E,$E92,$D:$D,RegularFormula!$D$2)+COUNTIFS($E:$E,$E92,$D:$D,IF($D92=RegularFormula!$D$2,$K$15,$D92))),IFERROR(IF(percentage,percentage,""),""))</f>
        <v>0.001538461538</v>
      </c>
      <c r="I92" s="72" t="str">
        <f t="shared" si="1"/>
        <v/>
      </c>
      <c r="J92" s="73">
        <v>0.0</v>
      </c>
      <c r="K92" s="194"/>
      <c r="L92" s="55"/>
      <c r="M92" s="55"/>
      <c r="N92" s="55"/>
      <c r="O92" s="103"/>
      <c r="P92" s="103"/>
      <c r="Q92" s="103"/>
      <c r="R92" s="79"/>
    </row>
    <row r="93">
      <c r="A93" s="217" t="b">
        <v>0</v>
      </c>
      <c r="B93" s="218" t="s">
        <v>847</v>
      </c>
      <c r="C93" s="69" t="str">
        <f t="array" ref="C93">TEXTJOIN("", TRUE, IFERROR(INDEX('language&amp;DataTest'!A:J, MATCH(INDEX( PointerTest!C:C, MATCH(B93, PointerTest!A:A, 0), 0), 'language&amp;DataTest'!A:A, 0), MATCH(HOME!$A$25, 'language&amp;DataTest'!$A$1:$H$1, 0))),                      IFERROR(INDEX('language&amp;DataTest'!A:J, MATCH(INDEX( PointerTest!D:D, MATCH(B93, PointerTest!A:A, 0), 0), 'language&amp;DataTest'!A:A, 0), MATCH(HOME!$A$25, 'language&amp;DataTest'!$A$1:$H$1, 0))),                                          
IFERROR(INDEX('language&amp;DataTest'!A:J, MATCH(INDEX( PointerTest!E:E, MATCH(B93, PointerTest!A:A, 0), 0), 'language&amp;DataTest'!A:A, 0), MATCH(HOME!$A$25, 'language&amp;DataTest'!$A$1:$H$1, 0))))</f>
        <v>Glaceon ex</v>
      </c>
      <c r="D93" s="69" t="str">
        <f t="array" ref="D93">TEXTJOIN("", TRUE, 
IFERROR(INDEX('language&amp;DataTest'!A:J, MATCH(INDEX( PointerTest!C:C, MATCH(INDEX(PointerTest!B:B, MATCH(B93, PointerTest!A:A, 0)), PointerTest!A:A, 0), 0), 'language&amp;DataTest'!A:A, 0), MATCH(HOME!$A$25, 'language&amp;DataTest'!$A$1:$H$1, 0))),                      
IFERROR(INDEX('language&amp;DataTest'!A:J, MATCH(INDEX( PointerTest!D:D, MATCH(INDEX(PointerTest!B:B, MATCH(B93, PointerTest!A:A, 0)), PointerTest!A:A, 0), 0), 'language&amp;DataTest'!A:A, 0), MATCH(HOME!$A$25, 'language&amp;DataTest'!$A$1:$H$1, 0))),                                          
IFERROR(INDEX('language&amp;DataTest'!A:J, MATCH(INDEX( PointerTest!E:E, MATCH(INDEX(PointerTest!B:B, MATCH(B93, PointerTest!A:A, 0)), PointerTest!A:A, 0), 0), 'language&amp;DataTest'!A:A, 0), MATCH(HOME!$A$25, 'language&amp;DataTest'!$A$1:$H$1, 0))))</f>
        <v>Arceus</v>
      </c>
      <c r="E93" s="69" t="str">
        <f t="array" ref="E93">INDEX( PointerTest!F:F, MATCH(B93, PointerTest!A:A, 0), 0)</f>
        <v>☆☆</v>
      </c>
      <c r="F93" s="70" t="str">
        <f t="array" ref="F93">LET(percentage,XLOOKUP($E93,$K$2:$K$10,L$2:L$10,"",0)/(COUNTIFS($E:$E,$E93,$D:$D,RegularFormula!$D$2)+COUNTIFS($E:$E,$E93,$D:$D,IF($D93=RegularFormula!$D$2,$K$15,$D93))),IFERROR(IF(percentage,percentage,""),""))</f>
        <v/>
      </c>
      <c r="G93" s="71">
        <f t="array" ref="G93">LET(percentage,XLOOKUP($E93,$K$2:$K$10,M$2:M$10,"",0)/(COUNTIFS($E:$E,$E93,$D:$D,RegularFormula!$D$2)+COUNTIFS($E:$E,$E93,$D:$D,IF($D93=RegularFormula!$D$2,$K$15,$D93))),IFERROR(IF(percentage,percentage,""),""))</f>
        <v>0.0003846153846</v>
      </c>
      <c r="H93" s="71">
        <f t="array" ref="H93">LET(percentage,XLOOKUP($E93,$K$2:$K$10,N$2:N$10,"",0)/(COUNTIFS($E:$E,$E93,$D:$D,RegularFormula!$D$2)+COUNTIFS($E:$E,$E93,$D:$D,IF($D93=RegularFormula!$D$2,$K$15,$D93))),IFERROR(IF(percentage,percentage,""),""))</f>
        <v>0.001538461538</v>
      </c>
      <c r="I93" s="72" t="str">
        <f t="shared" si="1"/>
        <v/>
      </c>
      <c r="J93" s="73">
        <v>0.0</v>
      </c>
      <c r="K93" s="194"/>
      <c r="L93" s="55"/>
      <c r="M93" s="55"/>
      <c r="N93" s="55"/>
      <c r="O93" s="103"/>
      <c r="P93" s="103"/>
      <c r="Q93" s="103"/>
      <c r="R93" s="79"/>
    </row>
    <row r="94">
      <c r="A94" s="217" t="b">
        <v>0</v>
      </c>
      <c r="B94" s="218" t="s">
        <v>848</v>
      </c>
      <c r="C94" s="69" t="str">
        <f t="array" ref="C94">TEXTJOIN("", TRUE, IFERROR(INDEX('language&amp;DataTest'!A:J, MATCH(INDEX( PointerTest!C:C, MATCH(B94, PointerTest!A:A, 0), 0), 'language&amp;DataTest'!A:A, 0), MATCH(HOME!$A$25, 'language&amp;DataTest'!$A$1:$H$1, 0))),                      IFERROR(INDEX('language&amp;DataTest'!A:J, MATCH(INDEX( PointerTest!D:D, MATCH(B94, PointerTest!A:A, 0), 0), 'language&amp;DataTest'!A:A, 0), MATCH(HOME!$A$25, 'language&amp;DataTest'!$A$1:$H$1, 0))),                                          
IFERROR(INDEX('language&amp;DataTest'!A:J, MATCH(INDEX( PointerTest!E:E, MATCH(B94, PointerTest!A:A, 0), 0), 'language&amp;DataTest'!A:A, 0), MATCH(HOME!$A$25, 'language&amp;DataTest'!$A$1:$H$1, 0))))</f>
        <v>Garchomp ex</v>
      </c>
      <c r="D94" s="69" t="str">
        <f t="array" ref="D94">TEXTJOIN("", TRUE, 
IFERROR(INDEX('language&amp;DataTest'!A:J, MATCH(INDEX( PointerTest!C:C, MATCH(INDEX(PointerTest!B:B, MATCH(B94, PointerTest!A:A, 0)), PointerTest!A:A, 0), 0), 'language&amp;DataTest'!A:A, 0), MATCH(HOME!$A$25, 'language&amp;DataTest'!$A$1:$H$1, 0))),                      
IFERROR(INDEX('language&amp;DataTest'!A:J, MATCH(INDEX( PointerTest!D:D, MATCH(INDEX(PointerTest!B:B, MATCH(B94, PointerTest!A:A, 0)), PointerTest!A:A, 0), 0), 'language&amp;DataTest'!A:A, 0), MATCH(HOME!$A$25, 'language&amp;DataTest'!$A$1:$H$1, 0))),                                          
IFERROR(INDEX('language&amp;DataTest'!A:J, MATCH(INDEX( PointerTest!E:E, MATCH(INDEX(PointerTest!B:B, MATCH(B94, PointerTest!A:A, 0)), PointerTest!A:A, 0), 0), 'language&amp;DataTest'!A:A, 0), MATCH(HOME!$A$25, 'language&amp;DataTest'!$A$1:$H$1, 0))))</f>
        <v>Arceus</v>
      </c>
      <c r="E94" s="69" t="str">
        <f t="array" ref="E94">INDEX( PointerTest!F:F, MATCH(B94, PointerTest!A:A, 0), 0)</f>
        <v>☆☆</v>
      </c>
      <c r="F94" s="70" t="str">
        <f t="array" ref="F94">LET(percentage,XLOOKUP($E94,$K$2:$K$10,L$2:L$10,"",0)/(COUNTIFS($E:$E,$E94,$D:$D,RegularFormula!$D$2)+COUNTIFS($E:$E,$E94,$D:$D,IF($D94=RegularFormula!$D$2,$K$15,$D94))),IFERROR(IF(percentage,percentage,""),""))</f>
        <v/>
      </c>
      <c r="G94" s="71">
        <f t="array" ref="G94">LET(percentage,XLOOKUP($E94,$K$2:$K$10,M$2:M$10,"",0)/(COUNTIFS($E:$E,$E94,$D:$D,RegularFormula!$D$2)+COUNTIFS($E:$E,$E94,$D:$D,IF($D94=RegularFormula!$D$2,$K$15,$D94))),IFERROR(IF(percentage,percentage,""),""))</f>
        <v>0.0003846153846</v>
      </c>
      <c r="H94" s="71">
        <f t="array" ref="H94">LET(percentage,XLOOKUP($E94,$K$2:$K$10,N$2:N$10,"",0)/(COUNTIFS($E:$E,$E94,$D:$D,RegularFormula!$D$2)+COUNTIFS($E:$E,$E94,$D:$D,IF($D94=RegularFormula!$D$2,$K$15,$D94))),IFERROR(IF(percentage,percentage,""),""))</f>
        <v>0.001538461538</v>
      </c>
      <c r="I94" s="72" t="str">
        <f t="shared" si="1"/>
        <v/>
      </c>
      <c r="J94" s="73">
        <v>0.0</v>
      </c>
      <c r="K94" s="194"/>
      <c r="L94" s="55"/>
      <c r="M94" s="55"/>
      <c r="N94" s="55"/>
      <c r="O94" s="103"/>
      <c r="P94" s="103"/>
      <c r="Q94" s="103"/>
      <c r="R94" s="79"/>
    </row>
    <row r="95">
      <c r="A95" s="217" t="b">
        <v>0</v>
      </c>
      <c r="B95" s="218" t="s">
        <v>849</v>
      </c>
      <c r="C95" s="69" t="str">
        <f t="array" ref="C95">TEXTJOIN("", TRUE, IFERROR(INDEX('language&amp;DataTest'!A:J, MATCH(INDEX( PointerTest!C:C, MATCH(B95, PointerTest!A:A, 0), 0), 'language&amp;DataTest'!A:A, 0), MATCH(HOME!$A$25, 'language&amp;DataTest'!$A$1:$H$1, 0))),                      IFERROR(INDEX('language&amp;DataTest'!A:J, MATCH(INDEX( PointerTest!D:D, MATCH(B95, PointerTest!A:A, 0), 0), 'language&amp;DataTest'!A:A, 0), MATCH(HOME!$A$25, 'language&amp;DataTest'!$A$1:$H$1, 0))),                                          
IFERROR(INDEX('language&amp;DataTest'!A:J, MATCH(INDEX( PointerTest!E:E, MATCH(B95, PointerTest!A:A, 0), 0), 'language&amp;DataTest'!A:A, 0), MATCH(HOME!$A$25, 'language&amp;DataTest'!$A$1:$H$1, 0))))</f>
        <v>Probopass ex</v>
      </c>
      <c r="D95" s="69" t="str">
        <f t="array" ref="D95">TEXTJOIN("", TRUE, 
IFERROR(INDEX('language&amp;DataTest'!A:J, MATCH(INDEX( PointerTest!C:C, MATCH(INDEX(PointerTest!B:B, MATCH(B95, PointerTest!A:A, 0)), PointerTest!A:A, 0), 0), 'language&amp;DataTest'!A:A, 0), MATCH(HOME!$A$25, 'language&amp;DataTest'!$A$1:$H$1, 0))),                      
IFERROR(INDEX('language&amp;DataTest'!A:J, MATCH(INDEX( PointerTest!D:D, MATCH(INDEX(PointerTest!B:B, MATCH(B95, PointerTest!A:A, 0)), PointerTest!A:A, 0), 0), 'language&amp;DataTest'!A:A, 0), MATCH(HOME!$A$25, 'language&amp;DataTest'!$A$1:$H$1, 0))),                                          
IFERROR(INDEX('language&amp;DataTest'!A:J, MATCH(INDEX( PointerTest!E:E, MATCH(INDEX(PointerTest!B:B, MATCH(B95, PointerTest!A:A, 0)), PointerTest!A:A, 0), 0), 'language&amp;DataTest'!A:A, 0), MATCH(HOME!$A$25, 'language&amp;DataTest'!$A$1:$H$1, 0))))</f>
        <v>Arceus</v>
      </c>
      <c r="E95" s="69" t="str">
        <f t="array" ref="E95">INDEX( PointerTest!F:F, MATCH(B95, PointerTest!A:A, 0), 0)</f>
        <v>☆☆</v>
      </c>
      <c r="F95" s="70" t="str">
        <f t="array" ref="F95">LET(percentage,XLOOKUP($E95,$K$2:$K$10,L$2:L$10,"",0)/(COUNTIFS($E:$E,$E95,$D:$D,RegularFormula!$D$2)+COUNTIFS($E:$E,$E95,$D:$D,IF($D95=RegularFormula!$D$2,$K$15,$D95))),IFERROR(IF(percentage,percentage,""),""))</f>
        <v/>
      </c>
      <c r="G95" s="71">
        <f t="array" ref="G95">LET(percentage,XLOOKUP($E95,$K$2:$K$10,M$2:M$10,"",0)/(COUNTIFS($E:$E,$E95,$D:$D,RegularFormula!$D$2)+COUNTIFS($E:$E,$E95,$D:$D,IF($D95=RegularFormula!$D$2,$K$15,$D95))),IFERROR(IF(percentage,percentage,""),""))</f>
        <v>0.0003846153846</v>
      </c>
      <c r="H95" s="71">
        <f t="array" ref="H95">LET(percentage,XLOOKUP($E95,$K$2:$K$10,N$2:N$10,"",0)/(COUNTIFS($E:$E,$E95,$D:$D,RegularFormula!$D$2)+COUNTIFS($E:$E,$E95,$D:$D,IF($D95=RegularFormula!$D$2,$K$15,$D95))),IFERROR(IF(percentage,percentage,""),""))</f>
        <v>0.001538461538</v>
      </c>
      <c r="I95" s="72" t="str">
        <f t="shared" si="1"/>
        <v/>
      </c>
      <c r="J95" s="73">
        <v>0.0</v>
      </c>
      <c r="K95" s="194"/>
      <c r="L95" s="55"/>
      <c r="M95" s="55"/>
      <c r="N95" s="55"/>
      <c r="O95" s="103"/>
      <c r="P95" s="103"/>
      <c r="Q95" s="103"/>
      <c r="R95" s="79"/>
    </row>
    <row r="96">
      <c r="A96" s="217" t="b">
        <v>1</v>
      </c>
      <c r="B96" s="218" t="s">
        <v>850</v>
      </c>
      <c r="C96" s="69" t="str">
        <f t="array" ref="C96">TEXTJOIN("", TRUE, IFERROR(INDEX('language&amp;DataTest'!A:J, MATCH(INDEX( PointerTest!C:C, MATCH(B96, PointerTest!A:A, 0), 0), 'language&amp;DataTest'!A:A, 0), MATCH(HOME!$A$25, 'language&amp;DataTest'!$A$1:$H$1, 0))),                      IFERROR(INDEX('language&amp;DataTest'!A:J, MATCH(INDEX( PointerTest!D:D, MATCH(B96, PointerTest!A:A, 0), 0), 'language&amp;DataTest'!A:A, 0), MATCH(HOME!$A$25, 'language&amp;DataTest'!$A$1:$H$1, 0))),                                          
IFERROR(INDEX('language&amp;DataTest'!A:J, MATCH(INDEX( PointerTest!E:E, MATCH(B96, PointerTest!A:A, 0), 0), 'language&amp;DataTest'!A:A, 0), MATCH(HOME!$A$25, 'language&amp;DataTest'!$A$1:$H$1, 0))))</f>
        <v>Arceus ex</v>
      </c>
      <c r="D96" s="69" t="str">
        <f t="array" ref="D96">TEXTJOIN("", TRUE, 
IFERROR(INDEX('language&amp;DataTest'!A:J, MATCH(INDEX( PointerTest!C:C, MATCH(INDEX(PointerTest!B:B, MATCH(B96, PointerTest!A:A, 0)), PointerTest!A:A, 0), 0), 'language&amp;DataTest'!A:A, 0), MATCH(HOME!$A$25, 'language&amp;DataTest'!$A$1:$H$1, 0))),                      
IFERROR(INDEX('language&amp;DataTest'!A:J, MATCH(INDEX( PointerTest!D:D, MATCH(INDEX(PointerTest!B:B, MATCH(B96, PointerTest!A:A, 0)), PointerTest!A:A, 0), 0), 'language&amp;DataTest'!A:A, 0), MATCH(HOME!$A$25, 'language&amp;DataTest'!$A$1:$H$1, 0))),                                          
IFERROR(INDEX('language&amp;DataTest'!A:J, MATCH(INDEX( PointerTest!E:E, MATCH(INDEX(PointerTest!B:B, MATCH(B96, PointerTest!A:A, 0)), PointerTest!A:A, 0), 0), 'language&amp;DataTest'!A:A, 0), MATCH(HOME!$A$25, 'language&amp;DataTest'!$A$1:$H$1, 0))))</f>
        <v>Arceus</v>
      </c>
      <c r="E96" s="69" t="str">
        <f t="array" ref="E96">INDEX( PointerTest!F:F, MATCH(B96, PointerTest!A:A, 0), 0)</f>
        <v>☆☆☆</v>
      </c>
      <c r="F96" s="70" t="str">
        <f t="array" ref="F96">LET(percentage,XLOOKUP($E96,$K$2:$K$10,L$2:L$10,"",0)/(COUNTIFS($E:$E,$E96,$D:$D,RegularFormula!$D$2)+COUNTIFS($E:$E,$E96,$D:$D,IF($D96=RegularFormula!$D$2,$K$15,$D96))),IFERROR(IF(percentage,percentage,""),""))</f>
        <v/>
      </c>
      <c r="G96" s="71">
        <f t="array" ref="G96">LET(percentage,XLOOKUP($E96,$K$2:$K$10,M$2:M$10,"",0)/(COUNTIFS($E:$E,$E96,$D:$D,RegularFormula!$D$2)+COUNTIFS($E:$E,$E96,$D:$D,IF($D96=RegularFormula!$D$2,$K$15,$D96))),IFERROR(IF(percentage,percentage,""),""))</f>
        <v>0.00222</v>
      </c>
      <c r="H96" s="71">
        <f t="array" ref="H96">LET(percentage,XLOOKUP($E96,$K$2:$K$10,N$2:N$10,"",0)/(COUNTIFS($E:$E,$E96,$D:$D,RegularFormula!$D$2)+COUNTIFS($E:$E,$E96,$D:$D,IF($D96=RegularFormula!$D$2,$K$15,$D96))),IFERROR(IF(percentage,percentage,""),""))</f>
        <v>0.00888</v>
      </c>
      <c r="I96" s="72" t="str">
        <f t="shared" si="1"/>
        <v/>
      </c>
      <c r="J96" s="73">
        <v>0.0</v>
      </c>
      <c r="K96" s="194"/>
      <c r="L96" s="55"/>
      <c r="M96" s="55"/>
      <c r="N96" s="55"/>
      <c r="O96" s="103"/>
      <c r="P96" s="103"/>
      <c r="Q96" s="103"/>
      <c r="R96" s="79"/>
    </row>
    <row r="97">
      <c r="A97" s="217" t="b">
        <v>0</v>
      </c>
      <c r="B97" s="218" t="s">
        <v>851</v>
      </c>
      <c r="C97" s="69" t="str">
        <f t="array" ref="C97">TEXTJOIN("", TRUE, IFERROR(INDEX('language&amp;DataTest'!A:J, MATCH(INDEX( PointerTest!C:C, MATCH(B97, PointerTest!A:A, 0), 0), 'language&amp;DataTest'!A:A, 0), MATCH(HOME!$A$25, 'language&amp;DataTest'!$A$1:$H$1, 0))),                      IFERROR(INDEX('language&amp;DataTest'!A:J, MATCH(INDEX( PointerTest!D:D, MATCH(B97, PointerTest!A:A, 0), 0), 'language&amp;DataTest'!A:A, 0), MATCH(HOME!$A$25, 'language&amp;DataTest'!$A$1:$H$1, 0))),                                          
IFERROR(INDEX('language&amp;DataTest'!A:J, MATCH(INDEX( PointerTest!E:E, MATCH(B97, PointerTest!A:A, 0), 0), 'language&amp;DataTest'!A:A, 0), MATCH(HOME!$A$25, 'language&amp;DataTest'!$A$1:$H$1, 0))))</f>
        <v>Arceus ex</v>
      </c>
      <c r="D97" s="69" t="str">
        <f t="array" ref="D97">TEXTJOIN("", TRUE, 
IFERROR(INDEX('language&amp;DataTest'!A:J, MATCH(INDEX( PointerTest!C:C, MATCH(INDEX(PointerTest!B:B, MATCH(B97, PointerTest!A:A, 0)), PointerTest!A:A, 0), 0), 'language&amp;DataTest'!A:A, 0), MATCH(HOME!$A$25, 'language&amp;DataTest'!$A$1:$H$1, 0))),                      
IFERROR(INDEX('language&amp;DataTest'!A:J, MATCH(INDEX( PointerTest!D:D, MATCH(INDEX(PointerTest!B:B, MATCH(B97, PointerTest!A:A, 0)), PointerTest!A:A, 0), 0), 'language&amp;DataTest'!A:A, 0), MATCH(HOME!$A$25, 'language&amp;DataTest'!$A$1:$H$1, 0))),                                          
IFERROR(INDEX('language&amp;DataTest'!A:J, MATCH(INDEX( PointerTest!E:E, MATCH(INDEX(PointerTest!B:B, MATCH(B97, PointerTest!A:A, 0)), PointerTest!A:A, 0), 0), 'language&amp;DataTest'!A:A, 0), MATCH(HOME!$A$25, 'language&amp;DataTest'!$A$1:$H$1, 0))))</f>
        <v>Arceus</v>
      </c>
      <c r="E97" s="69" t="str">
        <f t="array" ref="E97">INDEX( PointerTest!F:F, MATCH(B97, PointerTest!A:A, 0), 0)</f>
        <v>♛</v>
      </c>
      <c r="F97" s="70" t="str">
        <f t="array" ref="F97">LET(percentage,XLOOKUP($E97,$K$2:$K$10,L$2:L$10,"",0)/(COUNTIFS($E:$E,$E97,$D:$D,RegularFormula!$D$2)+COUNTIFS($E:$E,$E97,$D:$D,IF($D97=RegularFormula!$D$2,$K$15,$D97))),IFERROR(IF(percentage,percentage,""),""))</f>
        <v/>
      </c>
      <c r="G97" s="71">
        <f t="array" ref="G97">LET(percentage,XLOOKUP($E97,$K$2:$K$10,M$2:M$10,"",0)/(COUNTIFS($E:$E,$E97,$D:$D,RegularFormula!$D$2)+COUNTIFS($E:$E,$E97,$D:$D,IF($D97=RegularFormula!$D$2,$K$15,$D97))),IFERROR(IF(percentage,percentage,""),""))</f>
        <v>0.0004</v>
      </c>
      <c r="H97" s="71">
        <f t="array" ref="H97">LET(percentage,XLOOKUP($E97,$K$2:$K$10,N$2:N$10,"",0)/(COUNTIFS($E:$E,$E97,$D:$D,RegularFormula!$D$2)+COUNTIFS($E:$E,$E97,$D:$D,IF($D97=RegularFormula!$D$2,$K$15,$D97))),IFERROR(IF(percentage,percentage,""),""))</f>
        <v>0.0016</v>
      </c>
      <c r="I97" s="72" t="str">
        <f t="shared" si="1"/>
        <v/>
      </c>
      <c r="J97" s="73">
        <v>0.0</v>
      </c>
      <c r="K97" s="194"/>
      <c r="L97" s="55"/>
      <c r="M97" s="55"/>
      <c r="N97" s="55"/>
      <c r="O97" s="103"/>
      <c r="P97" s="103"/>
      <c r="Q97" s="103"/>
      <c r="R97" s="79" t="str">
        <f>IFERROR(IFS(Q97="♢",35,Q97="♢♢",70,Q97="♢♢♢",150,Q97="♢♢♢♢",500,Q97="☆",400,Q97="☆☆",1250,Q97="☆☆☆",1500,Q97="♛",2500),"")</f>
        <v/>
      </c>
    </row>
  </sheetData>
  <mergeCells count="16">
    <mergeCell ref="O1:P1"/>
    <mergeCell ref="K11:N12"/>
    <mergeCell ref="K16:K17"/>
    <mergeCell ref="L16:N17"/>
    <mergeCell ref="K18:N19"/>
    <mergeCell ref="K25:N25"/>
    <mergeCell ref="K29:K30"/>
    <mergeCell ref="M37:N37"/>
    <mergeCell ref="M38:N39"/>
    <mergeCell ref="L29:N30"/>
    <mergeCell ref="K31:N31"/>
    <mergeCell ref="K34:K35"/>
    <mergeCell ref="L34:L35"/>
    <mergeCell ref="M34:M35"/>
    <mergeCell ref="N34:N35"/>
    <mergeCell ref="K36:N36"/>
  </mergeCells>
  <conditionalFormatting sqref="J2:J97">
    <cfRule type="cellIs" dxfId="17" priority="1" operator="greaterThanOrEqual">
      <formula>2</formula>
    </cfRule>
  </conditionalFormatting>
  <conditionalFormatting sqref="J2:J97">
    <cfRule type="cellIs" dxfId="0" priority="2" operator="lessThan">
      <formula>2</formula>
    </cfRule>
  </conditionalFormatting>
  <conditionalFormatting sqref="A2:I97">
    <cfRule type="expression" dxfId="8" priority="3">
      <formula>$D2=$C$71</formula>
    </cfRule>
  </conditionalFormatting>
  <conditionalFormatting sqref="A2:A97 C2:I97">
    <cfRule type="expression" dxfId="21" priority="4">
      <formula>COUNTIF({"All", "Tous"}, $D2)&gt;0</formula>
    </cfRule>
  </conditionalFormatting>
  <conditionalFormatting sqref="K15:N15 K27:L46 M27:N38">
    <cfRule type="expression" dxfId="8" priority="5">
      <formula>$K15=$C$71</formula>
    </cfRule>
  </conditionalFormatting>
  <conditionalFormatting sqref="K15:N15 K27:L46 M27:N38">
    <cfRule type="expression" dxfId="21" priority="6">
      <formula>COUNTIF({"All", "Tous"}, $K15)&gt;0</formula>
    </cfRule>
  </conditionalFormatting>
  <conditionalFormatting sqref="L16:N17 L29:N30 L32:N35 M37:N46">
    <cfRule type="expression" dxfId="8" priority="7">
      <formula>L16=$C$71</formula>
    </cfRule>
  </conditionalFormatting>
  <drawing r:id="rId2"/>
  <legacyDrawing r:id="rId3"/>
  <tableParts count="1">
    <tablePart r:id="rId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5.63"/>
    <col customWidth="1" min="2" max="2" width="7.63"/>
    <col customWidth="1" min="3" max="3" width="17.63"/>
    <col customWidth="1" min="10" max="10" width="8.25"/>
  </cols>
  <sheetData>
    <row r="1">
      <c r="A1" s="60" t="s">
        <v>53</v>
      </c>
      <c r="B1" s="60" t="s">
        <v>54</v>
      </c>
      <c r="C1" s="60" t="s">
        <v>55</v>
      </c>
      <c r="D1" s="60" t="s">
        <v>56</v>
      </c>
      <c r="E1" s="60" t="s">
        <v>57</v>
      </c>
      <c r="F1" s="60" t="s">
        <v>58</v>
      </c>
      <c r="G1" s="60" t="s">
        <v>59</v>
      </c>
      <c r="H1" s="60" t="s">
        <v>60</v>
      </c>
      <c r="I1" s="60" t="s">
        <v>61</v>
      </c>
      <c r="J1" s="61" t="s">
        <v>62</v>
      </c>
      <c r="K1" s="62" t="s">
        <v>63</v>
      </c>
      <c r="L1" s="63"/>
      <c r="O1" s="65" t="s">
        <v>65</v>
      </c>
      <c r="Q1" s="65" t="s">
        <v>57</v>
      </c>
      <c r="R1" s="66" t="str">
        <f>"Points (" &amp; TEXT(SUM(R2:R112),"##,###") &amp; ")"</f>
        <v>Points (23,050)</v>
      </c>
    </row>
    <row r="2">
      <c r="A2" s="217" t="b">
        <v>1</v>
      </c>
      <c r="B2" s="218" t="s">
        <v>852</v>
      </c>
      <c r="C2" s="69" t="str">
        <f t="array" ref="C2">TEXTJOIN("", TRUE, IFERROR(INDEX('language&amp;DataTest'!A:J, MATCH(INDEX( PointerTest!C:C, MATCH(B2, PointerTest!A:A, 0), 0), 'language&amp;DataTest'!A:A, 0), MATCH(HOME!$A$25, 'language&amp;DataTest'!$A$1:$H$1, 0))),                      IFERROR(INDEX('language&amp;DataTest'!A:J, MATCH(INDEX( PointerTest!D:D, MATCH(B2, PointerTest!A:A, 0), 0), 'language&amp;DataTest'!A:A, 0), MATCH(HOME!$A$25, 'language&amp;DataTest'!$A$1:$H$1, 0))),                                          
IFERROR(INDEX('language&amp;DataTest'!A:J, MATCH(INDEX( PointerTest!E:E, MATCH(B2, PointerTest!A:A, 0), 0), 'language&amp;DataTest'!A:A, 0), MATCH(HOME!$A$25, 'language&amp;DataTest'!$A$1:$H$1, 0))))</f>
        <v>Weedle</v>
      </c>
      <c r="D2" s="69" t="str">
        <f t="array" ref="D2">TEXTJOIN("", TRUE, 
IFERROR(INDEX('language&amp;DataTest'!A:J, MATCH(INDEX( PointerTest!C:C, MATCH(INDEX(PointerTest!B:B, MATCH(B2, PointerTest!A:A, 0)), PointerTest!A:A, 0), 0), 'language&amp;DataTest'!A:A, 0), MATCH(HOME!$A$25, 'language&amp;DataTest'!$A$1:$H$1, 0))),                      
IFERROR(INDEX('language&amp;DataTest'!A:J, MATCH(INDEX( PointerTest!D:D, MATCH(INDEX(PointerTest!B:B, MATCH(B2, PointerTest!A:A, 0)), PointerTest!A:A, 0), 0), 'language&amp;DataTest'!A:A, 0), MATCH(HOME!$A$25, 'language&amp;DataTest'!$A$1:$H$1, 0))),                                          
IFERROR(INDEX('language&amp;DataTest'!A:J, MATCH(INDEX( PointerTest!E:E, MATCH(INDEX(PointerTest!B:B, MATCH(B2, PointerTest!A:A, 0)), PointerTest!A:A, 0), 0), 'language&amp;DataTest'!A:A, 0), MATCH(HOME!$A$25, 'language&amp;DataTest'!$A$1:$H$1, 0))))</f>
        <v>Lucario ex</v>
      </c>
      <c r="E2" s="69" t="str">
        <f t="array" ref="E2">INDEX( PointerTest!F:F, MATCH(B2, PointerTest!A:A, 0), 0)</f>
        <v>♢</v>
      </c>
      <c r="F2" s="70">
        <f t="array" ref="F2">LET(percentage,XLOOKUP($E2,$K$2:$K$12,L$2:L$12,"",0)/(COUNTIFS($E:$E,$E2,$D:$D,RegularFormula!$D$2)+COUNTIFS($E:$E,$E2,$D:$D,IF($D2=RegularFormula!$D$2,$K$17,$D2))),IFERROR(IF(percentage,percentage,""),""))</f>
        <v>0.031234375</v>
      </c>
      <c r="G2" s="71" t="str">
        <f t="array" ref="G2">LET(percentage,XLOOKUP($E2,$K$2:$K$12,M$2:M$12,"",0)/(COUNTIFS($E:$E,$E2,$D:$D,RegularFormula!$D$2)+COUNTIFS($E:$E,$E2,$D:$D,IF($D2=RegularFormula!$D$2,$K$17,$D2))),IFERROR(IF(percentage,percentage,""),""))</f>
        <v/>
      </c>
      <c r="H2" s="71" t="str">
        <f t="array" ref="H2">LET(percentage,XLOOKUP($E2,$K$2:$K$12,N$2:N$12,"",0)/(COUNTIFS($E:$E,$E2,$D:$D,RegularFormula!$D$2)+COUNTIFS($E:$E,$E2,$D:$D,IF($D2=RegularFormula!$D$2,$K$17,$D2))),IFERROR(IF(percentage,percentage,""),""))</f>
        <v/>
      </c>
      <c r="I2" s="72" t="str">
        <f t="shared" ref="I2:I112" si="1">IF(D2 = "All", "*Based on " &amp; $D$2 &amp; " pack", "")
</f>
        <v/>
      </c>
      <c r="J2" s="73">
        <v>0.0</v>
      </c>
      <c r="K2" s="74" t="s">
        <v>68</v>
      </c>
      <c r="L2" s="75">
        <v>45294.0</v>
      </c>
      <c r="M2" s="76">
        <v>4.0</v>
      </c>
      <c r="N2" s="77">
        <v>5.0</v>
      </c>
      <c r="O2" s="79" t="str">
        <f>IFERROR(__xludf.DUMMYFUNCTION("IFERROR(
IF($K$27,
  FILTER(
    $B$2:$B112,
    (
      (($K$22*($E$2:$E112=""♢"")) +
       ($K$23*($E$2:$E112=""♢♢"")) +
       ($K$24*($E$2:$E112=""♢♢♢"")) +
       ($K$25*($E$2:$E112=""♢♢♢♢"")) +
       ($M$22*($E$2:$E112=""☆"")) +
       ($M$23*($E$"&amp;"2:$E112=""☆☆"")) +
       ($M$24*($E$2:$E112=""☆☆☆"")) +
       ($M$25*($E$2:$E112=""♛""))
      ) &gt; 0
    )
    *
    (
      BYROW($C$2:$C112,
        LAMBDA(card, COUNTIFS($C$2:$C112, card, IF($M$27, $J$2:$J112, $A$2:$A112), TRUE))
      ) = 0
    )
  "&amp;"),
  FILTER(
    $B$2:$B112,
    (
      (($K$22*($E$2:$E112=""♢"")) +
       ($K$23*($E$2:$E112=""♢♢"")) +
       ($K$24*($E$2:$E112=""♢♢♢"")) +
       ($K$25*($E$2:$E112=""♢♢♢♢"")) +
       ($M$22*($E$2:$E112=""☆"")) +
       ($M$23*($E$2:$E112=""☆☆""))"&amp;" +
       ($M$24*($E$2:$E112=""☆☆☆"")) +
       ($M$25*($E$2:$E112=""♛""))
      ) &gt; 0
    )
    *
    IF($M$27, ($J$2:$J112 &lt;= 1), ($A$2:$A112 = FALSE))
  )
)
)"),"A2b 010")</f>
        <v>A2b 010</v>
      </c>
      <c r="P2" s="79" t="str">
        <f>IFERROR(__xludf.DUMMYFUNCTION("IFERROR(
IF($K$27,
  FILTER(
    $C$2:$C112,
    (
      (($K$22*($E$2:$E112=""♢"")) +
       ($K$23*($E$2:$E112=""♢♢"")) +
       ($K$24*($E$2:$E112=""♢♢♢"")) +
       ($K$25*($E$2:$E112=""♢♢♢♢"")) +
       ($M$22*($E$2:$E112=""☆"")) +
       ($M$23*($E$"&amp;"2:$E112=""☆☆"")) +
       ($M$24*($E$2:$E112=""☆☆☆"")) +
       ($M$25*($E$2:$E112=""♛""))
      ) &gt; 0
    )
    *
    (
      BYROW($C$2:$C112,
        LAMBDA(card, COUNTIFS($C$2:$C112, card, IF($M$27, $J$2:$J112, $A$2:$A112), TRUE))
      ) = 0
    )
  "&amp;"),
  FILTER(
    $C$2:$C112,
    (
      (($K$22*($E$2:$E112=""♢"")) +
       ($K$23*($E$2:$E112=""♢♢"")) +
       ($K$24*($E$2:$E112=""♢♢♢"")) +
       ($K$25*($E$2:$E112=""♢♢♢♢"")) +
       ($M$22*($E$2:$E112=""☆"")) +
       ($M$23*($E$2:$E112=""☆☆""))"&amp;" +
       ($M$24*($E$2:$E112=""☆☆☆"")) +
       ($M$25*($E$2:$E112=""♛""))
      ) &gt; 0
    )
    *
    IF($M$27, ($J$2:$J112 &lt;= 1), ($A$2:$A112 = FALSE))
  )
)
)"),"Charizard ex")</f>
        <v>Charizard ex</v>
      </c>
      <c r="Q2" s="79" t="str">
        <f>IFERROR(__xludf.DUMMYFUNCTION("IFERROR(
IF($K$27,
  FILTER(
    $E$2:$E112,
    (
      (($K$22*($E$2:$E112=""♢"")) +
       ($K$23*($E$2:$E112=""♢♢"")) +
       ($K$24*($E$2:$E112=""♢♢♢"")) +
       ($K$25*($E$2:$E112=""♢♢♢♢"")) +
       ($M$22*($E$2:$E112=""☆"")) +
       ($M$23*($E$"&amp;"2:$E112=""☆☆"")) +
       ($M$24*($E$2:$E112=""☆☆☆"")) +
       ($M$25*($E$2:$E112=""♛""))
      ) &gt; 0
    )
    *
    (
      BYROW($C$2:$C112,
        LAMBDA(card, COUNTIFS($C$2:$C112, card, IF($M$27, $J$2:$J112, $A$2:$A112), TRUE))
      ) = 0
    )
  "&amp;"),
  FILTER(
    $E$2:$E112,
    (
      (($K$22*($E$2:$E112=""♢"")) +
       ($K$23*($E$2:$E112=""♢♢"")) +
       ($K$24*($E$2:$E112=""♢♢♢"")) +
       ($K$25*($E$2:$E112=""♢♢♢♢"")) +
       ($M$22*($E$2:$E112=""☆"")) +
       ($M$23*($E$2:$E112=""☆☆""))"&amp;" +
       ($M$24*($E$2:$E112=""☆☆☆"")) +
       ($M$25*($E$2:$E112=""♛""))
      ) &gt; 0
    )
    *
    IF($M$27, ($J$2:$J112 &lt;= 1), ($A$2:$A112 = FALSE))
  )
)
)"),"♢♢♢♢")</f>
        <v>♢♢♢♢</v>
      </c>
      <c r="R2" s="79">
        <f t="shared" ref="R2:R86" si="2">IFERROR(IFS(Q2="♢",35,Q2="♢♢",70,Q2="♢♢♢",150,Q2="♢♢♢♢",500,Q2="☆",400,Q2="☆☆",1250,Q2="☆☆☆",1500,Q2="♛",2500),"")</f>
        <v>500</v>
      </c>
    </row>
    <row r="3">
      <c r="A3" s="217" t="b">
        <v>1</v>
      </c>
      <c r="B3" s="218" t="s">
        <v>853</v>
      </c>
      <c r="C3" s="69" t="str">
        <f t="array" ref="C3">TEXTJOIN("", TRUE, IFERROR(INDEX('language&amp;DataTest'!A:J, MATCH(INDEX( PointerTest!C:C, MATCH(B3, PointerTest!A:A, 0), 0), 'language&amp;DataTest'!A:A, 0), MATCH(HOME!$A$25, 'language&amp;DataTest'!$A$1:$H$1, 0))),                      IFERROR(INDEX('language&amp;DataTest'!A:J, MATCH(INDEX( PointerTest!D:D, MATCH(B3, PointerTest!A:A, 0), 0), 'language&amp;DataTest'!A:A, 0), MATCH(HOME!$A$25, 'language&amp;DataTest'!$A$1:$H$1, 0))),                                          
IFERROR(INDEX('language&amp;DataTest'!A:J, MATCH(INDEX( PointerTest!E:E, MATCH(B3, PointerTest!A:A, 0), 0), 'language&amp;DataTest'!A:A, 0), MATCH(HOME!$A$25, 'language&amp;DataTest'!$A$1:$H$1, 0))))</f>
        <v>Kakuna</v>
      </c>
      <c r="D3" s="69" t="str">
        <f t="array" ref="D3">TEXTJOIN("", TRUE, 
IFERROR(INDEX('language&amp;DataTest'!A:J, MATCH(INDEX( PointerTest!C:C, MATCH(INDEX(PointerTest!B:B, MATCH(B3, PointerTest!A:A, 0)), PointerTest!A:A, 0), 0), 'language&amp;DataTest'!A:A, 0), MATCH(HOME!$A$25, 'language&amp;DataTest'!$A$1:$H$1, 0))),                      
IFERROR(INDEX('language&amp;DataTest'!A:J, MATCH(INDEX( PointerTest!D:D, MATCH(INDEX(PointerTest!B:B, MATCH(B3, PointerTest!A:A, 0)), PointerTest!A:A, 0), 0), 'language&amp;DataTest'!A:A, 0), MATCH(HOME!$A$25, 'language&amp;DataTest'!$A$1:$H$1, 0))),                                          
IFERROR(INDEX('language&amp;DataTest'!A:J, MATCH(INDEX( PointerTest!E:E, MATCH(INDEX(PointerTest!B:B, MATCH(B3, PointerTest!A:A, 0)), PointerTest!A:A, 0), 0), 'language&amp;DataTest'!A:A, 0), MATCH(HOME!$A$25, 'language&amp;DataTest'!$A$1:$H$1, 0))))</f>
        <v>Lucario ex</v>
      </c>
      <c r="E3" s="69" t="str">
        <f t="array" ref="E3">INDEX( PointerTest!F:F, MATCH(B3, PointerTest!A:A, 0), 0)</f>
        <v>♢♢</v>
      </c>
      <c r="F3" s="70" t="str">
        <f t="array" ref="F3">LET(percentage,XLOOKUP($E3,$K$2:$K$12,L$2:L$12,"",0)/(COUNTIFS($E:$E,$E3,$D:$D,RegularFormula!$D$2)+COUNTIFS($E:$E,$E3,$D:$D,IF($D3=RegularFormula!$D$2,$K$17,$D3))),IFERROR(IF(percentage,percentage,""),""))</f>
        <v/>
      </c>
      <c r="G3" s="71">
        <f t="array" ref="G3">LET(percentage,XLOOKUP($E3,$K$2:$K$12,M$2:M$12,"",0)/(COUNTIFS($E:$E,$E3,$D:$D,RegularFormula!$D$2)+COUNTIFS($E:$E,$E3,$D:$D,IF($D3=RegularFormula!$D$2,$K$17,$D3))),IFERROR(IF(percentage,percentage,""),""))</f>
        <v>0.04043431818</v>
      </c>
      <c r="H3" s="71">
        <f t="array" ref="H3">LET(percentage,XLOOKUP($E3,$K$2:$K$12,N$2:N$12,"",0)/(COUNTIFS($E:$E,$E3,$D:$D,RegularFormula!$D$2)+COUNTIFS($E:$E,$E3,$D:$D,IF($D3=RegularFormula!$D$2,$K$17,$D3))),IFERROR(IF(percentage,percentage,""),""))</f>
        <v>0.02544181818</v>
      </c>
      <c r="I3" s="72" t="str">
        <f t="shared" si="1"/>
        <v/>
      </c>
      <c r="J3" s="73">
        <v>0.0</v>
      </c>
      <c r="K3" s="81" t="s">
        <v>71</v>
      </c>
      <c r="L3" s="83">
        <v>0.9995</v>
      </c>
      <c r="M3" s="240">
        <v>0.0</v>
      </c>
      <c r="N3" s="241">
        <v>0.0</v>
      </c>
      <c r="O3" s="86" t="str">
        <f>IFERROR(__xludf.DUMMYFUNCTION("""COMPUTED_VALUE"""),"A2b 022")</f>
        <v>A2b 022</v>
      </c>
      <c r="P3" s="86" t="str">
        <f>IFERROR(__xludf.DUMMYFUNCTION("""COMPUTED_VALUE"""),"Pikachu ex")</f>
        <v>Pikachu ex</v>
      </c>
      <c r="Q3" s="86" t="str">
        <f>IFERROR(__xludf.DUMMYFUNCTION("""COMPUTED_VALUE"""),"♢♢♢♢")</f>
        <v>♢♢♢♢</v>
      </c>
      <c r="R3" s="79">
        <f t="shared" si="2"/>
        <v>500</v>
      </c>
    </row>
    <row r="4">
      <c r="A4" s="217" t="b">
        <v>1</v>
      </c>
      <c r="B4" s="218" t="s">
        <v>854</v>
      </c>
      <c r="C4" s="69" t="str">
        <f t="array" ref="C4">TEXTJOIN("", TRUE, IFERROR(INDEX('language&amp;DataTest'!A:J, MATCH(INDEX( PointerTest!C:C, MATCH(B4, PointerTest!A:A, 0), 0), 'language&amp;DataTest'!A:A, 0), MATCH(HOME!$A$25, 'language&amp;DataTest'!$A$1:$H$1, 0))),                      IFERROR(INDEX('language&amp;DataTest'!A:J, MATCH(INDEX( PointerTest!D:D, MATCH(B4, PointerTest!A:A, 0), 0), 'language&amp;DataTest'!A:A, 0), MATCH(HOME!$A$25, 'language&amp;DataTest'!$A$1:$H$1, 0))),                                          
IFERROR(INDEX('language&amp;DataTest'!A:J, MATCH(INDEX( PointerTest!E:E, MATCH(B4, PointerTest!A:A, 0), 0), 'language&amp;DataTest'!A:A, 0), MATCH(HOME!$A$25, 'language&amp;DataTest'!$A$1:$H$1, 0))))</f>
        <v>Beedrill ex</v>
      </c>
      <c r="D4" s="69" t="str">
        <f t="array" ref="D4">TEXTJOIN("", TRUE, 
IFERROR(INDEX('language&amp;DataTest'!A:J, MATCH(INDEX( PointerTest!C:C, MATCH(INDEX(PointerTest!B:B, MATCH(B4, PointerTest!A:A, 0)), PointerTest!A:A, 0), 0), 'language&amp;DataTest'!A:A, 0), MATCH(HOME!$A$25, 'language&amp;DataTest'!$A$1:$H$1, 0))),                      
IFERROR(INDEX('language&amp;DataTest'!A:J, MATCH(INDEX( PointerTest!D:D, MATCH(INDEX(PointerTest!B:B, MATCH(B4, PointerTest!A:A, 0)), PointerTest!A:A, 0), 0), 'language&amp;DataTest'!A:A, 0), MATCH(HOME!$A$25, 'language&amp;DataTest'!$A$1:$H$1, 0))),                                          
IFERROR(INDEX('language&amp;DataTest'!A:J, MATCH(INDEX( PointerTest!E:E, MATCH(INDEX(PointerTest!B:B, MATCH(B4, PointerTest!A:A, 0)), PointerTest!A:A, 0), 0), 'language&amp;DataTest'!A:A, 0), MATCH(HOME!$A$25, 'language&amp;DataTest'!$A$1:$H$1, 0))))</f>
        <v>Lucario ex</v>
      </c>
      <c r="E4" s="69" t="str">
        <f t="array" ref="E4">INDEX( PointerTest!F:F, MATCH(B4, PointerTest!A:A, 0), 0)</f>
        <v>♢♢♢♢</v>
      </c>
      <c r="F4" s="70" t="str">
        <f t="array" ref="F4">LET(percentage,XLOOKUP($E4,$K$2:$K$12,L$2:L$12,"",0)/(COUNTIFS($E:$E,$E4,$D:$D,RegularFormula!$D$2)+COUNTIFS($E:$E,$E4,$D:$D,IF($D4=RegularFormula!$D$2,$K$17,$D4))),IFERROR(IF(percentage,percentage,""),""))</f>
        <v/>
      </c>
      <c r="G4" s="71">
        <f t="array" ref="G4">LET(percentage,XLOOKUP($E4,$K$2:$K$12,M$2:M$12,"",0)/(COUNTIFS($E:$E,$E4,$D:$D,RegularFormula!$D$2)+COUNTIFS($E:$E,$E4,$D:$D,IF($D4=RegularFormula!$D$2,$K$17,$D4))),IFERROR(IF(percentage,percentage,""),""))</f>
        <v>0.001850185556</v>
      </c>
      <c r="H4" s="71">
        <f t="array" ref="H4">LET(percentage,XLOOKUP($E4,$K$2:$K$12,N$2:N$12,"",0)/(COUNTIFS($E:$E,$E4,$D:$D,RegularFormula!$D$2)+COUNTIFS($E:$E,$E4,$D:$D,IF($D4=RegularFormula!$D$2,$K$17,$D4))),IFERROR(IF(percentage,percentage,""),""))</f>
        <v>0.007400742222</v>
      </c>
      <c r="I4" s="72" t="str">
        <f t="shared" si="1"/>
        <v/>
      </c>
      <c r="J4" s="73">
        <v>0.0</v>
      </c>
      <c r="K4" s="81" t="s">
        <v>73</v>
      </c>
      <c r="L4" s="240">
        <v>0.0</v>
      </c>
      <c r="M4" s="132">
        <v>0.8895550000000001</v>
      </c>
      <c r="N4" s="242">
        <v>0.5597200000000001</v>
      </c>
      <c r="O4" s="86" t="str">
        <f>IFERROR(__xludf.DUMMYFUNCTION("""COMPUTED_VALUE"""),"A2b 028")</f>
        <v>A2b 028</v>
      </c>
      <c r="P4" s="86" t="str">
        <f>IFERROR(__xludf.DUMMYFUNCTION("""COMPUTED_VALUE"""),"Pawmot")</f>
        <v>Pawmot</v>
      </c>
      <c r="Q4" s="86" t="str">
        <f>IFERROR(__xludf.DUMMYFUNCTION("""COMPUTED_VALUE"""),"♢♢♢")</f>
        <v>♢♢♢</v>
      </c>
      <c r="R4" s="79">
        <f t="shared" si="2"/>
        <v>150</v>
      </c>
    </row>
    <row r="5">
      <c r="A5" s="217" t="b">
        <v>1</v>
      </c>
      <c r="B5" s="218" t="s">
        <v>855</v>
      </c>
      <c r="C5" s="69" t="str">
        <f t="array" ref="C5">TEXTJOIN("", TRUE, IFERROR(INDEX('language&amp;DataTest'!A:J, MATCH(INDEX( PointerTest!C:C, MATCH(B5, PointerTest!A:A, 0), 0), 'language&amp;DataTest'!A:A, 0), MATCH(HOME!$A$25, 'language&amp;DataTest'!$A$1:$H$1, 0))),                      IFERROR(INDEX('language&amp;DataTest'!A:J, MATCH(INDEX( PointerTest!D:D, MATCH(B5, PointerTest!A:A, 0), 0), 'language&amp;DataTest'!A:A, 0), MATCH(HOME!$A$25, 'language&amp;DataTest'!$A$1:$H$1, 0))),                                          
IFERROR(INDEX('language&amp;DataTest'!A:J, MATCH(INDEX( PointerTest!E:E, MATCH(B5, PointerTest!A:A, 0), 0), 'language&amp;DataTest'!A:A, 0), MATCH(HOME!$A$25, 'language&amp;DataTest'!$A$1:$H$1, 0))))</f>
        <v>Pinsir</v>
      </c>
      <c r="D5" s="69" t="str">
        <f t="array" ref="D5">TEXTJOIN("", TRUE, 
IFERROR(INDEX('language&amp;DataTest'!A:J, MATCH(INDEX( PointerTest!C:C, MATCH(INDEX(PointerTest!B:B, MATCH(B5, PointerTest!A:A, 0)), PointerTest!A:A, 0), 0), 'language&amp;DataTest'!A:A, 0), MATCH(HOME!$A$25, 'language&amp;DataTest'!$A$1:$H$1, 0))),                      
IFERROR(INDEX('language&amp;DataTest'!A:J, MATCH(INDEX( PointerTest!D:D, MATCH(INDEX(PointerTest!B:B, MATCH(B5, PointerTest!A:A, 0)), PointerTest!A:A, 0), 0), 'language&amp;DataTest'!A:A, 0), MATCH(HOME!$A$25, 'language&amp;DataTest'!$A$1:$H$1, 0))),                                          
IFERROR(INDEX('language&amp;DataTest'!A:J, MATCH(INDEX( PointerTest!E:E, MATCH(INDEX(PointerTest!B:B, MATCH(B5, PointerTest!A:A, 0)), PointerTest!A:A, 0), 0), 'language&amp;DataTest'!A:A, 0), MATCH(HOME!$A$25, 'language&amp;DataTest'!$A$1:$H$1, 0))))</f>
        <v>Lucario ex</v>
      </c>
      <c r="E5" s="69" t="str">
        <f t="array" ref="E5">INDEX( PointerTest!F:F, MATCH(B5, PointerTest!A:A, 0), 0)</f>
        <v>♢</v>
      </c>
      <c r="F5" s="70">
        <f t="array" ref="F5">LET(percentage,XLOOKUP($E5,$K$2:$K$12,L$2:L$12,"",0)/(COUNTIFS($E:$E,$E5,$D:$D,RegularFormula!$D$2)+COUNTIFS($E:$E,$E5,$D:$D,IF($D5=RegularFormula!$D$2,$K$17,$D5))),IFERROR(IF(percentage,percentage,""),""))</f>
        <v>0.031234375</v>
      </c>
      <c r="G5" s="71" t="str">
        <f t="array" ref="G5">LET(percentage,XLOOKUP($E5,$K$2:$K$12,M$2:M$12,"",0)/(COUNTIFS($E:$E,$E5,$D:$D,RegularFormula!$D$2)+COUNTIFS($E:$E,$E5,$D:$D,IF($D5=RegularFormula!$D$2,$K$17,$D5))),IFERROR(IF(percentage,percentage,""),""))</f>
        <v/>
      </c>
      <c r="H5" s="71" t="str">
        <f t="array" ref="H5">LET(percentage,XLOOKUP($E5,$K$2:$K$12,N$2:N$12,"",0)/(COUNTIFS($E:$E,$E5,$D:$D,RegularFormula!$D$2)+COUNTIFS($E:$E,$E5,$D:$D,IF($D5=RegularFormula!$D$2,$K$17,$D5))),IFERROR(IF(percentage,percentage,""),""))</f>
        <v/>
      </c>
      <c r="I5" s="72" t="str">
        <f t="shared" si="1"/>
        <v/>
      </c>
      <c r="J5" s="73">
        <v>0.0</v>
      </c>
      <c r="K5" s="81" t="s">
        <v>75</v>
      </c>
      <c r="L5" s="240">
        <v>0.0</v>
      </c>
      <c r="M5" s="132">
        <v>0.04949524</v>
      </c>
      <c r="N5" s="242">
        <v>0.19800095</v>
      </c>
      <c r="O5" s="86" t="str">
        <f>IFERROR(__xludf.DUMMYFUNCTION("""COMPUTED_VALUE"""),"A2b 035")</f>
        <v>A2b 035</v>
      </c>
      <c r="P5" s="86" t="str">
        <f>IFERROR(__xludf.DUMMYFUNCTION("""COMPUTED_VALUE"""),"Giratina ex")</f>
        <v>Giratina ex</v>
      </c>
      <c r="Q5" s="86" t="str">
        <f>IFERROR(__xludf.DUMMYFUNCTION("""COMPUTED_VALUE"""),"♢♢♢♢")</f>
        <v>♢♢♢♢</v>
      </c>
      <c r="R5" s="79">
        <f t="shared" si="2"/>
        <v>500</v>
      </c>
    </row>
    <row r="6">
      <c r="A6" s="217" t="b">
        <v>1</v>
      </c>
      <c r="B6" s="218" t="s">
        <v>856</v>
      </c>
      <c r="C6" s="69" t="str">
        <f t="array" ref="C6">TEXTJOIN("", TRUE, IFERROR(INDEX('language&amp;DataTest'!A:J, MATCH(INDEX( PointerTest!C:C, MATCH(B6, PointerTest!A:A, 0), 0), 'language&amp;DataTest'!A:A, 0), MATCH(HOME!$A$25, 'language&amp;DataTest'!$A$1:$H$1, 0))),                      IFERROR(INDEX('language&amp;DataTest'!A:J, MATCH(INDEX( PointerTest!D:D, MATCH(B6, PointerTest!A:A, 0), 0), 'language&amp;DataTest'!A:A, 0), MATCH(HOME!$A$25, 'language&amp;DataTest'!$A$1:$H$1, 0))),                                          
IFERROR(INDEX('language&amp;DataTest'!A:J, MATCH(INDEX( PointerTest!E:E, MATCH(B6, PointerTest!A:A, 0), 0), 'language&amp;DataTest'!A:A, 0), MATCH(HOME!$A$25, 'language&amp;DataTest'!$A$1:$H$1, 0))))</f>
        <v>Sprigatito</v>
      </c>
      <c r="D6" s="69" t="str">
        <f t="array" ref="D6">TEXTJOIN("", TRUE, 
IFERROR(INDEX('language&amp;DataTest'!A:J, MATCH(INDEX( PointerTest!C:C, MATCH(INDEX(PointerTest!B:B, MATCH(B6, PointerTest!A:A, 0)), PointerTest!A:A, 0), 0), 'language&amp;DataTest'!A:A, 0), MATCH(HOME!$A$25, 'language&amp;DataTest'!$A$1:$H$1, 0))),                      
IFERROR(INDEX('language&amp;DataTest'!A:J, MATCH(INDEX( PointerTest!D:D, MATCH(INDEX(PointerTest!B:B, MATCH(B6, PointerTest!A:A, 0)), PointerTest!A:A, 0), 0), 'language&amp;DataTest'!A:A, 0), MATCH(HOME!$A$25, 'language&amp;DataTest'!$A$1:$H$1, 0))),                                          
IFERROR(INDEX('language&amp;DataTest'!A:J, MATCH(INDEX( PointerTest!E:E, MATCH(INDEX(PointerTest!B:B, MATCH(B6, PointerTest!A:A, 0)), PointerTest!A:A, 0), 0), 'language&amp;DataTest'!A:A, 0), MATCH(HOME!$A$25, 'language&amp;DataTest'!$A$1:$H$1, 0))))</f>
        <v>Lucario ex</v>
      </c>
      <c r="E6" s="69" t="str">
        <f t="array" ref="E6">INDEX( PointerTest!F:F, MATCH(B6, PointerTest!A:A, 0), 0)</f>
        <v>♢</v>
      </c>
      <c r="F6" s="70">
        <f t="array" ref="F6">LET(percentage,XLOOKUP($E6,$K$2:$K$12,L$2:L$12,"",0)/(COUNTIFS($E:$E,$E6,$D:$D,RegularFormula!$D$2)+COUNTIFS($E:$E,$E6,$D:$D,IF($D6=RegularFormula!$D$2,$K$17,$D6))),IFERROR(IF(percentage,percentage,""),""))</f>
        <v>0.031234375</v>
      </c>
      <c r="G6" s="71" t="str">
        <f t="array" ref="G6">LET(percentage,XLOOKUP($E6,$K$2:$K$12,M$2:M$12,"",0)/(COUNTIFS($E:$E,$E6,$D:$D,RegularFormula!$D$2)+COUNTIFS($E:$E,$E6,$D:$D,IF($D6=RegularFormula!$D$2,$K$17,$D6))),IFERROR(IF(percentage,percentage,""),""))</f>
        <v/>
      </c>
      <c r="H6" s="71" t="str">
        <f t="array" ref="H6">LET(percentage,XLOOKUP($E6,$K$2:$K$12,N$2:N$12,"",0)/(COUNTIFS($E:$E,$E6,$D:$D,RegularFormula!$D$2)+COUNTIFS($E:$E,$E6,$D:$D,IF($D6=RegularFormula!$D$2,$K$17,$D6))),IFERROR(IF(percentage,percentage,""),""))</f>
        <v/>
      </c>
      <c r="I6" s="72" t="str">
        <f t="shared" si="1"/>
        <v/>
      </c>
      <c r="J6" s="73">
        <v>0.0</v>
      </c>
      <c r="K6" s="81" t="s">
        <v>77</v>
      </c>
      <c r="L6" s="240">
        <v>0.0</v>
      </c>
      <c r="M6" s="132">
        <v>0.016651670000000004</v>
      </c>
      <c r="N6" s="242">
        <v>0.06660668000000002</v>
      </c>
      <c r="O6" s="86" t="str">
        <f>IFERROR(__xludf.DUMMYFUNCTION("""COMPUTED_VALUE"""),"A2b 061")</f>
        <v>A2b 061</v>
      </c>
      <c r="P6" s="86" t="str">
        <f>IFERROR(__xludf.DUMMYFUNCTION("""COMPUTED_VALUE"""),"Wigglytuff")</f>
        <v>Wigglytuff</v>
      </c>
      <c r="Q6" s="86" t="str">
        <f>IFERROR(__xludf.DUMMYFUNCTION("""COMPUTED_VALUE"""),"♢♢♢")</f>
        <v>♢♢♢</v>
      </c>
      <c r="R6" s="79">
        <f t="shared" si="2"/>
        <v>150</v>
      </c>
    </row>
    <row r="7">
      <c r="A7" s="217" t="b">
        <v>1</v>
      </c>
      <c r="B7" s="218" t="s">
        <v>857</v>
      </c>
      <c r="C7" s="69" t="str">
        <f t="array" ref="C7">TEXTJOIN("", TRUE, IFERROR(INDEX('language&amp;DataTest'!A:J, MATCH(INDEX( PointerTest!C:C, MATCH(B7, PointerTest!A:A, 0), 0), 'language&amp;DataTest'!A:A, 0), MATCH(HOME!$A$25, 'language&amp;DataTest'!$A$1:$H$1, 0))),                      IFERROR(INDEX('language&amp;DataTest'!A:J, MATCH(INDEX( PointerTest!D:D, MATCH(B7, PointerTest!A:A, 0), 0), 'language&amp;DataTest'!A:A, 0), MATCH(HOME!$A$25, 'language&amp;DataTest'!$A$1:$H$1, 0))),                                          
IFERROR(INDEX('language&amp;DataTest'!A:J, MATCH(INDEX( PointerTest!E:E, MATCH(B7, PointerTest!A:A, 0), 0), 'language&amp;DataTest'!A:A, 0), MATCH(HOME!$A$25, 'language&amp;DataTest'!$A$1:$H$1, 0))))</f>
        <v>Floragato</v>
      </c>
      <c r="D7" s="69" t="str">
        <f t="array" ref="D7">TEXTJOIN("", TRUE, 
IFERROR(INDEX('language&amp;DataTest'!A:J, MATCH(INDEX( PointerTest!C:C, MATCH(INDEX(PointerTest!B:B, MATCH(B7, PointerTest!A:A, 0)), PointerTest!A:A, 0), 0), 'language&amp;DataTest'!A:A, 0), MATCH(HOME!$A$25, 'language&amp;DataTest'!$A$1:$H$1, 0))),                      
IFERROR(INDEX('language&amp;DataTest'!A:J, MATCH(INDEX( PointerTest!D:D, MATCH(INDEX(PointerTest!B:B, MATCH(B7, PointerTest!A:A, 0)), PointerTest!A:A, 0), 0), 'language&amp;DataTest'!A:A, 0), MATCH(HOME!$A$25, 'language&amp;DataTest'!$A$1:$H$1, 0))),                                          
IFERROR(INDEX('language&amp;DataTest'!A:J, MATCH(INDEX( PointerTest!E:E, MATCH(INDEX(PointerTest!B:B, MATCH(B7, PointerTest!A:A, 0)), PointerTest!A:A, 0), 0), 'language&amp;DataTest'!A:A, 0), MATCH(HOME!$A$25, 'language&amp;DataTest'!$A$1:$H$1, 0))))</f>
        <v>Lucario ex</v>
      </c>
      <c r="E7" s="69" t="str">
        <f t="array" ref="E7">INDEX( PointerTest!F:F, MATCH(B7, PointerTest!A:A, 0), 0)</f>
        <v>♢♢</v>
      </c>
      <c r="F7" s="70" t="str">
        <f t="array" ref="F7">LET(percentage,XLOOKUP($E7,$K$2:$K$12,L$2:L$12,"",0)/(COUNTIFS($E:$E,$E7,$D:$D,RegularFormula!$D$2)+COUNTIFS($E:$E,$E7,$D:$D,IF($D7=RegularFormula!$D$2,$K$17,$D7))),IFERROR(IF(percentage,percentage,""),""))</f>
        <v/>
      </c>
      <c r="G7" s="71">
        <f t="array" ref="G7">LET(percentage,XLOOKUP($E7,$K$2:$K$12,M$2:M$12,"",0)/(COUNTIFS($E:$E,$E7,$D:$D,RegularFormula!$D$2)+COUNTIFS($E:$E,$E7,$D:$D,IF($D7=RegularFormula!$D$2,$K$17,$D7))),IFERROR(IF(percentage,percentage,""),""))</f>
        <v>0.04043431818</v>
      </c>
      <c r="H7" s="71">
        <f t="array" ref="H7">LET(percentage,XLOOKUP($E7,$K$2:$K$12,N$2:N$12,"",0)/(COUNTIFS($E:$E,$E7,$D:$D,RegularFormula!$D$2)+COUNTIFS($E:$E,$E7,$D:$D,IF($D7=RegularFormula!$D$2,$K$17,$D7))),IFERROR(IF(percentage,percentage,""),""))</f>
        <v>0.02544181818</v>
      </c>
      <c r="I7" s="72" t="str">
        <f t="shared" si="1"/>
        <v/>
      </c>
      <c r="J7" s="73">
        <v>0.0</v>
      </c>
      <c r="K7" s="81" t="s">
        <v>79</v>
      </c>
      <c r="L7" s="240">
        <v>7.692E-5</v>
      </c>
      <c r="M7" s="132">
        <v>0.02578406</v>
      </c>
      <c r="N7" s="242">
        <v>0.10290548</v>
      </c>
      <c r="O7" s="86" t="str">
        <f>IFERROR(__xludf.DUMMYFUNCTION("""COMPUTED_VALUE"""),"A2b 079")</f>
        <v>A2b 079</v>
      </c>
      <c r="P7" s="86" t="str">
        <f>IFERROR(__xludf.DUMMYFUNCTION("""COMPUTED_VALUE"""),"Beedrill ex")</f>
        <v>Beedrill ex</v>
      </c>
      <c r="Q7" s="86" t="str">
        <f>IFERROR(__xludf.DUMMYFUNCTION("""COMPUTED_VALUE"""),"☆☆")</f>
        <v>☆☆</v>
      </c>
      <c r="R7" s="79">
        <f t="shared" si="2"/>
        <v>1250</v>
      </c>
    </row>
    <row r="8">
      <c r="A8" s="217" t="b">
        <v>1</v>
      </c>
      <c r="B8" s="218" t="s">
        <v>858</v>
      </c>
      <c r="C8" s="69" t="str">
        <f t="array" ref="C8">TEXTJOIN("", TRUE, IFERROR(INDEX('language&amp;DataTest'!A:J, MATCH(INDEX( PointerTest!C:C, MATCH(B8, PointerTest!A:A, 0), 0), 'language&amp;DataTest'!A:A, 0), MATCH(HOME!$A$25, 'language&amp;DataTest'!$A$1:$H$1, 0))),                      IFERROR(INDEX('language&amp;DataTest'!A:J, MATCH(INDEX( PointerTest!D:D, MATCH(B8, PointerTest!A:A, 0), 0), 'language&amp;DataTest'!A:A, 0), MATCH(HOME!$A$25, 'language&amp;DataTest'!$A$1:$H$1, 0))),                                          
IFERROR(INDEX('language&amp;DataTest'!A:J, MATCH(INDEX( PointerTest!E:E, MATCH(B8, PointerTest!A:A, 0), 0), 'language&amp;DataTest'!A:A, 0), MATCH(HOME!$A$25, 'language&amp;DataTest'!$A$1:$H$1, 0))))</f>
        <v>Meowscarada</v>
      </c>
      <c r="D8" s="69" t="str">
        <f t="array" ref="D8">TEXTJOIN("", TRUE, 
IFERROR(INDEX('language&amp;DataTest'!A:J, MATCH(INDEX( PointerTest!C:C, MATCH(INDEX(PointerTest!B:B, MATCH(B8, PointerTest!A:A, 0)), PointerTest!A:A, 0), 0), 'language&amp;DataTest'!A:A, 0), MATCH(HOME!$A$25, 'language&amp;DataTest'!$A$1:$H$1, 0))),                      
IFERROR(INDEX('language&amp;DataTest'!A:J, MATCH(INDEX( PointerTest!D:D, MATCH(INDEX(PointerTest!B:B, MATCH(B8, PointerTest!A:A, 0)), PointerTest!A:A, 0), 0), 'language&amp;DataTest'!A:A, 0), MATCH(HOME!$A$25, 'language&amp;DataTest'!$A$1:$H$1, 0))),                                          
IFERROR(INDEX('language&amp;DataTest'!A:J, MATCH(INDEX( PointerTest!E:E, MATCH(INDEX(PointerTest!B:B, MATCH(B8, PointerTest!A:A, 0)), PointerTest!A:A, 0), 0), 'language&amp;DataTest'!A:A, 0), MATCH(HOME!$A$25, 'language&amp;DataTest'!$A$1:$H$1, 0))))</f>
        <v>Lucario ex</v>
      </c>
      <c r="E8" s="69" t="str">
        <f t="array" ref="E8">INDEX( PointerTest!F:F, MATCH(B8, PointerTest!A:A, 0), 0)</f>
        <v>♢♢♢</v>
      </c>
      <c r="F8" s="70" t="str">
        <f t="array" ref="F8">LET(percentage,XLOOKUP($E8,$K$2:$K$12,L$2:L$12,"",0)/(COUNTIFS($E:$E,$E8,$D:$D,RegularFormula!$D$2)+COUNTIFS($E:$E,$E8,$D:$D,IF($D8=RegularFormula!$D$2,$K$17,$D8))),IFERROR(IF(percentage,percentage,""),""))</f>
        <v/>
      </c>
      <c r="G8" s="71">
        <f t="array" ref="G8">LET(percentage,XLOOKUP($E8,$K$2:$K$12,M$2:M$12,"",0)/(COUNTIFS($E:$E,$E8,$D:$D,RegularFormula!$D$2)+COUNTIFS($E:$E,$E8,$D:$D,IF($D8=RegularFormula!$D$2,$K$17,$D8))),IFERROR(IF(percentage,percentage,""),""))</f>
        <v>0.005499471111</v>
      </c>
      <c r="H8" s="71">
        <f t="array" ref="H8">LET(percentage,XLOOKUP($E8,$K$2:$K$12,N$2:N$12,"",0)/(COUNTIFS($E:$E,$E8,$D:$D,RegularFormula!$D$2)+COUNTIFS($E:$E,$E8,$D:$D,IF($D8=RegularFormula!$D$2,$K$17,$D8))),IFERROR(IF(percentage,percentage,""),""))</f>
        <v>0.02200010556</v>
      </c>
      <c r="I8" s="72" t="str">
        <f t="shared" si="1"/>
        <v/>
      </c>
      <c r="J8" s="73">
        <v>0.0</v>
      </c>
      <c r="K8" s="81" t="s">
        <v>81</v>
      </c>
      <c r="L8" s="240">
        <v>2.1794500000000001E-4</v>
      </c>
      <c r="M8" s="132">
        <v>0.005215445</v>
      </c>
      <c r="N8" s="242">
        <v>0.020207945</v>
      </c>
      <c r="O8" s="86" t="str">
        <f>IFERROR(__xludf.DUMMYFUNCTION("""COMPUTED_VALUE"""),"A2b 080")</f>
        <v>A2b 080</v>
      </c>
      <c r="P8" s="86" t="str">
        <f>IFERROR(__xludf.DUMMYFUNCTION("""COMPUTED_VALUE"""),"Charizard ex")</f>
        <v>Charizard ex</v>
      </c>
      <c r="Q8" s="86" t="str">
        <f>IFERROR(__xludf.DUMMYFUNCTION("""COMPUTED_VALUE"""),"☆☆")</f>
        <v>☆☆</v>
      </c>
      <c r="R8" s="79">
        <f t="shared" si="2"/>
        <v>1250</v>
      </c>
    </row>
    <row r="9">
      <c r="A9" s="217" t="b">
        <v>1</v>
      </c>
      <c r="B9" s="218" t="s">
        <v>859</v>
      </c>
      <c r="C9" s="69" t="str">
        <f t="array" ref="C9">TEXTJOIN("", TRUE, IFERROR(INDEX('language&amp;DataTest'!A:J, MATCH(INDEX( PointerTest!C:C, MATCH(B9, PointerTest!A:A, 0), 0), 'language&amp;DataTest'!A:A, 0), MATCH(HOME!$A$25, 'language&amp;DataTest'!$A$1:$H$1, 0))),                      IFERROR(INDEX('language&amp;DataTest'!A:J, MATCH(INDEX( PointerTest!D:D, MATCH(B9, PointerTest!A:A, 0), 0), 'language&amp;DataTest'!A:A, 0), MATCH(HOME!$A$25, 'language&amp;DataTest'!$A$1:$H$1, 0))),                                          
IFERROR(INDEX('language&amp;DataTest'!A:J, MATCH(INDEX( PointerTest!E:E, MATCH(B9, PointerTest!A:A, 0), 0), 'language&amp;DataTest'!A:A, 0), MATCH(HOME!$A$25, 'language&amp;DataTest'!$A$1:$H$1, 0))))</f>
        <v>Charmander</v>
      </c>
      <c r="D9" s="69" t="str">
        <f t="array" ref="D9">TEXTJOIN("", TRUE, 
IFERROR(INDEX('language&amp;DataTest'!A:J, MATCH(INDEX( PointerTest!C:C, MATCH(INDEX(PointerTest!B:B, MATCH(B9, PointerTest!A:A, 0)), PointerTest!A:A, 0), 0), 'language&amp;DataTest'!A:A, 0), MATCH(HOME!$A$25, 'language&amp;DataTest'!$A$1:$H$1, 0))),                      
IFERROR(INDEX('language&amp;DataTest'!A:J, MATCH(INDEX( PointerTest!D:D, MATCH(INDEX(PointerTest!B:B, MATCH(B9, PointerTest!A:A, 0)), PointerTest!A:A, 0), 0), 'language&amp;DataTest'!A:A, 0), MATCH(HOME!$A$25, 'language&amp;DataTest'!$A$1:$H$1, 0))),                                          
IFERROR(INDEX('language&amp;DataTest'!A:J, MATCH(INDEX( PointerTest!E:E, MATCH(INDEX(PointerTest!B:B, MATCH(B9, PointerTest!A:A, 0)), PointerTest!A:A, 0), 0), 'language&amp;DataTest'!A:A, 0), MATCH(HOME!$A$25, 'language&amp;DataTest'!$A$1:$H$1, 0))))</f>
        <v>Lucario ex</v>
      </c>
      <c r="E9" s="69" t="str">
        <f t="array" ref="E9">INDEX( PointerTest!F:F, MATCH(B9, PointerTest!A:A, 0), 0)</f>
        <v>♢</v>
      </c>
      <c r="F9" s="70">
        <f t="array" ref="F9">LET(percentage,XLOOKUP($E9,$K$2:$K$12,L$2:L$12,"",0)/(COUNTIFS($E:$E,$E9,$D:$D,RegularFormula!$D$2)+COUNTIFS($E:$E,$E9,$D:$D,IF($D9=RegularFormula!$D$2,$K$17,$D9))),IFERROR(IF(percentage,percentage,""),""))</f>
        <v>0.031234375</v>
      </c>
      <c r="G9" s="71" t="str">
        <f t="array" ref="G9">LET(percentage,XLOOKUP($E9,$K$2:$K$12,M$2:M$12,"",0)/(COUNTIFS($E:$E,$E9,$D:$D,RegularFormula!$D$2)+COUNTIFS($E:$E,$E9,$D:$D,IF($D9=RegularFormula!$D$2,$K$17,$D9))),IFERROR(IF(percentage,percentage,""),""))</f>
        <v/>
      </c>
      <c r="H9" s="71" t="str">
        <f t="array" ref="H9">LET(percentage,XLOOKUP($E9,$K$2:$K$12,N$2:N$12,"",0)/(COUNTIFS($E:$E,$E9,$D:$D,RegularFormula!$D$2)+COUNTIFS($E:$E,$E9,$D:$D,IF($D9=RegularFormula!$D$2,$K$17,$D9))),IFERROR(IF(percentage,percentage,""),""))</f>
        <v/>
      </c>
      <c r="I9" s="72" t="str">
        <f t="shared" si="1"/>
        <v/>
      </c>
      <c r="J9" s="73">
        <v>0.0</v>
      </c>
      <c r="K9" s="81" t="s">
        <v>83</v>
      </c>
      <c r="L9" s="240">
        <v>1.282E-5</v>
      </c>
      <c r="M9" s="132">
        <v>0.0022317100000000005</v>
      </c>
      <c r="N9" s="242">
        <v>0.008888380000000001</v>
      </c>
      <c r="O9" s="86" t="str">
        <f>IFERROR(__xludf.DUMMYFUNCTION("""COMPUTED_VALUE"""),"A2b 081")</f>
        <v>A2b 081</v>
      </c>
      <c r="P9" s="86" t="str">
        <f>IFERROR(__xludf.DUMMYFUNCTION("""COMPUTED_VALUE"""),"Wugtrio ex")</f>
        <v>Wugtrio ex</v>
      </c>
      <c r="Q9" s="86" t="str">
        <f>IFERROR(__xludf.DUMMYFUNCTION("""COMPUTED_VALUE"""),"☆☆")</f>
        <v>☆☆</v>
      </c>
      <c r="R9" s="79">
        <f t="shared" si="2"/>
        <v>1250</v>
      </c>
    </row>
    <row r="10">
      <c r="A10" s="217" t="b">
        <v>1</v>
      </c>
      <c r="B10" s="218" t="s">
        <v>860</v>
      </c>
      <c r="C10" s="69" t="str">
        <f t="array" ref="C10">TEXTJOIN("", TRUE, IFERROR(INDEX('language&amp;DataTest'!A:J, MATCH(INDEX( PointerTest!C:C, MATCH(B10, PointerTest!A:A, 0), 0), 'language&amp;DataTest'!A:A, 0), MATCH(HOME!$A$25, 'language&amp;DataTest'!$A$1:$H$1, 0))),                      IFERROR(INDEX('language&amp;DataTest'!A:J, MATCH(INDEX( PointerTest!D:D, MATCH(B10, PointerTest!A:A, 0), 0), 'language&amp;DataTest'!A:A, 0), MATCH(HOME!$A$25, 'language&amp;DataTest'!$A$1:$H$1, 0))),                                          
IFERROR(INDEX('language&amp;DataTest'!A:J, MATCH(INDEX( PointerTest!E:E, MATCH(B10, PointerTest!A:A, 0), 0), 'language&amp;DataTest'!A:A, 0), MATCH(HOME!$A$25, 'language&amp;DataTest'!$A$1:$H$1, 0))))</f>
        <v>Charmeleon</v>
      </c>
      <c r="D10" s="69" t="str">
        <f t="array" ref="D10">TEXTJOIN("", TRUE, 
IFERROR(INDEX('language&amp;DataTest'!A:J, MATCH(INDEX( PointerTest!C:C, MATCH(INDEX(PointerTest!B:B, MATCH(B10, PointerTest!A:A, 0)), PointerTest!A:A, 0), 0), 'language&amp;DataTest'!A:A, 0), MATCH(HOME!$A$25, 'language&amp;DataTest'!$A$1:$H$1, 0))),                      
IFERROR(INDEX('language&amp;DataTest'!A:J, MATCH(INDEX( PointerTest!D:D, MATCH(INDEX(PointerTest!B:B, MATCH(B10, PointerTest!A:A, 0)), PointerTest!A:A, 0), 0), 'language&amp;DataTest'!A:A, 0), MATCH(HOME!$A$25, 'language&amp;DataTest'!$A$1:$H$1, 0))),                                          
IFERROR(INDEX('language&amp;DataTest'!A:J, MATCH(INDEX( PointerTest!E:E, MATCH(INDEX(PointerTest!B:B, MATCH(B10, PointerTest!A:A, 0)), PointerTest!A:A, 0), 0), 'language&amp;DataTest'!A:A, 0), MATCH(HOME!$A$25, 'language&amp;DataTest'!$A$1:$H$1, 0))))</f>
        <v>Lucario ex</v>
      </c>
      <c r="E10" s="69" t="str">
        <f t="array" ref="E10">INDEX( PointerTest!F:F, MATCH(B10, PointerTest!A:A, 0), 0)</f>
        <v>♢♢</v>
      </c>
      <c r="F10" s="70" t="str">
        <f t="array" ref="F10">LET(percentage,XLOOKUP($E10,$K$2:$K$12,L$2:L$12,"",0)/(COUNTIFS($E:$E,$E10,$D:$D,RegularFormula!$D$2)+COUNTIFS($E:$E,$E10,$D:$D,IF($D10=RegularFormula!$D$2,$K$17,$D10))),IFERROR(IF(percentage,percentage,""),""))</f>
        <v/>
      </c>
      <c r="G10" s="71">
        <f t="array" ref="G10">LET(percentage,XLOOKUP($E10,$K$2:$K$12,M$2:M$12,"",0)/(COUNTIFS($E:$E,$E10,$D:$D,RegularFormula!$D$2)+COUNTIFS($E:$E,$E10,$D:$D,IF($D10=RegularFormula!$D$2,$K$17,$D10))),IFERROR(IF(percentage,percentage,""),""))</f>
        <v>0.04043431818</v>
      </c>
      <c r="H10" s="71">
        <f t="array" ref="H10">LET(percentage,XLOOKUP($E10,$K$2:$K$12,N$2:N$12,"",0)/(COUNTIFS($E:$E,$E10,$D:$D,RegularFormula!$D$2)+COUNTIFS($E:$E,$E10,$D:$D,IF($D10=RegularFormula!$D$2,$K$17,$D10))),IFERROR(IF(percentage,percentage,""),""))</f>
        <v>0.02544181818</v>
      </c>
      <c r="I10" s="72" t="str">
        <f t="shared" si="1"/>
        <v/>
      </c>
      <c r="J10" s="73">
        <v>0.0</v>
      </c>
      <c r="K10" s="124" t="s">
        <v>861</v>
      </c>
      <c r="L10" s="243">
        <v>1.2820500000000002E-4</v>
      </c>
      <c r="M10" s="244">
        <v>0.007264635</v>
      </c>
      <c r="N10" s="245">
        <v>0.02868392</v>
      </c>
      <c r="O10" s="86" t="str">
        <f>IFERROR(__xludf.DUMMYFUNCTION("""COMPUTED_VALUE"""),"A2b 082")</f>
        <v>A2b 082</v>
      </c>
      <c r="P10" s="86" t="str">
        <f>IFERROR(__xludf.DUMMYFUNCTION("""COMPUTED_VALUE"""),"Pikachu ex")</f>
        <v>Pikachu ex</v>
      </c>
      <c r="Q10" s="86" t="str">
        <f>IFERROR(__xludf.DUMMYFUNCTION("""COMPUTED_VALUE"""),"☆☆")</f>
        <v>☆☆</v>
      </c>
      <c r="R10" s="79">
        <f t="shared" si="2"/>
        <v>1250</v>
      </c>
    </row>
    <row r="11">
      <c r="A11" s="217" t="b">
        <v>0</v>
      </c>
      <c r="B11" s="218" t="s">
        <v>862</v>
      </c>
      <c r="C11" s="69" t="str">
        <f t="array" ref="C11">TEXTJOIN("", TRUE, IFERROR(INDEX('language&amp;DataTest'!A:J, MATCH(INDEX( PointerTest!C:C, MATCH(B11, PointerTest!A:A, 0), 0), 'language&amp;DataTest'!A:A, 0), MATCH(HOME!$A$25, 'language&amp;DataTest'!$A$1:$H$1, 0))),                      IFERROR(INDEX('language&amp;DataTest'!A:J, MATCH(INDEX( PointerTest!D:D, MATCH(B11, PointerTest!A:A, 0), 0), 'language&amp;DataTest'!A:A, 0), MATCH(HOME!$A$25, 'language&amp;DataTest'!$A$1:$H$1, 0))),                                          
IFERROR(INDEX('language&amp;DataTest'!A:J, MATCH(INDEX( PointerTest!E:E, MATCH(B11, PointerTest!A:A, 0), 0), 'language&amp;DataTest'!A:A, 0), MATCH(HOME!$A$25, 'language&amp;DataTest'!$A$1:$H$1, 0))))</f>
        <v>Charizard ex</v>
      </c>
      <c r="D11" s="69" t="str">
        <f t="array" ref="D11">TEXTJOIN("", TRUE, 
IFERROR(INDEX('language&amp;DataTest'!A:J, MATCH(INDEX( PointerTest!C:C, MATCH(INDEX(PointerTest!B:B, MATCH(B11, PointerTest!A:A, 0)), PointerTest!A:A, 0), 0), 'language&amp;DataTest'!A:A, 0), MATCH(HOME!$A$25, 'language&amp;DataTest'!$A$1:$H$1, 0))),                      
IFERROR(INDEX('language&amp;DataTest'!A:J, MATCH(INDEX( PointerTest!D:D, MATCH(INDEX(PointerTest!B:B, MATCH(B11, PointerTest!A:A, 0)), PointerTest!A:A, 0), 0), 'language&amp;DataTest'!A:A, 0), MATCH(HOME!$A$25, 'language&amp;DataTest'!$A$1:$H$1, 0))),                                          
IFERROR(INDEX('language&amp;DataTest'!A:J, MATCH(INDEX( PointerTest!E:E, MATCH(INDEX(PointerTest!B:B, MATCH(B11, PointerTest!A:A, 0)), PointerTest!A:A, 0), 0), 'language&amp;DataTest'!A:A, 0), MATCH(HOME!$A$25, 'language&amp;DataTest'!$A$1:$H$1, 0))))</f>
        <v>Lucario ex</v>
      </c>
      <c r="E11" s="69" t="str">
        <f t="array" ref="E11">INDEX( PointerTest!F:F, MATCH(B11, PointerTest!A:A, 0), 0)</f>
        <v>♢♢♢♢</v>
      </c>
      <c r="F11" s="70" t="str">
        <f t="array" ref="F11">LET(percentage,XLOOKUP($E11,$K$2:$K$12,L$2:L$12,"",0)/(COUNTIFS($E:$E,$E11,$D:$D,RegularFormula!$D$2)+COUNTIFS($E:$E,$E11,$D:$D,IF($D11=RegularFormula!$D$2,$K$17,$D11))),IFERROR(IF(percentage,percentage,""),""))</f>
        <v/>
      </c>
      <c r="G11" s="71">
        <f t="array" ref="G11">LET(percentage,XLOOKUP($E11,$K$2:$K$12,M$2:M$12,"",0)/(COUNTIFS($E:$E,$E11,$D:$D,RegularFormula!$D$2)+COUNTIFS($E:$E,$E11,$D:$D,IF($D11=RegularFormula!$D$2,$K$17,$D11))),IFERROR(IF(percentage,percentage,""),""))</f>
        <v>0.001850185556</v>
      </c>
      <c r="H11" s="71">
        <f t="array" ref="H11">LET(percentage,XLOOKUP($E11,$K$2:$K$12,N$2:N$12,"",0)/(COUNTIFS($E:$E,$E11,$D:$D,RegularFormula!$D$2)+COUNTIFS($E:$E,$E11,$D:$D,IF($D11=RegularFormula!$D$2,$K$17,$D11))),IFERROR(IF(percentage,percentage,""),""))</f>
        <v>0.007400742222</v>
      </c>
      <c r="I11" s="72" t="str">
        <f t="shared" si="1"/>
        <v/>
      </c>
      <c r="J11" s="73">
        <v>0.0</v>
      </c>
      <c r="K11" s="124" t="s">
        <v>863</v>
      </c>
      <c r="L11" s="243">
        <v>5.128E-5</v>
      </c>
      <c r="M11" s="244">
        <v>0.0033796150000000003</v>
      </c>
      <c r="N11" s="245">
        <v>0.013374615000000001</v>
      </c>
      <c r="O11" s="86" t="str">
        <f>IFERROR(__xludf.DUMMYFUNCTION("""COMPUTED_VALUE"""),"A2b 083")</f>
        <v>A2b 083</v>
      </c>
      <c r="P11" s="86" t="str">
        <f>IFERROR(__xludf.DUMMYFUNCTION("""COMPUTED_VALUE"""),"Giratina ex")</f>
        <v>Giratina ex</v>
      </c>
      <c r="Q11" s="86" t="str">
        <f>IFERROR(__xludf.DUMMYFUNCTION("""COMPUTED_VALUE"""),"☆☆")</f>
        <v>☆☆</v>
      </c>
      <c r="R11" s="79">
        <f t="shared" si="2"/>
        <v>1250</v>
      </c>
    </row>
    <row r="12">
      <c r="A12" s="217" t="b">
        <v>1</v>
      </c>
      <c r="B12" s="218" t="s">
        <v>864</v>
      </c>
      <c r="C12" s="69" t="str">
        <f t="array" ref="C12">TEXTJOIN("", TRUE, IFERROR(INDEX('language&amp;DataTest'!A:J, MATCH(INDEX( PointerTest!C:C, MATCH(B12, PointerTest!A:A, 0), 0), 'language&amp;DataTest'!A:A, 0), MATCH(HOME!$A$25, 'language&amp;DataTest'!$A$1:$H$1, 0))),                      IFERROR(INDEX('language&amp;DataTest'!A:J, MATCH(INDEX( PointerTest!D:D, MATCH(B12, PointerTest!A:A, 0), 0), 'language&amp;DataTest'!A:A, 0), MATCH(HOME!$A$25, 'language&amp;DataTest'!$A$1:$H$1, 0))),                                          
IFERROR(INDEX('language&amp;DataTest'!A:J, MATCH(INDEX( PointerTest!E:E, MATCH(B12, PointerTest!A:A, 0), 0), 'language&amp;DataTest'!A:A, 0), MATCH(HOME!$A$25, 'language&amp;DataTest'!$A$1:$H$1, 0))))</f>
        <v>Magmar</v>
      </c>
      <c r="D12" s="69" t="str">
        <f t="array" ref="D12">TEXTJOIN("", TRUE, 
IFERROR(INDEX('language&amp;DataTest'!A:J, MATCH(INDEX( PointerTest!C:C, MATCH(INDEX(PointerTest!B:B, MATCH(B12, PointerTest!A:A, 0)), PointerTest!A:A, 0), 0), 'language&amp;DataTest'!A:A, 0), MATCH(HOME!$A$25, 'language&amp;DataTest'!$A$1:$H$1, 0))),                      
IFERROR(INDEX('language&amp;DataTest'!A:J, MATCH(INDEX( PointerTest!D:D, MATCH(INDEX(PointerTest!B:B, MATCH(B12, PointerTest!A:A, 0)), PointerTest!A:A, 0), 0), 'language&amp;DataTest'!A:A, 0), MATCH(HOME!$A$25, 'language&amp;DataTest'!$A$1:$H$1, 0))),                                          
IFERROR(INDEX('language&amp;DataTest'!A:J, MATCH(INDEX( PointerTest!E:E, MATCH(INDEX(PointerTest!B:B, MATCH(B12, PointerTest!A:A, 0)), PointerTest!A:A, 0), 0), 'language&amp;DataTest'!A:A, 0), MATCH(HOME!$A$25, 'language&amp;DataTest'!$A$1:$H$1, 0))))</f>
        <v>Lucario ex</v>
      </c>
      <c r="E12" s="69" t="str">
        <f t="array" ref="E12">INDEX( PointerTest!F:F, MATCH(B12, PointerTest!A:A, 0), 0)</f>
        <v>♢</v>
      </c>
      <c r="F12" s="70">
        <f t="array" ref="F12">LET(percentage,XLOOKUP($E12,$K$2:$K$12,L$2:L$12,"",0)/(COUNTIFS($E:$E,$E12,$D:$D,RegularFormula!$D$2)+COUNTIFS($E:$E,$E12,$D:$D,IF($D12=RegularFormula!$D$2,$K$17,$D12))),IFERROR(IF(percentage,percentage,""),""))</f>
        <v>0.031234375</v>
      </c>
      <c r="G12" s="71" t="str">
        <f t="array" ref="G12">LET(percentage,XLOOKUP($E12,$K$2:$K$12,M$2:M$12,"",0)/(COUNTIFS($E:$E,$E12,$D:$D,RegularFormula!$D$2)+COUNTIFS($E:$E,$E12,$D:$D,IF($D12=RegularFormula!$D$2,$K$17,$D12))),IFERROR(IF(percentage,percentage,""),""))</f>
        <v/>
      </c>
      <c r="H12" s="71" t="str">
        <f t="array" ref="H12">LET(percentage,XLOOKUP($E12,$K$2:$K$12,N$2:N$12,"",0)/(COUNTIFS($E:$E,$E12,$D:$D,RegularFormula!$D$2)+COUNTIFS($E:$E,$E12,$D:$D,IF($D12=RegularFormula!$D$2,$K$17,$D12))),IFERROR(IF(percentage,percentage,""),""))</f>
        <v/>
      </c>
      <c r="I12" s="72" t="str">
        <f t="shared" si="1"/>
        <v/>
      </c>
      <c r="J12" s="73">
        <v>0.0</v>
      </c>
      <c r="K12" s="88" t="s">
        <v>85</v>
      </c>
      <c r="L12" s="246">
        <v>1.282E-5</v>
      </c>
      <c r="M12" s="247">
        <v>4.1262E-4</v>
      </c>
      <c r="N12" s="248">
        <v>0.00161202</v>
      </c>
      <c r="O12" s="86" t="str">
        <f>IFERROR(__xludf.DUMMYFUNCTION("""COMPUTED_VALUE"""),"A2b 084")</f>
        <v>A2b 084</v>
      </c>
      <c r="P12" s="86" t="str">
        <f>IFERROR(__xludf.DUMMYFUNCTION("""COMPUTED_VALUE"""),"Lucario ex")</f>
        <v>Lucario ex</v>
      </c>
      <c r="Q12" s="86" t="str">
        <f>IFERROR(__xludf.DUMMYFUNCTION("""COMPUTED_VALUE"""),"☆☆")</f>
        <v>☆☆</v>
      </c>
      <c r="R12" s="79">
        <f t="shared" si="2"/>
        <v>1250</v>
      </c>
    </row>
    <row r="13">
      <c r="A13" s="217" t="b">
        <v>1</v>
      </c>
      <c r="B13" s="218" t="s">
        <v>865</v>
      </c>
      <c r="C13" s="69" t="str">
        <f t="array" ref="C13">TEXTJOIN("", TRUE, IFERROR(INDEX('language&amp;DataTest'!A:J, MATCH(INDEX( PointerTest!C:C, MATCH(B13, PointerTest!A:A, 0), 0), 'language&amp;DataTest'!A:A, 0), MATCH(HOME!$A$25, 'language&amp;DataTest'!$A$1:$H$1, 0))),                      IFERROR(INDEX('language&amp;DataTest'!A:J, MATCH(INDEX( PointerTest!D:D, MATCH(B13, PointerTest!A:A, 0), 0), 'language&amp;DataTest'!A:A, 0), MATCH(HOME!$A$25, 'language&amp;DataTest'!$A$1:$H$1, 0))),                                          
IFERROR(INDEX('language&amp;DataTest'!A:J, MATCH(INDEX( PointerTest!E:E, MATCH(B13, PointerTest!A:A, 0), 0), 'language&amp;DataTest'!A:A, 0), MATCH(HOME!$A$25, 'language&amp;DataTest'!$A$1:$H$1, 0))))</f>
        <v>Magmortar</v>
      </c>
      <c r="D13" s="69" t="str">
        <f t="array" ref="D13">TEXTJOIN("", TRUE, 
IFERROR(INDEX('language&amp;DataTest'!A:J, MATCH(INDEX( PointerTest!C:C, MATCH(INDEX(PointerTest!B:B, MATCH(B13, PointerTest!A:A, 0)), PointerTest!A:A, 0), 0), 'language&amp;DataTest'!A:A, 0), MATCH(HOME!$A$25, 'language&amp;DataTest'!$A$1:$H$1, 0))),                      
IFERROR(INDEX('language&amp;DataTest'!A:J, MATCH(INDEX( PointerTest!D:D, MATCH(INDEX(PointerTest!B:B, MATCH(B13, PointerTest!A:A, 0)), PointerTest!A:A, 0), 0), 'language&amp;DataTest'!A:A, 0), MATCH(HOME!$A$25, 'language&amp;DataTest'!$A$1:$H$1, 0))),                                          
IFERROR(INDEX('language&amp;DataTest'!A:J, MATCH(INDEX( PointerTest!E:E, MATCH(INDEX(PointerTest!B:B, MATCH(B13, PointerTest!A:A, 0)), PointerTest!A:A, 0), 0), 'language&amp;DataTest'!A:A, 0), MATCH(HOME!$A$25, 'language&amp;DataTest'!$A$1:$H$1, 0))))</f>
        <v>Lucario ex</v>
      </c>
      <c r="E13" s="69" t="str">
        <f t="array" ref="E13">INDEX( PointerTest!F:F, MATCH(B13, PointerTest!A:A, 0), 0)</f>
        <v>♢♢♢</v>
      </c>
      <c r="F13" s="70" t="str">
        <f t="array" ref="F13">LET(percentage,XLOOKUP($E13,$K$2:$K$12,L$2:L$12,"",0)/(COUNTIFS($E:$E,$E13,$D:$D,RegularFormula!$D$2)+COUNTIFS($E:$E,$E13,$D:$D,IF($D13=RegularFormula!$D$2,$K$17,$D13))),IFERROR(IF(percentage,percentage,""),""))</f>
        <v/>
      </c>
      <c r="G13" s="71">
        <f t="array" ref="G13">LET(percentage,XLOOKUP($E13,$K$2:$K$12,M$2:M$12,"",0)/(COUNTIFS($E:$E,$E13,$D:$D,RegularFormula!$D$2)+COUNTIFS($E:$E,$E13,$D:$D,IF($D13=RegularFormula!$D$2,$K$17,$D13))),IFERROR(IF(percentage,percentage,""),""))</f>
        <v>0.005499471111</v>
      </c>
      <c r="H13" s="71">
        <f t="array" ref="H13">LET(percentage,XLOOKUP($E13,$K$2:$K$12,N$2:N$12,"",0)/(COUNTIFS($E:$E,$E13,$D:$D,RegularFormula!$D$2)+COUNTIFS($E:$E,$E13,$D:$D,IF($D13=RegularFormula!$D$2,$K$17,$D13))),IFERROR(IF(percentage,percentage,""),""))</f>
        <v>0.02200010556</v>
      </c>
      <c r="I13" s="72" t="str">
        <f t="shared" si="1"/>
        <v/>
      </c>
      <c r="J13" s="73">
        <v>0.0</v>
      </c>
      <c r="K13" s="93" t="s">
        <v>87</v>
      </c>
      <c r="N13" s="94"/>
      <c r="O13" s="86" t="str">
        <f>IFERROR(__xludf.DUMMYFUNCTION("""COMPUTED_VALUE"""),"A2b 086")</f>
        <v>A2b 086</v>
      </c>
      <c r="P13" s="86" t="str">
        <f>IFERROR(__xludf.DUMMYFUNCTION("""COMPUTED_VALUE"""),"Tinkaton ex")</f>
        <v>Tinkaton ex</v>
      </c>
      <c r="Q13" s="86" t="str">
        <f>IFERROR(__xludf.DUMMYFUNCTION("""COMPUTED_VALUE"""),"☆☆")</f>
        <v>☆☆</v>
      </c>
      <c r="R13" s="79">
        <f t="shared" si="2"/>
        <v>1250</v>
      </c>
    </row>
    <row r="14">
      <c r="A14" s="217" t="b">
        <v>1</v>
      </c>
      <c r="B14" s="218" t="s">
        <v>866</v>
      </c>
      <c r="C14" s="69" t="str">
        <f t="array" ref="C14">TEXTJOIN("", TRUE, IFERROR(INDEX('language&amp;DataTest'!A:J, MATCH(INDEX( PointerTest!C:C, MATCH(B14, PointerTest!A:A, 0), 0), 'language&amp;DataTest'!A:A, 0), MATCH(HOME!$A$25, 'language&amp;DataTest'!$A$1:$H$1, 0))),                      IFERROR(INDEX('language&amp;DataTest'!A:J, MATCH(INDEX( PointerTest!D:D, MATCH(B14, PointerTest!A:A, 0), 0), 'language&amp;DataTest'!A:A, 0), MATCH(HOME!$A$25, 'language&amp;DataTest'!$A$1:$H$1, 0))),                                          
IFERROR(INDEX('language&amp;DataTest'!A:J, MATCH(INDEX( PointerTest!E:E, MATCH(B14, PointerTest!A:A, 0), 0), 'language&amp;DataTest'!A:A, 0), MATCH(HOME!$A$25, 'language&amp;DataTest'!$A$1:$H$1, 0))))</f>
        <v>Tauros</v>
      </c>
      <c r="D14" s="69" t="str">
        <f t="array" ref="D14">TEXTJOIN("", TRUE, 
IFERROR(INDEX('language&amp;DataTest'!A:J, MATCH(INDEX( PointerTest!C:C, MATCH(INDEX(PointerTest!B:B, MATCH(B14, PointerTest!A:A, 0)), PointerTest!A:A, 0), 0), 'language&amp;DataTest'!A:A, 0), MATCH(HOME!$A$25, 'language&amp;DataTest'!$A$1:$H$1, 0))),                      
IFERROR(INDEX('language&amp;DataTest'!A:J, MATCH(INDEX( PointerTest!D:D, MATCH(INDEX(PointerTest!B:B, MATCH(B14, PointerTest!A:A, 0)), PointerTest!A:A, 0), 0), 'language&amp;DataTest'!A:A, 0), MATCH(HOME!$A$25, 'language&amp;DataTest'!$A$1:$H$1, 0))),                                          
IFERROR(INDEX('language&amp;DataTest'!A:J, MATCH(INDEX( PointerTest!E:E, MATCH(INDEX(PointerTest!B:B, MATCH(B14, PointerTest!A:A, 0)), PointerTest!A:A, 0), 0), 'language&amp;DataTest'!A:A, 0), MATCH(HOME!$A$25, 'language&amp;DataTest'!$A$1:$H$1, 0))))</f>
        <v>Lucario ex</v>
      </c>
      <c r="E14" s="69" t="str">
        <f t="array" ref="E14">INDEX( PointerTest!F:F, MATCH(B14, PointerTest!A:A, 0), 0)</f>
        <v>♢♢</v>
      </c>
      <c r="F14" s="70" t="str">
        <f t="array" ref="F14">LET(percentage,XLOOKUP($E14,$K$2:$K$12,L$2:L$12,"",0)/(COUNTIFS($E:$E,$E14,$D:$D,RegularFormula!$D$2)+COUNTIFS($E:$E,$E14,$D:$D,IF($D14=RegularFormula!$D$2,$K$17,$D14))),IFERROR(IF(percentage,percentage,""),""))</f>
        <v/>
      </c>
      <c r="G14" s="71">
        <f t="array" ref="G14">LET(percentage,XLOOKUP($E14,$K$2:$K$12,M$2:M$12,"",0)/(COUNTIFS($E:$E,$E14,$D:$D,RegularFormula!$D$2)+COUNTIFS($E:$E,$E14,$D:$D,IF($D14=RegularFormula!$D$2,$K$17,$D14))),IFERROR(IF(percentage,percentage,""),""))</f>
        <v>0.04043431818</v>
      </c>
      <c r="H14" s="71">
        <f t="array" ref="H14">LET(percentage,XLOOKUP($E14,$K$2:$K$12,N$2:N$12,"",0)/(COUNTIFS($E:$E,$E14,$D:$D,RegularFormula!$D$2)+COUNTIFS($E:$E,$E14,$D:$D,IF($D14=RegularFormula!$D$2,$K$17,$D14))),IFERROR(IF(percentage,percentage,""),""))</f>
        <v>0.02544181818</v>
      </c>
      <c r="I14" s="72" t="str">
        <f t="shared" si="1"/>
        <v/>
      </c>
      <c r="J14" s="73">
        <v>0.0</v>
      </c>
      <c r="K14" s="96"/>
      <c r="N14" s="94"/>
      <c r="O14" s="103" t="str">
        <f>IFERROR(__xludf.DUMMYFUNCTION("""COMPUTED_VALUE"""),"A2b 087")</f>
        <v>A2b 087</v>
      </c>
      <c r="P14" s="103" t="str">
        <f>IFERROR(__xludf.DUMMYFUNCTION("""COMPUTED_VALUE"""),"Bibarel ex")</f>
        <v>Bibarel ex</v>
      </c>
      <c r="Q14" s="103" t="str">
        <f>IFERROR(__xludf.DUMMYFUNCTION("""COMPUTED_VALUE"""),"☆☆")</f>
        <v>☆☆</v>
      </c>
      <c r="R14" s="79">
        <f t="shared" si="2"/>
        <v>1250</v>
      </c>
    </row>
    <row r="15">
      <c r="A15" s="217" t="b">
        <v>1</v>
      </c>
      <c r="B15" s="218" t="s">
        <v>867</v>
      </c>
      <c r="C15" s="69" t="str">
        <f t="array" ref="C15">TEXTJOIN("", TRUE, IFERROR(INDEX('language&amp;DataTest'!A:J, MATCH(INDEX( PointerTest!C:C, MATCH(B15, PointerTest!A:A, 0), 0), 'language&amp;DataTest'!A:A, 0), MATCH(HOME!$A$25, 'language&amp;DataTest'!$A$1:$H$1, 0))),                      IFERROR(INDEX('language&amp;DataTest'!A:J, MATCH(INDEX( PointerTest!D:D, MATCH(B15, PointerTest!A:A, 0), 0), 'language&amp;DataTest'!A:A, 0), MATCH(HOME!$A$25, 'language&amp;DataTest'!$A$1:$H$1, 0))),                                          
IFERROR(INDEX('language&amp;DataTest'!A:J, MATCH(INDEX( PointerTest!E:E, MATCH(B15, PointerTest!A:A, 0), 0), 'language&amp;DataTest'!A:A, 0), MATCH(HOME!$A$25, 'language&amp;DataTest'!$A$1:$H$1, 0))))</f>
        <v>Tentacool</v>
      </c>
      <c r="D15" s="69" t="str">
        <f t="array" ref="D15">TEXTJOIN("", TRUE, 
IFERROR(INDEX('language&amp;DataTest'!A:J, MATCH(INDEX( PointerTest!C:C, MATCH(INDEX(PointerTest!B:B, MATCH(B15, PointerTest!A:A, 0)), PointerTest!A:A, 0), 0), 'language&amp;DataTest'!A:A, 0), MATCH(HOME!$A$25, 'language&amp;DataTest'!$A$1:$H$1, 0))),                      
IFERROR(INDEX('language&amp;DataTest'!A:J, MATCH(INDEX( PointerTest!D:D, MATCH(INDEX(PointerTest!B:B, MATCH(B15, PointerTest!A:A, 0)), PointerTest!A:A, 0), 0), 'language&amp;DataTest'!A:A, 0), MATCH(HOME!$A$25, 'language&amp;DataTest'!$A$1:$H$1, 0))),                                          
IFERROR(INDEX('language&amp;DataTest'!A:J, MATCH(INDEX( PointerTest!E:E, MATCH(INDEX(PointerTest!B:B, MATCH(B15, PointerTest!A:A, 0)), PointerTest!A:A, 0), 0), 'language&amp;DataTest'!A:A, 0), MATCH(HOME!$A$25, 'language&amp;DataTest'!$A$1:$H$1, 0))))</f>
        <v>Lucario ex</v>
      </c>
      <c r="E15" s="69" t="str">
        <f t="array" ref="E15">INDEX( PointerTest!F:F, MATCH(B15, PointerTest!A:A, 0), 0)</f>
        <v>♢</v>
      </c>
      <c r="F15" s="70">
        <f t="array" ref="F15">LET(percentage,XLOOKUP($E15,$K$2:$K$12,L$2:L$12,"",0)/(COUNTIFS($E:$E,$E15,$D:$D,RegularFormula!$D$2)+COUNTIFS($E:$E,$E15,$D:$D,IF($D15=RegularFormula!$D$2,$K$17,$D15))),IFERROR(IF(percentage,percentage,""),""))</f>
        <v>0.031234375</v>
      </c>
      <c r="G15" s="71" t="str">
        <f t="array" ref="G15">LET(percentage,XLOOKUP($E15,$K$2:$K$12,M$2:M$12,"",0)/(COUNTIFS($E:$E,$E15,$D:$D,RegularFormula!$D$2)+COUNTIFS($E:$E,$E15,$D:$D,IF($D15=RegularFormula!$D$2,$K$17,$D15))),IFERROR(IF(percentage,percentage,""),""))</f>
        <v/>
      </c>
      <c r="H15" s="71" t="str">
        <f t="array" ref="H15">LET(percentage,XLOOKUP($E15,$K$2:$K$12,N$2:N$12,"",0)/(COUNTIFS($E:$E,$E15,$D:$D,RegularFormula!$D$2)+COUNTIFS($E:$E,$E15,$D:$D,IF($D15=RegularFormula!$D$2,$K$17,$D15))),IFERROR(IF(percentage,percentage,""),""))</f>
        <v/>
      </c>
      <c r="I15" s="72" t="str">
        <f t="shared" si="1"/>
        <v/>
      </c>
      <c r="J15" s="73">
        <v>0.0</v>
      </c>
      <c r="K15" s="97" t="s">
        <v>91</v>
      </c>
      <c r="L15" s="98" t="s">
        <v>92</v>
      </c>
      <c r="M15" s="98" t="s">
        <v>93</v>
      </c>
      <c r="N15" s="99" t="s">
        <v>94</v>
      </c>
      <c r="O15" s="103" t="str">
        <f>IFERROR(__xludf.DUMMYFUNCTION("""COMPUTED_VALUE"""),"A2b 088")</f>
        <v>A2b 088</v>
      </c>
      <c r="P15" s="103" t="str">
        <f>IFERROR(__xludf.DUMMYFUNCTION("""COMPUTED_VALUE"""),"Iono")</f>
        <v>Iono</v>
      </c>
      <c r="Q15" s="103" t="str">
        <f>IFERROR(__xludf.DUMMYFUNCTION("""COMPUTED_VALUE"""),"☆☆")</f>
        <v>☆☆</v>
      </c>
      <c r="R15" s="79">
        <f t="shared" si="2"/>
        <v>1250</v>
      </c>
    </row>
    <row r="16">
      <c r="A16" s="217" t="b">
        <v>1</v>
      </c>
      <c r="B16" s="218" t="s">
        <v>868</v>
      </c>
      <c r="C16" s="69" t="str">
        <f t="array" ref="C16">TEXTJOIN("", TRUE, IFERROR(INDEX('language&amp;DataTest'!A:J, MATCH(INDEX( PointerTest!C:C, MATCH(B16, PointerTest!A:A, 0), 0), 'language&amp;DataTest'!A:A, 0), MATCH(HOME!$A$25, 'language&amp;DataTest'!$A$1:$H$1, 0))),                      IFERROR(INDEX('language&amp;DataTest'!A:J, MATCH(INDEX( PointerTest!D:D, MATCH(B16, PointerTest!A:A, 0), 0), 'language&amp;DataTest'!A:A, 0), MATCH(HOME!$A$25, 'language&amp;DataTest'!$A$1:$H$1, 0))),                                          
IFERROR(INDEX('language&amp;DataTest'!A:J, MATCH(INDEX( PointerTest!E:E, MATCH(B16, PointerTest!A:A, 0), 0), 'language&amp;DataTest'!A:A, 0), MATCH(HOME!$A$25, 'language&amp;DataTest'!$A$1:$H$1, 0))))</f>
        <v>Tentacruel</v>
      </c>
      <c r="D16" s="69" t="str">
        <f t="array" ref="D16">TEXTJOIN("", TRUE, 
IFERROR(INDEX('language&amp;DataTest'!A:J, MATCH(INDEX( PointerTest!C:C, MATCH(INDEX(PointerTest!B:B, MATCH(B16, PointerTest!A:A, 0)), PointerTest!A:A, 0), 0), 'language&amp;DataTest'!A:A, 0), MATCH(HOME!$A$25, 'language&amp;DataTest'!$A$1:$H$1, 0))),                      
IFERROR(INDEX('language&amp;DataTest'!A:J, MATCH(INDEX( PointerTest!D:D, MATCH(INDEX(PointerTest!B:B, MATCH(B16, PointerTest!A:A, 0)), PointerTest!A:A, 0), 0), 'language&amp;DataTest'!A:A, 0), MATCH(HOME!$A$25, 'language&amp;DataTest'!$A$1:$H$1, 0))),                                          
IFERROR(INDEX('language&amp;DataTest'!A:J, MATCH(INDEX( PointerTest!E:E, MATCH(INDEX(PointerTest!B:B, MATCH(B16, PointerTest!A:A, 0)), PointerTest!A:A, 0), 0), 'language&amp;DataTest'!A:A, 0), MATCH(HOME!$A$25, 'language&amp;DataTest'!$A$1:$H$1, 0))))</f>
        <v>Lucario ex</v>
      </c>
      <c r="E16" s="69" t="str">
        <f t="array" ref="E16">INDEX( PointerTest!F:F, MATCH(B16, PointerTest!A:A, 0), 0)</f>
        <v>♢♢</v>
      </c>
      <c r="F16" s="70" t="str">
        <f t="array" ref="F16">LET(percentage,XLOOKUP($E16,$K$2:$K$12,L$2:L$12,"",0)/(COUNTIFS($E:$E,$E16,$D:$D,RegularFormula!$D$2)+COUNTIFS($E:$E,$E16,$D:$D,IF($D16=RegularFormula!$D$2,$K$17,$D16))),IFERROR(IF(percentage,percentage,""),""))</f>
        <v/>
      </c>
      <c r="G16" s="71">
        <f t="array" ref="G16">LET(percentage,XLOOKUP($E16,$K$2:$K$12,M$2:M$12,"",0)/(COUNTIFS($E:$E,$E16,$D:$D,RegularFormula!$D$2)+COUNTIFS($E:$E,$E16,$D:$D,IF($D16=RegularFormula!$D$2,$K$17,$D16))),IFERROR(IF(percentage,percentage,""),""))</f>
        <v>0.04043431818</v>
      </c>
      <c r="H16" s="71">
        <f t="array" ref="H16">LET(percentage,XLOOKUP($E16,$K$2:$K$12,N$2:N$12,"",0)/(COUNTIFS($E:$E,$E16,$D:$D,RegularFormula!$D$2)+COUNTIFS($E:$E,$E16,$D:$D,IF($D16=RegularFormula!$D$2,$K$17,$D16))),IFERROR(IF(percentage,percentage,""),""))</f>
        <v>0.02544181818</v>
      </c>
      <c r="I16" s="72" t="str">
        <f t="shared" si="1"/>
        <v/>
      </c>
      <c r="J16" s="73">
        <v>0.0</v>
      </c>
      <c r="K16" s="100" t="s">
        <v>96</v>
      </c>
      <c r="L16" s="101">
        <f t="shared" ref="L16:L17" si="3">IFERROR(LEFT($N16,SEARCH("/",$N16)-1)/RIGHT($N16,LEN($N16)-SEARCH("/",$N16)),0)</f>
        <v>0.7117117117</v>
      </c>
      <c r="M16" s="101">
        <f>COUNTIF(A2:A112, FALSE) / COUNTA(A2:A112)</f>
        <v>0.2882882883</v>
      </c>
      <c r="N16" s="102" t="str">
        <f>COUNTIF($A2:$A112, TRUE) &amp; "/" &amp; COUNTA($A2:$A112)</f>
        <v>79/111</v>
      </c>
      <c r="O16" s="103" t="str">
        <f>IFERROR(__xludf.DUMMYFUNCTION("""COMPUTED_VALUE"""),"A2b 089")</f>
        <v>A2b 089</v>
      </c>
      <c r="P16" s="103" t="str">
        <f>IFERROR(__xludf.DUMMYFUNCTION("""COMPUTED_VALUE"""),"Pokemon Center Lady")</f>
        <v>Pokemon Center Lady</v>
      </c>
      <c r="Q16" s="103" t="str">
        <f>IFERROR(__xludf.DUMMYFUNCTION("""COMPUTED_VALUE"""),"☆☆")</f>
        <v>☆☆</v>
      </c>
      <c r="R16" s="79">
        <f t="shared" si="2"/>
        <v>1250</v>
      </c>
    </row>
    <row r="17">
      <c r="A17" s="217" t="b">
        <v>1</v>
      </c>
      <c r="B17" s="218" t="s">
        <v>869</v>
      </c>
      <c r="C17" s="69" t="str">
        <f t="array" ref="C17">TEXTJOIN("", TRUE, IFERROR(INDEX('language&amp;DataTest'!A:J, MATCH(INDEX( PointerTest!C:C, MATCH(B17, PointerTest!A:A, 0), 0), 'language&amp;DataTest'!A:A, 0), MATCH(HOME!$A$25, 'language&amp;DataTest'!$A$1:$H$1, 0))),                      IFERROR(INDEX('language&amp;DataTest'!A:J, MATCH(INDEX( PointerTest!D:D, MATCH(B17, PointerTest!A:A, 0), 0), 'language&amp;DataTest'!A:A, 0), MATCH(HOME!$A$25, 'language&amp;DataTest'!$A$1:$H$1, 0))),                                          
IFERROR(INDEX('language&amp;DataTest'!A:J, MATCH(INDEX( PointerTest!E:E, MATCH(B17, PointerTest!A:A, 0), 0), 'language&amp;DataTest'!A:A, 0), MATCH(HOME!$A$25, 'language&amp;DataTest'!$A$1:$H$1, 0))))</f>
        <v>Buizel</v>
      </c>
      <c r="D17" s="69" t="str">
        <f t="array" ref="D17">TEXTJOIN("", TRUE, 
IFERROR(INDEX('language&amp;DataTest'!A:J, MATCH(INDEX( PointerTest!C:C, MATCH(INDEX(PointerTest!B:B, MATCH(B17, PointerTest!A:A, 0)), PointerTest!A:A, 0), 0), 'language&amp;DataTest'!A:A, 0), MATCH(HOME!$A$25, 'language&amp;DataTest'!$A$1:$H$1, 0))),                      
IFERROR(INDEX('language&amp;DataTest'!A:J, MATCH(INDEX( PointerTest!D:D, MATCH(INDEX(PointerTest!B:B, MATCH(B17, PointerTest!A:A, 0)), PointerTest!A:A, 0), 0), 'language&amp;DataTest'!A:A, 0), MATCH(HOME!$A$25, 'language&amp;DataTest'!$A$1:$H$1, 0))),                                          
IFERROR(INDEX('language&amp;DataTest'!A:J, MATCH(INDEX( PointerTest!E:E, MATCH(INDEX(PointerTest!B:B, MATCH(B17, PointerTest!A:A, 0)), PointerTest!A:A, 0), 0), 'language&amp;DataTest'!A:A, 0), MATCH(HOME!$A$25, 'language&amp;DataTest'!$A$1:$H$1, 0))))</f>
        <v>Lucario ex</v>
      </c>
      <c r="E17" s="69" t="str">
        <f t="array" ref="E17">INDEX( PointerTest!F:F, MATCH(B17, PointerTest!A:A, 0), 0)</f>
        <v>♢</v>
      </c>
      <c r="F17" s="70">
        <f t="array" ref="F17">LET(percentage,XLOOKUP($E17,$K$2:$K$12,L$2:L$12,"",0)/(COUNTIFS($E:$E,$E17,$D:$D,RegularFormula!$D$2)+COUNTIFS($E:$E,$E17,$D:$D,IF($D17=RegularFormula!$D$2,$K$17,$D17))),IFERROR(IF(percentage,percentage,""),""))</f>
        <v>0.031234375</v>
      </c>
      <c r="G17" s="71" t="str">
        <f t="array" ref="G17">LET(percentage,XLOOKUP($E17,$K$2:$K$12,M$2:M$12,"",0)/(COUNTIFS($E:$E,$E17,$D:$D,RegularFormula!$D$2)+COUNTIFS($E:$E,$E17,$D:$D,IF($D17=RegularFormula!$D$2,$K$17,$D17))),IFERROR(IF(percentage,percentage,""),""))</f>
        <v/>
      </c>
      <c r="H17" s="71" t="str">
        <f t="array" ref="H17">LET(percentage,XLOOKUP($E17,$K$2:$K$12,N$2:N$12,"",0)/(COUNTIFS($E:$E,$E17,$D:$D,RegularFormula!$D$2)+COUNTIFS($E:$E,$E17,$D:$D,IF($D17=RegularFormula!$D$2,$K$17,$D17))),IFERROR(IF(percentage,percentage,""),""))</f>
        <v/>
      </c>
      <c r="I17" s="72" t="str">
        <f t="shared" si="1"/>
        <v/>
      </c>
      <c r="J17" s="73">
        <v>0.0</v>
      </c>
      <c r="K17" s="104" t="str">
        <f>C44</f>
        <v>Lucario ex</v>
      </c>
      <c r="L17" s="105">
        <f t="shared" si="3"/>
        <v>0.7117117117</v>
      </c>
      <c r="M17" s="105">
        <f>1-$L17</f>
        <v>0.2882882883</v>
      </c>
      <c r="N17" s="106" t="str">
        <f>(COUNTIFS($A$2:$A112,TRUE,$D$2:$D112,$K17)+COUNTIFS($A$2:$A112,TRUE,$D$2:$D112,RegularFormula!$D$2)&amp; "/" &amp; (COUNTIFS($D$2:$D112,$K17)+COUNTIFS($D$2:$D112,RegularFormula!$D$2)))</f>
        <v>79/111</v>
      </c>
      <c r="O17" s="103" t="str">
        <f>IFERROR(__xludf.DUMMYFUNCTION("""COMPUTED_VALUE"""),"A2b 090")</f>
        <v>A2b 090</v>
      </c>
      <c r="P17" s="103" t="str">
        <f>IFERROR(__xludf.DUMMYFUNCTION("""COMPUTED_VALUE"""),"Red")</f>
        <v>Red</v>
      </c>
      <c r="Q17" s="103" t="str">
        <f>IFERROR(__xludf.DUMMYFUNCTION("""COMPUTED_VALUE"""),"☆☆")</f>
        <v>☆☆</v>
      </c>
      <c r="R17" s="79">
        <f t="shared" si="2"/>
        <v>1250</v>
      </c>
    </row>
    <row r="18">
      <c r="A18" s="217" t="b">
        <v>1</v>
      </c>
      <c r="B18" s="218" t="s">
        <v>870</v>
      </c>
      <c r="C18" s="69" t="str">
        <f t="array" ref="C18">TEXTJOIN("", TRUE, IFERROR(INDEX('language&amp;DataTest'!A:J, MATCH(INDEX( PointerTest!C:C, MATCH(B18, PointerTest!A:A, 0), 0), 'language&amp;DataTest'!A:A, 0), MATCH(HOME!$A$25, 'language&amp;DataTest'!$A$1:$H$1, 0))),                      IFERROR(INDEX('language&amp;DataTest'!A:J, MATCH(INDEX( PointerTest!D:D, MATCH(B18, PointerTest!A:A, 0), 0), 'language&amp;DataTest'!A:A, 0), MATCH(HOME!$A$25, 'language&amp;DataTest'!$A$1:$H$1, 0))),                                          
IFERROR(INDEX('language&amp;DataTest'!A:J, MATCH(INDEX( PointerTest!E:E, MATCH(B18, PointerTest!A:A, 0), 0), 'language&amp;DataTest'!A:A, 0), MATCH(HOME!$A$25, 'language&amp;DataTest'!$A$1:$H$1, 0))))</f>
        <v>Floatzel</v>
      </c>
      <c r="D18" s="69" t="str">
        <f t="array" ref="D18">TEXTJOIN("", TRUE, 
IFERROR(INDEX('language&amp;DataTest'!A:J, MATCH(INDEX( PointerTest!C:C, MATCH(INDEX(PointerTest!B:B, MATCH(B18, PointerTest!A:A, 0)), PointerTest!A:A, 0), 0), 'language&amp;DataTest'!A:A, 0), MATCH(HOME!$A$25, 'language&amp;DataTest'!$A$1:$H$1, 0))),                      
IFERROR(INDEX('language&amp;DataTest'!A:J, MATCH(INDEX( PointerTest!D:D, MATCH(INDEX(PointerTest!B:B, MATCH(B18, PointerTest!A:A, 0)), PointerTest!A:A, 0), 0), 'language&amp;DataTest'!A:A, 0), MATCH(HOME!$A$25, 'language&amp;DataTest'!$A$1:$H$1, 0))),                                          
IFERROR(INDEX('language&amp;DataTest'!A:J, MATCH(INDEX( PointerTest!E:E, MATCH(INDEX(PointerTest!B:B, MATCH(B18, PointerTest!A:A, 0)), PointerTest!A:A, 0), 0), 'language&amp;DataTest'!A:A, 0), MATCH(HOME!$A$25, 'language&amp;DataTest'!$A$1:$H$1, 0))))</f>
        <v>Lucario ex</v>
      </c>
      <c r="E18" s="69" t="str">
        <f t="array" ref="E18">INDEX( PointerTest!F:F, MATCH(B18, PointerTest!A:A, 0), 0)</f>
        <v>♢♢</v>
      </c>
      <c r="F18" s="70" t="str">
        <f t="array" ref="F18">LET(percentage,XLOOKUP($E18,$K$2:$K$12,L$2:L$12,"",0)/(COUNTIFS($E:$E,$E18,$D:$D,RegularFormula!$D$2)+COUNTIFS($E:$E,$E18,$D:$D,IF($D18=RegularFormula!$D$2,$K$17,$D18))),IFERROR(IF(percentage,percentage,""),""))</f>
        <v/>
      </c>
      <c r="G18" s="71">
        <f t="array" ref="G18">LET(percentage,XLOOKUP($E18,$K$2:$K$12,M$2:M$12,"",0)/(COUNTIFS($E:$E,$E18,$D:$D,RegularFormula!$D$2)+COUNTIFS($E:$E,$E18,$D:$D,IF($D18=RegularFormula!$D$2,$K$17,$D18))),IFERROR(IF(percentage,percentage,""),""))</f>
        <v>0.04043431818</v>
      </c>
      <c r="H18" s="71">
        <f t="array" ref="H18">LET(percentage,XLOOKUP($E18,$K$2:$K$12,N$2:N$12,"",0)/(COUNTIFS($E:$E,$E18,$D:$D,RegularFormula!$D$2)+COUNTIFS($E:$E,$E18,$D:$D,IF($D18=RegularFormula!$D$2,$K$17,$D18))),IFERROR(IF(percentage,percentage,""),""))</f>
        <v>0.02544181818</v>
      </c>
      <c r="I18" s="72" t="str">
        <f t="shared" si="1"/>
        <v/>
      </c>
      <c r="J18" s="73">
        <v>0.0</v>
      </c>
      <c r="K18" s="219" t="s">
        <v>101</v>
      </c>
      <c r="L18" s="220" t="str">
        <f>IF(M17 = MAX(M17), K17, IF(#REF! = MAX(M17), #REF!, #REF!))</f>
        <v>Lucario ex</v>
      </c>
      <c r="M18" s="127"/>
      <c r="N18" s="221"/>
      <c r="O18" s="103" t="str">
        <f>IFERROR(__xludf.DUMMYFUNCTION("""COMPUTED_VALUE"""),"A2b 091")</f>
        <v>A2b 091</v>
      </c>
      <c r="P18" s="103" t="str">
        <f>IFERROR(__xludf.DUMMYFUNCTION("""COMPUTED_VALUE"""),"Team Rocket Grunt")</f>
        <v>Team Rocket Grunt</v>
      </c>
      <c r="Q18" s="103" t="str">
        <f>IFERROR(__xludf.DUMMYFUNCTION("""COMPUTED_VALUE"""),"☆☆")</f>
        <v>☆☆</v>
      </c>
      <c r="R18" s="79">
        <f t="shared" si="2"/>
        <v>1250</v>
      </c>
    </row>
    <row r="19">
      <c r="A19" s="217" t="b">
        <v>1</v>
      </c>
      <c r="B19" s="218" t="s">
        <v>871</v>
      </c>
      <c r="C19" s="69" t="str">
        <f t="array" ref="C19">TEXTJOIN("", TRUE, IFERROR(INDEX('language&amp;DataTest'!A:J, MATCH(INDEX( PointerTest!C:C, MATCH(B19, PointerTest!A:A, 0), 0), 'language&amp;DataTest'!A:A, 0), MATCH(HOME!$A$25, 'language&amp;DataTest'!$A$1:$H$1, 0))),                      IFERROR(INDEX('language&amp;DataTest'!A:J, MATCH(INDEX( PointerTest!D:D, MATCH(B19, PointerTest!A:A, 0), 0), 'language&amp;DataTest'!A:A, 0), MATCH(HOME!$A$25, 'language&amp;DataTest'!$A$1:$H$1, 0))),                                          
IFERROR(INDEX('language&amp;DataTest'!A:J, MATCH(INDEX( PointerTest!E:E, MATCH(B19, PointerTest!A:A, 0), 0), 'language&amp;DataTest'!A:A, 0), MATCH(HOME!$A$25, 'language&amp;DataTest'!$A$1:$H$1, 0))))</f>
        <v>Wiglett</v>
      </c>
      <c r="D19" s="69" t="str">
        <f t="array" ref="D19">TEXTJOIN("", TRUE, 
IFERROR(INDEX('language&amp;DataTest'!A:J, MATCH(INDEX( PointerTest!C:C, MATCH(INDEX(PointerTest!B:B, MATCH(B19, PointerTest!A:A, 0)), PointerTest!A:A, 0), 0), 'language&amp;DataTest'!A:A, 0), MATCH(HOME!$A$25, 'language&amp;DataTest'!$A$1:$H$1, 0))),                      
IFERROR(INDEX('language&amp;DataTest'!A:J, MATCH(INDEX( PointerTest!D:D, MATCH(INDEX(PointerTest!B:B, MATCH(B19, PointerTest!A:A, 0)), PointerTest!A:A, 0), 0), 'language&amp;DataTest'!A:A, 0), MATCH(HOME!$A$25, 'language&amp;DataTest'!$A$1:$H$1, 0))),                                          
IFERROR(INDEX('language&amp;DataTest'!A:J, MATCH(INDEX( PointerTest!E:E, MATCH(INDEX(PointerTest!B:B, MATCH(B19, PointerTest!A:A, 0)), PointerTest!A:A, 0), 0), 'language&amp;DataTest'!A:A, 0), MATCH(HOME!$A$25, 'language&amp;DataTest'!$A$1:$H$1, 0))))</f>
        <v>Lucario ex</v>
      </c>
      <c r="E19" s="69" t="str">
        <f t="array" ref="E19">INDEX( PointerTest!F:F, MATCH(B19, PointerTest!A:A, 0), 0)</f>
        <v>♢</v>
      </c>
      <c r="F19" s="70">
        <f t="array" ref="F19">LET(percentage,XLOOKUP($E19,$K$2:$K$12,L$2:L$12,"",0)/(COUNTIFS($E:$E,$E19,$D:$D,RegularFormula!$D$2)+COUNTIFS($E:$E,$E19,$D:$D,IF($D19=RegularFormula!$D$2,$K$17,$D19))),IFERROR(IF(percentage,percentage,""),""))</f>
        <v>0.031234375</v>
      </c>
      <c r="G19" s="71" t="str">
        <f t="array" ref="G19">LET(percentage,XLOOKUP($E19,$K$2:$K$12,M$2:M$12,"",0)/(COUNTIFS($E:$E,$E19,$D:$D,RegularFormula!$D$2)+COUNTIFS($E:$E,$E19,$D:$D,IF($D19=RegularFormula!$D$2,$K$17,$D19))),IFERROR(IF(percentage,percentage,""),""))</f>
        <v/>
      </c>
      <c r="H19" s="71" t="str">
        <f t="array" ref="H19">LET(percentage,XLOOKUP($E19,$K$2:$K$12,N$2:N$12,"",0)/(COUNTIFS($E:$E,$E19,$D:$D,RegularFormula!$D$2)+COUNTIFS($E:$E,$E19,$D:$D,IF($D19=RegularFormula!$D$2,$K$17,$D19))),IFERROR(IF(percentage,percentage,""),""))</f>
        <v/>
      </c>
      <c r="I19" s="72" t="str">
        <f t="shared" si="1"/>
        <v/>
      </c>
      <c r="J19" s="73">
        <v>0.0</v>
      </c>
      <c r="K19" s="96"/>
      <c r="N19" s="94"/>
      <c r="O19" s="103" t="str">
        <f>IFERROR(__xludf.DUMMYFUNCTION("""COMPUTED_VALUE"""),"A2b 092")</f>
        <v>A2b 092</v>
      </c>
      <c r="P19" s="103" t="str">
        <f>IFERROR(__xludf.DUMMYFUNCTION("""COMPUTED_VALUE"""),"Pikachu ex")</f>
        <v>Pikachu ex</v>
      </c>
      <c r="Q19" s="103" t="str">
        <f>IFERROR(__xludf.DUMMYFUNCTION("""COMPUTED_VALUE"""),"☆☆")</f>
        <v>☆☆</v>
      </c>
      <c r="R19" s="79">
        <f t="shared" si="2"/>
        <v>1250</v>
      </c>
    </row>
    <row r="20">
      <c r="A20" s="217" t="b">
        <v>1</v>
      </c>
      <c r="B20" s="218" t="s">
        <v>872</v>
      </c>
      <c r="C20" s="69" t="str">
        <f t="array" ref="C20">TEXTJOIN("", TRUE, IFERROR(INDEX('language&amp;DataTest'!A:J, MATCH(INDEX( PointerTest!C:C, MATCH(B20, PointerTest!A:A, 0), 0), 'language&amp;DataTest'!A:A, 0), MATCH(HOME!$A$25, 'language&amp;DataTest'!$A$1:$H$1, 0))),                      IFERROR(INDEX('language&amp;DataTest'!A:J, MATCH(INDEX( PointerTest!D:D, MATCH(B20, PointerTest!A:A, 0), 0), 'language&amp;DataTest'!A:A, 0), MATCH(HOME!$A$25, 'language&amp;DataTest'!$A$1:$H$1, 0))),                                          
IFERROR(INDEX('language&amp;DataTest'!A:J, MATCH(INDEX( PointerTest!E:E, MATCH(B20, PointerTest!A:A, 0), 0), 'language&amp;DataTest'!A:A, 0), MATCH(HOME!$A$25, 'language&amp;DataTest'!$A$1:$H$1, 0))))</f>
        <v>Wugtrio ex</v>
      </c>
      <c r="D20" s="69" t="str">
        <f t="array" ref="D20">TEXTJOIN("", TRUE, 
IFERROR(INDEX('language&amp;DataTest'!A:J, MATCH(INDEX( PointerTest!C:C, MATCH(INDEX(PointerTest!B:B, MATCH(B20, PointerTest!A:A, 0)), PointerTest!A:A, 0), 0), 'language&amp;DataTest'!A:A, 0), MATCH(HOME!$A$25, 'language&amp;DataTest'!$A$1:$H$1, 0))),                      
IFERROR(INDEX('language&amp;DataTest'!A:J, MATCH(INDEX( PointerTest!D:D, MATCH(INDEX(PointerTest!B:B, MATCH(B20, PointerTest!A:A, 0)), PointerTest!A:A, 0), 0), 'language&amp;DataTest'!A:A, 0), MATCH(HOME!$A$25, 'language&amp;DataTest'!$A$1:$H$1, 0))),                                          
IFERROR(INDEX('language&amp;DataTest'!A:J, MATCH(INDEX( PointerTest!E:E, MATCH(INDEX(PointerTest!B:B, MATCH(B20, PointerTest!A:A, 0)), PointerTest!A:A, 0), 0), 'language&amp;DataTest'!A:A, 0), MATCH(HOME!$A$25, 'language&amp;DataTest'!$A$1:$H$1, 0))))</f>
        <v>Lucario ex</v>
      </c>
      <c r="E20" s="69" t="str">
        <f t="array" ref="E20">INDEX( PointerTest!F:F, MATCH(B20, PointerTest!A:A, 0), 0)</f>
        <v>♢♢♢♢</v>
      </c>
      <c r="F20" s="70" t="str">
        <f t="array" ref="F20">LET(percentage,XLOOKUP($E20,$K$2:$K$12,L$2:L$12,"",0)/(COUNTIFS($E:$E,$E20,$D:$D,RegularFormula!$D$2)+COUNTIFS($E:$E,$E20,$D:$D,IF($D20=RegularFormula!$D$2,$K$17,$D20))),IFERROR(IF(percentage,percentage,""),""))</f>
        <v/>
      </c>
      <c r="G20" s="71">
        <f t="array" ref="G20">LET(percentage,XLOOKUP($E20,$K$2:$K$12,M$2:M$12,"",0)/(COUNTIFS($E:$E,$E20,$D:$D,RegularFormula!$D$2)+COUNTIFS($E:$E,$E20,$D:$D,IF($D20=RegularFormula!$D$2,$K$17,$D20))),IFERROR(IF(percentage,percentage,""),""))</f>
        <v>0.001850185556</v>
      </c>
      <c r="H20" s="71">
        <f t="array" ref="H20">LET(percentage,XLOOKUP($E20,$K$2:$K$12,N$2:N$12,"",0)/(COUNTIFS($E:$E,$E20,$D:$D,RegularFormula!$D$2)+COUNTIFS($E:$E,$E20,$D:$D,IF($D20=RegularFormula!$D$2,$K$17,$D20))),IFERROR(IF(percentage,percentage,""),""))</f>
        <v>0.007400742222</v>
      </c>
      <c r="I20" s="72" t="str">
        <f t="shared" si="1"/>
        <v/>
      </c>
      <c r="J20" s="73">
        <v>0.0</v>
      </c>
      <c r="K20" s="114" t="s">
        <v>104</v>
      </c>
      <c r="L20" s="115"/>
      <c r="M20" s="115"/>
      <c r="N20" s="116"/>
      <c r="O20" s="86" t="str">
        <f>IFERROR(__xludf.DUMMYFUNCTION("""COMPUTED_VALUE"""),"A2b 094")</f>
        <v>A2b 094</v>
      </c>
      <c r="P20" s="86" t="str">
        <f>IFERROR(__xludf.DUMMYFUNCTION("""COMPUTED_VALUE"""),"Tinkaton ex")</f>
        <v>Tinkaton ex</v>
      </c>
      <c r="Q20" s="86" t="str">
        <f>IFERROR(__xludf.DUMMYFUNCTION("""COMPUTED_VALUE"""),"☆☆")</f>
        <v>☆☆</v>
      </c>
      <c r="R20" s="79">
        <f t="shared" si="2"/>
        <v>1250</v>
      </c>
    </row>
    <row r="21">
      <c r="A21" s="217" t="b">
        <v>1</v>
      </c>
      <c r="B21" s="218" t="s">
        <v>873</v>
      </c>
      <c r="C21" s="69" t="str">
        <f t="array" ref="C21">TEXTJOIN("", TRUE, IFERROR(INDEX('language&amp;DataTest'!A:J, MATCH(INDEX( PointerTest!C:C, MATCH(B21, PointerTest!A:A, 0), 0), 'language&amp;DataTest'!A:A, 0), MATCH(HOME!$A$25, 'language&amp;DataTest'!$A$1:$H$1, 0))),                      IFERROR(INDEX('language&amp;DataTest'!A:J, MATCH(INDEX( PointerTest!D:D, MATCH(B21, PointerTest!A:A, 0), 0), 'language&amp;DataTest'!A:A, 0), MATCH(HOME!$A$25, 'language&amp;DataTest'!$A$1:$H$1, 0))),                                          
IFERROR(INDEX('language&amp;DataTest'!A:J, MATCH(INDEX( PointerTest!E:E, MATCH(B21, PointerTest!A:A, 0), 0), 'language&amp;DataTest'!A:A, 0), MATCH(HOME!$A$25, 'language&amp;DataTest'!$A$1:$H$1, 0))))</f>
        <v>Dondozo</v>
      </c>
      <c r="D21" s="69" t="str">
        <f t="array" ref="D21">TEXTJOIN("", TRUE, 
IFERROR(INDEX('language&amp;DataTest'!A:J, MATCH(INDEX( PointerTest!C:C, MATCH(INDEX(PointerTest!B:B, MATCH(B21, PointerTest!A:A, 0)), PointerTest!A:A, 0), 0), 'language&amp;DataTest'!A:A, 0), MATCH(HOME!$A$25, 'language&amp;DataTest'!$A$1:$H$1, 0))),                      
IFERROR(INDEX('language&amp;DataTest'!A:J, MATCH(INDEX( PointerTest!D:D, MATCH(INDEX(PointerTest!B:B, MATCH(B21, PointerTest!A:A, 0)), PointerTest!A:A, 0), 0), 'language&amp;DataTest'!A:A, 0), MATCH(HOME!$A$25, 'language&amp;DataTest'!$A$1:$H$1, 0))),                                          
IFERROR(INDEX('language&amp;DataTest'!A:J, MATCH(INDEX( PointerTest!E:E, MATCH(INDEX(PointerTest!B:B, MATCH(B21, PointerTest!A:A, 0)), PointerTest!A:A, 0), 0), 'language&amp;DataTest'!A:A, 0), MATCH(HOME!$A$25, 'language&amp;DataTest'!$A$1:$H$1, 0))))</f>
        <v>Lucario ex</v>
      </c>
      <c r="E21" s="69" t="str">
        <f t="array" ref="E21">INDEX( PointerTest!F:F, MATCH(B21, PointerTest!A:A, 0), 0)</f>
        <v>♢♢♢</v>
      </c>
      <c r="F21" s="70" t="str">
        <f t="array" ref="F21">LET(percentage,XLOOKUP($E21,$K$2:$K$12,L$2:L$12,"",0)/(COUNTIFS($E:$E,$E21,$D:$D,RegularFormula!$D$2)+COUNTIFS($E:$E,$E21,$D:$D,IF($D21=RegularFormula!$D$2,$K$17,$D21))),IFERROR(IF(percentage,percentage,""),""))</f>
        <v/>
      </c>
      <c r="G21" s="71">
        <f t="array" ref="G21">LET(percentage,XLOOKUP($E21,$K$2:$K$12,M$2:M$12,"",0)/(COUNTIFS($E:$E,$E21,$D:$D,RegularFormula!$D$2)+COUNTIFS($E:$E,$E21,$D:$D,IF($D21=RegularFormula!$D$2,$K$17,$D21))),IFERROR(IF(percentage,percentage,""),""))</f>
        <v>0.005499471111</v>
      </c>
      <c r="H21" s="71">
        <f t="array" ref="H21">LET(percentage,XLOOKUP($E21,$K$2:$K$12,N$2:N$12,"",0)/(COUNTIFS($E:$E,$E21,$D:$D,RegularFormula!$D$2)+COUNTIFS($E:$E,$E21,$D:$D,IF($D21=RegularFormula!$D$2,$K$17,$D21))),IFERROR(IF(percentage,percentage,""),""))</f>
        <v>0.02200010556</v>
      </c>
      <c r="I21" s="72" t="str">
        <f t="shared" si="1"/>
        <v/>
      </c>
      <c r="J21" s="73">
        <v>0.0</v>
      </c>
      <c r="K21" s="118"/>
      <c r="N21" s="119"/>
      <c r="O21" s="86" t="str">
        <f>IFERROR(__xludf.DUMMYFUNCTION("""COMPUTED_VALUE"""),"A2b 095")</f>
        <v>A2b 095</v>
      </c>
      <c r="P21" s="86" t="str">
        <f>IFERROR(__xludf.DUMMYFUNCTION("""COMPUTED_VALUE"""),"Bibarel ex")</f>
        <v>Bibarel ex</v>
      </c>
      <c r="Q21" s="86" t="str">
        <f>IFERROR(__xludf.DUMMYFUNCTION("""COMPUTED_VALUE"""),"☆☆")</f>
        <v>☆☆</v>
      </c>
      <c r="R21" s="79">
        <f t="shared" si="2"/>
        <v>1250</v>
      </c>
    </row>
    <row r="22">
      <c r="A22" s="217" t="b">
        <v>1</v>
      </c>
      <c r="B22" s="218" t="s">
        <v>874</v>
      </c>
      <c r="C22" s="69" t="str">
        <f t="array" ref="C22">TEXTJOIN("", TRUE, IFERROR(INDEX('language&amp;DataTest'!A:J, MATCH(INDEX( PointerTest!C:C, MATCH(B22, PointerTest!A:A, 0), 0), 'language&amp;DataTest'!A:A, 0), MATCH(HOME!$A$25, 'language&amp;DataTest'!$A$1:$H$1, 0))),                      IFERROR(INDEX('language&amp;DataTest'!A:J, MATCH(INDEX( PointerTest!D:D, MATCH(B22, PointerTest!A:A, 0), 0), 'language&amp;DataTest'!A:A, 0), MATCH(HOME!$A$25, 'language&amp;DataTest'!$A$1:$H$1, 0))),                                          
IFERROR(INDEX('language&amp;DataTest'!A:J, MATCH(INDEX( PointerTest!E:E, MATCH(B22, PointerTest!A:A, 0), 0), 'language&amp;DataTest'!A:A, 0), MATCH(HOME!$A$25, 'language&amp;DataTest'!$A$1:$H$1, 0))))</f>
        <v>Tatsugiri</v>
      </c>
      <c r="D22" s="69" t="str">
        <f t="array" ref="D22">TEXTJOIN("", TRUE, 
IFERROR(INDEX('language&amp;DataTest'!A:J, MATCH(INDEX( PointerTest!C:C, MATCH(INDEX(PointerTest!B:B, MATCH(B22, PointerTest!A:A, 0)), PointerTest!A:A, 0), 0), 'language&amp;DataTest'!A:A, 0), MATCH(HOME!$A$25, 'language&amp;DataTest'!$A$1:$H$1, 0))),                      
IFERROR(INDEX('language&amp;DataTest'!A:J, MATCH(INDEX( PointerTest!D:D, MATCH(INDEX(PointerTest!B:B, MATCH(B22, PointerTest!A:A, 0)), PointerTest!A:A, 0), 0), 'language&amp;DataTest'!A:A, 0), MATCH(HOME!$A$25, 'language&amp;DataTest'!$A$1:$H$1, 0))),                                          
IFERROR(INDEX('language&amp;DataTest'!A:J, MATCH(INDEX( PointerTest!E:E, MATCH(INDEX(PointerTest!B:B, MATCH(B22, PointerTest!A:A, 0)), PointerTest!A:A, 0), 0), 'language&amp;DataTest'!A:A, 0), MATCH(HOME!$A$25, 'language&amp;DataTest'!$A$1:$H$1, 0))))</f>
        <v>Lucario ex</v>
      </c>
      <c r="E22" s="69" t="str">
        <f t="array" ref="E22">INDEX( PointerTest!F:F, MATCH(B22, PointerTest!A:A, 0), 0)</f>
        <v>♢♢</v>
      </c>
      <c r="F22" s="70" t="str">
        <f t="array" ref="F22">LET(percentage,XLOOKUP($E22,$K$2:$K$12,L$2:L$12,"",0)/(COUNTIFS($E:$E,$E22,$D:$D,RegularFormula!$D$2)+COUNTIFS($E:$E,$E22,$D:$D,IF($D22=RegularFormula!$D$2,$K$17,$D22))),IFERROR(IF(percentage,percentage,""),""))</f>
        <v/>
      </c>
      <c r="G22" s="71">
        <f t="array" ref="G22">LET(percentage,XLOOKUP($E22,$K$2:$K$12,M$2:M$12,"",0)/(COUNTIFS($E:$E,$E22,$D:$D,RegularFormula!$D$2)+COUNTIFS($E:$E,$E22,$D:$D,IF($D22=RegularFormula!$D$2,$K$17,$D22))),IFERROR(IF(percentage,percentage,""),""))</f>
        <v>0.04043431818</v>
      </c>
      <c r="H22" s="71">
        <f t="array" ref="H22">LET(percentage,XLOOKUP($E22,$K$2:$K$12,N$2:N$12,"",0)/(COUNTIFS($E:$E,$E22,$D:$D,RegularFormula!$D$2)+COUNTIFS($E:$E,$E22,$D:$D,IF($D22=RegularFormula!$D$2,$K$17,$D22))),IFERROR(IF(percentage,percentage,""),""))</f>
        <v>0.02544181818</v>
      </c>
      <c r="I22" s="72" t="str">
        <f t="shared" si="1"/>
        <v/>
      </c>
      <c r="J22" s="73">
        <v>0.0</v>
      </c>
      <c r="K22" s="121" t="b">
        <v>1</v>
      </c>
      <c r="L22" s="69" t="s">
        <v>71</v>
      </c>
      <c r="M22" s="122" t="b">
        <v>1</v>
      </c>
      <c r="N22" s="222" t="s">
        <v>79</v>
      </c>
      <c r="O22" s="86" t="str">
        <f>IFERROR(__xludf.DUMMYFUNCTION("""COMPUTED_VALUE"""),"A2b 111")</f>
        <v>A2b 111</v>
      </c>
      <c r="P22" s="86" t="str">
        <f>IFERROR(__xludf.DUMMYFUNCTION("""COMPUTED_VALUE"""),"Poke ball")</f>
        <v>Poke ball</v>
      </c>
      <c r="Q22" s="86" t="str">
        <f>IFERROR(__xludf.DUMMYFUNCTION("""COMPUTED_VALUE"""),"♛")</f>
        <v>♛</v>
      </c>
      <c r="R22" s="79">
        <f t="shared" si="2"/>
        <v>2500</v>
      </c>
    </row>
    <row r="23">
      <c r="A23" s="217" t="b">
        <v>0</v>
      </c>
      <c r="B23" s="218" t="s">
        <v>875</v>
      </c>
      <c r="C23" s="69" t="str">
        <f t="array" ref="C23">TEXTJOIN("", TRUE, IFERROR(INDEX('language&amp;DataTest'!A:J, MATCH(INDEX( PointerTest!C:C, MATCH(B23, PointerTest!A:A, 0), 0), 'language&amp;DataTest'!A:A, 0), MATCH(HOME!$A$25, 'language&amp;DataTest'!$A$1:$H$1, 0))),                      IFERROR(INDEX('language&amp;DataTest'!A:J, MATCH(INDEX( PointerTest!D:D, MATCH(B23, PointerTest!A:A, 0), 0), 'language&amp;DataTest'!A:A, 0), MATCH(HOME!$A$25, 'language&amp;DataTest'!$A$1:$H$1, 0))),                                          
IFERROR(INDEX('language&amp;DataTest'!A:J, MATCH(INDEX( PointerTest!E:E, MATCH(B23, PointerTest!A:A, 0), 0), 'language&amp;DataTest'!A:A, 0), MATCH(HOME!$A$25, 'language&amp;DataTest'!$A$1:$H$1, 0))))</f>
        <v>Pikachu ex</v>
      </c>
      <c r="D23" s="69" t="str">
        <f t="array" ref="D23">TEXTJOIN("", TRUE, 
IFERROR(INDEX('language&amp;DataTest'!A:J, MATCH(INDEX( PointerTest!C:C, MATCH(INDEX(PointerTest!B:B, MATCH(B23, PointerTest!A:A, 0)), PointerTest!A:A, 0), 0), 'language&amp;DataTest'!A:A, 0), MATCH(HOME!$A$25, 'language&amp;DataTest'!$A$1:$H$1, 0))),                      
IFERROR(INDEX('language&amp;DataTest'!A:J, MATCH(INDEX( PointerTest!D:D, MATCH(INDEX(PointerTest!B:B, MATCH(B23, PointerTest!A:A, 0)), PointerTest!A:A, 0), 0), 'language&amp;DataTest'!A:A, 0), MATCH(HOME!$A$25, 'language&amp;DataTest'!$A$1:$H$1, 0))),                                          
IFERROR(INDEX('language&amp;DataTest'!A:J, MATCH(INDEX( PointerTest!E:E, MATCH(INDEX(PointerTest!B:B, MATCH(B23, PointerTest!A:A, 0)), PointerTest!A:A, 0), 0), 'language&amp;DataTest'!A:A, 0), MATCH(HOME!$A$25, 'language&amp;DataTest'!$A$1:$H$1, 0))))</f>
        <v>Lucario ex</v>
      </c>
      <c r="E23" s="69" t="str">
        <f t="array" ref="E23">INDEX( PointerTest!F:F, MATCH(B23, PointerTest!A:A, 0), 0)</f>
        <v>♢♢♢♢</v>
      </c>
      <c r="F23" s="70" t="str">
        <f t="array" ref="F23">LET(percentage,XLOOKUP($E23,$K$2:$K$12,L$2:L$12,"",0)/(COUNTIFS($E:$E,$E23,$D:$D,RegularFormula!$D$2)+COUNTIFS($E:$E,$E23,$D:$D,IF($D23=RegularFormula!$D$2,$K$17,$D23))),IFERROR(IF(percentage,percentage,""),""))</f>
        <v/>
      </c>
      <c r="G23" s="71">
        <f t="array" ref="G23">LET(percentage,XLOOKUP($E23,$K$2:$K$12,M$2:M$12,"",0)/(COUNTIFS($E:$E,$E23,$D:$D,RegularFormula!$D$2)+COUNTIFS($E:$E,$E23,$D:$D,IF($D23=RegularFormula!$D$2,$K$17,$D23))),IFERROR(IF(percentage,percentage,""),""))</f>
        <v>0.001850185556</v>
      </c>
      <c r="H23" s="71">
        <f t="array" ref="H23">LET(percentage,XLOOKUP($E23,$K$2:$K$12,N$2:N$12,"",0)/(COUNTIFS($E:$E,$E23,$D:$D,RegularFormula!$D$2)+COUNTIFS($E:$E,$E23,$D:$D,IF($D23=RegularFormula!$D$2,$K$17,$D23))),IFERROR(IF(percentage,percentage,""),""))</f>
        <v>0.007400742222</v>
      </c>
      <c r="I23" s="72" t="str">
        <f t="shared" si="1"/>
        <v/>
      </c>
      <c r="J23" s="73">
        <v>0.0</v>
      </c>
      <c r="K23" s="121" t="b">
        <v>1</v>
      </c>
      <c r="L23" s="69" t="s">
        <v>73</v>
      </c>
      <c r="M23" s="122" t="b">
        <v>1</v>
      </c>
      <c r="N23" s="222" t="s">
        <v>81</v>
      </c>
      <c r="O23" s="86"/>
      <c r="P23" s="86"/>
      <c r="Q23" s="86"/>
      <c r="R23" s="79" t="str">
        <f t="shared" si="2"/>
        <v/>
      </c>
    </row>
    <row r="24">
      <c r="A24" s="217" t="b">
        <v>1</v>
      </c>
      <c r="B24" s="218" t="s">
        <v>876</v>
      </c>
      <c r="C24" s="69" t="str">
        <f t="array" ref="C24">TEXTJOIN("", TRUE, IFERROR(INDEX('language&amp;DataTest'!A:J, MATCH(INDEX( PointerTest!C:C, MATCH(B24, PointerTest!A:A, 0), 0), 'language&amp;DataTest'!A:A, 0), MATCH(HOME!$A$25, 'language&amp;DataTest'!$A$1:$H$1, 0))),                      IFERROR(INDEX('language&amp;DataTest'!A:J, MATCH(INDEX( PointerTest!D:D, MATCH(B24, PointerTest!A:A, 0), 0), 'language&amp;DataTest'!A:A, 0), MATCH(HOME!$A$25, 'language&amp;DataTest'!$A$1:$H$1, 0))),                                          
IFERROR(INDEX('language&amp;DataTest'!A:J, MATCH(INDEX( PointerTest!E:E, MATCH(B24, PointerTest!A:A, 0), 0), 'language&amp;DataTest'!A:A, 0), MATCH(HOME!$A$25, 'language&amp;DataTest'!$A$1:$H$1, 0))))</f>
        <v>Voltorb</v>
      </c>
      <c r="D24" s="69" t="str">
        <f t="array" ref="D24">TEXTJOIN("", TRUE, 
IFERROR(INDEX('language&amp;DataTest'!A:J, MATCH(INDEX( PointerTest!C:C, MATCH(INDEX(PointerTest!B:B, MATCH(B24, PointerTest!A:A, 0)), PointerTest!A:A, 0), 0), 'language&amp;DataTest'!A:A, 0), MATCH(HOME!$A$25, 'language&amp;DataTest'!$A$1:$H$1, 0))),                      
IFERROR(INDEX('language&amp;DataTest'!A:J, MATCH(INDEX( PointerTest!D:D, MATCH(INDEX(PointerTest!B:B, MATCH(B24, PointerTest!A:A, 0)), PointerTest!A:A, 0), 0), 'language&amp;DataTest'!A:A, 0), MATCH(HOME!$A$25, 'language&amp;DataTest'!$A$1:$H$1, 0))),                                          
IFERROR(INDEX('language&amp;DataTest'!A:J, MATCH(INDEX( PointerTest!E:E, MATCH(INDEX(PointerTest!B:B, MATCH(B24, PointerTest!A:A, 0)), PointerTest!A:A, 0), 0), 'language&amp;DataTest'!A:A, 0), MATCH(HOME!$A$25, 'language&amp;DataTest'!$A$1:$H$1, 0))))</f>
        <v>Lucario ex</v>
      </c>
      <c r="E24" s="69" t="str">
        <f t="array" ref="E24">INDEX( PointerTest!F:F, MATCH(B24, PointerTest!A:A, 0), 0)</f>
        <v>♢</v>
      </c>
      <c r="F24" s="70">
        <f t="array" ref="F24">LET(percentage,XLOOKUP($E24,$K$2:$K$12,L$2:L$12,"",0)/(COUNTIFS($E:$E,$E24,$D:$D,RegularFormula!$D$2)+COUNTIFS($E:$E,$E24,$D:$D,IF($D24=RegularFormula!$D$2,$K$17,$D24))),IFERROR(IF(percentage,percentage,""),""))</f>
        <v>0.031234375</v>
      </c>
      <c r="G24" s="71" t="str">
        <f t="array" ref="G24">LET(percentage,XLOOKUP($E24,$K$2:$K$12,M$2:M$12,"",0)/(COUNTIFS($E:$E,$E24,$D:$D,RegularFormula!$D$2)+COUNTIFS($E:$E,$E24,$D:$D,IF($D24=RegularFormula!$D$2,$K$17,$D24))),IFERROR(IF(percentage,percentage,""),""))</f>
        <v/>
      </c>
      <c r="H24" s="71" t="str">
        <f t="array" ref="H24">LET(percentage,XLOOKUP($E24,$K$2:$K$12,N$2:N$12,"",0)/(COUNTIFS($E:$E,$E24,$D:$D,RegularFormula!$D$2)+COUNTIFS($E:$E,$E24,$D:$D,IF($D24=RegularFormula!$D$2,$K$17,$D24))),IFERROR(IF(percentage,percentage,""),""))</f>
        <v/>
      </c>
      <c r="I24" s="72" t="str">
        <f t="shared" si="1"/>
        <v/>
      </c>
      <c r="J24" s="73">
        <v>0.0</v>
      </c>
      <c r="K24" s="121" t="b">
        <v>1</v>
      </c>
      <c r="L24" s="69" t="s">
        <v>75</v>
      </c>
      <c r="M24" s="122" t="b">
        <v>1</v>
      </c>
      <c r="N24" s="222" t="s">
        <v>83</v>
      </c>
      <c r="O24" s="86"/>
      <c r="P24" s="86"/>
      <c r="Q24" s="86"/>
      <c r="R24" s="79" t="str">
        <f t="shared" si="2"/>
        <v/>
      </c>
    </row>
    <row r="25">
      <c r="A25" s="217" t="b">
        <v>1</v>
      </c>
      <c r="B25" s="218" t="s">
        <v>877</v>
      </c>
      <c r="C25" s="69" t="str">
        <f t="array" ref="C25">TEXTJOIN("", TRUE, IFERROR(INDEX('language&amp;DataTest'!A:J, MATCH(INDEX( PointerTest!C:C, MATCH(B25, PointerTest!A:A, 0), 0), 'language&amp;DataTest'!A:A, 0), MATCH(HOME!$A$25, 'language&amp;DataTest'!$A$1:$H$1, 0))),                      IFERROR(INDEX('language&amp;DataTest'!A:J, MATCH(INDEX( PointerTest!D:D, MATCH(B25, PointerTest!A:A, 0), 0), 'language&amp;DataTest'!A:A, 0), MATCH(HOME!$A$25, 'language&amp;DataTest'!$A$1:$H$1, 0))),                                          
IFERROR(INDEX('language&amp;DataTest'!A:J, MATCH(INDEX( PointerTest!E:E, MATCH(B25, PointerTest!A:A, 0), 0), 'language&amp;DataTest'!A:A, 0), MATCH(HOME!$A$25, 'language&amp;DataTest'!$A$1:$H$1, 0))))</f>
        <v>Electrode</v>
      </c>
      <c r="D25" s="69" t="str">
        <f t="array" ref="D25">TEXTJOIN("", TRUE, 
IFERROR(INDEX('language&amp;DataTest'!A:J, MATCH(INDEX( PointerTest!C:C, MATCH(INDEX(PointerTest!B:B, MATCH(B25, PointerTest!A:A, 0)), PointerTest!A:A, 0), 0), 'language&amp;DataTest'!A:A, 0), MATCH(HOME!$A$25, 'language&amp;DataTest'!$A$1:$H$1, 0))),                      
IFERROR(INDEX('language&amp;DataTest'!A:J, MATCH(INDEX( PointerTest!D:D, MATCH(INDEX(PointerTest!B:B, MATCH(B25, PointerTest!A:A, 0)), PointerTest!A:A, 0), 0), 'language&amp;DataTest'!A:A, 0), MATCH(HOME!$A$25, 'language&amp;DataTest'!$A$1:$H$1, 0))),                                          
IFERROR(INDEX('language&amp;DataTest'!A:J, MATCH(INDEX( PointerTest!E:E, MATCH(INDEX(PointerTest!B:B, MATCH(B25, PointerTest!A:A, 0)), PointerTest!A:A, 0), 0), 'language&amp;DataTest'!A:A, 0), MATCH(HOME!$A$25, 'language&amp;DataTest'!$A$1:$H$1, 0))))</f>
        <v>Lucario ex</v>
      </c>
      <c r="E25" s="69" t="str">
        <f t="array" ref="E25">INDEX( PointerTest!F:F, MATCH(B25, PointerTest!A:A, 0), 0)</f>
        <v>♢♢</v>
      </c>
      <c r="F25" s="70" t="str">
        <f t="array" ref="F25">LET(percentage,XLOOKUP($E25,$K$2:$K$12,L$2:L$12,"",0)/(COUNTIFS($E:$E,$E25,$D:$D,RegularFormula!$D$2)+COUNTIFS($E:$E,$E25,$D:$D,IF($D25=RegularFormula!$D$2,$K$17,$D25))),IFERROR(IF(percentage,percentage,""),""))</f>
        <v/>
      </c>
      <c r="G25" s="71">
        <f t="array" ref="G25">LET(percentage,XLOOKUP($E25,$K$2:$K$12,M$2:M$12,"",0)/(COUNTIFS($E:$E,$E25,$D:$D,RegularFormula!$D$2)+COUNTIFS($E:$E,$E25,$D:$D,IF($D25=RegularFormula!$D$2,$K$17,$D25))),IFERROR(IF(percentage,percentage,""),""))</f>
        <v>0.04043431818</v>
      </c>
      <c r="H25" s="71">
        <f t="array" ref="H25">LET(percentage,XLOOKUP($E25,$K$2:$K$12,N$2:N$12,"",0)/(COUNTIFS($E:$E,$E25,$D:$D,RegularFormula!$D$2)+COUNTIFS($E:$E,$E25,$D:$D,IF($D25=RegularFormula!$D$2,$K$17,$D25))),IFERROR(IF(percentage,percentage,""),""))</f>
        <v>0.02544181818</v>
      </c>
      <c r="I25" s="72" t="str">
        <f t="shared" si="1"/>
        <v/>
      </c>
      <c r="J25" s="73">
        <v>0.0</v>
      </c>
      <c r="K25" s="121" t="b">
        <v>1</v>
      </c>
      <c r="L25" s="69" t="s">
        <v>77</v>
      </c>
      <c r="M25" s="122" t="b">
        <v>1</v>
      </c>
      <c r="N25" s="222" t="s">
        <v>85</v>
      </c>
      <c r="O25" s="86"/>
      <c r="P25" s="86"/>
      <c r="Q25" s="86"/>
      <c r="R25" s="79" t="str">
        <f t="shared" si="2"/>
        <v/>
      </c>
    </row>
    <row r="26">
      <c r="A26" s="217" t="b">
        <v>1</v>
      </c>
      <c r="B26" s="218" t="s">
        <v>878</v>
      </c>
      <c r="C26" s="69" t="str">
        <f t="array" ref="C26">TEXTJOIN("", TRUE, IFERROR(INDEX('language&amp;DataTest'!A:J, MATCH(INDEX( PointerTest!C:C, MATCH(B26, PointerTest!A:A, 0), 0), 'language&amp;DataTest'!A:A, 0), MATCH(HOME!$A$25, 'language&amp;DataTest'!$A$1:$H$1, 0))),                      IFERROR(INDEX('language&amp;DataTest'!A:J, MATCH(INDEX( PointerTest!D:D, MATCH(B26, PointerTest!A:A, 0), 0), 'language&amp;DataTest'!A:A, 0), MATCH(HOME!$A$25, 'language&amp;DataTest'!$A$1:$H$1, 0))),                                          
IFERROR(INDEX('language&amp;DataTest'!A:J, MATCH(INDEX( PointerTest!E:E, MATCH(B26, PointerTest!A:A, 0), 0), 'language&amp;DataTest'!A:A, 0), MATCH(HOME!$A$25, 'language&amp;DataTest'!$A$1:$H$1, 0))))</f>
        <v>Pachirisu</v>
      </c>
      <c r="D26" s="69" t="str">
        <f t="array" ref="D26">TEXTJOIN("", TRUE, 
IFERROR(INDEX('language&amp;DataTest'!A:J, MATCH(INDEX( PointerTest!C:C, MATCH(INDEX(PointerTest!B:B, MATCH(B26, PointerTest!A:A, 0)), PointerTest!A:A, 0), 0), 'language&amp;DataTest'!A:A, 0), MATCH(HOME!$A$25, 'language&amp;DataTest'!$A$1:$H$1, 0))),                      
IFERROR(INDEX('language&amp;DataTest'!A:J, MATCH(INDEX( PointerTest!D:D, MATCH(INDEX(PointerTest!B:B, MATCH(B26, PointerTest!A:A, 0)), PointerTest!A:A, 0), 0), 'language&amp;DataTest'!A:A, 0), MATCH(HOME!$A$25, 'language&amp;DataTest'!$A$1:$H$1, 0))),                                          
IFERROR(INDEX('language&amp;DataTest'!A:J, MATCH(INDEX( PointerTest!E:E, MATCH(INDEX(PointerTest!B:B, MATCH(B26, PointerTest!A:A, 0)), PointerTest!A:A, 0), 0), 'language&amp;DataTest'!A:A, 0), MATCH(HOME!$A$25, 'language&amp;DataTest'!$A$1:$H$1, 0))))</f>
        <v>Lucario ex</v>
      </c>
      <c r="E26" s="69" t="str">
        <f t="array" ref="E26">INDEX( PointerTest!F:F, MATCH(B26, PointerTest!A:A, 0), 0)</f>
        <v>♢♢</v>
      </c>
      <c r="F26" s="70" t="str">
        <f t="array" ref="F26">LET(percentage,XLOOKUP($E26,$K$2:$K$12,L$2:L$12,"",0)/(COUNTIFS($E:$E,$E26,$D:$D,RegularFormula!$D$2)+COUNTIFS($E:$E,$E26,$D:$D,IF($D26=RegularFormula!$D$2,$K$17,$D26))),IFERROR(IF(percentage,percentage,""),""))</f>
        <v/>
      </c>
      <c r="G26" s="71">
        <f t="array" ref="G26">LET(percentage,XLOOKUP($E26,$K$2:$K$12,M$2:M$12,"",0)/(COUNTIFS($E:$E,$E26,$D:$D,RegularFormula!$D$2)+COUNTIFS($E:$E,$E26,$D:$D,IF($D26=RegularFormula!$D$2,$K$17,$D26))),IFERROR(IF(percentage,percentage,""),""))</f>
        <v>0.04043431818</v>
      </c>
      <c r="H26" s="71">
        <f t="array" ref="H26">LET(percentage,XLOOKUP($E26,$K$2:$K$12,N$2:N$12,"",0)/(COUNTIFS($E:$E,$E26,$D:$D,RegularFormula!$D$2)+COUNTIFS($E:$E,$E26,$D:$D,IF($D26=RegularFormula!$D$2,$K$17,$D26))),IFERROR(IF(percentage,percentage,""),""))</f>
        <v>0.02544181818</v>
      </c>
      <c r="I26" s="72" t="str">
        <f t="shared" si="1"/>
        <v/>
      </c>
      <c r="J26" s="73">
        <v>0.0</v>
      </c>
      <c r="K26" s="121" t="b">
        <v>1</v>
      </c>
      <c r="L26" s="249" t="s">
        <v>861</v>
      </c>
      <c r="M26" s="122" t="b">
        <v>1</v>
      </c>
      <c r="N26" s="250" t="s">
        <v>863</v>
      </c>
      <c r="O26" s="86"/>
      <c r="P26" s="86"/>
      <c r="Q26" s="86"/>
      <c r="R26" s="79" t="str">
        <f t="shared" si="2"/>
        <v/>
      </c>
    </row>
    <row r="27">
      <c r="A27" s="217" t="b">
        <v>1</v>
      </c>
      <c r="B27" s="218" t="s">
        <v>879</v>
      </c>
      <c r="C27" s="69" t="str">
        <f t="array" ref="C27">TEXTJOIN("", TRUE, IFERROR(INDEX('language&amp;DataTest'!A:J, MATCH(INDEX( PointerTest!C:C, MATCH(B27, PointerTest!A:A, 0), 0), 'language&amp;DataTest'!A:A, 0), MATCH(HOME!$A$25, 'language&amp;DataTest'!$A$1:$H$1, 0))),                      IFERROR(INDEX('language&amp;DataTest'!A:J, MATCH(INDEX( PointerTest!D:D, MATCH(B27, PointerTest!A:A, 0), 0), 'language&amp;DataTest'!A:A, 0), MATCH(HOME!$A$25, 'language&amp;DataTest'!$A$1:$H$1, 0))),                                          
IFERROR(INDEX('language&amp;DataTest'!A:J, MATCH(INDEX( PointerTest!E:E, MATCH(B27, PointerTest!A:A, 0), 0), 'language&amp;DataTest'!A:A, 0), MATCH(HOME!$A$25, 'language&amp;DataTest'!$A$1:$H$1, 0))))</f>
        <v>Pawmi</v>
      </c>
      <c r="D27" s="69" t="str">
        <f t="array" ref="D27">TEXTJOIN("", TRUE, 
IFERROR(INDEX('language&amp;DataTest'!A:J, MATCH(INDEX( PointerTest!C:C, MATCH(INDEX(PointerTest!B:B, MATCH(B27, PointerTest!A:A, 0)), PointerTest!A:A, 0), 0), 'language&amp;DataTest'!A:A, 0), MATCH(HOME!$A$25, 'language&amp;DataTest'!$A$1:$H$1, 0))),                      
IFERROR(INDEX('language&amp;DataTest'!A:J, MATCH(INDEX( PointerTest!D:D, MATCH(INDEX(PointerTest!B:B, MATCH(B27, PointerTest!A:A, 0)), PointerTest!A:A, 0), 0), 'language&amp;DataTest'!A:A, 0), MATCH(HOME!$A$25, 'language&amp;DataTest'!$A$1:$H$1, 0))),                                          
IFERROR(INDEX('language&amp;DataTest'!A:J, MATCH(INDEX( PointerTest!E:E, MATCH(INDEX(PointerTest!B:B, MATCH(B27, PointerTest!A:A, 0)), PointerTest!A:A, 0), 0), 'language&amp;DataTest'!A:A, 0), MATCH(HOME!$A$25, 'language&amp;DataTest'!$A$1:$H$1, 0))))</f>
        <v>Lucario ex</v>
      </c>
      <c r="E27" s="69" t="str">
        <f t="array" ref="E27">INDEX( PointerTest!F:F, MATCH(B27, PointerTest!A:A, 0), 0)</f>
        <v>♢</v>
      </c>
      <c r="F27" s="70">
        <f t="array" ref="F27">LET(percentage,XLOOKUP($E27,$K$2:$K$12,L$2:L$12,"",0)/(COUNTIFS($E:$E,$E27,$D:$D,RegularFormula!$D$2)+COUNTIFS($E:$E,$E27,$D:$D,IF($D27=RegularFormula!$D$2,$K$17,$D27))),IFERROR(IF(percentage,percentage,""),""))</f>
        <v>0.031234375</v>
      </c>
      <c r="G27" s="71" t="str">
        <f t="array" ref="G27">LET(percentage,XLOOKUP($E27,$K$2:$K$12,M$2:M$12,"",0)/(COUNTIFS($E:$E,$E27,$D:$D,RegularFormula!$D$2)+COUNTIFS($E:$E,$E27,$D:$D,IF($D27=RegularFormula!$D$2,$K$17,$D27))),IFERROR(IF(percentage,percentage,""),""))</f>
        <v/>
      </c>
      <c r="H27" s="71" t="str">
        <f t="array" ref="H27">LET(percentage,XLOOKUP($E27,$K$2:$K$12,N$2:N$12,"",0)/(COUNTIFS($E:$E,$E27,$D:$D,RegularFormula!$D$2)+COUNTIFS($E:$E,$E27,$D:$D,IF($D27=RegularFormula!$D$2,$K$17,$D27))),IFERROR(IF(percentage,percentage,""),""))</f>
        <v/>
      </c>
      <c r="I27" s="72" t="str">
        <f t="shared" si="1"/>
        <v/>
      </c>
      <c r="J27" s="73">
        <v>0.0</v>
      </c>
      <c r="K27" s="123" t="b">
        <v>0</v>
      </c>
      <c r="L27" s="124" t="s">
        <v>112</v>
      </c>
      <c r="M27" s="124" t="b">
        <f>HOME!A27</f>
        <v>0</v>
      </c>
      <c r="N27" s="223" t="s">
        <v>113</v>
      </c>
      <c r="O27" s="103"/>
      <c r="P27" s="103"/>
      <c r="Q27" s="103"/>
      <c r="R27" s="79" t="str">
        <f t="shared" si="2"/>
        <v/>
      </c>
    </row>
    <row r="28">
      <c r="A28" s="217" t="b">
        <v>1</v>
      </c>
      <c r="B28" s="218" t="s">
        <v>880</v>
      </c>
      <c r="C28" s="69" t="str">
        <f t="array" ref="C28">TEXTJOIN("", TRUE, IFERROR(INDEX('language&amp;DataTest'!A:J, MATCH(INDEX( PointerTest!C:C, MATCH(B28, PointerTest!A:A, 0), 0), 'language&amp;DataTest'!A:A, 0), MATCH(HOME!$A$25, 'language&amp;DataTest'!$A$1:$H$1, 0))),                      IFERROR(INDEX('language&amp;DataTest'!A:J, MATCH(INDEX( PointerTest!D:D, MATCH(B28, PointerTest!A:A, 0), 0), 'language&amp;DataTest'!A:A, 0), MATCH(HOME!$A$25, 'language&amp;DataTest'!$A$1:$H$1, 0))),                                          
IFERROR(INDEX('language&amp;DataTest'!A:J, MATCH(INDEX( PointerTest!E:E, MATCH(B28, PointerTest!A:A, 0), 0), 'language&amp;DataTest'!A:A, 0), MATCH(HOME!$A$25, 'language&amp;DataTest'!$A$1:$H$1, 0))))</f>
        <v>Pawmo</v>
      </c>
      <c r="D28" s="69" t="str">
        <f t="array" ref="D28">TEXTJOIN("", TRUE, 
IFERROR(INDEX('language&amp;DataTest'!A:J, MATCH(INDEX( PointerTest!C:C, MATCH(INDEX(PointerTest!B:B, MATCH(B28, PointerTest!A:A, 0)), PointerTest!A:A, 0), 0), 'language&amp;DataTest'!A:A, 0), MATCH(HOME!$A$25, 'language&amp;DataTest'!$A$1:$H$1, 0))),                      
IFERROR(INDEX('language&amp;DataTest'!A:J, MATCH(INDEX( PointerTest!D:D, MATCH(INDEX(PointerTest!B:B, MATCH(B28, PointerTest!A:A, 0)), PointerTest!A:A, 0), 0), 'language&amp;DataTest'!A:A, 0), MATCH(HOME!$A$25, 'language&amp;DataTest'!$A$1:$H$1, 0))),                                          
IFERROR(INDEX('language&amp;DataTest'!A:J, MATCH(INDEX( PointerTest!E:E, MATCH(INDEX(PointerTest!B:B, MATCH(B28, PointerTest!A:A, 0)), PointerTest!A:A, 0), 0), 'language&amp;DataTest'!A:A, 0), MATCH(HOME!$A$25, 'language&amp;DataTest'!$A$1:$H$1, 0))))</f>
        <v>Lucario ex</v>
      </c>
      <c r="E28" s="69" t="str">
        <f t="array" ref="E28">INDEX( PointerTest!F:F, MATCH(B28, PointerTest!A:A, 0), 0)</f>
        <v>♢♢</v>
      </c>
      <c r="F28" s="70" t="str">
        <f t="array" ref="F28">LET(percentage,XLOOKUP($E28,$K$2:$K$12,L$2:L$12,"",0)/(COUNTIFS($E:$E,$E28,$D:$D,RegularFormula!$D$2)+COUNTIFS($E:$E,$E28,$D:$D,IF($D28=RegularFormula!$D$2,$K$17,$D28))),IFERROR(IF(percentage,percentage,""),""))</f>
        <v/>
      </c>
      <c r="G28" s="71">
        <f t="array" ref="G28">LET(percentage,XLOOKUP($E28,$K$2:$K$12,M$2:M$12,"",0)/(COUNTIFS($E:$E,$E28,$D:$D,RegularFormula!$D$2)+COUNTIFS($E:$E,$E28,$D:$D,IF($D28=RegularFormula!$D$2,$K$17,$D28))),IFERROR(IF(percentage,percentage,""),""))</f>
        <v>0.04043431818</v>
      </c>
      <c r="H28" s="71">
        <f t="array" ref="H28">LET(percentage,XLOOKUP($E28,$K$2:$K$12,N$2:N$12,"",0)/(COUNTIFS($E:$E,$E28,$D:$D,RegularFormula!$D$2)+COUNTIFS($E:$E,$E28,$D:$D,IF($D28=RegularFormula!$D$2,$K$17,$D28))),IFERROR(IF(percentage,percentage,""),""))</f>
        <v>0.02544181818</v>
      </c>
      <c r="I28" s="72" t="str">
        <f t="shared" si="1"/>
        <v/>
      </c>
      <c r="J28" s="73">
        <v>0.0</v>
      </c>
      <c r="K28" s="126" t="s">
        <v>115</v>
      </c>
      <c r="L28" s="127"/>
      <c r="M28" s="127"/>
      <c r="N28" s="128"/>
      <c r="O28" s="103"/>
      <c r="P28" s="103"/>
      <c r="Q28" s="103"/>
      <c r="R28" s="79" t="str">
        <f t="shared" si="2"/>
        <v/>
      </c>
    </row>
    <row r="29">
      <c r="A29" s="217" t="b">
        <v>0</v>
      </c>
      <c r="B29" s="218" t="s">
        <v>881</v>
      </c>
      <c r="C29" s="69" t="str">
        <f t="array" ref="C29">TEXTJOIN("", TRUE, IFERROR(INDEX('language&amp;DataTest'!A:J, MATCH(INDEX( PointerTest!C:C, MATCH(B29, PointerTest!A:A, 0), 0), 'language&amp;DataTest'!A:A, 0), MATCH(HOME!$A$25, 'language&amp;DataTest'!$A$1:$H$1, 0))),                      IFERROR(INDEX('language&amp;DataTest'!A:J, MATCH(INDEX( PointerTest!D:D, MATCH(B29, PointerTest!A:A, 0), 0), 'language&amp;DataTest'!A:A, 0), MATCH(HOME!$A$25, 'language&amp;DataTest'!$A$1:$H$1, 0))),                                          
IFERROR(INDEX('language&amp;DataTest'!A:J, MATCH(INDEX( PointerTest!E:E, MATCH(B29, PointerTest!A:A, 0), 0), 'language&amp;DataTest'!A:A, 0), MATCH(HOME!$A$25, 'language&amp;DataTest'!$A$1:$H$1, 0))))</f>
        <v>Pawmot</v>
      </c>
      <c r="D29" s="69" t="str">
        <f t="array" ref="D29">TEXTJOIN("", TRUE, 
IFERROR(INDEX('language&amp;DataTest'!A:J, MATCH(INDEX( PointerTest!C:C, MATCH(INDEX(PointerTest!B:B, MATCH(B29, PointerTest!A:A, 0)), PointerTest!A:A, 0), 0), 'language&amp;DataTest'!A:A, 0), MATCH(HOME!$A$25, 'language&amp;DataTest'!$A$1:$H$1, 0))),                      
IFERROR(INDEX('language&amp;DataTest'!A:J, MATCH(INDEX( PointerTest!D:D, MATCH(INDEX(PointerTest!B:B, MATCH(B29, PointerTest!A:A, 0)), PointerTest!A:A, 0), 0), 'language&amp;DataTest'!A:A, 0), MATCH(HOME!$A$25, 'language&amp;DataTest'!$A$1:$H$1, 0))),                                          
IFERROR(INDEX('language&amp;DataTest'!A:J, MATCH(INDEX( PointerTest!E:E, MATCH(INDEX(PointerTest!B:B, MATCH(B29, PointerTest!A:A, 0)), PointerTest!A:A, 0), 0), 'language&amp;DataTest'!A:A, 0), MATCH(HOME!$A$25, 'language&amp;DataTest'!$A$1:$H$1, 0))))</f>
        <v>Lucario ex</v>
      </c>
      <c r="E29" s="69" t="str">
        <f t="array" ref="E29">INDEX( PointerTest!F:F, MATCH(B29, PointerTest!A:A, 0), 0)</f>
        <v>♢♢♢</v>
      </c>
      <c r="F29" s="70" t="str">
        <f t="array" ref="F29">LET(percentage,XLOOKUP($E29,$K$2:$K$12,L$2:L$12,"",0)/(COUNTIFS($E:$E,$E29,$D:$D,RegularFormula!$D$2)+COUNTIFS($E:$E,$E29,$D:$D,IF($D29=RegularFormula!$D$2,$K$17,$D29))),IFERROR(IF(percentage,percentage,""),""))</f>
        <v/>
      </c>
      <c r="G29" s="71">
        <f t="array" ref="G29">LET(percentage,XLOOKUP($E29,$K$2:$K$12,M$2:M$12,"",0)/(COUNTIFS($E:$E,$E29,$D:$D,RegularFormula!$D$2)+COUNTIFS($E:$E,$E29,$D:$D,IF($D29=RegularFormula!$D$2,$K$17,$D29))),IFERROR(IF(percentage,percentage,""),""))</f>
        <v>0.005499471111</v>
      </c>
      <c r="H29" s="71">
        <f t="array" ref="H29">LET(percentage,XLOOKUP($E29,$K$2:$K$12,N$2:N$12,"",0)/(COUNTIFS($E:$E,$E29,$D:$D,RegularFormula!$D$2)+COUNTIFS($E:$E,$E29,$D:$D,IF($D29=RegularFormula!$D$2,$K$17,$D29))),IFERROR(IF(percentage,percentage,""),""))</f>
        <v>0.02200010556</v>
      </c>
      <c r="I29" s="72" t="str">
        <f t="shared" si="1"/>
        <v/>
      </c>
      <c r="J29" s="73">
        <v>0.0</v>
      </c>
      <c r="K29" s="129" t="s">
        <v>882</v>
      </c>
      <c r="L29" s="130" t="s">
        <v>92</v>
      </c>
      <c r="M29" s="130" t="s">
        <v>93</v>
      </c>
      <c r="N29" s="133" t="s">
        <v>94</v>
      </c>
      <c r="O29" s="103"/>
      <c r="P29" s="103"/>
      <c r="Q29" s="103"/>
      <c r="R29" s="79" t="str">
        <f t="shared" si="2"/>
        <v/>
      </c>
    </row>
    <row r="30">
      <c r="A30" s="217" t="b">
        <v>1</v>
      </c>
      <c r="B30" s="218" t="s">
        <v>883</v>
      </c>
      <c r="C30" s="69" t="str">
        <f t="array" ref="C30">TEXTJOIN("", TRUE, IFERROR(INDEX('language&amp;DataTest'!A:J, MATCH(INDEX( PointerTest!C:C, MATCH(B30, PointerTest!A:A, 0), 0), 'language&amp;DataTest'!A:A, 0), MATCH(HOME!$A$25, 'language&amp;DataTest'!$A$1:$H$1, 0))),                      IFERROR(INDEX('language&amp;DataTest'!A:J, MATCH(INDEX( PointerTest!D:D, MATCH(B30, PointerTest!A:A, 0), 0), 'language&amp;DataTest'!A:A, 0), MATCH(HOME!$A$25, 'language&amp;DataTest'!$A$1:$H$1, 0))),                                          
IFERROR(INDEX('language&amp;DataTest'!A:J, MATCH(INDEX( PointerTest!E:E, MATCH(B30, PointerTest!A:A, 0), 0), 'language&amp;DataTest'!A:A, 0), MATCH(HOME!$A$25, 'language&amp;DataTest'!$A$1:$H$1, 0))))</f>
        <v>Abra</v>
      </c>
      <c r="D30" s="69" t="str">
        <f t="array" ref="D30">TEXTJOIN("", TRUE, 
IFERROR(INDEX('language&amp;DataTest'!A:J, MATCH(INDEX( PointerTest!C:C, MATCH(INDEX(PointerTest!B:B, MATCH(B30, PointerTest!A:A, 0)), PointerTest!A:A, 0), 0), 'language&amp;DataTest'!A:A, 0), MATCH(HOME!$A$25, 'language&amp;DataTest'!$A$1:$H$1, 0))),                      
IFERROR(INDEX('language&amp;DataTest'!A:J, MATCH(INDEX( PointerTest!D:D, MATCH(INDEX(PointerTest!B:B, MATCH(B30, PointerTest!A:A, 0)), PointerTest!A:A, 0), 0), 'language&amp;DataTest'!A:A, 0), MATCH(HOME!$A$25, 'language&amp;DataTest'!$A$1:$H$1, 0))),                                          
IFERROR(INDEX('language&amp;DataTest'!A:J, MATCH(INDEX( PointerTest!E:E, MATCH(INDEX(PointerTest!B:B, MATCH(B30, PointerTest!A:A, 0)), PointerTest!A:A, 0), 0), 'language&amp;DataTest'!A:A, 0), MATCH(HOME!$A$25, 'language&amp;DataTest'!$A$1:$H$1, 0))))</f>
        <v>Lucario ex</v>
      </c>
      <c r="E30" s="69" t="str">
        <f t="array" ref="E30">INDEX( PointerTest!F:F, MATCH(B30, PointerTest!A:A, 0), 0)</f>
        <v>♢</v>
      </c>
      <c r="F30" s="70">
        <f t="array" ref="F30">LET(percentage,XLOOKUP($E30,$K$2:$K$12,L$2:L$12,"",0)/(COUNTIFS($E:$E,$E30,$D:$D,RegularFormula!$D$2)+COUNTIFS($E:$E,$E30,$D:$D,IF($D30=RegularFormula!$D$2,$K$17,$D30))),IFERROR(IF(percentage,percentage,""),""))</f>
        <v>0.031234375</v>
      </c>
      <c r="G30" s="71" t="str">
        <f t="array" ref="G30">LET(percentage,XLOOKUP($E30,$K$2:$K$12,M$2:M$12,"",0)/(COUNTIFS($E:$E,$E30,$D:$D,RegularFormula!$D$2)+COUNTIFS($E:$E,$E30,$D:$D,IF($D30=RegularFormula!$D$2,$K$17,$D30))),IFERROR(IF(percentage,percentage,""),""))</f>
        <v/>
      </c>
      <c r="H30" s="71" t="str">
        <f t="array" ref="H30">LET(percentage,XLOOKUP($E30,$K$2:$K$12,N$2:N$12,"",0)/(COUNTIFS($E:$E,$E30,$D:$D,RegularFormula!$D$2)+COUNTIFS($E:$E,$E30,$D:$D,IF($D30=RegularFormula!$D$2,$K$17,$D30))),IFERROR(IF(percentage,percentage,""),""))</f>
        <v/>
      </c>
      <c r="I30" s="72" t="str">
        <f t="shared" si="1"/>
        <v/>
      </c>
      <c r="J30" s="73">
        <v>0.0</v>
      </c>
      <c r="K30" s="131" t="s">
        <v>96</v>
      </c>
      <c r="L30" s="132">
        <f t="shared" ref="L30:L31" si="4">IFERROR(LEFT($N30,SEARCH("/",$N30)-1)/RIGHT($N30,LEN($N30)-SEARCH("/",$N30)),0)</f>
        <v>0.7117117117</v>
      </c>
      <c r="M30" s="132">
        <f t="shared" ref="M30:M31" si="5">1-$L30</f>
        <v>0.2882882883</v>
      </c>
      <c r="N30" s="133" t="str">
        <f t="array" ref="N30">SUMPRODUCT(COUNTIFS($A$2:$A112,TRUE,$E$2:$E112,CardCategoriesWithShiny),{$K$22:$K$25;$M$22:$M$24;K26;M26;M25}) &amp; "/" &amp; SUMPRODUCT(COUNTIFS($E$2:$E112,CardCategoriesWithShiny),{$K$22:$K$25;$M$22:$M$24;K26;M26;M25})</f>
        <v>79/111</v>
      </c>
      <c r="O30" s="103"/>
      <c r="P30" s="103"/>
      <c r="Q30" s="103"/>
      <c r="R30" s="79" t="str">
        <f t="shared" si="2"/>
        <v/>
      </c>
    </row>
    <row r="31">
      <c r="A31" s="217" t="b">
        <v>1</v>
      </c>
      <c r="B31" s="218" t="s">
        <v>884</v>
      </c>
      <c r="C31" s="69" t="str">
        <f t="array" ref="C31">TEXTJOIN("", TRUE, IFERROR(INDEX('language&amp;DataTest'!A:J, MATCH(INDEX( PointerTest!C:C, MATCH(B31, PointerTest!A:A, 0), 0), 'language&amp;DataTest'!A:A, 0), MATCH(HOME!$A$25, 'language&amp;DataTest'!$A$1:$H$1, 0))),                      IFERROR(INDEX('language&amp;DataTest'!A:J, MATCH(INDEX( PointerTest!D:D, MATCH(B31, PointerTest!A:A, 0), 0), 'language&amp;DataTest'!A:A, 0), MATCH(HOME!$A$25, 'language&amp;DataTest'!$A$1:$H$1, 0))),                                          
IFERROR(INDEX('language&amp;DataTest'!A:J, MATCH(INDEX( PointerTest!E:E, MATCH(B31, PointerTest!A:A, 0), 0), 'language&amp;DataTest'!A:A, 0), MATCH(HOME!$A$25, 'language&amp;DataTest'!$A$1:$H$1, 0))))</f>
        <v>Kadabra</v>
      </c>
      <c r="D31" s="69" t="str">
        <f t="array" ref="D31">TEXTJOIN("", TRUE, 
IFERROR(INDEX('language&amp;DataTest'!A:J, MATCH(INDEX( PointerTest!C:C, MATCH(INDEX(PointerTest!B:B, MATCH(B31, PointerTest!A:A, 0)), PointerTest!A:A, 0), 0), 'language&amp;DataTest'!A:A, 0), MATCH(HOME!$A$25, 'language&amp;DataTest'!$A$1:$H$1, 0))),                      
IFERROR(INDEX('language&amp;DataTest'!A:J, MATCH(INDEX( PointerTest!D:D, MATCH(INDEX(PointerTest!B:B, MATCH(B31, PointerTest!A:A, 0)), PointerTest!A:A, 0), 0), 'language&amp;DataTest'!A:A, 0), MATCH(HOME!$A$25, 'language&amp;DataTest'!$A$1:$H$1, 0))),                                          
IFERROR(INDEX('language&amp;DataTest'!A:J, MATCH(INDEX( PointerTest!E:E, MATCH(INDEX(PointerTest!B:B, MATCH(B31, PointerTest!A:A, 0)), PointerTest!A:A, 0), 0), 'language&amp;DataTest'!A:A, 0), MATCH(HOME!$A$25, 'language&amp;DataTest'!$A$1:$H$1, 0))))</f>
        <v>Lucario ex</v>
      </c>
      <c r="E31" s="69" t="str">
        <f t="array" ref="E31">INDEX( PointerTest!F:F, MATCH(B31, PointerTest!A:A, 0), 0)</f>
        <v>♢♢</v>
      </c>
      <c r="F31" s="70" t="str">
        <f t="array" ref="F31">LET(percentage,XLOOKUP($E31,$K$2:$K$12,L$2:L$12,"",0)/(COUNTIFS($E:$E,$E31,$D:$D,RegularFormula!$D$2)+COUNTIFS($E:$E,$E31,$D:$D,IF($D31=RegularFormula!$D$2,$K$17,$D31))),IFERROR(IF(percentage,percentage,""),""))</f>
        <v/>
      </c>
      <c r="G31" s="71">
        <f t="array" ref="G31">LET(percentage,XLOOKUP($E31,$K$2:$K$12,M$2:M$12,"",0)/(COUNTIFS($E:$E,$E31,$D:$D,RegularFormula!$D$2)+COUNTIFS($E:$E,$E31,$D:$D,IF($D31=RegularFormula!$D$2,$K$17,$D31))),IFERROR(IF(percentage,percentage,""),""))</f>
        <v>0.04043431818</v>
      </c>
      <c r="H31" s="71">
        <f t="array" ref="H31">LET(percentage,XLOOKUP($E31,$K$2:$K$12,N$2:N$12,"",0)/(COUNTIFS($E:$E,$E31,$D:$D,RegularFormula!$D$2)+COUNTIFS($E:$E,$E31,$D:$D,IF($D31=RegularFormula!$D$2,$K$17,$D31))),IFERROR(IF(percentage,percentage,""),""))</f>
        <v>0.02544181818</v>
      </c>
      <c r="I31" s="72" t="str">
        <f t="shared" si="1"/>
        <v/>
      </c>
      <c r="J31" s="73">
        <v>0.0</v>
      </c>
      <c r="K31" s="134" t="str">
        <f>C44</f>
        <v>Lucario ex</v>
      </c>
      <c r="L31" s="132">
        <f t="shared" si="4"/>
        <v>0.7117117117</v>
      </c>
      <c r="M31" s="132">
        <f t="shared" si="5"/>
        <v>0.2882882883</v>
      </c>
      <c r="N31" s="135" t="str">
        <f t="array" ref="N31">SUMPRODUCT(COUNTIFS($A$2:$A112,TRUE,$E$2:$E112,CardCategoriesWithShiny,$D$2:$D112,$K31),{$K$22:$K$25;$M$22:$M$24;K26;M26;M25}) &amp; "/" &amp; SUMPRODUCT(COUNTIFS($E$2:$E112,CardCategoriesWithShiny,$D$2:$D112,$K31),{$K$22:$K$25;$M$22:$M$24;K26;M26;M25})</f>
        <v>79/111</v>
      </c>
      <c r="O31" s="103"/>
      <c r="P31" s="103"/>
      <c r="Q31" s="103"/>
      <c r="R31" s="79" t="str">
        <f t="shared" si="2"/>
        <v/>
      </c>
    </row>
    <row r="32">
      <c r="A32" s="217" t="b">
        <v>1</v>
      </c>
      <c r="B32" s="218" t="s">
        <v>885</v>
      </c>
      <c r="C32" s="69" t="str">
        <f t="array" ref="C32">TEXTJOIN("", TRUE, IFERROR(INDEX('language&amp;DataTest'!A:J, MATCH(INDEX( PointerTest!C:C, MATCH(B32, PointerTest!A:A, 0), 0), 'language&amp;DataTest'!A:A, 0), MATCH(HOME!$A$25, 'language&amp;DataTest'!$A$1:$H$1, 0))),                      IFERROR(INDEX('language&amp;DataTest'!A:J, MATCH(INDEX( PointerTest!D:D, MATCH(B32, PointerTest!A:A, 0), 0), 'language&amp;DataTest'!A:A, 0), MATCH(HOME!$A$25, 'language&amp;DataTest'!$A$1:$H$1, 0))),                                          
IFERROR(INDEX('language&amp;DataTest'!A:J, MATCH(INDEX( PointerTest!E:E, MATCH(B32, PointerTest!A:A, 0), 0), 'language&amp;DataTest'!A:A, 0), MATCH(HOME!$A$25, 'language&amp;DataTest'!$A$1:$H$1, 0))))</f>
        <v>Alakazam</v>
      </c>
      <c r="D32" s="69" t="str">
        <f t="array" ref="D32">TEXTJOIN("", TRUE, 
IFERROR(INDEX('language&amp;DataTest'!A:J, MATCH(INDEX( PointerTest!C:C, MATCH(INDEX(PointerTest!B:B, MATCH(B32, PointerTest!A:A, 0)), PointerTest!A:A, 0), 0), 'language&amp;DataTest'!A:A, 0), MATCH(HOME!$A$25, 'language&amp;DataTest'!$A$1:$H$1, 0))),                      
IFERROR(INDEX('language&amp;DataTest'!A:J, MATCH(INDEX( PointerTest!D:D, MATCH(INDEX(PointerTest!B:B, MATCH(B32, PointerTest!A:A, 0)), PointerTest!A:A, 0), 0), 'language&amp;DataTest'!A:A, 0), MATCH(HOME!$A$25, 'language&amp;DataTest'!$A$1:$H$1, 0))),                                          
IFERROR(INDEX('language&amp;DataTest'!A:J, MATCH(INDEX( PointerTest!E:E, MATCH(INDEX(PointerTest!B:B, MATCH(B32, PointerTest!A:A, 0)), PointerTest!A:A, 0), 0), 'language&amp;DataTest'!A:A, 0), MATCH(HOME!$A$25, 'language&amp;DataTest'!$A$1:$H$1, 0))))</f>
        <v>Lucario ex</v>
      </c>
      <c r="E32" s="69" t="str">
        <f t="array" ref="E32">INDEX( PointerTest!F:F, MATCH(B32, PointerTest!A:A, 0), 0)</f>
        <v>♢♢♢</v>
      </c>
      <c r="F32" s="70" t="str">
        <f t="array" ref="F32">LET(percentage,XLOOKUP($E32,$K$2:$K$12,L$2:L$12,"",0)/(COUNTIFS($E:$E,$E32,$D:$D,RegularFormula!$D$2)+COUNTIFS($E:$E,$E32,$D:$D,IF($D32=RegularFormula!$D$2,$K$17,$D32))),IFERROR(IF(percentage,percentage,""),""))</f>
        <v/>
      </c>
      <c r="G32" s="71">
        <f t="array" ref="G32">LET(percentage,XLOOKUP($E32,$K$2:$K$12,M$2:M$12,"",0)/(COUNTIFS($E:$E,$E32,$D:$D,RegularFormula!$D$2)+COUNTIFS($E:$E,$E32,$D:$D,IF($D32=RegularFormula!$D$2,$K$17,$D32))),IFERROR(IF(percentage,percentage,""),""))</f>
        <v>0.005499471111</v>
      </c>
      <c r="H32" s="71">
        <f t="array" ref="H32">LET(percentage,XLOOKUP($E32,$K$2:$K$12,N$2:N$12,"",0)/(COUNTIFS($E:$E,$E32,$D:$D,RegularFormula!$D$2)+COUNTIFS($E:$E,$E32,$D:$D,IF($D32=RegularFormula!$D$2,$K$17,$D32))),IFERROR(IF(percentage,percentage,""),""))</f>
        <v>0.02200010556</v>
      </c>
      <c r="I32" s="72" t="str">
        <f t="shared" si="1"/>
        <v/>
      </c>
      <c r="J32" s="73">
        <v>0.0</v>
      </c>
      <c r="K32" s="139" t="s">
        <v>101</v>
      </c>
      <c r="L32" s="140" t="str">
        <f>IF(M31 = MAX(M31), K31, IF(#REF! = MAX(M31), #REF!, #REF!))</f>
        <v>Lucario ex</v>
      </c>
      <c r="N32" s="119"/>
      <c r="O32" s="103"/>
      <c r="P32" s="103"/>
      <c r="Q32" s="103"/>
      <c r="R32" s="79" t="str">
        <f t="shared" si="2"/>
        <v/>
      </c>
    </row>
    <row r="33">
      <c r="A33" s="217" t="b">
        <v>1</v>
      </c>
      <c r="B33" s="218" t="s">
        <v>886</v>
      </c>
      <c r="C33" s="69" t="str">
        <f t="array" ref="C33">TEXTJOIN("", TRUE, IFERROR(INDEX('language&amp;DataTest'!A:J, MATCH(INDEX( PointerTest!C:C, MATCH(B33, PointerTest!A:A, 0), 0), 'language&amp;DataTest'!A:A, 0), MATCH(HOME!$A$25, 'language&amp;DataTest'!$A$1:$H$1, 0))),                      IFERROR(INDEX('language&amp;DataTest'!A:J, MATCH(INDEX( PointerTest!D:D, MATCH(B33, PointerTest!A:A, 0), 0), 'language&amp;DataTest'!A:A, 0), MATCH(HOME!$A$25, 'language&amp;DataTest'!$A$1:$H$1, 0))),                                          
IFERROR(INDEX('language&amp;DataTest'!A:J, MATCH(INDEX( PointerTest!E:E, MATCH(B33, PointerTest!A:A, 0), 0), 'language&amp;DataTest'!A:A, 0), MATCH(HOME!$A$25, 'language&amp;DataTest'!$A$1:$H$1, 0))))</f>
        <v>Mr. Mime</v>
      </c>
      <c r="D33" s="69" t="str">
        <f t="array" ref="D33">TEXTJOIN("", TRUE, 
IFERROR(INDEX('language&amp;DataTest'!A:J, MATCH(INDEX( PointerTest!C:C, MATCH(INDEX(PointerTest!B:B, MATCH(B33, PointerTest!A:A, 0)), PointerTest!A:A, 0), 0), 'language&amp;DataTest'!A:A, 0), MATCH(HOME!$A$25, 'language&amp;DataTest'!$A$1:$H$1, 0))),                      
IFERROR(INDEX('language&amp;DataTest'!A:J, MATCH(INDEX( PointerTest!D:D, MATCH(INDEX(PointerTest!B:B, MATCH(B33, PointerTest!A:A, 0)), PointerTest!A:A, 0), 0), 'language&amp;DataTest'!A:A, 0), MATCH(HOME!$A$25, 'language&amp;DataTest'!$A$1:$H$1, 0))),                                          
IFERROR(INDEX('language&amp;DataTest'!A:J, MATCH(INDEX( PointerTest!E:E, MATCH(INDEX(PointerTest!B:B, MATCH(B33, PointerTest!A:A, 0)), PointerTest!A:A, 0), 0), 'language&amp;DataTest'!A:A, 0), MATCH(HOME!$A$25, 'language&amp;DataTest'!$A$1:$H$1, 0))))</f>
        <v>Lucario ex</v>
      </c>
      <c r="E33" s="69" t="str">
        <f t="array" ref="E33">INDEX( PointerTest!F:F, MATCH(B33, PointerTest!A:A, 0), 0)</f>
        <v>♢</v>
      </c>
      <c r="F33" s="70">
        <f t="array" ref="F33">LET(percentage,XLOOKUP($E33,$K$2:$K$12,L$2:L$12,"",0)/(COUNTIFS($E:$E,$E33,$D:$D,RegularFormula!$D$2)+COUNTIFS($E:$E,$E33,$D:$D,IF($D33=RegularFormula!$D$2,$K$17,$D33))),IFERROR(IF(percentage,percentage,""),""))</f>
        <v>0.031234375</v>
      </c>
      <c r="G33" s="71" t="str">
        <f t="array" ref="G33">LET(percentage,XLOOKUP($E33,$K$2:$K$12,M$2:M$12,"",0)/(COUNTIFS($E:$E,$E33,$D:$D,RegularFormula!$D$2)+COUNTIFS($E:$E,$E33,$D:$D,IF($D33=RegularFormula!$D$2,$K$17,$D33))),IFERROR(IF(percentage,percentage,""),""))</f>
        <v/>
      </c>
      <c r="H33" s="71" t="str">
        <f t="array" ref="H33">LET(percentage,XLOOKUP($E33,$K$2:$K$12,N$2:N$12,"",0)/(COUNTIFS($E:$E,$E33,$D:$D,RegularFormula!$D$2)+COUNTIFS($E:$E,$E33,$D:$D,IF($D33=RegularFormula!$D$2,$K$17,$D33))),IFERROR(IF(percentage,percentage,""),""))</f>
        <v/>
      </c>
      <c r="I33" s="72" t="str">
        <f t="shared" si="1"/>
        <v/>
      </c>
      <c r="J33" s="73">
        <v>0.0</v>
      </c>
      <c r="K33" s="118"/>
      <c r="N33" s="119"/>
      <c r="O33" s="103"/>
      <c r="P33" s="103"/>
      <c r="Q33" s="103"/>
      <c r="R33" s="79" t="str">
        <f t="shared" si="2"/>
        <v/>
      </c>
    </row>
    <row r="34">
      <c r="A34" s="217" t="b">
        <v>1</v>
      </c>
      <c r="B34" s="218" t="s">
        <v>887</v>
      </c>
      <c r="C34" s="69" t="str">
        <f t="array" ref="C34">TEXTJOIN("", TRUE, IFERROR(INDEX('language&amp;DataTest'!A:J, MATCH(INDEX( PointerTest!C:C, MATCH(B34, PointerTest!A:A, 0), 0), 'language&amp;DataTest'!A:A, 0), MATCH(HOME!$A$25, 'language&amp;DataTest'!$A$1:$H$1, 0))),                      IFERROR(INDEX('language&amp;DataTest'!A:J, MATCH(INDEX( PointerTest!D:D, MATCH(B34, PointerTest!A:A, 0), 0), 'language&amp;DataTest'!A:A, 0), MATCH(HOME!$A$25, 'language&amp;DataTest'!$A$1:$H$1, 0))),                                          
IFERROR(INDEX('language&amp;DataTest'!A:J, MATCH(INDEX( PointerTest!E:E, MATCH(B34, PointerTest!A:A, 0), 0), 'language&amp;DataTest'!A:A, 0), MATCH(HOME!$A$25, 'language&amp;DataTest'!$A$1:$H$1, 0))))</f>
        <v>Drifloon</v>
      </c>
      <c r="D34" s="69" t="str">
        <f t="array" ref="D34">TEXTJOIN("", TRUE, 
IFERROR(INDEX('language&amp;DataTest'!A:J, MATCH(INDEX( PointerTest!C:C, MATCH(INDEX(PointerTest!B:B, MATCH(B34, PointerTest!A:A, 0)), PointerTest!A:A, 0), 0), 'language&amp;DataTest'!A:A, 0), MATCH(HOME!$A$25, 'language&amp;DataTest'!$A$1:$H$1, 0))),                      
IFERROR(INDEX('language&amp;DataTest'!A:J, MATCH(INDEX( PointerTest!D:D, MATCH(INDEX(PointerTest!B:B, MATCH(B34, PointerTest!A:A, 0)), PointerTest!A:A, 0), 0), 'language&amp;DataTest'!A:A, 0), MATCH(HOME!$A$25, 'language&amp;DataTest'!$A$1:$H$1, 0))),                                          
IFERROR(INDEX('language&amp;DataTest'!A:J, MATCH(INDEX( PointerTest!E:E, MATCH(INDEX(PointerTest!B:B, MATCH(B34, PointerTest!A:A, 0)), PointerTest!A:A, 0), 0), 'language&amp;DataTest'!A:A, 0), MATCH(HOME!$A$25, 'language&amp;DataTest'!$A$1:$H$1, 0))))</f>
        <v>Lucario ex</v>
      </c>
      <c r="E34" s="69" t="str">
        <f t="array" ref="E34">INDEX( PointerTest!F:F, MATCH(B34, PointerTest!A:A, 0), 0)</f>
        <v>♢</v>
      </c>
      <c r="F34" s="70">
        <f t="array" ref="F34">LET(percentage,XLOOKUP($E34,$K$2:$K$12,L$2:L$12,"",0)/(COUNTIFS($E:$E,$E34,$D:$D,RegularFormula!$D$2)+COUNTIFS($E:$E,$E34,$D:$D,IF($D34=RegularFormula!$D$2,$K$17,$D34))),IFERROR(IF(percentage,percentage,""),""))</f>
        <v>0.031234375</v>
      </c>
      <c r="G34" s="71" t="str">
        <f t="array" ref="G34">LET(percentage,XLOOKUP($E34,$K$2:$K$12,M$2:M$12,"",0)/(COUNTIFS($E:$E,$E34,$D:$D,RegularFormula!$D$2)+COUNTIFS($E:$E,$E34,$D:$D,IF($D34=RegularFormula!$D$2,$K$17,$D34))),IFERROR(IF(percentage,percentage,""),""))</f>
        <v/>
      </c>
      <c r="H34" s="71" t="str">
        <f t="array" ref="H34">LET(percentage,XLOOKUP($E34,$K$2:$K$12,N$2:N$12,"",0)/(COUNTIFS($E:$E,$E34,$D:$D,RegularFormula!$D$2)+COUNTIFS($E:$E,$E34,$D:$D,IF($D34=RegularFormula!$D$2,$K$17,$D34))),IFERROR(IF(percentage,percentage,""),""))</f>
        <v/>
      </c>
      <c r="I34" s="72" t="str">
        <f t="shared" si="1"/>
        <v/>
      </c>
      <c r="J34" s="73">
        <v>0.0</v>
      </c>
      <c r="K34" s="144" t="s">
        <v>127</v>
      </c>
      <c r="N34" s="119"/>
      <c r="O34" s="103"/>
      <c r="P34" s="103"/>
      <c r="Q34" s="103"/>
      <c r="R34" s="79" t="str">
        <f t="shared" si="2"/>
        <v/>
      </c>
    </row>
    <row r="35">
      <c r="A35" s="217" t="b">
        <v>1</v>
      </c>
      <c r="B35" s="218" t="s">
        <v>888</v>
      </c>
      <c r="C35" s="69" t="str">
        <f t="array" ref="C35">TEXTJOIN("", TRUE, IFERROR(INDEX('language&amp;DataTest'!A:J, MATCH(INDEX( PointerTest!C:C, MATCH(B35, PointerTest!A:A, 0), 0), 'language&amp;DataTest'!A:A, 0), MATCH(HOME!$A$25, 'language&amp;DataTest'!$A$1:$H$1, 0))),                      IFERROR(INDEX('language&amp;DataTest'!A:J, MATCH(INDEX( PointerTest!D:D, MATCH(B35, PointerTest!A:A, 0), 0), 'language&amp;DataTest'!A:A, 0), MATCH(HOME!$A$25, 'language&amp;DataTest'!$A$1:$H$1, 0))),                                          
IFERROR(INDEX('language&amp;DataTest'!A:J, MATCH(INDEX( PointerTest!E:E, MATCH(B35, PointerTest!A:A, 0), 0), 'language&amp;DataTest'!A:A, 0), MATCH(HOME!$A$25, 'language&amp;DataTest'!$A$1:$H$1, 0))))</f>
        <v>Drifblim</v>
      </c>
      <c r="D35" s="69" t="str">
        <f t="array" ref="D35">TEXTJOIN("", TRUE, 
IFERROR(INDEX('language&amp;DataTest'!A:J, MATCH(INDEX( PointerTest!C:C, MATCH(INDEX(PointerTest!B:B, MATCH(B35, PointerTest!A:A, 0)), PointerTest!A:A, 0), 0), 'language&amp;DataTest'!A:A, 0), MATCH(HOME!$A$25, 'language&amp;DataTest'!$A$1:$H$1, 0))),                      
IFERROR(INDEX('language&amp;DataTest'!A:J, MATCH(INDEX( PointerTest!D:D, MATCH(INDEX(PointerTest!B:B, MATCH(B35, PointerTest!A:A, 0)), PointerTest!A:A, 0), 0), 'language&amp;DataTest'!A:A, 0), MATCH(HOME!$A$25, 'language&amp;DataTest'!$A$1:$H$1, 0))),                                          
IFERROR(INDEX('language&amp;DataTest'!A:J, MATCH(INDEX( PointerTest!E:E, MATCH(INDEX(PointerTest!B:B, MATCH(B35, PointerTest!A:A, 0)), PointerTest!A:A, 0), 0), 'language&amp;DataTest'!A:A, 0), MATCH(HOME!$A$25, 'language&amp;DataTest'!$A$1:$H$1, 0))))</f>
        <v>Lucario ex</v>
      </c>
      <c r="E35" s="69" t="str">
        <f t="array" ref="E35">INDEX( PointerTest!F:F, MATCH(B35, PointerTest!A:A, 0), 0)</f>
        <v>♢♢</v>
      </c>
      <c r="F35" s="70" t="str">
        <f t="array" ref="F35">LET(percentage,XLOOKUP($E35,$K$2:$K$12,L$2:L$12,"",0)/(COUNTIFS($E:$E,$E35,$D:$D,RegularFormula!$D$2)+COUNTIFS($E:$E,$E35,$D:$D,IF($D35=RegularFormula!$D$2,$K$17,$D35))),IFERROR(IF(percentage,percentage,""),""))</f>
        <v/>
      </c>
      <c r="G35" s="71">
        <f t="array" ref="G35">LET(percentage,XLOOKUP($E35,$K$2:$K$12,M$2:M$12,"",0)/(COUNTIFS($E:$E,$E35,$D:$D,RegularFormula!$D$2)+COUNTIFS($E:$E,$E35,$D:$D,IF($D35=RegularFormula!$D$2,$K$17,$D35))),IFERROR(IF(percentage,percentage,""),""))</f>
        <v>0.04043431818</v>
      </c>
      <c r="H35" s="71">
        <f t="array" ref="H35">LET(percentage,XLOOKUP($E35,$K$2:$K$12,N$2:N$12,"",0)/(COUNTIFS($E:$E,$E35,$D:$D,RegularFormula!$D$2)+COUNTIFS($E:$E,$E35,$D:$D,IF($D35=RegularFormula!$D$2,$K$17,$D35))),IFERROR(IF(percentage,percentage,""),""))</f>
        <v>0.02544181818</v>
      </c>
      <c r="I35" s="72" t="str">
        <f t="shared" si="1"/>
        <v/>
      </c>
      <c r="J35" s="73">
        <v>0.0</v>
      </c>
      <c r="K35" s="145" t="s">
        <v>91</v>
      </c>
      <c r="L35" s="69" t="s">
        <v>58</v>
      </c>
      <c r="M35" s="69" t="s">
        <v>59</v>
      </c>
      <c r="N35" s="222" t="s">
        <v>60</v>
      </c>
      <c r="O35" s="86"/>
      <c r="P35" s="86"/>
      <c r="Q35" s="86"/>
      <c r="R35" s="79" t="str">
        <f t="shared" si="2"/>
        <v/>
      </c>
    </row>
    <row r="36">
      <c r="A36" s="217" t="b">
        <v>0</v>
      </c>
      <c r="B36" s="218" t="s">
        <v>889</v>
      </c>
      <c r="C36" s="69" t="str">
        <f t="array" ref="C36">TEXTJOIN("", TRUE, IFERROR(INDEX('language&amp;DataTest'!A:J, MATCH(INDEX( PointerTest!C:C, MATCH(B36, PointerTest!A:A, 0), 0), 'language&amp;DataTest'!A:A, 0), MATCH(HOME!$A$25, 'language&amp;DataTest'!$A$1:$H$1, 0))),                      IFERROR(INDEX('language&amp;DataTest'!A:J, MATCH(INDEX( PointerTest!D:D, MATCH(B36, PointerTest!A:A, 0), 0), 'language&amp;DataTest'!A:A, 0), MATCH(HOME!$A$25, 'language&amp;DataTest'!$A$1:$H$1, 0))),                                          
IFERROR(INDEX('language&amp;DataTest'!A:J, MATCH(INDEX( PointerTest!E:E, MATCH(B36, PointerTest!A:A, 0), 0), 'language&amp;DataTest'!A:A, 0), MATCH(HOME!$A$25, 'language&amp;DataTest'!$A$1:$H$1, 0))))</f>
        <v>Giratina ex</v>
      </c>
      <c r="D36" s="69" t="str">
        <f t="array" ref="D36">TEXTJOIN("", TRUE, 
IFERROR(INDEX('language&amp;DataTest'!A:J, MATCH(INDEX( PointerTest!C:C, MATCH(INDEX(PointerTest!B:B, MATCH(B36, PointerTest!A:A, 0)), PointerTest!A:A, 0), 0), 'language&amp;DataTest'!A:A, 0), MATCH(HOME!$A$25, 'language&amp;DataTest'!$A$1:$H$1, 0))),                      
IFERROR(INDEX('language&amp;DataTest'!A:J, MATCH(INDEX( PointerTest!D:D, MATCH(INDEX(PointerTest!B:B, MATCH(B36, PointerTest!A:A, 0)), PointerTest!A:A, 0), 0), 'language&amp;DataTest'!A:A, 0), MATCH(HOME!$A$25, 'language&amp;DataTest'!$A$1:$H$1, 0))),                                          
IFERROR(INDEX('language&amp;DataTest'!A:J, MATCH(INDEX( PointerTest!E:E, MATCH(INDEX(PointerTest!B:B, MATCH(B36, PointerTest!A:A, 0)), PointerTest!A:A, 0), 0), 'language&amp;DataTest'!A:A, 0), MATCH(HOME!$A$25, 'language&amp;DataTest'!$A$1:$H$1, 0))))</f>
        <v>Lucario ex</v>
      </c>
      <c r="E36" s="69" t="str">
        <f t="array" ref="E36">INDEX( PointerTest!F:F, MATCH(B36, PointerTest!A:A, 0), 0)</f>
        <v>♢♢♢♢</v>
      </c>
      <c r="F36" s="70" t="str">
        <f t="array" ref="F36">LET(percentage,XLOOKUP($E36,$K$2:$K$12,L$2:L$12,"",0)/(COUNTIFS($E:$E,$E36,$D:$D,RegularFormula!$D$2)+COUNTIFS($E:$E,$E36,$D:$D,IF($D36=RegularFormula!$D$2,$K$17,$D36))),IFERROR(IF(percentage,percentage,""),""))</f>
        <v/>
      </c>
      <c r="G36" s="71">
        <f t="array" ref="G36">LET(percentage,XLOOKUP($E36,$K$2:$K$12,M$2:M$12,"",0)/(COUNTIFS($E:$E,$E36,$D:$D,RegularFormula!$D$2)+COUNTIFS($E:$E,$E36,$D:$D,IF($D36=RegularFormula!$D$2,$K$17,$D36))),IFERROR(IF(percentage,percentage,""),""))</f>
        <v>0.001850185556</v>
      </c>
      <c r="H36" s="71">
        <f t="array" ref="H36">LET(percentage,XLOOKUP($E36,$K$2:$K$12,N$2:N$12,"",0)/(COUNTIFS($E:$E,$E36,$D:$D,RegularFormula!$D$2)+COUNTIFS($E:$E,$E36,$D:$D,IF($D36=RegularFormula!$D$2,$K$17,$D36))),IFERROR(IF(percentage,percentage,""),""))</f>
        <v>0.007400742222</v>
      </c>
      <c r="I36" s="72" t="str">
        <f t="shared" si="1"/>
        <v/>
      </c>
      <c r="J36" s="73">
        <v>0.0</v>
      </c>
      <c r="K36" s="134" t="str">
        <f>C44</f>
        <v>Lucario ex</v>
      </c>
      <c r="L36" s="70">
        <f t="array" ref="L36">SUMPRODUCT((COUNTIFS($A$2:$A112,FALSE,$D$2:$D112,$K36,$E$2:$E112,CardCategoriesWithShiny)+COUNTIFS($A$2:$A112,FALSE,$D$2:$D112,RegularFormula!$D$2,$E$2:$E112,CardCategoriesWithShiny))/(COUNTIFS($D$2:$D112,$K36,$E$2:$E112,CardCategoriesWithShiny)+COUNTIFS($D$2:$D112,RegularFormula!$D$2,$E$2:$E112,CardCategoriesWithShiny)),{$K$22:$K$25;$M$22:$M$24;K26;M26;M25}*Probabilities13Shiny)</f>
        <v>0.0003461479118</v>
      </c>
      <c r="M36" s="70">
        <f t="array" ref="M36">SUMPRODUCT((COUNTIFS($A$2:$A112,FALSE,$D$2:$D112,$K36,$E$2:$E112,CardCategoriesWithShiny)+COUNTIFS($A$2:$A112,FALSE,$D$2:$D112,RegularFormula!$D$2,$E$2:$E112,CardCategoriesWithShiny))/(COUNTIFS($D$2:$D112,$K36,$E$2:$E112,CardCategoriesWithShiny)+COUNTIFS($D$2:$D112,RegularFormula!$D$2,$E$2:$E112,CardCategoriesWithShiny)),{$K$22:$K$25;$M$22:$M$24;K26;M26;M25}*Probabilities4Shiny)</f>
        <v>0.03002884162</v>
      </c>
      <c r="N36" s="224">
        <f t="array" ref="N36">SUMPRODUCT((COUNTIFS($A$2:$A112,FALSE,$D$2:$D112,$K36,$E$2:$E112,CardCategoriesWithShiny)+COUNTIFS($A$2:$A112,FALSE,$D$2:$D112,RegularFormula!$D$2,$E$2:$E112,CardCategoriesWithShiny))/(COUNTIFS($D$2:$D112,$K36,$E$2:$E112,CardCategoriesWithShiny)+COUNTIFS($D$2:$D112,RegularFormula!$D$2,$E$2:$E112,CardCategoriesWithShiny)),{$K$22:$K$25;$M$22:$M$24;K26;M26;M25}*Probabilities5Shiny)</f>
        <v>0.1190983565</v>
      </c>
      <c r="O36" s="86"/>
      <c r="P36" s="86"/>
      <c r="Q36" s="86"/>
      <c r="R36" s="79" t="str">
        <f t="shared" si="2"/>
        <v/>
      </c>
    </row>
    <row r="37">
      <c r="A37" s="217" t="b">
        <v>1</v>
      </c>
      <c r="B37" s="218" t="s">
        <v>890</v>
      </c>
      <c r="C37" s="69" t="str">
        <f t="array" ref="C37">TEXTJOIN("", TRUE, IFERROR(INDEX('language&amp;DataTest'!A:J, MATCH(INDEX( PointerTest!C:C, MATCH(B37, PointerTest!A:A, 0), 0), 'language&amp;DataTest'!A:A, 0), MATCH(HOME!$A$25, 'language&amp;DataTest'!$A$1:$H$1, 0))),                      IFERROR(INDEX('language&amp;DataTest'!A:J, MATCH(INDEX( PointerTest!D:D, MATCH(B37, PointerTest!A:A, 0), 0), 'language&amp;DataTest'!A:A, 0), MATCH(HOME!$A$25, 'language&amp;DataTest'!$A$1:$H$1, 0))),                                          
IFERROR(INDEX('language&amp;DataTest'!A:J, MATCH(INDEX( PointerTest!E:E, MATCH(B37, PointerTest!A:A, 0), 0), 'language&amp;DataTest'!A:A, 0), MATCH(HOME!$A$25, 'language&amp;DataTest'!$A$1:$H$1, 0))))</f>
        <v>Gimmighoul</v>
      </c>
      <c r="D37" s="69" t="str">
        <f t="array" ref="D37">TEXTJOIN("", TRUE, 
IFERROR(INDEX('language&amp;DataTest'!A:J, MATCH(INDEX( PointerTest!C:C, MATCH(INDEX(PointerTest!B:B, MATCH(B37, PointerTest!A:A, 0)), PointerTest!A:A, 0), 0), 'language&amp;DataTest'!A:A, 0), MATCH(HOME!$A$25, 'language&amp;DataTest'!$A$1:$H$1, 0))),                      
IFERROR(INDEX('language&amp;DataTest'!A:J, MATCH(INDEX( PointerTest!D:D, MATCH(INDEX(PointerTest!B:B, MATCH(B37, PointerTest!A:A, 0)), PointerTest!A:A, 0), 0), 'language&amp;DataTest'!A:A, 0), MATCH(HOME!$A$25, 'language&amp;DataTest'!$A$1:$H$1, 0))),                                          
IFERROR(INDEX('language&amp;DataTest'!A:J, MATCH(INDEX( PointerTest!E:E, MATCH(INDEX(PointerTest!B:B, MATCH(B37, PointerTest!A:A, 0)), PointerTest!A:A, 0), 0), 'language&amp;DataTest'!A:A, 0), MATCH(HOME!$A$25, 'language&amp;DataTest'!$A$1:$H$1, 0))))</f>
        <v>Lucario ex</v>
      </c>
      <c r="E37" s="69" t="str">
        <f t="array" ref="E37">INDEX( PointerTest!F:F, MATCH(B37, PointerTest!A:A, 0), 0)</f>
        <v>♢</v>
      </c>
      <c r="F37" s="70">
        <f t="array" ref="F37">LET(percentage,XLOOKUP($E37,$K$2:$K$12,L$2:L$12,"",0)/(COUNTIFS($E:$E,$E37,$D:$D,RegularFormula!$D$2)+COUNTIFS($E:$E,$E37,$D:$D,IF($D37=RegularFormula!$D$2,$K$17,$D37))),IFERROR(IF(percentage,percentage,""),""))</f>
        <v>0.031234375</v>
      </c>
      <c r="G37" s="71" t="str">
        <f t="array" ref="G37">LET(percentage,XLOOKUP($E37,$K$2:$K$12,M$2:M$12,"",0)/(COUNTIFS($E:$E,$E37,$D:$D,RegularFormula!$D$2)+COUNTIFS($E:$E,$E37,$D:$D,IF($D37=RegularFormula!$D$2,$K$17,$D37))),IFERROR(IF(percentage,percentage,""),""))</f>
        <v/>
      </c>
      <c r="H37" s="71" t="str">
        <f t="array" ref="H37">LET(percentage,XLOOKUP($E37,$K$2:$K$12,N$2:N$12,"",0)/(COUNTIFS($E:$E,$E37,$D:$D,RegularFormula!$D$2)+COUNTIFS($E:$E,$E37,$D:$D,IF($D37=RegularFormula!$D$2,$K$17,$D37))),IFERROR(IF(percentage,percentage,""),""))</f>
        <v/>
      </c>
      <c r="I37" s="72" t="str">
        <f t="shared" si="1"/>
        <v/>
      </c>
      <c r="J37" s="73">
        <v>0.0</v>
      </c>
      <c r="K37" s="147" t="s">
        <v>134</v>
      </c>
      <c r="L37" s="140" t="str">
        <f>IF(L36 = MAX(L36), K36, IF(#REF! = MAX(L36), #REF!, #REF!))</f>
        <v>Lucario ex</v>
      </c>
      <c r="M37" s="140" t="str">
        <f>IF(M36 = MAX(M36), K36, IF(#REF! = MAX(M36), #REF!, #REF!))</f>
        <v>Lucario ex</v>
      </c>
      <c r="N37" s="225" t="str">
        <f>IF(N36 = MAX(N36), K36, IF(#REF! = MAX(N36), #REF!, #REF!))</f>
        <v>Lucario ex</v>
      </c>
      <c r="O37" s="146"/>
      <c r="P37" s="146"/>
      <c r="Q37" s="146"/>
      <c r="R37" s="79" t="str">
        <f t="shared" si="2"/>
        <v/>
      </c>
    </row>
    <row r="38">
      <c r="A38" s="217" t="b">
        <v>1</v>
      </c>
      <c r="B38" s="218" t="s">
        <v>891</v>
      </c>
      <c r="C38" s="69" t="str">
        <f t="array" ref="C38">TEXTJOIN("", TRUE, IFERROR(INDEX('language&amp;DataTest'!A:J, MATCH(INDEX( PointerTest!C:C, MATCH(B38, PointerTest!A:A, 0), 0), 'language&amp;DataTest'!A:A, 0), MATCH(HOME!$A$25, 'language&amp;DataTest'!$A$1:$H$1, 0))),                      IFERROR(INDEX('language&amp;DataTest'!A:J, MATCH(INDEX( PointerTest!D:D, MATCH(B38, PointerTest!A:A, 0), 0), 'language&amp;DataTest'!A:A, 0), MATCH(HOME!$A$25, 'language&amp;DataTest'!$A$1:$H$1, 0))),                                          
IFERROR(INDEX('language&amp;DataTest'!A:J, MATCH(INDEX( PointerTest!E:E, MATCH(B38, PointerTest!A:A, 0), 0), 'language&amp;DataTest'!A:A, 0), MATCH(HOME!$A$25, 'language&amp;DataTest'!$A$1:$H$1, 0))))</f>
        <v>Machop</v>
      </c>
      <c r="D38" s="69" t="str">
        <f t="array" ref="D38">TEXTJOIN("", TRUE, 
IFERROR(INDEX('language&amp;DataTest'!A:J, MATCH(INDEX( PointerTest!C:C, MATCH(INDEX(PointerTest!B:B, MATCH(B38, PointerTest!A:A, 0)), PointerTest!A:A, 0), 0), 'language&amp;DataTest'!A:A, 0), MATCH(HOME!$A$25, 'language&amp;DataTest'!$A$1:$H$1, 0))),                      
IFERROR(INDEX('language&amp;DataTest'!A:J, MATCH(INDEX( PointerTest!D:D, MATCH(INDEX(PointerTest!B:B, MATCH(B38, PointerTest!A:A, 0)), PointerTest!A:A, 0), 0), 'language&amp;DataTest'!A:A, 0), MATCH(HOME!$A$25, 'language&amp;DataTest'!$A$1:$H$1, 0))),                                          
IFERROR(INDEX('language&amp;DataTest'!A:J, MATCH(INDEX( PointerTest!E:E, MATCH(INDEX(PointerTest!B:B, MATCH(B38, PointerTest!A:A, 0)), PointerTest!A:A, 0), 0), 'language&amp;DataTest'!A:A, 0), MATCH(HOME!$A$25, 'language&amp;DataTest'!$A$1:$H$1, 0))))</f>
        <v>Lucario ex</v>
      </c>
      <c r="E38" s="69" t="str">
        <f t="array" ref="E38">INDEX( PointerTest!F:F, MATCH(B38, PointerTest!A:A, 0), 0)</f>
        <v>♢</v>
      </c>
      <c r="F38" s="70">
        <f t="array" ref="F38">LET(percentage,XLOOKUP($E38,$K$2:$K$12,L$2:L$12,"",0)/(COUNTIFS($E:$E,$E38,$D:$D,RegularFormula!$D$2)+COUNTIFS($E:$E,$E38,$D:$D,IF($D38=RegularFormula!$D$2,$K$17,$D38))),IFERROR(IF(percentage,percentage,""),""))</f>
        <v>0.031234375</v>
      </c>
      <c r="G38" s="71" t="str">
        <f t="array" ref="G38">LET(percentage,XLOOKUP($E38,$K$2:$K$12,M$2:M$12,"",0)/(COUNTIFS($E:$E,$E38,$D:$D,RegularFormula!$D$2)+COUNTIFS($E:$E,$E38,$D:$D,IF($D38=RegularFormula!$D$2,$K$17,$D38))),IFERROR(IF(percentage,percentage,""),""))</f>
        <v/>
      </c>
      <c r="H38" s="71" t="str">
        <f t="array" ref="H38">LET(percentage,XLOOKUP($E38,$K$2:$K$12,N$2:N$12,"",0)/(COUNTIFS($E:$E,$E38,$D:$D,RegularFormula!$D$2)+COUNTIFS($E:$E,$E38,$D:$D,IF($D38=RegularFormula!$D$2,$K$17,$D38))),IFERROR(IF(percentage,percentage,""),""))</f>
        <v/>
      </c>
      <c r="I38" s="72" t="str">
        <f t="shared" si="1"/>
        <v/>
      </c>
      <c r="J38" s="73">
        <v>0.0</v>
      </c>
      <c r="K38" s="118"/>
      <c r="N38" s="119"/>
      <c r="O38" s="146"/>
      <c r="P38" s="146"/>
      <c r="Q38" s="146"/>
      <c r="R38" s="79" t="str">
        <f t="shared" si="2"/>
        <v/>
      </c>
    </row>
    <row r="39">
      <c r="A39" s="217" t="b">
        <v>1</v>
      </c>
      <c r="B39" s="218" t="s">
        <v>892</v>
      </c>
      <c r="C39" s="69" t="str">
        <f t="array" ref="C39">TEXTJOIN("", TRUE, IFERROR(INDEX('language&amp;DataTest'!A:J, MATCH(INDEX( PointerTest!C:C, MATCH(B39, PointerTest!A:A, 0), 0), 'language&amp;DataTest'!A:A, 0), MATCH(HOME!$A$25, 'language&amp;DataTest'!$A$1:$H$1, 0))),                      IFERROR(INDEX('language&amp;DataTest'!A:J, MATCH(INDEX( PointerTest!D:D, MATCH(B39, PointerTest!A:A, 0), 0), 'language&amp;DataTest'!A:A, 0), MATCH(HOME!$A$25, 'language&amp;DataTest'!$A$1:$H$1, 0))),                                          
IFERROR(INDEX('language&amp;DataTest'!A:J, MATCH(INDEX( PointerTest!E:E, MATCH(B39, PointerTest!A:A, 0), 0), 'language&amp;DataTest'!A:A, 0), MATCH(HOME!$A$25, 'language&amp;DataTest'!$A$1:$H$1, 0))))</f>
        <v>Machoke</v>
      </c>
      <c r="D39" s="69" t="str">
        <f t="array" ref="D39">TEXTJOIN("", TRUE, 
IFERROR(INDEX('language&amp;DataTest'!A:J, MATCH(INDEX( PointerTest!C:C, MATCH(INDEX(PointerTest!B:B, MATCH(B39, PointerTest!A:A, 0)), PointerTest!A:A, 0), 0), 'language&amp;DataTest'!A:A, 0), MATCH(HOME!$A$25, 'language&amp;DataTest'!$A$1:$H$1, 0))),                      
IFERROR(INDEX('language&amp;DataTest'!A:J, MATCH(INDEX( PointerTest!D:D, MATCH(INDEX(PointerTest!B:B, MATCH(B39, PointerTest!A:A, 0)), PointerTest!A:A, 0), 0), 'language&amp;DataTest'!A:A, 0), MATCH(HOME!$A$25, 'language&amp;DataTest'!$A$1:$H$1, 0))),                                          
IFERROR(INDEX('language&amp;DataTest'!A:J, MATCH(INDEX( PointerTest!E:E, MATCH(INDEX(PointerTest!B:B, MATCH(B39, PointerTest!A:A, 0)), PointerTest!A:A, 0), 0), 'language&amp;DataTest'!A:A, 0), MATCH(HOME!$A$25, 'language&amp;DataTest'!$A$1:$H$1, 0))))</f>
        <v>Lucario ex</v>
      </c>
      <c r="E39" s="69" t="str">
        <f t="array" ref="E39">INDEX( PointerTest!F:F, MATCH(B39, PointerTest!A:A, 0), 0)</f>
        <v>♢</v>
      </c>
      <c r="F39" s="70">
        <f t="array" ref="F39">LET(percentage,XLOOKUP($E39,$K$2:$K$12,L$2:L$12,"",0)/(COUNTIFS($E:$E,$E39,$D:$D,RegularFormula!$D$2)+COUNTIFS($E:$E,$E39,$D:$D,IF($D39=RegularFormula!$D$2,$K$17,$D39))),IFERROR(IF(percentage,percentage,""),""))</f>
        <v>0.031234375</v>
      </c>
      <c r="G39" s="71" t="str">
        <f t="array" ref="G39">LET(percentage,XLOOKUP($E39,$K$2:$K$12,M$2:M$12,"",0)/(COUNTIFS($E:$E,$E39,$D:$D,RegularFormula!$D$2)+COUNTIFS($E:$E,$E39,$D:$D,IF($D39=RegularFormula!$D$2,$K$17,$D39))),IFERROR(IF(percentage,percentage,""),""))</f>
        <v/>
      </c>
      <c r="H39" s="71" t="str">
        <f t="array" ref="H39">LET(percentage,XLOOKUP($E39,$K$2:$K$12,N$2:N$12,"",0)/(COUNTIFS($E:$E,$E39,$D:$D,RegularFormula!$D$2)+COUNTIFS($E:$E,$E39,$D:$D,IF($D39=RegularFormula!$D$2,$K$17,$D39))),IFERROR(IF(percentage,percentage,""),""))</f>
        <v/>
      </c>
      <c r="I39" s="72" t="str">
        <f t="shared" si="1"/>
        <v/>
      </c>
      <c r="J39" s="73">
        <v>0.0</v>
      </c>
      <c r="K39" s="149" t="s">
        <v>137</v>
      </c>
      <c r="N39" s="119"/>
      <c r="O39" s="146"/>
      <c r="P39" s="146"/>
      <c r="Q39" s="146"/>
      <c r="R39" s="79" t="str">
        <f t="shared" si="2"/>
        <v/>
      </c>
    </row>
    <row r="40">
      <c r="A40" s="217" t="b">
        <v>1</v>
      </c>
      <c r="B40" s="218" t="s">
        <v>893</v>
      </c>
      <c r="C40" s="69" t="str">
        <f t="array" ref="C40">TEXTJOIN("", TRUE, IFERROR(INDEX('language&amp;DataTest'!A:J, MATCH(INDEX( PointerTest!C:C, MATCH(B40, PointerTest!A:A, 0), 0), 'language&amp;DataTest'!A:A, 0), MATCH(HOME!$A$25, 'language&amp;DataTest'!$A$1:$H$1, 0))),                      IFERROR(INDEX('language&amp;DataTest'!A:J, MATCH(INDEX( PointerTest!D:D, MATCH(B40, PointerTest!A:A, 0), 0), 'language&amp;DataTest'!A:A, 0), MATCH(HOME!$A$25, 'language&amp;DataTest'!$A$1:$H$1, 0))),                                          
IFERROR(INDEX('language&amp;DataTest'!A:J, MATCH(INDEX( PointerTest!E:E, MATCH(B40, PointerTest!A:A, 0), 0), 'language&amp;DataTest'!A:A, 0), MATCH(HOME!$A$25, 'language&amp;DataTest'!$A$1:$H$1, 0))))</f>
        <v>Machamp</v>
      </c>
      <c r="D40" s="69" t="str">
        <f t="array" ref="D40">TEXTJOIN("", TRUE, 
IFERROR(INDEX('language&amp;DataTest'!A:J, MATCH(INDEX( PointerTest!C:C, MATCH(INDEX(PointerTest!B:B, MATCH(B40, PointerTest!A:A, 0)), PointerTest!A:A, 0), 0), 'language&amp;DataTest'!A:A, 0), MATCH(HOME!$A$25, 'language&amp;DataTest'!$A$1:$H$1, 0))),                      
IFERROR(INDEX('language&amp;DataTest'!A:J, MATCH(INDEX( PointerTest!D:D, MATCH(INDEX(PointerTest!B:B, MATCH(B40, PointerTest!A:A, 0)), PointerTest!A:A, 0), 0), 'language&amp;DataTest'!A:A, 0), MATCH(HOME!$A$25, 'language&amp;DataTest'!$A$1:$H$1, 0))),                                          
IFERROR(INDEX('language&amp;DataTest'!A:J, MATCH(INDEX( PointerTest!E:E, MATCH(INDEX(PointerTest!B:B, MATCH(B40, PointerTest!A:A, 0)), PointerTest!A:A, 0), 0), 'language&amp;DataTest'!A:A, 0), MATCH(HOME!$A$25, 'language&amp;DataTest'!$A$1:$H$1, 0))))</f>
        <v>Lucario ex</v>
      </c>
      <c r="E40" s="69" t="str">
        <f t="array" ref="E40">INDEX( PointerTest!F:F, MATCH(B40, PointerTest!A:A, 0), 0)</f>
        <v>♢♢♢</v>
      </c>
      <c r="F40" s="70" t="str">
        <f t="array" ref="F40">LET(percentage,XLOOKUP($E40,$K$2:$K$12,L$2:L$12,"",0)/(COUNTIFS($E:$E,$E40,$D:$D,RegularFormula!$D$2)+COUNTIFS($E:$E,$E40,$D:$D,IF($D40=RegularFormula!$D$2,$K$17,$D40))),IFERROR(IF(percentage,percentage,""),""))</f>
        <v/>
      </c>
      <c r="G40" s="71">
        <f t="array" ref="G40">LET(percentage,XLOOKUP($E40,$K$2:$K$12,M$2:M$12,"",0)/(COUNTIFS($E:$E,$E40,$D:$D,RegularFormula!$D$2)+COUNTIFS($E:$E,$E40,$D:$D,IF($D40=RegularFormula!$D$2,$K$17,$D40))),IFERROR(IF(percentage,percentage,""),""))</f>
        <v>0.005499471111</v>
      </c>
      <c r="H40" s="71">
        <f t="array" ref="H40">LET(percentage,XLOOKUP($E40,$K$2:$K$12,N$2:N$12,"",0)/(COUNTIFS($E:$E,$E40,$D:$D,RegularFormula!$D$2)+COUNTIFS($E:$E,$E40,$D:$D,IF($D40=RegularFormula!$D$2,$K$17,$D40))),IFERROR(IF(percentage,percentage,""),""))</f>
        <v>0.02200010556</v>
      </c>
      <c r="I40" s="72" t="str">
        <f t="shared" si="1"/>
        <v/>
      </c>
      <c r="J40" s="73">
        <v>0.0</v>
      </c>
      <c r="K40" s="226"/>
      <c r="M40" s="150" t="s">
        <v>140</v>
      </c>
      <c r="N40" s="119"/>
      <c r="O40" s="103"/>
      <c r="P40" s="103"/>
      <c r="Q40" s="103"/>
      <c r="R40" s="79" t="str">
        <f t="shared" si="2"/>
        <v/>
      </c>
    </row>
    <row r="41">
      <c r="A41" s="217" t="b">
        <v>1</v>
      </c>
      <c r="B41" s="218" t="s">
        <v>894</v>
      </c>
      <c r="C41" s="69" t="str">
        <f t="array" ref="C41">TEXTJOIN("", TRUE, IFERROR(INDEX('language&amp;DataTest'!A:J, MATCH(INDEX( PointerTest!C:C, MATCH(B41, PointerTest!A:A, 0), 0), 'language&amp;DataTest'!A:A, 0), MATCH(HOME!$A$25, 'language&amp;DataTest'!$A$1:$H$1, 0))),                      IFERROR(INDEX('language&amp;DataTest'!A:J, MATCH(INDEX( PointerTest!D:D, MATCH(B41, PointerTest!A:A, 0), 0), 'language&amp;DataTest'!A:A, 0), MATCH(HOME!$A$25, 'language&amp;DataTest'!$A$1:$H$1, 0))),                                          
IFERROR(INDEX('language&amp;DataTest'!A:J, MATCH(INDEX( PointerTest!E:E, MATCH(B41, PointerTest!A:A, 0), 0), 'language&amp;DataTest'!A:A, 0), MATCH(HOME!$A$25, 'language&amp;DataTest'!$A$1:$H$1, 0))))</f>
        <v>Hitmonlee</v>
      </c>
      <c r="D41" s="69" t="str">
        <f t="array" ref="D41">TEXTJOIN("", TRUE, 
IFERROR(INDEX('language&amp;DataTest'!A:J, MATCH(INDEX( PointerTest!C:C, MATCH(INDEX(PointerTest!B:B, MATCH(B41, PointerTest!A:A, 0)), PointerTest!A:A, 0), 0), 'language&amp;DataTest'!A:A, 0), MATCH(HOME!$A$25, 'language&amp;DataTest'!$A$1:$H$1, 0))),                      
IFERROR(INDEX('language&amp;DataTest'!A:J, MATCH(INDEX( PointerTest!D:D, MATCH(INDEX(PointerTest!B:B, MATCH(B41, PointerTest!A:A, 0)), PointerTest!A:A, 0), 0), 'language&amp;DataTest'!A:A, 0), MATCH(HOME!$A$25, 'language&amp;DataTest'!$A$1:$H$1, 0))),                                          
IFERROR(INDEX('language&amp;DataTest'!A:J, MATCH(INDEX( PointerTest!E:E, MATCH(INDEX(PointerTest!B:B, MATCH(B41, PointerTest!A:A, 0)), PointerTest!A:A, 0), 0), 'language&amp;DataTest'!A:A, 0), MATCH(HOME!$A$25, 'language&amp;DataTest'!$A$1:$H$1, 0))))</f>
        <v>Lucario ex</v>
      </c>
      <c r="E41" s="69" t="str">
        <f t="array" ref="E41">INDEX( PointerTest!F:F, MATCH(B41, PointerTest!A:A, 0), 0)</f>
        <v>♢</v>
      </c>
      <c r="F41" s="70">
        <f t="array" ref="F41">LET(percentage,XLOOKUP($E41,$K$2:$K$12,L$2:L$12,"",0)/(COUNTIFS($E:$E,$E41,$D:$D,RegularFormula!$D$2)+COUNTIFS($E:$E,$E41,$D:$D,IF($D41=RegularFormula!$D$2,$K$17,$D41))),IFERROR(IF(percentage,percentage,""),""))</f>
        <v>0.031234375</v>
      </c>
      <c r="G41" s="71" t="str">
        <f t="array" ref="G41">LET(percentage,XLOOKUP($E41,$K$2:$K$12,M$2:M$12,"",0)/(COUNTIFS($E:$E,$E41,$D:$D,RegularFormula!$D$2)+COUNTIFS($E:$E,$E41,$D:$D,IF($D41=RegularFormula!$D$2,$K$17,$D41))),IFERROR(IF(percentage,percentage,""),""))</f>
        <v/>
      </c>
      <c r="H41" s="71" t="str">
        <f t="array" ref="H41">LET(percentage,XLOOKUP($E41,$K$2:$K$12,N$2:N$12,"",0)/(COUNTIFS($E:$E,$E41,$D:$D,RegularFormula!$D$2)+COUNTIFS($E:$E,$E41,$D:$D,IF($D41=RegularFormula!$D$2,$K$17,$D41))),IFERROR(IF(percentage,percentage,""),""))</f>
        <v/>
      </c>
      <c r="I41" s="72" t="str">
        <f t="shared" si="1"/>
        <v/>
      </c>
      <c r="J41" s="73">
        <v>0.0</v>
      </c>
      <c r="K41" s="134" t="str">
        <f>C44</f>
        <v>Lucario ex</v>
      </c>
      <c r="L41" s="71">
        <f>1-((1-L36)^3*(1-M36)*(1-N36))</f>
        <v>0.1464378027</v>
      </c>
      <c r="M41" s="140" t="str">
        <f>K41</f>
        <v>Lucario ex</v>
      </c>
      <c r="N41" s="119"/>
      <c r="O41" s="103"/>
      <c r="P41" s="103"/>
      <c r="Q41" s="103"/>
      <c r="R41" s="79" t="str">
        <f t="shared" si="2"/>
        <v/>
      </c>
    </row>
    <row r="42">
      <c r="A42" s="217" t="b">
        <v>1</v>
      </c>
      <c r="B42" s="218" t="s">
        <v>895</v>
      </c>
      <c r="C42" s="69" t="str">
        <f t="array" ref="C42">TEXTJOIN("", TRUE, IFERROR(INDEX('language&amp;DataTest'!A:J, MATCH(INDEX( PointerTest!C:C, MATCH(B42, PointerTest!A:A, 0), 0), 'language&amp;DataTest'!A:A, 0), MATCH(HOME!$A$25, 'language&amp;DataTest'!$A$1:$H$1, 0))),                      IFERROR(INDEX('language&amp;DataTest'!A:J, MATCH(INDEX( PointerTest!D:D, MATCH(B42, PointerTest!A:A, 0), 0), 'language&amp;DataTest'!A:A, 0), MATCH(HOME!$A$25, 'language&amp;DataTest'!$A$1:$H$1, 0))),                                          
IFERROR(INDEX('language&amp;DataTest'!A:J, MATCH(INDEX( PointerTest!E:E, MATCH(B42, PointerTest!A:A, 0), 0), 'language&amp;DataTest'!A:A, 0), MATCH(HOME!$A$25, 'language&amp;DataTest'!$A$1:$H$1, 0))))</f>
        <v>Hitmonchan</v>
      </c>
      <c r="D42" s="69" t="str">
        <f t="array" ref="D42">TEXTJOIN("", TRUE, 
IFERROR(INDEX('language&amp;DataTest'!A:J, MATCH(INDEX( PointerTest!C:C, MATCH(INDEX(PointerTest!B:B, MATCH(B42, PointerTest!A:A, 0)), PointerTest!A:A, 0), 0), 'language&amp;DataTest'!A:A, 0), MATCH(HOME!$A$25, 'language&amp;DataTest'!$A$1:$H$1, 0))),                      
IFERROR(INDEX('language&amp;DataTest'!A:J, MATCH(INDEX( PointerTest!D:D, MATCH(INDEX(PointerTest!B:B, MATCH(B42, PointerTest!A:A, 0)), PointerTest!A:A, 0), 0), 'language&amp;DataTest'!A:A, 0), MATCH(HOME!$A$25, 'language&amp;DataTest'!$A$1:$H$1, 0))),                                          
IFERROR(INDEX('language&amp;DataTest'!A:J, MATCH(INDEX( PointerTest!E:E, MATCH(INDEX(PointerTest!B:B, MATCH(B42, PointerTest!A:A, 0)), PointerTest!A:A, 0), 0), 'language&amp;DataTest'!A:A, 0), MATCH(HOME!$A$25, 'language&amp;DataTest'!$A$1:$H$1, 0))))</f>
        <v>Lucario ex</v>
      </c>
      <c r="E42" s="69" t="str">
        <f t="array" ref="E42">INDEX( PointerTest!F:F, MATCH(B42, PointerTest!A:A, 0), 0)</f>
        <v>♢</v>
      </c>
      <c r="F42" s="70">
        <f t="array" ref="F42">LET(percentage,XLOOKUP($E42,$K$2:$K$12,L$2:L$12,"",0)/(COUNTIFS($E:$E,$E42,$D:$D,RegularFormula!$D$2)+COUNTIFS($E:$E,$E42,$D:$D,IF($D42=RegularFormula!$D$2,$K$17,$D42))),IFERROR(IF(percentage,percentage,""),""))</f>
        <v>0.031234375</v>
      </c>
      <c r="G42" s="71" t="str">
        <f t="array" ref="G42">LET(percentage,XLOOKUP($E42,$K$2:$K$12,M$2:M$12,"",0)/(COUNTIFS($E:$E,$E42,$D:$D,RegularFormula!$D$2)+COUNTIFS($E:$E,$E42,$D:$D,IF($D42=RegularFormula!$D$2,$K$17,$D42))),IFERROR(IF(percentage,percentage,""),""))</f>
        <v/>
      </c>
      <c r="H42" s="71" t="str">
        <f t="array" ref="H42">LET(percentage,XLOOKUP($E42,$K$2:$K$12,N$2:N$12,"",0)/(COUNTIFS($E:$E,$E42,$D:$D,RegularFormula!$D$2)+COUNTIFS($E:$E,$E42,$D:$D,IF($D42=RegularFormula!$D$2,$K$17,$D42))),IFERROR(IF(percentage,percentage,""),""))</f>
        <v/>
      </c>
      <c r="I42" s="72" t="str">
        <f t="shared" si="1"/>
        <v/>
      </c>
      <c r="J42" s="73">
        <v>0.0</v>
      </c>
      <c r="K42" s="227"/>
      <c r="L42" s="228"/>
      <c r="M42" s="112"/>
      <c r="N42" s="154"/>
      <c r="O42" s="148"/>
      <c r="P42" s="148"/>
      <c r="Q42" s="148"/>
      <c r="R42" s="79" t="str">
        <f t="shared" si="2"/>
        <v/>
      </c>
    </row>
    <row r="43">
      <c r="A43" s="217" t="b">
        <v>1</v>
      </c>
      <c r="B43" s="218" t="s">
        <v>896</v>
      </c>
      <c r="C43" s="69" t="str">
        <f t="array" ref="C43">TEXTJOIN("", TRUE, IFERROR(INDEX('language&amp;DataTest'!A:J, MATCH(INDEX( PointerTest!C:C, MATCH(B43, PointerTest!A:A, 0), 0), 'language&amp;DataTest'!A:A, 0), MATCH(HOME!$A$25, 'language&amp;DataTest'!$A$1:$H$1, 0))),                      IFERROR(INDEX('language&amp;DataTest'!A:J, MATCH(INDEX( PointerTest!D:D, MATCH(B43, PointerTest!A:A, 0), 0), 'language&amp;DataTest'!A:A, 0), MATCH(HOME!$A$25, 'language&amp;DataTest'!$A$1:$H$1, 0))),                                          
IFERROR(INDEX('language&amp;DataTest'!A:J, MATCH(INDEX( PointerTest!E:E, MATCH(B43, PointerTest!A:A, 0), 0), 'language&amp;DataTest'!A:A, 0), MATCH(HOME!$A$25, 'language&amp;DataTest'!$A$1:$H$1, 0))))</f>
        <v>Riolu</v>
      </c>
      <c r="D43" s="69" t="str">
        <f t="array" ref="D43">TEXTJOIN("", TRUE, 
IFERROR(INDEX('language&amp;DataTest'!A:J, MATCH(INDEX( PointerTest!C:C, MATCH(INDEX(PointerTest!B:B, MATCH(B43, PointerTest!A:A, 0)), PointerTest!A:A, 0), 0), 'language&amp;DataTest'!A:A, 0), MATCH(HOME!$A$25, 'language&amp;DataTest'!$A$1:$H$1, 0))),                      
IFERROR(INDEX('language&amp;DataTest'!A:J, MATCH(INDEX( PointerTest!D:D, MATCH(INDEX(PointerTest!B:B, MATCH(B43, PointerTest!A:A, 0)), PointerTest!A:A, 0), 0), 'language&amp;DataTest'!A:A, 0), MATCH(HOME!$A$25, 'language&amp;DataTest'!$A$1:$H$1, 0))),                                          
IFERROR(INDEX('language&amp;DataTest'!A:J, MATCH(INDEX( PointerTest!E:E, MATCH(INDEX(PointerTest!B:B, MATCH(B43, PointerTest!A:A, 0)), PointerTest!A:A, 0), 0), 'language&amp;DataTest'!A:A, 0), MATCH(HOME!$A$25, 'language&amp;DataTest'!$A$1:$H$1, 0))))</f>
        <v>Lucario ex</v>
      </c>
      <c r="E43" s="69" t="str">
        <f t="array" ref="E43">INDEX( PointerTest!F:F, MATCH(B43, PointerTest!A:A, 0), 0)</f>
        <v>♢</v>
      </c>
      <c r="F43" s="70">
        <f t="array" ref="F43">LET(percentage,XLOOKUP($E43,$K$2:$K$12,L$2:L$12,"",0)/(COUNTIFS($E:$E,$E43,$D:$D,RegularFormula!$D$2)+COUNTIFS($E:$E,$E43,$D:$D,IF($D43=RegularFormula!$D$2,$K$17,$D43))),IFERROR(IF(percentage,percentage,""),""))</f>
        <v>0.031234375</v>
      </c>
      <c r="G43" s="71" t="str">
        <f t="array" ref="G43">LET(percentage,XLOOKUP($E43,$K$2:$K$12,M$2:M$12,"",0)/(COUNTIFS($E:$E,$E43,$D:$D,RegularFormula!$D$2)+COUNTIFS($E:$E,$E43,$D:$D,IF($D43=RegularFormula!$D$2,$K$17,$D43))),IFERROR(IF(percentage,percentage,""),""))</f>
        <v/>
      </c>
      <c r="H43" s="71" t="str">
        <f t="array" ref="H43">LET(percentage,XLOOKUP($E43,$K$2:$K$12,N$2:N$12,"",0)/(COUNTIFS($E:$E,$E43,$D:$D,RegularFormula!$D$2)+COUNTIFS($E:$E,$E43,$D:$D,IF($D43=RegularFormula!$D$2,$K$17,$D43))),IFERROR(IF(percentage,percentage,""),""))</f>
        <v/>
      </c>
      <c r="I43" s="72" t="str">
        <f t="shared" si="1"/>
        <v/>
      </c>
      <c r="J43" s="73">
        <v>0.0</v>
      </c>
      <c r="O43" s="148"/>
      <c r="P43" s="148"/>
      <c r="Q43" s="148"/>
      <c r="R43" s="79" t="str">
        <f t="shared" si="2"/>
        <v/>
      </c>
    </row>
    <row r="44">
      <c r="A44" s="217" t="b">
        <v>1</v>
      </c>
      <c r="B44" s="218" t="s">
        <v>29</v>
      </c>
      <c r="C44" s="69" t="str">
        <f t="array" ref="C44">TEXTJOIN("", TRUE, IFERROR(INDEX('language&amp;DataTest'!A:J, MATCH(INDEX( PointerTest!C:C, MATCH(B44, PointerTest!A:A, 0), 0), 'language&amp;DataTest'!A:A, 0), MATCH(HOME!$A$25, 'language&amp;DataTest'!$A$1:$H$1, 0))),                      IFERROR(INDEX('language&amp;DataTest'!A:J, MATCH(INDEX( PointerTest!D:D, MATCH(B44, PointerTest!A:A, 0), 0), 'language&amp;DataTest'!A:A, 0), MATCH(HOME!$A$25, 'language&amp;DataTest'!$A$1:$H$1, 0))),                                          
IFERROR(INDEX('language&amp;DataTest'!A:J, MATCH(INDEX( PointerTest!E:E, MATCH(B44, PointerTest!A:A, 0), 0), 'language&amp;DataTest'!A:A, 0), MATCH(HOME!$A$25, 'language&amp;DataTest'!$A$1:$H$1, 0))))</f>
        <v>Lucario ex</v>
      </c>
      <c r="D44" s="69" t="str">
        <f t="array" ref="D44">TEXTJOIN("", TRUE, 
IFERROR(INDEX('language&amp;DataTest'!A:J, MATCH(INDEX( PointerTest!C:C, MATCH(INDEX(PointerTest!B:B, MATCH(B44, PointerTest!A:A, 0)), PointerTest!A:A, 0), 0), 'language&amp;DataTest'!A:A, 0), MATCH(HOME!$A$25, 'language&amp;DataTest'!$A$1:$H$1, 0))),                      
IFERROR(INDEX('language&amp;DataTest'!A:J, MATCH(INDEX( PointerTest!D:D, MATCH(INDEX(PointerTest!B:B, MATCH(B44, PointerTest!A:A, 0)), PointerTest!A:A, 0), 0), 'language&amp;DataTest'!A:A, 0), MATCH(HOME!$A$25, 'language&amp;DataTest'!$A$1:$H$1, 0))),                                          
IFERROR(INDEX('language&amp;DataTest'!A:J, MATCH(INDEX( PointerTest!E:E, MATCH(INDEX(PointerTest!B:B, MATCH(B44, PointerTest!A:A, 0)), PointerTest!A:A, 0), 0), 'language&amp;DataTest'!A:A, 0), MATCH(HOME!$A$25, 'language&amp;DataTest'!$A$1:$H$1, 0))))</f>
        <v>Lucario ex</v>
      </c>
      <c r="E44" s="69" t="str">
        <f t="array" ref="E44">INDEX( PointerTest!F:F, MATCH(B44, PointerTest!A:A, 0), 0)</f>
        <v>♢♢♢♢</v>
      </c>
      <c r="F44" s="70" t="str">
        <f t="array" ref="F44">LET(percentage,XLOOKUP($E44,$K$2:$K$12,L$2:L$12,"",0)/(COUNTIFS($E:$E,$E44,$D:$D,RegularFormula!$D$2)+COUNTIFS($E:$E,$E44,$D:$D,IF($D44=RegularFormula!$D$2,$K$17,$D44))),IFERROR(IF(percentage,percentage,""),""))</f>
        <v/>
      </c>
      <c r="G44" s="71">
        <f t="array" ref="G44">LET(percentage,XLOOKUP($E44,$K$2:$K$12,M$2:M$12,"",0)/(COUNTIFS($E:$E,$E44,$D:$D,RegularFormula!$D$2)+COUNTIFS($E:$E,$E44,$D:$D,IF($D44=RegularFormula!$D$2,$K$17,$D44))),IFERROR(IF(percentage,percentage,""),""))</f>
        <v>0.001850185556</v>
      </c>
      <c r="H44" s="71">
        <f t="array" ref="H44">LET(percentage,XLOOKUP($E44,$K$2:$K$12,N$2:N$12,"",0)/(COUNTIFS($E:$E,$E44,$D:$D,RegularFormula!$D$2)+COUNTIFS($E:$E,$E44,$D:$D,IF($D44=RegularFormula!$D$2,$K$17,$D44))),IFERROR(IF(percentage,percentage,""),""))</f>
        <v>0.007400742222</v>
      </c>
      <c r="I44" s="72" t="str">
        <f t="shared" si="1"/>
        <v/>
      </c>
      <c r="J44" s="73">
        <v>0.0</v>
      </c>
      <c r="O44" s="103"/>
      <c r="P44" s="103"/>
      <c r="Q44" s="103"/>
      <c r="R44" s="79" t="str">
        <f t="shared" si="2"/>
        <v/>
      </c>
    </row>
    <row r="45">
      <c r="A45" s="217" t="b">
        <v>1</v>
      </c>
      <c r="B45" s="218" t="s">
        <v>897</v>
      </c>
      <c r="C45" s="69" t="str">
        <f t="array" ref="C45">TEXTJOIN("", TRUE, IFERROR(INDEX('language&amp;DataTest'!A:J, MATCH(INDEX( PointerTest!C:C, MATCH(B45, PointerTest!A:A, 0), 0), 'language&amp;DataTest'!A:A, 0), MATCH(HOME!$A$25, 'language&amp;DataTest'!$A$1:$H$1, 0))),                      IFERROR(INDEX('language&amp;DataTest'!A:J, MATCH(INDEX( PointerTest!D:D, MATCH(B45, PointerTest!A:A, 0), 0), 'language&amp;DataTest'!A:A, 0), MATCH(HOME!$A$25, 'language&amp;DataTest'!$A$1:$H$1, 0))),                                          
IFERROR(INDEX('language&amp;DataTest'!A:J, MATCH(INDEX( PointerTest!E:E, MATCH(B45, PointerTest!A:A, 0), 0), 'language&amp;DataTest'!A:A, 0), MATCH(HOME!$A$25, 'language&amp;DataTest'!$A$1:$H$1, 0))))</f>
        <v>Flamigo</v>
      </c>
      <c r="D45" s="69" t="str">
        <f t="array" ref="D45">TEXTJOIN("", TRUE, 
IFERROR(INDEX('language&amp;DataTest'!A:J, MATCH(INDEX( PointerTest!C:C, MATCH(INDEX(PointerTest!B:B, MATCH(B45, PointerTest!A:A, 0)), PointerTest!A:A, 0), 0), 'language&amp;DataTest'!A:A, 0), MATCH(HOME!$A$25, 'language&amp;DataTest'!$A$1:$H$1, 0))),                      
IFERROR(INDEX('language&amp;DataTest'!A:J, MATCH(INDEX( PointerTest!D:D, MATCH(INDEX(PointerTest!B:B, MATCH(B45, PointerTest!A:A, 0)), PointerTest!A:A, 0), 0), 'language&amp;DataTest'!A:A, 0), MATCH(HOME!$A$25, 'language&amp;DataTest'!$A$1:$H$1, 0))),                                          
IFERROR(INDEX('language&amp;DataTest'!A:J, MATCH(INDEX( PointerTest!E:E, MATCH(INDEX(PointerTest!B:B, MATCH(B45, PointerTest!A:A, 0)), PointerTest!A:A, 0), 0), 'language&amp;DataTest'!A:A, 0), MATCH(HOME!$A$25, 'language&amp;DataTest'!$A$1:$H$1, 0))))</f>
        <v>Lucario ex</v>
      </c>
      <c r="E45" s="69" t="str">
        <f t="array" ref="E45">INDEX( PointerTest!F:F, MATCH(B45, PointerTest!A:A, 0), 0)</f>
        <v>♢♢</v>
      </c>
      <c r="F45" s="70" t="str">
        <f t="array" ref="F45">LET(percentage,XLOOKUP($E45,$K$2:$K$12,L$2:L$12,"",0)/(COUNTIFS($E:$E,$E45,$D:$D,RegularFormula!$D$2)+COUNTIFS($E:$E,$E45,$D:$D,IF($D45=RegularFormula!$D$2,$K$17,$D45))),IFERROR(IF(percentage,percentage,""),""))</f>
        <v/>
      </c>
      <c r="G45" s="71">
        <f t="array" ref="G45">LET(percentage,XLOOKUP($E45,$K$2:$K$12,M$2:M$12,"",0)/(COUNTIFS($E:$E,$E45,$D:$D,RegularFormula!$D$2)+COUNTIFS($E:$E,$E45,$D:$D,IF($D45=RegularFormula!$D$2,$K$17,$D45))),IFERROR(IF(percentage,percentage,""),""))</f>
        <v>0.04043431818</v>
      </c>
      <c r="H45" s="71">
        <f t="array" ref="H45">LET(percentage,XLOOKUP($E45,$K$2:$K$12,N$2:N$12,"",0)/(COUNTIFS($E:$E,$E45,$D:$D,RegularFormula!$D$2)+COUNTIFS($E:$E,$E45,$D:$D,IF($D45=RegularFormula!$D$2,$K$17,$D45))),IFERROR(IF(percentage,percentage,""),""))</f>
        <v>0.02544181818</v>
      </c>
      <c r="I45" s="72" t="str">
        <f t="shared" si="1"/>
        <v/>
      </c>
      <c r="J45" s="73">
        <v>0.0</v>
      </c>
      <c r="O45" s="103"/>
      <c r="P45" s="103"/>
      <c r="Q45" s="103"/>
      <c r="R45" s="79" t="str">
        <f t="shared" si="2"/>
        <v/>
      </c>
    </row>
    <row r="46">
      <c r="A46" s="217" t="b">
        <v>1</v>
      </c>
      <c r="B46" s="218" t="s">
        <v>898</v>
      </c>
      <c r="C46" s="69" t="str">
        <f t="array" ref="C46">TEXTJOIN("", TRUE, IFERROR(INDEX('language&amp;DataTest'!A:J, MATCH(INDEX( PointerTest!C:C, MATCH(B46, PointerTest!A:A, 0), 0), 'language&amp;DataTest'!A:A, 0), MATCH(HOME!$A$25, 'language&amp;DataTest'!$A$1:$H$1, 0))),                      IFERROR(INDEX('language&amp;DataTest'!A:J, MATCH(INDEX( PointerTest!D:D, MATCH(B46, PointerTest!A:A, 0), 0), 'language&amp;DataTest'!A:A, 0), MATCH(HOME!$A$25, 'language&amp;DataTest'!$A$1:$H$1, 0))),                                          
IFERROR(INDEX('language&amp;DataTest'!A:J, MATCH(INDEX( PointerTest!E:E, MATCH(B46, PointerTest!A:A, 0), 0), 'language&amp;DataTest'!A:A, 0), MATCH(HOME!$A$25, 'language&amp;DataTest'!$A$1:$H$1, 0))))</f>
        <v>Ekans</v>
      </c>
      <c r="D46" s="69" t="str">
        <f t="array" ref="D46">TEXTJOIN("", TRUE, 
IFERROR(INDEX('language&amp;DataTest'!A:J, MATCH(INDEX( PointerTest!C:C, MATCH(INDEX(PointerTest!B:B, MATCH(B46, PointerTest!A:A, 0)), PointerTest!A:A, 0), 0), 'language&amp;DataTest'!A:A, 0), MATCH(HOME!$A$25, 'language&amp;DataTest'!$A$1:$H$1, 0))),                      
IFERROR(INDEX('language&amp;DataTest'!A:J, MATCH(INDEX( PointerTest!D:D, MATCH(INDEX(PointerTest!B:B, MATCH(B46, PointerTest!A:A, 0)), PointerTest!A:A, 0), 0), 'language&amp;DataTest'!A:A, 0), MATCH(HOME!$A$25, 'language&amp;DataTest'!$A$1:$H$1, 0))),                                          
IFERROR(INDEX('language&amp;DataTest'!A:J, MATCH(INDEX( PointerTest!E:E, MATCH(INDEX(PointerTest!B:B, MATCH(B46, PointerTest!A:A, 0)), PointerTest!A:A, 0), 0), 'language&amp;DataTest'!A:A, 0), MATCH(HOME!$A$25, 'language&amp;DataTest'!$A$1:$H$1, 0))))</f>
        <v>Lucario ex</v>
      </c>
      <c r="E46" s="69" t="str">
        <f t="array" ref="E46">INDEX( PointerTest!F:F, MATCH(B46, PointerTest!A:A, 0), 0)</f>
        <v>♢</v>
      </c>
      <c r="F46" s="70">
        <f t="array" ref="F46">LET(percentage,XLOOKUP($E46,$K$2:$K$12,L$2:L$12,"",0)/(COUNTIFS($E:$E,$E46,$D:$D,RegularFormula!$D$2)+COUNTIFS($E:$E,$E46,$D:$D,IF($D46=RegularFormula!$D$2,$K$17,$D46))),IFERROR(IF(percentage,percentage,""),""))</f>
        <v>0.031234375</v>
      </c>
      <c r="G46" s="71" t="str">
        <f t="array" ref="G46">LET(percentage,XLOOKUP($E46,$K$2:$K$12,M$2:M$12,"",0)/(COUNTIFS($E:$E,$E46,$D:$D,RegularFormula!$D$2)+COUNTIFS($E:$E,$E46,$D:$D,IF($D46=RegularFormula!$D$2,$K$17,$D46))),IFERROR(IF(percentage,percentage,""),""))</f>
        <v/>
      </c>
      <c r="H46" s="71" t="str">
        <f t="array" ref="H46">LET(percentage,XLOOKUP($E46,$K$2:$K$12,N$2:N$12,"",0)/(COUNTIFS($E:$E,$E46,$D:$D,RegularFormula!$D$2)+COUNTIFS($E:$E,$E46,$D:$D,IF($D46=RegularFormula!$D$2,$K$17,$D46))),IFERROR(IF(percentage,percentage,""),""))</f>
        <v/>
      </c>
      <c r="I46" s="72" t="str">
        <f t="shared" si="1"/>
        <v/>
      </c>
      <c r="J46" s="73">
        <v>0.0</v>
      </c>
      <c r="O46" s="148"/>
      <c r="P46" s="148"/>
      <c r="Q46" s="148"/>
      <c r="R46" s="79" t="str">
        <f t="shared" si="2"/>
        <v/>
      </c>
    </row>
    <row r="47">
      <c r="A47" s="217" t="b">
        <v>1</v>
      </c>
      <c r="B47" s="218" t="s">
        <v>899</v>
      </c>
      <c r="C47" s="69" t="str">
        <f t="array" ref="C47">TEXTJOIN("", TRUE, IFERROR(INDEX('language&amp;DataTest'!A:J, MATCH(INDEX( PointerTest!C:C, MATCH(B47, PointerTest!A:A, 0), 0), 'language&amp;DataTest'!A:A, 0), MATCH(HOME!$A$25, 'language&amp;DataTest'!$A$1:$H$1, 0))),                      IFERROR(INDEX('language&amp;DataTest'!A:J, MATCH(INDEX( PointerTest!D:D, MATCH(B47, PointerTest!A:A, 0), 0), 'language&amp;DataTest'!A:A, 0), MATCH(HOME!$A$25, 'language&amp;DataTest'!$A$1:$H$1, 0))),                                          
IFERROR(INDEX('language&amp;DataTest'!A:J, MATCH(INDEX( PointerTest!E:E, MATCH(B47, PointerTest!A:A, 0), 0), 'language&amp;DataTest'!A:A, 0), MATCH(HOME!$A$25, 'language&amp;DataTest'!$A$1:$H$1, 0))))</f>
        <v>Arbok</v>
      </c>
      <c r="D47" s="69" t="str">
        <f t="array" ref="D47">TEXTJOIN("", TRUE, 
IFERROR(INDEX('language&amp;DataTest'!A:J, MATCH(INDEX( PointerTest!C:C, MATCH(INDEX(PointerTest!B:B, MATCH(B47, PointerTest!A:A, 0)), PointerTest!A:A, 0), 0), 'language&amp;DataTest'!A:A, 0), MATCH(HOME!$A$25, 'language&amp;DataTest'!$A$1:$H$1, 0))),                      
IFERROR(INDEX('language&amp;DataTest'!A:J, MATCH(INDEX( PointerTest!D:D, MATCH(INDEX(PointerTest!B:B, MATCH(B47, PointerTest!A:A, 0)), PointerTest!A:A, 0), 0), 'language&amp;DataTest'!A:A, 0), MATCH(HOME!$A$25, 'language&amp;DataTest'!$A$1:$H$1, 0))),                                          
IFERROR(INDEX('language&amp;DataTest'!A:J, MATCH(INDEX( PointerTest!E:E, MATCH(INDEX(PointerTest!B:B, MATCH(B47, PointerTest!A:A, 0)), PointerTest!A:A, 0), 0), 'language&amp;DataTest'!A:A, 0), MATCH(HOME!$A$25, 'language&amp;DataTest'!$A$1:$H$1, 0))))</f>
        <v>Lucario ex</v>
      </c>
      <c r="E47" s="69" t="str">
        <f t="array" ref="E47">INDEX( PointerTest!F:F, MATCH(B47, PointerTest!A:A, 0), 0)</f>
        <v>♢♢</v>
      </c>
      <c r="F47" s="70" t="str">
        <f t="array" ref="F47">LET(percentage,XLOOKUP($E47,$K$2:$K$12,L$2:L$12,"",0)/(COUNTIFS($E:$E,$E47,$D:$D,RegularFormula!$D$2)+COUNTIFS($E:$E,$E47,$D:$D,IF($D47=RegularFormula!$D$2,$K$17,$D47))),IFERROR(IF(percentage,percentage,""),""))</f>
        <v/>
      </c>
      <c r="G47" s="71">
        <f t="array" ref="G47">LET(percentage,XLOOKUP($E47,$K$2:$K$12,M$2:M$12,"",0)/(COUNTIFS($E:$E,$E47,$D:$D,RegularFormula!$D$2)+COUNTIFS($E:$E,$E47,$D:$D,IF($D47=RegularFormula!$D$2,$K$17,$D47))),IFERROR(IF(percentage,percentage,""),""))</f>
        <v>0.04043431818</v>
      </c>
      <c r="H47" s="71">
        <f t="array" ref="H47">LET(percentage,XLOOKUP($E47,$K$2:$K$12,N$2:N$12,"",0)/(COUNTIFS($E:$E,$E47,$D:$D,RegularFormula!$D$2)+COUNTIFS($E:$E,$E47,$D:$D,IF($D47=RegularFormula!$D$2,$K$17,$D47))),IFERROR(IF(percentage,percentage,""),""))</f>
        <v>0.02544181818</v>
      </c>
      <c r="I47" s="72" t="str">
        <f t="shared" si="1"/>
        <v/>
      </c>
      <c r="J47" s="73">
        <v>0.0</v>
      </c>
      <c r="K47" s="100"/>
      <c r="O47" s="148"/>
      <c r="P47" s="148"/>
      <c r="Q47" s="148"/>
      <c r="R47" s="79" t="str">
        <f t="shared" si="2"/>
        <v/>
      </c>
    </row>
    <row r="48">
      <c r="A48" s="217" t="b">
        <v>1</v>
      </c>
      <c r="B48" s="218" t="s">
        <v>900</v>
      </c>
      <c r="C48" s="69" t="str">
        <f t="array" ref="C48">TEXTJOIN("", TRUE, IFERROR(INDEX('language&amp;DataTest'!A:J, MATCH(INDEX( PointerTest!C:C, MATCH(B48, PointerTest!A:A, 0), 0), 'language&amp;DataTest'!A:A, 0), MATCH(HOME!$A$25, 'language&amp;DataTest'!$A$1:$H$1, 0))),                      IFERROR(INDEX('language&amp;DataTest'!A:J, MATCH(INDEX( PointerTest!D:D, MATCH(B48, PointerTest!A:A, 0), 0), 'language&amp;DataTest'!A:A, 0), MATCH(HOME!$A$25, 'language&amp;DataTest'!$A$1:$H$1, 0))),                                          
IFERROR(INDEX('language&amp;DataTest'!A:J, MATCH(INDEX( PointerTest!E:E, MATCH(B48, PointerTest!A:A, 0), 0), 'language&amp;DataTest'!A:A, 0), MATCH(HOME!$A$25, 'language&amp;DataTest'!$A$1:$H$1, 0))))</f>
        <v>Paldean Wooper</v>
      </c>
      <c r="D48" s="69" t="str">
        <f t="array" ref="D48">TEXTJOIN("", TRUE, 
IFERROR(INDEX('language&amp;DataTest'!A:J, MATCH(INDEX( PointerTest!C:C, MATCH(INDEX(PointerTest!B:B, MATCH(B48, PointerTest!A:A, 0)), PointerTest!A:A, 0), 0), 'language&amp;DataTest'!A:A, 0), MATCH(HOME!$A$25, 'language&amp;DataTest'!$A$1:$H$1, 0))),                      
IFERROR(INDEX('language&amp;DataTest'!A:J, MATCH(INDEX( PointerTest!D:D, MATCH(INDEX(PointerTest!B:B, MATCH(B48, PointerTest!A:A, 0)), PointerTest!A:A, 0), 0), 'language&amp;DataTest'!A:A, 0), MATCH(HOME!$A$25, 'language&amp;DataTest'!$A$1:$H$1, 0))),                                          
IFERROR(INDEX('language&amp;DataTest'!A:J, MATCH(INDEX( PointerTest!E:E, MATCH(INDEX(PointerTest!B:B, MATCH(B48, PointerTest!A:A, 0)), PointerTest!A:A, 0), 0), 'language&amp;DataTest'!A:A, 0), MATCH(HOME!$A$25, 'language&amp;DataTest'!$A$1:$H$1, 0))))</f>
        <v>Lucario ex</v>
      </c>
      <c r="E48" s="69" t="str">
        <f t="array" ref="E48">INDEX( PointerTest!F:F, MATCH(B48, PointerTest!A:A, 0), 0)</f>
        <v>♢</v>
      </c>
      <c r="F48" s="70">
        <f t="array" ref="F48">LET(percentage,XLOOKUP($E48,$K$2:$K$12,L$2:L$12,"",0)/(COUNTIFS($E:$E,$E48,$D:$D,RegularFormula!$D$2)+COUNTIFS($E:$E,$E48,$D:$D,IF($D48=RegularFormula!$D$2,$K$17,$D48))),IFERROR(IF(percentage,percentage,""),""))</f>
        <v>0.031234375</v>
      </c>
      <c r="G48" s="71" t="str">
        <f t="array" ref="G48">LET(percentage,XLOOKUP($E48,$K$2:$K$12,M$2:M$12,"",0)/(COUNTIFS($E:$E,$E48,$D:$D,RegularFormula!$D$2)+COUNTIFS($E:$E,$E48,$D:$D,IF($D48=RegularFormula!$D$2,$K$17,$D48))),IFERROR(IF(percentage,percentage,""),""))</f>
        <v/>
      </c>
      <c r="H48" s="71" t="str">
        <f t="array" ref="H48">LET(percentage,XLOOKUP($E48,$K$2:$K$12,N$2:N$12,"",0)/(COUNTIFS($E:$E,$E48,$D:$D,RegularFormula!$D$2)+COUNTIFS($E:$E,$E48,$D:$D,IF($D48=RegularFormula!$D$2,$K$17,$D48))),IFERROR(IF(percentage,percentage,""),""))</f>
        <v/>
      </c>
      <c r="I48" s="72" t="str">
        <f t="shared" si="1"/>
        <v/>
      </c>
      <c r="J48" s="73">
        <v>0.0</v>
      </c>
      <c r="K48" s="100"/>
      <c r="O48" s="148"/>
      <c r="P48" s="148"/>
      <c r="Q48" s="148"/>
      <c r="R48" s="79" t="str">
        <f t="shared" si="2"/>
        <v/>
      </c>
    </row>
    <row r="49">
      <c r="A49" s="217" t="b">
        <v>1</v>
      </c>
      <c r="B49" s="218" t="s">
        <v>901</v>
      </c>
      <c r="C49" s="69" t="str">
        <f t="array" ref="C49">TEXTJOIN("", TRUE, IFERROR(INDEX('language&amp;DataTest'!A:J, MATCH(INDEX( PointerTest!C:C, MATCH(B49, PointerTest!A:A, 0), 0), 'language&amp;DataTest'!A:A, 0), MATCH(HOME!$A$25, 'language&amp;DataTest'!$A$1:$H$1, 0))),                      IFERROR(INDEX('language&amp;DataTest'!A:J, MATCH(INDEX( PointerTest!D:D, MATCH(B49, PointerTest!A:A, 0), 0), 'language&amp;DataTest'!A:A, 0), MATCH(HOME!$A$25, 'language&amp;DataTest'!$A$1:$H$1, 0))),                                          
IFERROR(INDEX('language&amp;DataTest'!A:J, MATCH(INDEX( PointerTest!E:E, MATCH(B49, PointerTest!A:A, 0), 0), 'language&amp;DataTest'!A:A, 0), MATCH(HOME!$A$25, 'language&amp;DataTest'!$A$1:$H$1, 0))))</f>
        <v>Paldean Clodsire ex</v>
      </c>
      <c r="D49" s="69" t="str">
        <f t="array" ref="D49">TEXTJOIN("", TRUE, 
IFERROR(INDEX('language&amp;DataTest'!A:J, MATCH(INDEX( PointerTest!C:C, MATCH(INDEX(PointerTest!B:B, MATCH(B49, PointerTest!A:A, 0)), PointerTest!A:A, 0), 0), 'language&amp;DataTest'!A:A, 0), MATCH(HOME!$A$25, 'language&amp;DataTest'!$A$1:$H$1, 0))),                      
IFERROR(INDEX('language&amp;DataTest'!A:J, MATCH(INDEX( PointerTest!D:D, MATCH(INDEX(PointerTest!B:B, MATCH(B49, PointerTest!A:A, 0)), PointerTest!A:A, 0), 0), 'language&amp;DataTest'!A:A, 0), MATCH(HOME!$A$25, 'language&amp;DataTest'!$A$1:$H$1, 0))),                                          
IFERROR(INDEX('language&amp;DataTest'!A:J, MATCH(INDEX( PointerTest!E:E, MATCH(INDEX(PointerTest!B:B, MATCH(B49, PointerTest!A:A, 0)), PointerTest!A:A, 0), 0), 'language&amp;DataTest'!A:A, 0), MATCH(HOME!$A$25, 'language&amp;DataTest'!$A$1:$H$1, 0))))</f>
        <v>Lucario ex</v>
      </c>
      <c r="E49" s="69" t="str">
        <f t="array" ref="E49">INDEX( PointerTest!F:F, MATCH(B49, PointerTest!A:A, 0), 0)</f>
        <v>♢♢♢♢</v>
      </c>
      <c r="F49" s="70" t="str">
        <f t="array" ref="F49">LET(percentage,XLOOKUP($E49,$K$2:$K$12,L$2:L$12,"",0)/(COUNTIFS($E:$E,$E49,$D:$D,RegularFormula!$D$2)+COUNTIFS($E:$E,$E49,$D:$D,IF($D49=RegularFormula!$D$2,$K$17,$D49))),IFERROR(IF(percentage,percentage,""),""))</f>
        <v/>
      </c>
      <c r="G49" s="71">
        <f t="array" ref="G49">LET(percentage,XLOOKUP($E49,$K$2:$K$12,M$2:M$12,"",0)/(COUNTIFS($E:$E,$E49,$D:$D,RegularFormula!$D$2)+COUNTIFS($E:$E,$E49,$D:$D,IF($D49=RegularFormula!$D$2,$K$17,$D49))),IFERROR(IF(percentage,percentage,""),""))</f>
        <v>0.001850185556</v>
      </c>
      <c r="H49" s="71">
        <f t="array" ref="H49">LET(percentage,XLOOKUP($E49,$K$2:$K$12,N$2:N$12,"",0)/(COUNTIFS($E:$E,$E49,$D:$D,RegularFormula!$D$2)+COUNTIFS($E:$E,$E49,$D:$D,IF($D49=RegularFormula!$D$2,$K$17,$D49))),IFERROR(IF(percentage,percentage,""),""))</f>
        <v>0.007400742222</v>
      </c>
      <c r="I49" s="72" t="str">
        <f t="shared" si="1"/>
        <v/>
      </c>
      <c r="J49" s="73">
        <v>0.0</v>
      </c>
      <c r="K49" s="100"/>
      <c r="O49" s="103"/>
      <c r="P49" s="103"/>
      <c r="Q49" s="103"/>
      <c r="R49" s="79" t="str">
        <f t="shared" si="2"/>
        <v/>
      </c>
    </row>
    <row r="50">
      <c r="A50" s="217" t="b">
        <v>1</v>
      </c>
      <c r="B50" s="218" t="s">
        <v>902</v>
      </c>
      <c r="C50" s="69" t="str">
        <f t="array" ref="C50">TEXTJOIN("", TRUE, IFERROR(INDEX('language&amp;DataTest'!A:J, MATCH(INDEX( PointerTest!C:C, MATCH(B50, PointerTest!A:A, 0), 0), 'language&amp;DataTest'!A:A, 0), MATCH(HOME!$A$25, 'language&amp;DataTest'!$A$1:$H$1, 0))),                      IFERROR(INDEX('language&amp;DataTest'!A:J, MATCH(INDEX( PointerTest!D:D, MATCH(B50, PointerTest!A:A, 0), 0), 'language&amp;DataTest'!A:A, 0), MATCH(HOME!$A$25, 'language&amp;DataTest'!$A$1:$H$1, 0))),                                          
IFERROR(INDEX('language&amp;DataTest'!A:J, MATCH(INDEX( PointerTest!E:E, MATCH(B50, PointerTest!A:A, 0), 0), 'language&amp;DataTest'!A:A, 0), MATCH(HOME!$A$25, 'language&amp;DataTest'!$A$1:$H$1, 0))))</f>
        <v>Spiritomb</v>
      </c>
      <c r="D50" s="69" t="str">
        <f t="array" ref="D50">TEXTJOIN("", TRUE, 
IFERROR(INDEX('language&amp;DataTest'!A:J, MATCH(INDEX( PointerTest!C:C, MATCH(INDEX(PointerTest!B:B, MATCH(B50, PointerTest!A:A, 0)), PointerTest!A:A, 0), 0), 'language&amp;DataTest'!A:A, 0), MATCH(HOME!$A$25, 'language&amp;DataTest'!$A$1:$H$1, 0))),                      
IFERROR(INDEX('language&amp;DataTest'!A:J, MATCH(INDEX( PointerTest!D:D, MATCH(INDEX(PointerTest!B:B, MATCH(B50, PointerTest!A:A, 0)), PointerTest!A:A, 0), 0), 'language&amp;DataTest'!A:A, 0), MATCH(HOME!$A$25, 'language&amp;DataTest'!$A$1:$H$1, 0))),                                          
IFERROR(INDEX('language&amp;DataTest'!A:J, MATCH(INDEX( PointerTest!E:E, MATCH(INDEX(PointerTest!B:B, MATCH(B50, PointerTest!A:A, 0)), PointerTest!A:A, 0), 0), 'language&amp;DataTest'!A:A, 0), MATCH(HOME!$A$25, 'language&amp;DataTest'!$A$1:$H$1, 0))))</f>
        <v>Lucario ex</v>
      </c>
      <c r="E50" s="69" t="str">
        <f t="array" ref="E50">INDEX( PointerTest!F:F, MATCH(B50, PointerTest!A:A, 0), 0)</f>
        <v>♢♢</v>
      </c>
      <c r="F50" s="70" t="str">
        <f t="array" ref="F50">LET(percentage,XLOOKUP($E50,$K$2:$K$12,L$2:L$12,"",0)/(COUNTIFS($E:$E,$E50,$D:$D,RegularFormula!$D$2)+COUNTIFS($E:$E,$E50,$D:$D,IF($D50=RegularFormula!$D$2,$K$17,$D50))),IFERROR(IF(percentage,percentage,""),""))</f>
        <v/>
      </c>
      <c r="G50" s="71">
        <f t="array" ref="G50">LET(percentage,XLOOKUP($E50,$K$2:$K$12,M$2:M$12,"",0)/(COUNTIFS($E:$E,$E50,$D:$D,RegularFormula!$D$2)+COUNTIFS($E:$E,$E50,$D:$D,IF($D50=RegularFormula!$D$2,$K$17,$D50))),IFERROR(IF(percentage,percentage,""),""))</f>
        <v>0.04043431818</v>
      </c>
      <c r="H50" s="71">
        <f t="array" ref="H50">LET(percentage,XLOOKUP($E50,$K$2:$K$12,N$2:N$12,"",0)/(COUNTIFS($E:$E,$E50,$D:$D,RegularFormula!$D$2)+COUNTIFS($E:$E,$E50,$D:$D,IF($D50=RegularFormula!$D$2,$K$17,$D50))),IFERROR(IF(percentage,percentage,""),""))</f>
        <v>0.02544181818</v>
      </c>
      <c r="I50" s="72" t="str">
        <f t="shared" si="1"/>
        <v/>
      </c>
      <c r="J50" s="73">
        <v>0.0</v>
      </c>
      <c r="K50" s="100"/>
      <c r="O50" s="163"/>
      <c r="P50" s="163"/>
      <c r="Q50" s="163"/>
      <c r="R50" s="79" t="str">
        <f t="shared" si="2"/>
        <v/>
      </c>
    </row>
    <row r="51">
      <c r="A51" s="217" t="b">
        <v>1</v>
      </c>
      <c r="B51" s="218" t="s">
        <v>903</v>
      </c>
      <c r="C51" s="69" t="str">
        <f t="array" ref="C51">TEXTJOIN("", TRUE, IFERROR(INDEX('language&amp;DataTest'!A:J, MATCH(INDEX( PointerTest!C:C, MATCH(B51, PointerTest!A:A, 0), 0), 'language&amp;DataTest'!A:A, 0), MATCH(HOME!$A$25, 'language&amp;DataTest'!$A$1:$H$1, 0))),                      IFERROR(INDEX('language&amp;DataTest'!A:J, MATCH(INDEX( PointerTest!D:D, MATCH(B51, PointerTest!A:A, 0), 0), 'language&amp;DataTest'!A:A, 0), MATCH(HOME!$A$25, 'language&amp;DataTest'!$A$1:$H$1, 0))),                                          
IFERROR(INDEX('language&amp;DataTest'!A:J, MATCH(INDEX( PointerTest!E:E, MATCH(B51, PointerTest!A:A, 0), 0), 'language&amp;DataTest'!A:A, 0), MATCH(HOME!$A$25, 'language&amp;DataTest'!$A$1:$H$1, 0))))</f>
        <v>Shroodle</v>
      </c>
      <c r="D51" s="69" t="str">
        <f t="array" ref="D51">TEXTJOIN("", TRUE, 
IFERROR(INDEX('language&amp;DataTest'!A:J, MATCH(INDEX( PointerTest!C:C, MATCH(INDEX(PointerTest!B:B, MATCH(B51, PointerTest!A:A, 0)), PointerTest!A:A, 0), 0), 'language&amp;DataTest'!A:A, 0), MATCH(HOME!$A$25, 'language&amp;DataTest'!$A$1:$H$1, 0))),                      
IFERROR(INDEX('language&amp;DataTest'!A:J, MATCH(INDEX( PointerTest!D:D, MATCH(INDEX(PointerTest!B:B, MATCH(B51, PointerTest!A:A, 0)), PointerTest!A:A, 0), 0), 'language&amp;DataTest'!A:A, 0), MATCH(HOME!$A$25, 'language&amp;DataTest'!$A$1:$H$1, 0))),                                          
IFERROR(INDEX('language&amp;DataTest'!A:J, MATCH(INDEX( PointerTest!E:E, MATCH(INDEX(PointerTest!B:B, MATCH(B51, PointerTest!A:A, 0)), PointerTest!A:A, 0), 0), 'language&amp;DataTest'!A:A, 0), MATCH(HOME!$A$25, 'language&amp;DataTest'!$A$1:$H$1, 0))))</f>
        <v>Lucario ex</v>
      </c>
      <c r="E51" s="69" t="str">
        <f t="array" ref="E51">INDEX( PointerTest!F:F, MATCH(B51, PointerTest!A:A, 0), 0)</f>
        <v>♢</v>
      </c>
      <c r="F51" s="70">
        <f t="array" ref="F51">LET(percentage,XLOOKUP($E51,$K$2:$K$12,L$2:L$12,"",0)/(COUNTIFS($E:$E,$E51,$D:$D,RegularFormula!$D$2)+COUNTIFS($E:$E,$E51,$D:$D,IF($D51=RegularFormula!$D$2,$K$17,$D51))),IFERROR(IF(percentage,percentage,""),""))</f>
        <v>0.031234375</v>
      </c>
      <c r="G51" s="71" t="str">
        <f t="array" ref="G51">LET(percentage,XLOOKUP($E51,$K$2:$K$12,M$2:M$12,"",0)/(COUNTIFS($E:$E,$E51,$D:$D,RegularFormula!$D$2)+COUNTIFS($E:$E,$E51,$D:$D,IF($D51=RegularFormula!$D$2,$K$17,$D51))),IFERROR(IF(percentage,percentage,""),""))</f>
        <v/>
      </c>
      <c r="H51" s="71" t="str">
        <f t="array" ref="H51">LET(percentage,XLOOKUP($E51,$K$2:$K$12,N$2:N$12,"",0)/(COUNTIFS($E:$E,$E51,$D:$D,RegularFormula!$D$2)+COUNTIFS($E:$E,$E51,$D:$D,IF($D51=RegularFormula!$D$2,$K$17,$D51))),IFERROR(IF(percentage,percentage,""),""))</f>
        <v/>
      </c>
      <c r="I51" s="72" t="str">
        <f t="shared" si="1"/>
        <v/>
      </c>
      <c r="J51" s="73">
        <v>0.0</v>
      </c>
      <c r="K51" s="100"/>
      <c r="O51" s="163"/>
      <c r="P51" s="163"/>
      <c r="Q51" s="163"/>
      <c r="R51" s="79" t="str">
        <f t="shared" si="2"/>
        <v/>
      </c>
    </row>
    <row r="52">
      <c r="A52" s="217" t="b">
        <v>1</v>
      </c>
      <c r="B52" s="218" t="s">
        <v>904</v>
      </c>
      <c r="C52" s="69" t="str">
        <f t="array" ref="C52">TEXTJOIN("", TRUE, IFERROR(INDEX('language&amp;DataTest'!A:J, MATCH(INDEX( PointerTest!C:C, MATCH(B52, PointerTest!A:A, 0), 0), 'language&amp;DataTest'!A:A, 0), MATCH(HOME!$A$25, 'language&amp;DataTest'!$A$1:$H$1, 0))),                      IFERROR(INDEX('language&amp;DataTest'!A:J, MATCH(INDEX( PointerTest!D:D, MATCH(B52, PointerTest!A:A, 0), 0), 'language&amp;DataTest'!A:A, 0), MATCH(HOME!$A$25, 'language&amp;DataTest'!$A$1:$H$1, 0))),                                          
IFERROR(INDEX('language&amp;DataTest'!A:J, MATCH(INDEX( PointerTest!E:E, MATCH(B52, PointerTest!A:A, 0), 0), 'language&amp;DataTest'!A:A, 0), MATCH(HOME!$A$25, 'language&amp;DataTest'!$A$1:$H$1, 0))))</f>
        <v>Grafaiai</v>
      </c>
      <c r="D52" s="69" t="str">
        <f t="array" ref="D52">TEXTJOIN("", TRUE, 
IFERROR(INDEX('language&amp;DataTest'!A:J, MATCH(INDEX( PointerTest!C:C, MATCH(INDEX(PointerTest!B:B, MATCH(B52, PointerTest!A:A, 0)), PointerTest!A:A, 0), 0), 'language&amp;DataTest'!A:A, 0), MATCH(HOME!$A$25, 'language&amp;DataTest'!$A$1:$H$1, 0))),                      
IFERROR(INDEX('language&amp;DataTest'!A:J, MATCH(INDEX( PointerTest!D:D, MATCH(INDEX(PointerTest!B:B, MATCH(B52, PointerTest!A:A, 0)), PointerTest!A:A, 0), 0), 'language&amp;DataTest'!A:A, 0), MATCH(HOME!$A$25, 'language&amp;DataTest'!$A$1:$H$1, 0))),                                          
IFERROR(INDEX('language&amp;DataTest'!A:J, MATCH(INDEX( PointerTest!E:E, MATCH(INDEX(PointerTest!B:B, MATCH(B52, PointerTest!A:A, 0)), PointerTest!A:A, 0), 0), 'language&amp;DataTest'!A:A, 0), MATCH(HOME!$A$25, 'language&amp;DataTest'!$A$1:$H$1, 0))))</f>
        <v>Lucario ex</v>
      </c>
      <c r="E52" s="69" t="str">
        <f t="array" ref="E52">INDEX( PointerTest!F:F, MATCH(B52, PointerTest!A:A, 0), 0)</f>
        <v>♢♢♢</v>
      </c>
      <c r="F52" s="70" t="str">
        <f t="array" ref="F52">LET(percentage,XLOOKUP($E52,$K$2:$K$12,L$2:L$12,"",0)/(COUNTIFS($E:$E,$E52,$D:$D,RegularFormula!$D$2)+COUNTIFS($E:$E,$E52,$D:$D,IF($D52=RegularFormula!$D$2,$K$17,$D52))),IFERROR(IF(percentage,percentage,""),""))</f>
        <v/>
      </c>
      <c r="G52" s="71">
        <f t="array" ref="G52">LET(percentage,XLOOKUP($E52,$K$2:$K$12,M$2:M$12,"",0)/(COUNTIFS($E:$E,$E52,$D:$D,RegularFormula!$D$2)+COUNTIFS($E:$E,$E52,$D:$D,IF($D52=RegularFormula!$D$2,$K$17,$D52))),IFERROR(IF(percentage,percentage,""),""))</f>
        <v>0.005499471111</v>
      </c>
      <c r="H52" s="71">
        <f t="array" ref="H52">LET(percentage,XLOOKUP($E52,$K$2:$K$12,N$2:N$12,"",0)/(COUNTIFS($E:$E,$E52,$D:$D,RegularFormula!$D$2)+COUNTIFS($E:$E,$E52,$D:$D,IF($D52=RegularFormula!$D$2,$K$17,$D52))),IFERROR(IF(percentage,percentage,""),""))</f>
        <v>0.02200010556</v>
      </c>
      <c r="I52" s="72" t="str">
        <f t="shared" si="1"/>
        <v/>
      </c>
      <c r="J52" s="73">
        <v>0.0</v>
      </c>
      <c r="K52" s="100"/>
      <c r="O52" s="163"/>
      <c r="P52" s="163"/>
      <c r="Q52" s="163"/>
      <c r="R52" s="79" t="str">
        <f t="shared" si="2"/>
        <v/>
      </c>
    </row>
    <row r="53">
      <c r="A53" s="217" t="b">
        <v>1</v>
      </c>
      <c r="B53" s="218" t="s">
        <v>905</v>
      </c>
      <c r="C53" s="69" t="str">
        <f t="array" ref="C53">TEXTJOIN("", TRUE, IFERROR(INDEX('language&amp;DataTest'!A:J, MATCH(INDEX( PointerTest!C:C, MATCH(B53, PointerTest!A:A, 0), 0), 'language&amp;DataTest'!A:A, 0), MATCH(HOME!$A$25, 'language&amp;DataTest'!$A$1:$H$1, 0))),                      IFERROR(INDEX('language&amp;DataTest'!A:J, MATCH(INDEX( PointerTest!D:D, MATCH(B53, PointerTest!A:A, 0), 0), 'language&amp;DataTest'!A:A, 0), MATCH(HOME!$A$25, 'language&amp;DataTest'!$A$1:$H$1, 0))),                                          
IFERROR(INDEX('language&amp;DataTest'!A:J, MATCH(INDEX( PointerTest!E:E, MATCH(B53, PointerTest!A:A, 0), 0), 'language&amp;DataTest'!A:A, 0), MATCH(HOME!$A$25, 'language&amp;DataTest'!$A$1:$H$1, 0))))</f>
        <v>Tinkatink</v>
      </c>
      <c r="D53" s="69" t="str">
        <f t="array" ref="D53">TEXTJOIN("", TRUE, 
IFERROR(INDEX('language&amp;DataTest'!A:J, MATCH(INDEX( PointerTest!C:C, MATCH(INDEX(PointerTest!B:B, MATCH(B53, PointerTest!A:A, 0)), PointerTest!A:A, 0), 0), 'language&amp;DataTest'!A:A, 0), MATCH(HOME!$A$25, 'language&amp;DataTest'!$A$1:$H$1, 0))),                      
IFERROR(INDEX('language&amp;DataTest'!A:J, MATCH(INDEX( PointerTest!D:D, MATCH(INDEX(PointerTest!B:B, MATCH(B53, PointerTest!A:A, 0)), PointerTest!A:A, 0), 0), 'language&amp;DataTest'!A:A, 0), MATCH(HOME!$A$25, 'language&amp;DataTest'!$A$1:$H$1, 0))),                                          
IFERROR(INDEX('language&amp;DataTest'!A:J, MATCH(INDEX( PointerTest!E:E, MATCH(INDEX(PointerTest!B:B, MATCH(B53, PointerTest!A:A, 0)), PointerTest!A:A, 0), 0), 'language&amp;DataTest'!A:A, 0), MATCH(HOME!$A$25, 'language&amp;DataTest'!$A$1:$H$1, 0))))</f>
        <v>Lucario ex</v>
      </c>
      <c r="E53" s="69" t="str">
        <f t="array" ref="E53">INDEX( PointerTest!F:F, MATCH(B53, PointerTest!A:A, 0), 0)</f>
        <v>♢</v>
      </c>
      <c r="F53" s="70">
        <f t="array" ref="F53">LET(percentage,XLOOKUP($E53,$K$2:$K$12,L$2:L$12,"",0)/(COUNTIFS($E:$E,$E53,$D:$D,RegularFormula!$D$2)+COUNTIFS($E:$E,$E53,$D:$D,IF($D53=RegularFormula!$D$2,$K$17,$D53))),IFERROR(IF(percentage,percentage,""),""))</f>
        <v>0.031234375</v>
      </c>
      <c r="G53" s="71" t="str">
        <f t="array" ref="G53">LET(percentage,XLOOKUP($E53,$K$2:$K$12,M$2:M$12,"",0)/(COUNTIFS($E:$E,$E53,$D:$D,RegularFormula!$D$2)+COUNTIFS($E:$E,$E53,$D:$D,IF($D53=RegularFormula!$D$2,$K$17,$D53))),IFERROR(IF(percentage,percentage,""),""))</f>
        <v/>
      </c>
      <c r="H53" s="71" t="str">
        <f t="array" ref="H53">LET(percentage,XLOOKUP($E53,$K$2:$K$12,N$2:N$12,"",0)/(COUNTIFS($E:$E,$E53,$D:$D,RegularFormula!$D$2)+COUNTIFS($E:$E,$E53,$D:$D,IF($D53=RegularFormula!$D$2,$K$17,$D53))),IFERROR(IF(percentage,percentage,""),""))</f>
        <v/>
      </c>
      <c r="I53" s="72" t="str">
        <f t="shared" si="1"/>
        <v/>
      </c>
      <c r="J53" s="73">
        <v>0.0</v>
      </c>
      <c r="K53" s="100"/>
      <c r="O53" s="163"/>
      <c r="P53" s="163"/>
      <c r="Q53" s="163"/>
      <c r="R53" s="79" t="str">
        <f t="shared" si="2"/>
        <v/>
      </c>
    </row>
    <row r="54">
      <c r="A54" s="217" t="b">
        <v>1</v>
      </c>
      <c r="B54" s="218" t="s">
        <v>906</v>
      </c>
      <c r="C54" s="69" t="str">
        <f t="array" ref="C54">TEXTJOIN("", TRUE, IFERROR(INDEX('language&amp;DataTest'!A:J, MATCH(INDEX( PointerTest!C:C, MATCH(B54, PointerTest!A:A, 0), 0), 'language&amp;DataTest'!A:A, 0), MATCH(HOME!$A$25, 'language&amp;DataTest'!$A$1:$H$1, 0))),                      IFERROR(INDEX('language&amp;DataTest'!A:J, MATCH(INDEX( PointerTest!D:D, MATCH(B54, PointerTest!A:A, 0), 0), 'language&amp;DataTest'!A:A, 0), MATCH(HOME!$A$25, 'language&amp;DataTest'!$A$1:$H$1, 0))),                                          
IFERROR(INDEX('language&amp;DataTest'!A:J, MATCH(INDEX( PointerTest!E:E, MATCH(B54, PointerTest!A:A, 0), 0), 'language&amp;DataTest'!A:A, 0), MATCH(HOME!$A$25, 'language&amp;DataTest'!$A$1:$H$1, 0))))</f>
        <v>Tinkatuff</v>
      </c>
      <c r="D54" s="69" t="str">
        <f t="array" ref="D54">TEXTJOIN("", TRUE, 
IFERROR(INDEX('language&amp;DataTest'!A:J, MATCH(INDEX( PointerTest!C:C, MATCH(INDEX(PointerTest!B:B, MATCH(B54, PointerTest!A:A, 0)), PointerTest!A:A, 0), 0), 'language&amp;DataTest'!A:A, 0), MATCH(HOME!$A$25, 'language&amp;DataTest'!$A$1:$H$1, 0))),                      
IFERROR(INDEX('language&amp;DataTest'!A:J, MATCH(INDEX( PointerTest!D:D, MATCH(INDEX(PointerTest!B:B, MATCH(B54, PointerTest!A:A, 0)), PointerTest!A:A, 0), 0), 'language&amp;DataTest'!A:A, 0), MATCH(HOME!$A$25, 'language&amp;DataTest'!$A$1:$H$1, 0))),                                          
IFERROR(INDEX('language&amp;DataTest'!A:J, MATCH(INDEX( PointerTest!E:E, MATCH(INDEX(PointerTest!B:B, MATCH(B54, PointerTest!A:A, 0)), PointerTest!A:A, 0), 0), 'language&amp;DataTest'!A:A, 0), MATCH(HOME!$A$25, 'language&amp;DataTest'!$A$1:$H$1, 0))))</f>
        <v>Lucario ex</v>
      </c>
      <c r="E54" s="69" t="str">
        <f t="array" ref="E54">INDEX( PointerTest!F:F, MATCH(B54, PointerTest!A:A, 0), 0)</f>
        <v>♢♢</v>
      </c>
      <c r="F54" s="70" t="str">
        <f t="array" ref="F54">LET(percentage,XLOOKUP($E54,$K$2:$K$12,L$2:L$12,"",0)/(COUNTIFS($E:$E,$E54,$D:$D,RegularFormula!$D$2)+COUNTIFS($E:$E,$E54,$D:$D,IF($D54=RegularFormula!$D$2,$K$17,$D54))),IFERROR(IF(percentage,percentage,""),""))</f>
        <v/>
      </c>
      <c r="G54" s="71">
        <f t="array" ref="G54">LET(percentage,XLOOKUP($E54,$K$2:$K$12,M$2:M$12,"",0)/(COUNTIFS($E:$E,$E54,$D:$D,RegularFormula!$D$2)+COUNTIFS($E:$E,$E54,$D:$D,IF($D54=RegularFormula!$D$2,$K$17,$D54))),IFERROR(IF(percentage,percentage,""),""))</f>
        <v>0.04043431818</v>
      </c>
      <c r="H54" s="71">
        <f t="array" ref="H54">LET(percentage,XLOOKUP($E54,$K$2:$K$12,N$2:N$12,"",0)/(COUNTIFS($E:$E,$E54,$D:$D,RegularFormula!$D$2)+COUNTIFS($E:$E,$E54,$D:$D,IF($D54=RegularFormula!$D$2,$K$17,$D54))),IFERROR(IF(percentage,percentage,""),""))</f>
        <v>0.02544181818</v>
      </c>
      <c r="I54" s="72" t="str">
        <f t="shared" si="1"/>
        <v/>
      </c>
      <c r="J54" s="73">
        <v>0.0</v>
      </c>
      <c r="K54" s="100"/>
      <c r="O54" s="163"/>
      <c r="P54" s="163"/>
      <c r="Q54" s="163"/>
      <c r="R54" s="79" t="str">
        <f t="shared" si="2"/>
        <v/>
      </c>
    </row>
    <row r="55">
      <c r="A55" s="217" t="b">
        <v>1</v>
      </c>
      <c r="B55" s="218" t="s">
        <v>907</v>
      </c>
      <c r="C55" s="69" t="str">
        <f t="array" ref="C55">TEXTJOIN("", TRUE, IFERROR(INDEX('language&amp;DataTest'!A:J, MATCH(INDEX( PointerTest!C:C, MATCH(B55, PointerTest!A:A, 0), 0), 'language&amp;DataTest'!A:A, 0), MATCH(HOME!$A$25, 'language&amp;DataTest'!$A$1:$H$1, 0))),                      IFERROR(INDEX('language&amp;DataTest'!A:J, MATCH(INDEX( PointerTest!D:D, MATCH(B55, PointerTest!A:A, 0), 0), 'language&amp;DataTest'!A:A, 0), MATCH(HOME!$A$25, 'language&amp;DataTest'!$A$1:$H$1, 0))),                                          
IFERROR(INDEX('language&amp;DataTest'!A:J, MATCH(INDEX( PointerTest!E:E, MATCH(B55, PointerTest!A:A, 0), 0), 'language&amp;DataTest'!A:A, 0), MATCH(HOME!$A$25, 'language&amp;DataTest'!$A$1:$H$1, 0))))</f>
        <v>Tinkaton ex</v>
      </c>
      <c r="D55" s="69" t="str">
        <f t="array" ref="D55">TEXTJOIN("", TRUE, 
IFERROR(INDEX('language&amp;DataTest'!A:J, MATCH(INDEX( PointerTest!C:C, MATCH(INDEX(PointerTest!B:B, MATCH(B55, PointerTest!A:A, 0)), PointerTest!A:A, 0), 0), 'language&amp;DataTest'!A:A, 0), MATCH(HOME!$A$25, 'language&amp;DataTest'!$A$1:$H$1, 0))),                      
IFERROR(INDEX('language&amp;DataTest'!A:J, MATCH(INDEX( PointerTest!D:D, MATCH(INDEX(PointerTest!B:B, MATCH(B55, PointerTest!A:A, 0)), PointerTest!A:A, 0), 0), 'language&amp;DataTest'!A:A, 0), MATCH(HOME!$A$25, 'language&amp;DataTest'!$A$1:$H$1, 0))),                                          
IFERROR(INDEX('language&amp;DataTest'!A:J, MATCH(INDEX( PointerTest!E:E, MATCH(INDEX(PointerTest!B:B, MATCH(B55, PointerTest!A:A, 0)), PointerTest!A:A, 0), 0), 'language&amp;DataTest'!A:A, 0), MATCH(HOME!$A$25, 'language&amp;DataTest'!$A$1:$H$1, 0))))</f>
        <v>Lucario ex</v>
      </c>
      <c r="E55" s="69" t="str">
        <f t="array" ref="E55">INDEX( PointerTest!F:F, MATCH(B55, PointerTest!A:A, 0), 0)</f>
        <v>♢♢♢♢</v>
      </c>
      <c r="F55" s="70" t="str">
        <f t="array" ref="F55">LET(percentage,XLOOKUP($E55,$K$2:$K$12,L$2:L$12,"",0)/(COUNTIFS($E:$E,$E55,$D:$D,RegularFormula!$D$2)+COUNTIFS($E:$E,$E55,$D:$D,IF($D55=RegularFormula!$D$2,$K$17,$D55))),IFERROR(IF(percentage,percentage,""),""))</f>
        <v/>
      </c>
      <c r="G55" s="71">
        <f t="array" ref="G55">LET(percentage,XLOOKUP($E55,$K$2:$K$12,M$2:M$12,"",0)/(COUNTIFS($E:$E,$E55,$D:$D,RegularFormula!$D$2)+COUNTIFS($E:$E,$E55,$D:$D,IF($D55=RegularFormula!$D$2,$K$17,$D55))),IFERROR(IF(percentage,percentage,""),""))</f>
        <v>0.001850185556</v>
      </c>
      <c r="H55" s="71">
        <f t="array" ref="H55">LET(percentage,XLOOKUP($E55,$K$2:$K$12,N$2:N$12,"",0)/(COUNTIFS($E:$E,$E55,$D:$D,RegularFormula!$D$2)+COUNTIFS($E:$E,$E55,$D:$D,IF($D55=RegularFormula!$D$2,$K$17,$D55))),IFERROR(IF(percentage,percentage,""),""))</f>
        <v>0.007400742222</v>
      </c>
      <c r="I55" s="72" t="str">
        <f t="shared" si="1"/>
        <v/>
      </c>
      <c r="J55" s="73">
        <v>0.0</v>
      </c>
      <c r="K55" s="100"/>
      <c r="O55" s="163"/>
      <c r="P55" s="163"/>
      <c r="Q55" s="163"/>
      <c r="R55" s="79" t="str">
        <f t="shared" si="2"/>
        <v/>
      </c>
    </row>
    <row r="56">
      <c r="A56" s="217" t="b">
        <v>1</v>
      </c>
      <c r="B56" s="218" t="s">
        <v>908</v>
      </c>
      <c r="C56" s="69" t="str">
        <f t="array" ref="C56">TEXTJOIN("", TRUE, IFERROR(INDEX('language&amp;DataTest'!A:J, MATCH(INDEX( PointerTest!C:C, MATCH(B56, PointerTest!A:A, 0), 0), 'language&amp;DataTest'!A:A, 0), MATCH(HOME!$A$25, 'language&amp;DataTest'!$A$1:$H$1, 0))),                      IFERROR(INDEX('language&amp;DataTest'!A:J, MATCH(INDEX( PointerTest!D:D, MATCH(B56, PointerTest!A:A, 0), 0), 'language&amp;DataTest'!A:A, 0), MATCH(HOME!$A$25, 'language&amp;DataTest'!$A$1:$H$1, 0))),                                          
IFERROR(INDEX('language&amp;DataTest'!A:J, MATCH(INDEX( PointerTest!E:E, MATCH(B56, PointerTest!A:A, 0), 0), 'language&amp;DataTest'!A:A, 0), MATCH(HOME!$A$25, 'language&amp;DataTest'!$A$1:$H$1, 0))))</f>
        <v>Varoom</v>
      </c>
      <c r="D56" s="69" t="str">
        <f t="array" ref="D56">TEXTJOIN("", TRUE, 
IFERROR(INDEX('language&amp;DataTest'!A:J, MATCH(INDEX( PointerTest!C:C, MATCH(INDEX(PointerTest!B:B, MATCH(B56, PointerTest!A:A, 0)), PointerTest!A:A, 0), 0), 'language&amp;DataTest'!A:A, 0), MATCH(HOME!$A$25, 'language&amp;DataTest'!$A$1:$H$1, 0))),                      
IFERROR(INDEX('language&amp;DataTest'!A:J, MATCH(INDEX( PointerTest!D:D, MATCH(INDEX(PointerTest!B:B, MATCH(B56, PointerTest!A:A, 0)), PointerTest!A:A, 0), 0), 'language&amp;DataTest'!A:A, 0), MATCH(HOME!$A$25, 'language&amp;DataTest'!$A$1:$H$1, 0))),                                          
IFERROR(INDEX('language&amp;DataTest'!A:J, MATCH(INDEX( PointerTest!E:E, MATCH(INDEX(PointerTest!B:B, MATCH(B56, PointerTest!A:A, 0)), PointerTest!A:A, 0), 0), 'language&amp;DataTest'!A:A, 0), MATCH(HOME!$A$25, 'language&amp;DataTest'!$A$1:$H$1, 0))))</f>
        <v>Lucario ex</v>
      </c>
      <c r="E56" s="69" t="str">
        <f t="array" ref="E56">INDEX( PointerTest!F:F, MATCH(B56, PointerTest!A:A, 0), 0)</f>
        <v>♢</v>
      </c>
      <c r="F56" s="70">
        <f t="array" ref="F56">LET(percentage,XLOOKUP($E56,$K$2:$K$12,L$2:L$12,"",0)/(COUNTIFS($E:$E,$E56,$D:$D,RegularFormula!$D$2)+COUNTIFS($E:$E,$E56,$D:$D,IF($D56=RegularFormula!$D$2,$K$17,$D56))),IFERROR(IF(percentage,percentage,""),""))</f>
        <v>0.031234375</v>
      </c>
      <c r="G56" s="71" t="str">
        <f t="array" ref="G56">LET(percentage,XLOOKUP($E56,$K$2:$K$12,M$2:M$12,"",0)/(COUNTIFS($E:$E,$E56,$D:$D,RegularFormula!$D$2)+COUNTIFS($E:$E,$E56,$D:$D,IF($D56=RegularFormula!$D$2,$K$17,$D56))),IFERROR(IF(percentage,percentage,""),""))</f>
        <v/>
      </c>
      <c r="H56" s="71" t="str">
        <f t="array" ref="H56">LET(percentage,XLOOKUP($E56,$K$2:$K$12,N$2:N$12,"",0)/(COUNTIFS($E:$E,$E56,$D:$D,RegularFormula!$D$2)+COUNTIFS($E:$E,$E56,$D:$D,IF($D56=RegularFormula!$D$2,$K$17,$D56))),IFERROR(IF(percentage,percentage,""),""))</f>
        <v/>
      </c>
      <c r="I56" s="72" t="str">
        <f t="shared" si="1"/>
        <v/>
      </c>
      <c r="J56" s="73">
        <v>0.0</v>
      </c>
      <c r="K56" s="100"/>
      <c r="O56" s="163"/>
      <c r="P56" s="163"/>
      <c r="Q56" s="163"/>
      <c r="R56" s="79" t="str">
        <f t="shared" si="2"/>
        <v/>
      </c>
    </row>
    <row r="57">
      <c r="A57" s="217" t="b">
        <v>1</v>
      </c>
      <c r="B57" s="218" t="s">
        <v>909</v>
      </c>
      <c r="C57" s="69" t="str">
        <f t="array" ref="C57">TEXTJOIN("", TRUE, IFERROR(INDEX('language&amp;DataTest'!A:J, MATCH(INDEX( PointerTest!C:C, MATCH(B57, PointerTest!A:A, 0), 0), 'language&amp;DataTest'!A:A, 0), MATCH(HOME!$A$25, 'language&amp;DataTest'!$A$1:$H$1, 0))),                      IFERROR(INDEX('language&amp;DataTest'!A:J, MATCH(INDEX( PointerTest!D:D, MATCH(B57, PointerTest!A:A, 0), 0), 'language&amp;DataTest'!A:A, 0), MATCH(HOME!$A$25, 'language&amp;DataTest'!$A$1:$H$1, 0))),                                          
IFERROR(INDEX('language&amp;DataTest'!A:J, MATCH(INDEX( PointerTest!E:E, MATCH(B57, PointerTest!A:A, 0), 0), 'language&amp;DataTest'!A:A, 0), MATCH(HOME!$A$25, 'language&amp;DataTest'!$A$1:$H$1, 0))))</f>
        <v>Revavroom</v>
      </c>
      <c r="D57" s="69" t="str">
        <f t="array" ref="D57">TEXTJOIN("", TRUE, 
IFERROR(INDEX('language&amp;DataTest'!A:J, MATCH(INDEX( PointerTest!C:C, MATCH(INDEX(PointerTest!B:B, MATCH(B57, PointerTest!A:A, 0)), PointerTest!A:A, 0), 0), 'language&amp;DataTest'!A:A, 0), MATCH(HOME!$A$25, 'language&amp;DataTest'!$A$1:$H$1, 0))),                      
IFERROR(INDEX('language&amp;DataTest'!A:J, MATCH(INDEX( PointerTest!D:D, MATCH(INDEX(PointerTest!B:B, MATCH(B57, PointerTest!A:A, 0)), PointerTest!A:A, 0), 0), 'language&amp;DataTest'!A:A, 0), MATCH(HOME!$A$25, 'language&amp;DataTest'!$A$1:$H$1, 0))),                                          
IFERROR(INDEX('language&amp;DataTest'!A:J, MATCH(INDEX( PointerTest!E:E, MATCH(INDEX(PointerTest!B:B, MATCH(B57, PointerTest!A:A, 0)), PointerTest!A:A, 0), 0), 'language&amp;DataTest'!A:A, 0), MATCH(HOME!$A$25, 'language&amp;DataTest'!$A$1:$H$1, 0))))</f>
        <v>Lucario ex</v>
      </c>
      <c r="E57" s="69" t="str">
        <f t="array" ref="E57">INDEX( PointerTest!F:F, MATCH(B57, PointerTest!A:A, 0), 0)</f>
        <v>♢♢</v>
      </c>
      <c r="F57" s="70" t="str">
        <f t="array" ref="F57">LET(percentage,XLOOKUP($E57,$K$2:$K$12,L$2:L$12,"",0)/(COUNTIFS($E:$E,$E57,$D:$D,RegularFormula!$D$2)+COUNTIFS($E:$E,$E57,$D:$D,IF($D57=RegularFormula!$D$2,$K$17,$D57))),IFERROR(IF(percentage,percentage,""),""))</f>
        <v/>
      </c>
      <c r="G57" s="71">
        <f t="array" ref="G57">LET(percentage,XLOOKUP($E57,$K$2:$K$12,M$2:M$12,"",0)/(COUNTIFS($E:$E,$E57,$D:$D,RegularFormula!$D$2)+COUNTIFS($E:$E,$E57,$D:$D,IF($D57=RegularFormula!$D$2,$K$17,$D57))),IFERROR(IF(percentage,percentage,""),""))</f>
        <v>0.04043431818</v>
      </c>
      <c r="H57" s="71">
        <f t="array" ref="H57">LET(percentage,XLOOKUP($E57,$K$2:$K$12,N$2:N$12,"",0)/(COUNTIFS($E:$E,$E57,$D:$D,RegularFormula!$D$2)+COUNTIFS($E:$E,$E57,$D:$D,IF($D57=RegularFormula!$D$2,$K$17,$D57))),IFERROR(IF(percentage,percentage,""),""))</f>
        <v>0.02544181818</v>
      </c>
      <c r="I57" s="72" t="str">
        <f t="shared" si="1"/>
        <v/>
      </c>
      <c r="J57" s="73">
        <v>0.0</v>
      </c>
      <c r="K57" s="100"/>
      <c r="O57" s="163"/>
      <c r="P57" s="163"/>
      <c r="Q57" s="163"/>
      <c r="R57" s="79" t="str">
        <f t="shared" si="2"/>
        <v/>
      </c>
    </row>
    <row r="58">
      <c r="A58" s="217" t="b">
        <v>1</v>
      </c>
      <c r="B58" s="218" t="s">
        <v>910</v>
      </c>
      <c r="C58" s="69" t="str">
        <f t="array" ref="C58">TEXTJOIN("", TRUE, IFERROR(INDEX('language&amp;DataTest'!A:J, MATCH(INDEX( PointerTest!C:C, MATCH(B58, PointerTest!A:A, 0), 0), 'language&amp;DataTest'!A:A, 0), MATCH(HOME!$A$25, 'language&amp;DataTest'!$A$1:$H$1, 0))),                      IFERROR(INDEX('language&amp;DataTest'!A:J, MATCH(INDEX( PointerTest!D:D, MATCH(B58, PointerTest!A:A, 0), 0), 'language&amp;DataTest'!A:A, 0), MATCH(HOME!$A$25, 'language&amp;DataTest'!$A$1:$H$1, 0))),                                          
IFERROR(INDEX('language&amp;DataTest'!A:J, MATCH(INDEX( PointerTest!E:E, MATCH(B58, PointerTest!A:A, 0), 0), 'language&amp;DataTest'!A:A, 0), MATCH(HOME!$A$25, 'language&amp;DataTest'!$A$1:$H$1, 0))))</f>
        <v>Gholdengo</v>
      </c>
      <c r="D58" s="69" t="str">
        <f t="array" ref="D58">TEXTJOIN("", TRUE, 
IFERROR(INDEX('language&amp;DataTest'!A:J, MATCH(INDEX( PointerTest!C:C, MATCH(INDEX(PointerTest!B:B, MATCH(B58, PointerTest!A:A, 0)), PointerTest!A:A, 0), 0), 'language&amp;DataTest'!A:A, 0), MATCH(HOME!$A$25, 'language&amp;DataTest'!$A$1:$H$1, 0))),                      
IFERROR(INDEX('language&amp;DataTest'!A:J, MATCH(INDEX( PointerTest!D:D, MATCH(INDEX(PointerTest!B:B, MATCH(B58, PointerTest!A:A, 0)), PointerTest!A:A, 0), 0), 'language&amp;DataTest'!A:A, 0), MATCH(HOME!$A$25, 'language&amp;DataTest'!$A$1:$H$1, 0))),                                          
IFERROR(INDEX('language&amp;DataTest'!A:J, MATCH(INDEX( PointerTest!E:E, MATCH(INDEX(PointerTest!B:B, MATCH(B58, PointerTest!A:A, 0)), PointerTest!A:A, 0), 0), 'language&amp;DataTest'!A:A, 0), MATCH(HOME!$A$25, 'language&amp;DataTest'!$A$1:$H$1, 0))))</f>
        <v>Lucario ex</v>
      </c>
      <c r="E58" s="69" t="str">
        <f t="array" ref="E58">INDEX( PointerTest!F:F, MATCH(B58, PointerTest!A:A, 0), 0)</f>
        <v>♢♢♢</v>
      </c>
      <c r="F58" s="70" t="str">
        <f t="array" ref="F58">LET(percentage,XLOOKUP($E58,$K$2:$K$12,L$2:L$12,"",0)/(COUNTIFS($E:$E,$E58,$D:$D,RegularFormula!$D$2)+COUNTIFS($E:$E,$E58,$D:$D,IF($D58=RegularFormula!$D$2,$K$17,$D58))),IFERROR(IF(percentage,percentage,""),""))</f>
        <v/>
      </c>
      <c r="G58" s="71">
        <f t="array" ref="G58">LET(percentage,XLOOKUP($E58,$K$2:$K$12,M$2:M$12,"",0)/(COUNTIFS($E:$E,$E58,$D:$D,RegularFormula!$D$2)+COUNTIFS($E:$E,$E58,$D:$D,IF($D58=RegularFormula!$D$2,$K$17,$D58))),IFERROR(IF(percentage,percentage,""),""))</f>
        <v>0.005499471111</v>
      </c>
      <c r="H58" s="71">
        <f t="array" ref="H58">LET(percentage,XLOOKUP($E58,$K$2:$K$12,N$2:N$12,"",0)/(COUNTIFS($E:$E,$E58,$D:$D,RegularFormula!$D$2)+COUNTIFS($E:$E,$E58,$D:$D,IF($D58=RegularFormula!$D$2,$K$17,$D58))),IFERROR(IF(percentage,percentage,""),""))</f>
        <v>0.02200010556</v>
      </c>
      <c r="I58" s="72" t="str">
        <f t="shared" si="1"/>
        <v/>
      </c>
      <c r="J58" s="73">
        <v>0.0</v>
      </c>
      <c r="K58" s="100"/>
      <c r="O58" s="163"/>
      <c r="P58" s="163"/>
      <c r="Q58" s="163"/>
      <c r="R58" s="79" t="str">
        <f t="shared" si="2"/>
        <v/>
      </c>
    </row>
    <row r="59">
      <c r="A59" s="217" t="b">
        <v>1</v>
      </c>
      <c r="B59" s="218" t="s">
        <v>911</v>
      </c>
      <c r="C59" s="69" t="str">
        <f t="array" ref="C59">TEXTJOIN("", TRUE, IFERROR(INDEX('language&amp;DataTest'!A:J, MATCH(INDEX( PointerTest!C:C, MATCH(B59, PointerTest!A:A, 0), 0), 'language&amp;DataTest'!A:A, 0), MATCH(HOME!$A$25, 'language&amp;DataTest'!$A$1:$H$1, 0))),                      IFERROR(INDEX('language&amp;DataTest'!A:J, MATCH(INDEX( PointerTest!D:D, MATCH(B59, PointerTest!A:A, 0), 0), 'language&amp;DataTest'!A:A, 0), MATCH(HOME!$A$25, 'language&amp;DataTest'!$A$1:$H$1, 0))),                                          
IFERROR(INDEX('language&amp;DataTest'!A:J, MATCH(INDEX( PointerTest!E:E, MATCH(B59, PointerTest!A:A, 0), 0), 'language&amp;DataTest'!A:A, 0), MATCH(HOME!$A$25, 'language&amp;DataTest'!$A$1:$H$1, 0))))</f>
        <v>Rattata</v>
      </c>
      <c r="D59" s="69" t="str">
        <f t="array" ref="D59">TEXTJOIN("", TRUE, 
IFERROR(INDEX('language&amp;DataTest'!A:J, MATCH(INDEX( PointerTest!C:C, MATCH(INDEX(PointerTest!B:B, MATCH(B59, PointerTest!A:A, 0)), PointerTest!A:A, 0), 0), 'language&amp;DataTest'!A:A, 0), MATCH(HOME!$A$25, 'language&amp;DataTest'!$A$1:$H$1, 0))),                      
IFERROR(INDEX('language&amp;DataTest'!A:J, MATCH(INDEX( PointerTest!D:D, MATCH(INDEX(PointerTest!B:B, MATCH(B59, PointerTest!A:A, 0)), PointerTest!A:A, 0), 0), 'language&amp;DataTest'!A:A, 0), MATCH(HOME!$A$25, 'language&amp;DataTest'!$A$1:$H$1, 0))),                                          
IFERROR(INDEX('language&amp;DataTest'!A:J, MATCH(INDEX( PointerTest!E:E, MATCH(INDEX(PointerTest!B:B, MATCH(B59, PointerTest!A:A, 0)), PointerTest!A:A, 0), 0), 'language&amp;DataTest'!A:A, 0), MATCH(HOME!$A$25, 'language&amp;DataTest'!$A$1:$H$1, 0))))</f>
        <v>Lucario ex</v>
      </c>
      <c r="E59" s="69" t="str">
        <f t="array" ref="E59">INDEX( PointerTest!F:F, MATCH(B59, PointerTest!A:A, 0), 0)</f>
        <v>♢</v>
      </c>
      <c r="F59" s="70">
        <f t="array" ref="F59">LET(percentage,XLOOKUP($E59,$K$2:$K$12,L$2:L$12,"",0)/(COUNTIFS($E:$E,$E59,$D:$D,RegularFormula!$D$2)+COUNTIFS($E:$E,$E59,$D:$D,IF($D59=RegularFormula!$D$2,$K$17,$D59))),IFERROR(IF(percentage,percentage,""),""))</f>
        <v>0.031234375</v>
      </c>
      <c r="G59" s="71" t="str">
        <f t="array" ref="G59">LET(percentage,XLOOKUP($E59,$K$2:$K$12,M$2:M$12,"",0)/(COUNTIFS($E:$E,$E59,$D:$D,RegularFormula!$D$2)+COUNTIFS($E:$E,$E59,$D:$D,IF($D59=RegularFormula!$D$2,$K$17,$D59))),IFERROR(IF(percentage,percentage,""),""))</f>
        <v/>
      </c>
      <c r="H59" s="71" t="str">
        <f t="array" ref="H59">LET(percentage,XLOOKUP($E59,$K$2:$K$12,N$2:N$12,"",0)/(COUNTIFS($E:$E,$E59,$D:$D,RegularFormula!$D$2)+COUNTIFS($E:$E,$E59,$D:$D,IF($D59=RegularFormula!$D$2,$K$17,$D59))),IFERROR(IF(percentage,percentage,""),""))</f>
        <v/>
      </c>
      <c r="I59" s="72" t="str">
        <f t="shared" si="1"/>
        <v/>
      </c>
      <c r="J59" s="73">
        <v>0.0</v>
      </c>
      <c r="K59" s="100"/>
      <c r="O59" s="163"/>
      <c r="P59" s="163"/>
      <c r="Q59" s="163"/>
      <c r="R59" s="79" t="str">
        <f t="shared" si="2"/>
        <v/>
      </c>
    </row>
    <row r="60">
      <c r="A60" s="217" t="b">
        <v>1</v>
      </c>
      <c r="B60" s="218" t="s">
        <v>912</v>
      </c>
      <c r="C60" s="69" t="str">
        <f t="array" ref="C60">TEXTJOIN("", TRUE, IFERROR(INDEX('language&amp;DataTest'!A:J, MATCH(INDEX( PointerTest!C:C, MATCH(B60, PointerTest!A:A, 0), 0), 'language&amp;DataTest'!A:A, 0), MATCH(HOME!$A$25, 'language&amp;DataTest'!$A$1:$H$1, 0))),                      IFERROR(INDEX('language&amp;DataTest'!A:J, MATCH(INDEX( PointerTest!D:D, MATCH(B60, PointerTest!A:A, 0), 0), 'language&amp;DataTest'!A:A, 0), MATCH(HOME!$A$25, 'language&amp;DataTest'!$A$1:$H$1, 0))),                                          
IFERROR(INDEX('language&amp;DataTest'!A:J, MATCH(INDEX( PointerTest!E:E, MATCH(B60, PointerTest!A:A, 0), 0), 'language&amp;DataTest'!A:A, 0), MATCH(HOME!$A$25, 'language&amp;DataTest'!$A$1:$H$1, 0))))</f>
        <v>Raticate</v>
      </c>
      <c r="D60" s="69" t="str">
        <f t="array" ref="D60">TEXTJOIN("", TRUE, 
IFERROR(INDEX('language&amp;DataTest'!A:J, MATCH(INDEX( PointerTest!C:C, MATCH(INDEX(PointerTest!B:B, MATCH(B60, PointerTest!A:A, 0)), PointerTest!A:A, 0), 0), 'language&amp;DataTest'!A:A, 0), MATCH(HOME!$A$25, 'language&amp;DataTest'!$A$1:$H$1, 0))),                      
IFERROR(INDEX('language&amp;DataTest'!A:J, MATCH(INDEX( PointerTest!D:D, MATCH(INDEX(PointerTest!B:B, MATCH(B60, PointerTest!A:A, 0)), PointerTest!A:A, 0), 0), 'language&amp;DataTest'!A:A, 0), MATCH(HOME!$A$25, 'language&amp;DataTest'!$A$1:$H$1, 0))),                                          
IFERROR(INDEX('language&amp;DataTest'!A:J, MATCH(INDEX( PointerTest!E:E, MATCH(INDEX(PointerTest!B:B, MATCH(B60, PointerTest!A:A, 0)), PointerTest!A:A, 0), 0), 'language&amp;DataTest'!A:A, 0), MATCH(HOME!$A$25, 'language&amp;DataTest'!$A$1:$H$1, 0))))</f>
        <v>Lucario ex</v>
      </c>
      <c r="E60" s="69" t="str">
        <f t="array" ref="E60">INDEX( PointerTest!F:F, MATCH(B60, PointerTest!A:A, 0), 0)</f>
        <v>♢</v>
      </c>
      <c r="F60" s="70">
        <f t="array" ref="F60">LET(percentage,XLOOKUP($E60,$K$2:$K$12,L$2:L$12,"",0)/(COUNTIFS($E:$E,$E60,$D:$D,RegularFormula!$D$2)+COUNTIFS($E:$E,$E60,$D:$D,IF($D60=RegularFormula!$D$2,$K$17,$D60))),IFERROR(IF(percentage,percentage,""),""))</f>
        <v>0.031234375</v>
      </c>
      <c r="G60" s="71" t="str">
        <f t="array" ref="G60">LET(percentage,XLOOKUP($E60,$K$2:$K$12,M$2:M$12,"",0)/(COUNTIFS($E:$E,$E60,$D:$D,RegularFormula!$D$2)+COUNTIFS($E:$E,$E60,$D:$D,IF($D60=RegularFormula!$D$2,$K$17,$D60))),IFERROR(IF(percentage,percentage,""),""))</f>
        <v/>
      </c>
      <c r="H60" s="71" t="str">
        <f t="array" ref="H60">LET(percentage,XLOOKUP($E60,$K$2:$K$12,N$2:N$12,"",0)/(COUNTIFS($E:$E,$E60,$D:$D,RegularFormula!$D$2)+COUNTIFS($E:$E,$E60,$D:$D,IF($D60=RegularFormula!$D$2,$K$17,$D60))),IFERROR(IF(percentage,percentage,""),""))</f>
        <v/>
      </c>
      <c r="I60" s="72" t="str">
        <f t="shared" si="1"/>
        <v/>
      </c>
      <c r="J60" s="73">
        <v>0.0</v>
      </c>
      <c r="K60" s="100"/>
      <c r="O60" s="163"/>
      <c r="P60" s="163"/>
      <c r="Q60" s="163"/>
      <c r="R60" s="79" t="str">
        <f t="shared" si="2"/>
        <v/>
      </c>
    </row>
    <row r="61">
      <c r="A61" s="217" t="b">
        <v>1</v>
      </c>
      <c r="B61" s="218" t="s">
        <v>913</v>
      </c>
      <c r="C61" s="69" t="str">
        <f t="array" ref="C61">TEXTJOIN("", TRUE, IFERROR(INDEX('language&amp;DataTest'!A:J, MATCH(INDEX( PointerTest!C:C, MATCH(B61, PointerTest!A:A, 0), 0), 'language&amp;DataTest'!A:A, 0), MATCH(HOME!$A$25, 'language&amp;DataTest'!$A$1:$H$1, 0))),                      IFERROR(INDEX('language&amp;DataTest'!A:J, MATCH(INDEX( PointerTest!D:D, MATCH(B61, PointerTest!A:A, 0), 0), 'language&amp;DataTest'!A:A, 0), MATCH(HOME!$A$25, 'language&amp;DataTest'!$A$1:$H$1, 0))),                                          
IFERROR(INDEX('language&amp;DataTest'!A:J, MATCH(INDEX( PointerTest!E:E, MATCH(B61, PointerTest!A:A, 0), 0), 'language&amp;DataTest'!A:A, 0), MATCH(HOME!$A$25, 'language&amp;DataTest'!$A$1:$H$1, 0))))</f>
        <v>Jigglypuff</v>
      </c>
      <c r="D61" s="69" t="str">
        <f t="array" ref="D61">TEXTJOIN("", TRUE, 
IFERROR(INDEX('language&amp;DataTest'!A:J, MATCH(INDEX( PointerTest!C:C, MATCH(INDEX(PointerTest!B:B, MATCH(B61, PointerTest!A:A, 0)), PointerTest!A:A, 0), 0), 'language&amp;DataTest'!A:A, 0), MATCH(HOME!$A$25, 'language&amp;DataTest'!$A$1:$H$1, 0))),                      
IFERROR(INDEX('language&amp;DataTest'!A:J, MATCH(INDEX( PointerTest!D:D, MATCH(INDEX(PointerTest!B:B, MATCH(B61, PointerTest!A:A, 0)), PointerTest!A:A, 0), 0), 'language&amp;DataTest'!A:A, 0), MATCH(HOME!$A$25, 'language&amp;DataTest'!$A$1:$H$1, 0))),                                          
IFERROR(INDEX('language&amp;DataTest'!A:J, MATCH(INDEX( PointerTest!E:E, MATCH(INDEX(PointerTest!B:B, MATCH(B61, PointerTest!A:A, 0)), PointerTest!A:A, 0), 0), 'language&amp;DataTest'!A:A, 0), MATCH(HOME!$A$25, 'language&amp;DataTest'!$A$1:$H$1, 0))))</f>
        <v>Lucario ex</v>
      </c>
      <c r="E61" s="69" t="str">
        <f t="array" ref="E61">INDEX( PointerTest!F:F, MATCH(B61, PointerTest!A:A, 0), 0)</f>
        <v>♢</v>
      </c>
      <c r="F61" s="70">
        <f t="array" ref="F61">LET(percentage,XLOOKUP($E61,$K$2:$K$12,L$2:L$12,"",0)/(COUNTIFS($E:$E,$E61,$D:$D,RegularFormula!$D$2)+COUNTIFS($E:$E,$E61,$D:$D,IF($D61=RegularFormula!$D$2,$K$17,$D61))),IFERROR(IF(percentage,percentage,""),""))</f>
        <v>0.031234375</v>
      </c>
      <c r="G61" s="71" t="str">
        <f t="array" ref="G61">LET(percentage,XLOOKUP($E61,$K$2:$K$12,M$2:M$12,"",0)/(COUNTIFS($E:$E,$E61,$D:$D,RegularFormula!$D$2)+COUNTIFS($E:$E,$E61,$D:$D,IF($D61=RegularFormula!$D$2,$K$17,$D61))),IFERROR(IF(percentage,percentage,""),""))</f>
        <v/>
      </c>
      <c r="H61" s="71" t="str">
        <f t="array" ref="H61">LET(percentage,XLOOKUP($E61,$K$2:$K$12,N$2:N$12,"",0)/(COUNTIFS($E:$E,$E61,$D:$D,RegularFormula!$D$2)+COUNTIFS($E:$E,$E61,$D:$D,IF($D61=RegularFormula!$D$2,$K$17,$D61))),IFERROR(IF(percentage,percentage,""),""))</f>
        <v/>
      </c>
      <c r="I61" s="72" t="str">
        <f t="shared" si="1"/>
        <v/>
      </c>
      <c r="J61" s="73">
        <v>0.0</v>
      </c>
      <c r="K61" s="100"/>
      <c r="O61" s="163"/>
      <c r="P61" s="163"/>
      <c r="Q61" s="163"/>
      <c r="R61" s="79" t="str">
        <f t="shared" si="2"/>
        <v/>
      </c>
    </row>
    <row r="62">
      <c r="A62" s="217" t="b">
        <v>0</v>
      </c>
      <c r="B62" s="218" t="s">
        <v>914</v>
      </c>
      <c r="C62" s="69" t="str">
        <f t="array" ref="C62">TEXTJOIN("", TRUE, IFERROR(INDEX('language&amp;DataTest'!A:J, MATCH(INDEX( PointerTest!C:C, MATCH(B62, PointerTest!A:A, 0), 0), 'language&amp;DataTest'!A:A, 0), MATCH(HOME!$A$25, 'language&amp;DataTest'!$A$1:$H$1, 0))),                      IFERROR(INDEX('language&amp;DataTest'!A:J, MATCH(INDEX( PointerTest!D:D, MATCH(B62, PointerTest!A:A, 0), 0), 'language&amp;DataTest'!A:A, 0), MATCH(HOME!$A$25, 'language&amp;DataTest'!$A$1:$H$1, 0))),                                          
IFERROR(INDEX('language&amp;DataTest'!A:J, MATCH(INDEX( PointerTest!E:E, MATCH(B62, PointerTest!A:A, 0), 0), 'language&amp;DataTest'!A:A, 0), MATCH(HOME!$A$25, 'language&amp;DataTest'!$A$1:$H$1, 0))))</f>
        <v>Wigglytuff</v>
      </c>
      <c r="D62" s="69" t="str">
        <f t="array" ref="D62">TEXTJOIN("", TRUE, 
IFERROR(INDEX('language&amp;DataTest'!A:J, MATCH(INDEX( PointerTest!C:C, MATCH(INDEX(PointerTest!B:B, MATCH(B62, PointerTest!A:A, 0)), PointerTest!A:A, 0), 0), 'language&amp;DataTest'!A:A, 0), MATCH(HOME!$A$25, 'language&amp;DataTest'!$A$1:$H$1, 0))),                      
IFERROR(INDEX('language&amp;DataTest'!A:J, MATCH(INDEX( PointerTest!D:D, MATCH(INDEX(PointerTest!B:B, MATCH(B62, PointerTest!A:A, 0)), PointerTest!A:A, 0), 0), 'language&amp;DataTest'!A:A, 0), MATCH(HOME!$A$25, 'language&amp;DataTest'!$A$1:$H$1, 0))),                                          
IFERROR(INDEX('language&amp;DataTest'!A:J, MATCH(INDEX( PointerTest!E:E, MATCH(INDEX(PointerTest!B:B, MATCH(B62, PointerTest!A:A, 0)), PointerTest!A:A, 0), 0), 'language&amp;DataTest'!A:A, 0), MATCH(HOME!$A$25, 'language&amp;DataTest'!$A$1:$H$1, 0))))</f>
        <v>Lucario ex</v>
      </c>
      <c r="E62" s="69" t="str">
        <f t="array" ref="E62">INDEX( PointerTest!F:F, MATCH(B62, PointerTest!A:A, 0), 0)</f>
        <v>♢♢♢</v>
      </c>
      <c r="F62" s="70" t="str">
        <f t="array" ref="F62">LET(percentage,XLOOKUP($E62,$K$2:$K$12,L$2:L$12,"",0)/(COUNTIFS($E:$E,$E62,$D:$D,RegularFormula!$D$2)+COUNTIFS($E:$E,$E62,$D:$D,IF($D62=RegularFormula!$D$2,$K$17,$D62))),IFERROR(IF(percentage,percentage,""),""))</f>
        <v/>
      </c>
      <c r="G62" s="71">
        <f t="array" ref="G62">LET(percentage,XLOOKUP($E62,$K$2:$K$12,M$2:M$12,"",0)/(COUNTIFS($E:$E,$E62,$D:$D,RegularFormula!$D$2)+COUNTIFS($E:$E,$E62,$D:$D,IF($D62=RegularFormula!$D$2,$K$17,$D62))),IFERROR(IF(percentage,percentage,""),""))</f>
        <v>0.005499471111</v>
      </c>
      <c r="H62" s="71">
        <f t="array" ref="H62">LET(percentage,XLOOKUP($E62,$K$2:$K$12,N$2:N$12,"",0)/(COUNTIFS($E:$E,$E62,$D:$D,RegularFormula!$D$2)+COUNTIFS($E:$E,$E62,$D:$D,IF($D62=RegularFormula!$D$2,$K$17,$D62))),IFERROR(IF(percentage,percentage,""),""))</f>
        <v>0.02200010556</v>
      </c>
      <c r="I62" s="72" t="str">
        <f t="shared" si="1"/>
        <v/>
      </c>
      <c r="J62" s="73">
        <v>0.0</v>
      </c>
      <c r="K62" s="100"/>
      <c r="O62" s="163"/>
      <c r="P62" s="163"/>
      <c r="Q62" s="163"/>
      <c r="R62" s="79" t="str">
        <f t="shared" si="2"/>
        <v/>
      </c>
    </row>
    <row r="63">
      <c r="A63" s="217" t="b">
        <v>1</v>
      </c>
      <c r="B63" s="218" t="s">
        <v>915</v>
      </c>
      <c r="C63" s="69" t="str">
        <f t="array" ref="C63">TEXTJOIN("", TRUE, IFERROR(INDEX('language&amp;DataTest'!A:J, MATCH(INDEX( PointerTest!C:C, MATCH(B63, PointerTest!A:A, 0), 0), 'language&amp;DataTest'!A:A, 0), MATCH(HOME!$A$25, 'language&amp;DataTest'!$A$1:$H$1, 0))),                      IFERROR(INDEX('language&amp;DataTest'!A:J, MATCH(INDEX( PointerTest!D:D, MATCH(B63, PointerTest!A:A, 0), 0), 'language&amp;DataTest'!A:A, 0), MATCH(HOME!$A$25, 'language&amp;DataTest'!$A$1:$H$1, 0))),                                          
IFERROR(INDEX('language&amp;DataTest'!A:J, MATCH(INDEX( PointerTest!E:E, MATCH(B63, PointerTest!A:A, 0), 0), 'language&amp;DataTest'!A:A, 0), MATCH(HOME!$A$25, 'language&amp;DataTest'!$A$1:$H$1, 0))))</f>
        <v>Lickitung</v>
      </c>
      <c r="D63" s="69" t="str">
        <f t="array" ref="D63">TEXTJOIN("", TRUE, 
IFERROR(INDEX('language&amp;DataTest'!A:J, MATCH(INDEX( PointerTest!C:C, MATCH(INDEX(PointerTest!B:B, MATCH(B63, PointerTest!A:A, 0)), PointerTest!A:A, 0), 0), 'language&amp;DataTest'!A:A, 0), MATCH(HOME!$A$25, 'language&amp;DataTest'!$A$1:$H$1, 0))),                      
IFERROR(INDEX('language&amp;DataTest'!A:J, MATCH(INDEX( PointerTest!D:D, MATCH(INDEX(PointerTest!B:B, MATCH(B63, PointerTest!A:A, 0)), PointerTest!A:A, 0), 0), 'language&amp;DataTest'!A:A, 0), MATCH(HOME!$A$25, 'language&amp;DataTest'!$A$1:$H$1, 0))),                                          
IFERROR(INDEX('language&amp;DataTest'!A:J, MATCH(INDEX( PointerTest!E:E, MATCH(INDEX(PointerTest!B:B, MATCH(B63, PointerTest!A:A, 0)), PointerTest!A:A, 0), 0), 'language&amp;DataTest'!A:A, 0), MATCH(HOME!$A$25, 'language&amp;DataTest'!$A$1:$H$1, 0))))</f>
        <v>Lucario ex</v>
      </c>
      <c r="E63" s="69" t="str">
        <f t="array" ref="E63">INDEX( PointerTest!F:F, MATCH(B63, PointerTest!A:A, 0), 0)</f>
        <v>♢</v>
      </c>
      <c r="F63" s="70">
        <f t="array" ref="F63">LET(percentage,XLOOKUP($E63,$K$2:$K$12,L$2:L$12,"",0)/(COUNTIFS($E:$E,$E63,$D:$D,RegularFormula!$D$2)+COUNTIFS($E:$E,$E63,$D:$D,IF($D63=RegularFormula!$D$2,$K$17,$D63))),IFERROR(IF(percentage,percentage,""),""))</f>
        <v>0.031234375</v>
      </c>
      <c r="G63" s="71" t="str">
        <f t="array" ref="G63">LET(percentage,XLOOKUP($E63,$K$2:$K$12,M$2:M$12,"",0)/(COUNTIFS($E:$E,$E63,$D:$D,RegularFormula!$D$2)+COUNTIFS($E:$E,$E63,$D:$D,IF($D63=RegularFormula!$D$2,$K$17,$D63))),IFERROR(IF(percentage,percentage,""),""))</f>
        <v/>
      </c>
      <c r="H63" s="71" t="str">
        <f t="array" ref="H63">LET(percentage,XLOOKUP($E63,$K$2:$K$12,N$2:N$12,"",0)/(COUNTIFS($E:$E,$E63,$D:$D,RegularFormula!$D$2)+COUNTIFS($E:$E,$E63,$D:$D,IF($D63=RegularFormula!$D$2,$K$17,$D63))),IFERROR(IF(percentage,percentage,""),""))</f>
        <v/>
      </c>
      <c r="I63" s="72" t="str">
        <f t="shared" si="1"/>
        <v/>
      </c>
      <c r="J63" s="73">
        <v>0.0</v>
      </c>
      <c r="K63" s="100"/>
      <c r="O63" s="163"/>
      <c r="P63" s="163"/>
      <c r="Q63" s="163"/>
      <c r="R63" s="79" t="str">
        <f t="shared" si="2"/>
        <v/>
      </c>
    </row>
    <row r="64">
      <c r="A64" s="217" t="b">
        <v>1</v>
      </c>
      <c r="B64" s="218" t="s">
        <v>916</v>
      </c>
      <c r="C64" s="69" t="str">
        <f t="array" ref="C64">TEXTJOIN("", TRUE, IFERROR(INDEX('language&amp;DataTest'!A:J, MATCH(INDEX( PointerTest!C:C, MATCH(B64, PointerTest!A:A, 0), 0), 'language&amp;DataTest'!A:A, 0), MATCH(HOME!$A$25, 'language&amp;DataTest'!$A$1:$H$1, 0))),                      IFERROR(INDEX('language&amp;DataTest'!A:J, MATCH(INDEX( PointerTest!D:D, MATCH(B64, PointerTest!A:A, 0), 0), 'language&amp;DataTest'!A:A, 0), MATCH(HOME!$A$25, 'language&amp;DataTest'!$A$1:$H$1, 0))),                                          
IFERROR(INDEX('language&amp;DataTest'!A:J, MATCH(INDEX( PointerTest!E:E, MATCH(B64, PointerTest!A:A, 0), 0), 'language&amp;DataTest'!A:A, 0), MATCH(HOME!$A$25, 'language&amp;DataTest'!$A$1:$H$1, 0))))</f>
        <v>Lickilicky</v>
      </c>
      <c r="D64" s="69" t="str">
        <f t="array" ref="D64">TEXTJOIN("", TRUE, 
IFERROR(INDEX('language&amp;DataTest'!A:J, MATCH(INDEX( PointerTest!C:C, MATCH(INDEX(PointerTest!B:B, MATCH(B64, PointerTest!A:A, 0)), PointerTest!A:A, 0), 0), 'language&amp;DataTest'!A:A, 0), MATCH(HOME!$A$25, 'language&amp;DataTest'!$A$1:$H$1, 0))),                      
IFERROR(INDEX('language&amp;DataTest'!A:J, MATCH(INDEX( PointerTest!D:D, MATCH(INDEX(PointerTest!B:B, MATCH(B64, PointerTest!A:A, 0)), PointerTest!A:A, 0), 0), 'language&amp;DataTest'!A:A, 0), MATCH(HOME!$A$25, 'language&amp;DataTest'!$A$1:$H$1, 0))),                                          
IFERROR(INDEX('language&amp;DataTest'!A:J, MATCH(INDEX( PointerTest!E:E, MATCH(INDEX(PointerTest!B:B, MATCH(B64, PointerTest!A:A, 0)), PointerTest!A:A, 0), 0), 'language&amp;DataTest'!A:A, 0), MATCH(HOME!$A$25, 'language&amp;DataTest'!$A$1:$H$1, 0))))</f>
        <v>Lucario ex</v>
      </c>
      <c r="E64" s="69" t="str">
        <f t="array" ref="E64">INDEX( PointerTest!F:F, MATCH(B64, PointerTest!A:A, 0), 0)</f>
        <v>♢</v>
      </c>
      <c r="F64" s="70">
        <f t="array" ref="F64">LET(percentage,XLOOKUP($E64,$K$2:$K$12,L$2:L$12,"",0)/(COUNTIFS($E:$E,$E64,$D:$D,RegularFormula!$D$2)+COUNTIFS($E:$E,$E64,$D:$D,IF($D64=RegularFormula!$D$2,$K$17,$D64))),IFERROR(IF(percentage,percentage,""),""))</f>
        <v>0.031234375</v>
      </c>
      <c r="G64" s="71" t="str">
        <f t="array" ref="G64">LET(percentage,XLOOKUP($E64,$K$2:$K$12,M$2:M$12,"",0)/(COUNTIFS($E:$E,$E64,$D:$D,RegularFormula!$D$2)+COUNTIFS($E:$E,$E64,$D:$D,IF($D64=RegularFormula!$D$2,$K$17,$D64))),IFERROR(IF(percentage,percentage,""),""))</f>
        <v/>
      </c>
      <c r="H64" s="71" t="str">
        <f t="array" ref="H64">LET(percentage,XLOOKUP($E64,$K$2:$K$12,N$2:N$12,"",0)/(COUNTIFS($E:$E,$E64,$D:$D,RegularFormula!$D$2)+COUNTIFS($E:$E,$E64,$D:$D,IF($D64=RegularFormula!$D$2,$K$17,$D64))),IFERROR(IF(percentage,percentage,""),""))</f>
        <v/>
      </c>
      <c r="I64" s="72" t="str">
        <f t="shared" si="1"/>
        <v/>
      </c>
      <c r="J64" s="73">
        <v>0.0</v>
      </c>
      <c r="K64" s="100"/>
      <c r="O64" s="163"/>
      <c r="P64" s="163"/>
      <c r="Q64" s="163"/>
      <c r="R64" s="79" t="str">
        <f t="shared" si="2"/>
        <v/>
      </c>
    </row>
    <row r="65">
      <c r="A65" s="217" t="b">
        <v>1</v>
      </c>
      <c r="B65" s="218" t="s">
        <v>917</v>
      </c>
      <c r="C65" s="69" t="str">
        <f t="array" ref="C65">TEXTJOIN("", TRUE, IFERROR(INDEX('language&amp;DataTest'!A:J, MATCH(INDEX( PointerTest!C:C, MATCH(B65, PointerTest!A:A, 0), 0), 'language&amp;DataTest'!A:A, 0), MATCH(HOME!$A$25, 'language&amp;DataTest'!$A$1:$H$1, 0))),                      IFERROR(INDEX('language&amp;DataTest'!A:J, MATCH(INDEX( PointerTest!D:D, MATCH(B65, PointerTest!A:A, 0), 0), 'language&amp;DataTest'!A:A, 0), MATCH(HOME!$A$25, 'language&amp;DataTest'!$A$1:$H$1, 0))),                                          
IFERROR(INDEX('language&amp;DataTest'!A:J, MATCH(INDEX( PointerTest!E:E, MATCH(B65, PointerTest!A:A, 0), 0), 'language&amp;DataTest'!A:A, 0), MATCH(HOME!$A$25, 'language&amp;DataTest'!$A$1:$H$1, 0))))</f>
        <v>Bidoof</v>
      </c>
      <c r="D65" s="69" t="str">
        <f t="array" ref="D65">TEXTJOIN("", TRUE, 
IFERROR(INDEX('language&amp;DataTest'!A:J, MATCH(INDEX( PointerTest!C:C, MATCH(INDEX(PointerTest!B:B, MATCH(B65, PointerTest!A:A, 0)), PointerTest!A:A, 0), 0), 'language&amp;DataTest'!A:A, 0), MATCH(HOME!$A$25, 'language&amp;DataTest'!$A$1:$H$1, 0))),                      
IFERROR(INDEX('language&amp;DataTest'!A:J, MATCH(INDEX( PointerTest!D:D, MATCH(INDEX(PointerTest!B:B, MATCH(B65, PointerTest!A:A, 0)), PointerTest!A:A, 0), 0), 'language&amp;DataTest'!A:A, 0), MATCH(HOME!$A$25, 'language&amp;DataTest'!$A$1:$H$1, 0))),                                          
IFERROR(INDEX('language&amp;DataTest'!A:J, MATCH(INDEX( PointerTest!E:E, MATCH(INDEX(PointerTest!B:B, MATCH(B65, PointerTest!A:A, 0)), PointerTest!A:A, 0), 0), 'language&amp;DataTest'!A:A, 0), MATCH(HOME!$A$25, 'language&amp;DataTest'!$A$1:$H$1, 0))))</f>
        <v>Lucario ex</v>
      </c>
      <c r="E65" s="69" t="str">
        <f t="array" ref="E65">INDEX( PointerTest!F:F, MATCH(B65, PointerTest!A:A, 0), 0)</f>
        <v>♢</v>
      </c>
      <c r="F65" s="70">
        <f t="array" ref="F65">LET(percentage,XLOOKUP($E65,$K$2:$K$12,L$2:L$12,"",0)/(COUNTIFS($E:$E,$E65,$D:$D,RegularFormula!$D$2)+COUNTIFS($E:$E,$E65,$D:$D,IF($D65=RegularFormula!$D$2,$K$17,$D65))),IFERROR(IF(percentage,percentage,""),""))</f>
        <v>0.031234375</v>
      </c>
      <c r="G65" s="71" t="str">
        <f t="array" ref="G65">LET(percentage,XLOOKUP($E65,$K$2:$K$12,M$2:M$12,"",0)/(COUNTIFS($E:$E,$E65,$D:$D,RegularFormula!$D$2)+COUNTIFS($E:$E,$E65,$D:$D,IF($D65=RegularFormula!$D$2,$K$17,$D65))),IFERROR(IF(percentage,percentage,""),""))</f>
        <v/>
      </c>
      <c r="H65" s="71" t="str">
        <f t="array" ref="H65">LET(percentage,XLOOKUP($E65,$K$2:$K$12,N$2:N$12,"",0)/(COUNTIFS($E:$E,$E65,$D:$D,RegularFormula!$D$2)+COUNTIFS($E:$E,$E65,$D:$D,IF($D65=RegularFormula!$D$2,$K$17,$D65))),IFERROR(IF(percentage,percentage,""),""))</f>
        <v/>
      </c>
      <c r="I65" s="72" t="str">
        <f t="shared" si="1"/>
        <v/>
      </c>
      <c r="J65" s="73">
        <v>0.0</v>
      </c>
      <c r="K65" s="100"/>
      <c r="O65" s="163"/>
      <c r="P65" s="163"/>
      <c r="Q65" s="163"/>
      <c r="R65" s="79" t="str">
        <f t="shared" si="2"/>
        <v/>
      </c>
    </row>
    <row r="66">
      <c r="A66" s="217" t="b">
        <v>1</v>
      </c>
      <c r="B66" s="218" t="s">
        <v>918</v>
      </c>
      <c r="C66" s="69" t="str">
        <f t="array" ref="C66">TEXTJOIN("", TRUE, IFERROR(INDEX('language&amp;DataTest'!A:J, MATCH(INDEX( PointerTest!C:C, MATCH(B66, PointerTest!A:A, 0), 0), 'language&amp;DataTest'!A:A, 0), MATCH(HOME!$A$25, 'language&amp;DataTest'!$A$1:$H$1, 0))),                      IFERROR(INDEX('language&amp;DataTest'!A:J, MATCH(INDEX( PointerTest!D:D, MATCH(B66, PointerTest!A:A, 0), 0), 'language&amp;DataTest'!A:A, 0), MATCH(HOME!$A$25, 'language&amp;DataTest'!$A$1:$H$1, 0))),                                          
IFERROR(INDEX('language&amp;DataTest'!A:J, MATCH(INDEX( PointerTest!E:E, MATCH(B66, PointerTest!A:A, 0), 0), 'language&amp;DataTest'!A:A, 0), MATCH(HOME!$A$25, 'language&amp;DataTest'!$A$1:$H$1, 0))))</f>
        <v>Bibarel ex</v>
      </c>
      <c r="D66" s="69" t="str">
        <f t="array" ref="D66">TEXTJOIN("", TRUE, 
IFERROR(INDEX('language&amp;DataTest'!A:J, MATCH(INDEX( PointerTest!C:C, MATCH(INDEX(PointerTest!B:B, MATCH(B66, PointerTest!A:A, 0)), PointerTest!A:A, 0), 0), 'language&amp;DataTest'!A:A, 0), MATCH(HOME!$A$25, 'language&amp;DataTest'!$A$1:$H$1, 0))),                      
IFERROR(INDEX('language&amp;DataTest'!A:J, MATCH(INDEX( PointerTest!D:D, MATCH(INDEX(PointerTest!B:B, MATCH(B66, PointerTest!A:A, 0)), PointerTest!A:A, 0), 0), 'language&amp;DataTest'!A:A, 0), MATCH(HOME!$A$25, 'language&amp;DataTest'!$A$1:$H$1, 0))),                                          
IFERROR(INDEX('language&amp;DataTest'!A:J, MATCH(INDEX( PointerTest!E:E, MATCH(INDEX(PointerTest!B:B, MATCH(B66, PointerTest!A:A, 0)), PointerTest!A:A, 0), 0), 'language&amp;DataTest'!A:A, 0), MATCH(HOME!$A$25, 'language&amp;DataTest'!$A$1:$H$1, 0))))</f>
        <v>Lucario ex</v>
      </c>
      <c r="E66" s="69" t="str">
        <f t="array" ref="E66">INDEX( PointerTest!F:F, MATCH(B66, PointerTest!A:A, 0), 0)</f>
        <v>♢♢♢♢</v>
      </c>
      <c r="F66" s="70" t="str">
        <f t="array" ref="F66">LET(percentage,XLOOKUP($E66,$K$2:$K$12,L$2:L$12,"",0)/(COUNTIFS($E:$E,$E66,$D:$D,RegularFormula!$D$2)+COUNTIFS($E:$E,$E66,$D:$D,IF($D66=RegularFormula!$D$2,$K$17,$D66))),IFERROR(IF(percentage,percentage,""),""))</f>
        <v/>
      </c>
      <c r="G66" s="71">
        <f t="array" ref="G66">LET(percentage,XLOOKUP($E66,$K$2:$K$12,M$2:M$12,"",0)/(COUNTIFS($E:$E,$E66,$D:$D,RegularFormula!$D$2)+COUNTIFS($E:$E,$E66,$D:$D,IF($D66=RegularFormula!$D$2,$K$17,$D66))),IFERROR(IF(percentage,percentage,""),""))</f>
        <v>0.001850185556</v>
      </c>
      <c r="H66" s="71">
        <f t="array" ref="H66">LET(percentage,XLOOKUP($E66,$K$2:$K$12,N$2:N$12,"",0)/(COUNTIFS($E:$E,$E66,$D:$D,RegularFormula!$D$2)+COUNTIFS($E:$E,$E66,$D:$D,IF($D66=RegularFormula!$D$2,$K$17,$D66))),IFERROR(IF(percentage,percentage,""),""))</f>
        <v>0.007400742222</v>
      </c>
      <c r="I66" s="72" t="str">
        <f t="shared" si="1"/>
        <v/>
      </c>
      <c r="J66" s="73">
        <v>0.0</v>
      </c>
      <c r="K66" s="100"/>
      <c r="O66" s="163"/>
      <c r="P66" s="163"/>
      <c r="Q66" s="163"/>
      <c r="R66" s="79" t="str">
        <f t="shared" si="2"/>
        <v/>
      </c>
    </row>
    <row r="67">
      <c r="A67" s="217" t="b">
        <v>1</v>
      </c>
      <c r="B67" s="218" t="s">
        <v>919</v>
      </c>
      <c r="C67" s="69" t="str">
        <f t="array" ref="C67">TEXTJOIN("", TRUE, IFERROR(INDEX('language&amp;DataTest'!A:J, MATCH(INDEX( PointerTest!C:C, MATCH(B67, PointerTest!A:A, 0), 0), 'language&amp;DataTest'!A:A, 0), MATCH(HOME!$A$25, 'language&amp;DataTest'!$A$1:$H$1, 0))),                      IFERROR(INDEX('language&amp;DataTest'!A:J, MATCH(INDEX( PointerTest!D:D, MATCH(B67, PointerTest!A:A, 0), 0), 'language&amp;DataTest'!A:A, 0), MATCH(HOME!$A$25, 'language&amp;DataTest'!$A$1:$H$1, 0))),                                          
IFERROR(INDEX('language&amp;DataTest'!A:J, MATCH(INDEX( PointerTest!E:E, MATCH(B67, PointerTest!A:A, 0), 0), 'language&amp;DataTest'!A:A, 0), MATCH(HOME!$A$25, 'language&amp;DataTest'!$A$1:$H$1, 0))))</f>
        <v>Buneary</v>
      </c>
      <c r="D67" s="69" t="str">
        <f t="array" ref="D67">TEXTJOIN("", TRUE, 
IFERROR(INDEX('language&amp;DataTest'!A:J, MATCH(INDEX( PointerTest!C:C, MATCH(INDEX(PointerTest!B:B, MATCH(B67, PointerTest!A:A, 0)), PointerTest!A:A, 0), 0), 'language&amp;DataTest'!A:A, 0), MATCH(HOME!$A$25, 'language&amp;DataTest'!$A$1:$H$1, 0))),                      
IFERROR(INDEX('language&amp;DataTest'!A:J, MATCH(INDEX( PointerTest!D:D, MATCH(INDEX(PointerTest!B:B, MATCH(B67, PointerTest!A:A, 0)), PointerTest!A:A, 0), 0), 'language&amp;DataTest'!A:A, 0), MATCH(HOME!$A$25, 'language&amp;DataTest'!$A$1:$H$1, 0))),                                          
IFERROR(INDEX('language&amp;DataTest'!A:J, MATCH(INDEX( PointerTest!E:E, MATCH(INDEX(PointerTest!B:B, MATCH(B67, PointerTest!A:A, 0)), PointerTest!A:A, 0), 0), 'language&amp;DataTest'!A:A, 0), MATCH(HOME!$A$25, 'language&amp;DataTest'!$A$1:$H$1, 0))))</f>
        <v>Lucario ex</v>
      </c>
      <c r="E67" s="69" t="str">
        <f t="array" ref="E67">INDEX( PointerTest!F:F, MATCH(B67, PointerTest!A:A, 0), 0)</f>
        <v>♢</v>
      </c>
      <c r="F67" s="70">
        <f t="array" ref="F67">LET(percentage,XLOOKUP($E67,$K$2:$K$12,L$2:L$12,"",0)/(COUNTIFS($E:$E,$E67,$D:$D,RegularFormula!$D$2)+COUNTIFS($E:$E,$E67,$D:$D,IF($D67=RegularFormula!$D$2,$K$17,$D67))),IFERROR(IF(percentage,percentage,""),""))</f>
        <v>0.031234375</v>
      </c>
      <c r="G67" s="71" t="str">
        <f t="array" ref="G67">LET(percentage,XLOOKUP($E67,$K$2:$K$12,M$2:M$12,"",0)/(COUNTIFS($E:$E,$E67,$D:$D,RegularFormula!$D$2)+COUNTIFS($E:$E,$E67,$D:$D,IF($D67=RegularFormula!$D$2,$K$17,$D67))),IFERROR(IF(percentage,percentage,""),""))</f>
        <v/>
      </c>
      <c r="H67" s="71" t="str">
        <f t="array" ref="H67">LET(percentage,XLOOKUP($E67,$K$2:$K$12,N$2:N$12,"",0)/(COUNTIFS($E:$E,$E67,$D:$D,RegularFormula!$D$2)+COUNTIFS($E:$E,$E67,$D:$D,IF($D67=RegularFormula!$D$2,$K$17,$D67))),IFERROR(IF(percentage,percentage,""),""))</f>
        <v/>
      </c>
      <c r="I67" s="72" t="str">
        <f t="shared" si="1"/>
        <v/>
      </c>
      <c r="J67" s="73">
        <v>0.0</v>
      </c>
      <c r="K67" s="100"/>
      <c r="O67" s="163"/>
      <c r="P67" s="163"/>
      <c r="Q67" s="163"/>
      <c r="R67" s="79" t="str">
        <f t="shared" si="2"/>
        <v/>
      </c>
    </row>
    <row r="68">
      <c r="A68" s="217" t="b">
        <v>1</v>
      </c>
      <c r="B68" s="218" t="s">
        <v>920</v>
      </c>
      <c r="C68" s="69" t="str">
        <f t="array" ref="C68">TEXTJOIN("", TRUE, IFERROR(INDEX('language&amp;DataTest'!A:J, MATCH(INDEX( PointerTest!C:C, MATCH(B68, PointerTest!A:A, 0), 0), 'language&amp;DataTest'!A:A, 0), MATCH(HOME!$A$25, 'language&amp;DataTest'!$A$1:$H$1, 0))),                      IFERROR(INDEX('language&amp;DataTest'!A:J, MATCH(INDEX( PointerTest!D:D, MATCH(B68, PointerTest!A:A, 0), 0), 'language&amp;DataTest'!A:A, 0), MATCH(HOME!$A$25, 'language&amp;DataTest'!$A$1:$H$1, 0))),                                          
IFERROR(INDEX('language&amp;DataTest'!A:J, MATCH(INDEX( PointerTest!E:E, MATCH(B68, PointerTest!A:A, 0), 0), 'language&amp;DataTest'!A:A, 0), MATCH(HOME!$A$25, 'language&amp;DataTest'!$A$1:$H$1, 0))))</f>
        <v>Lopunny</v>
      </c>
      <c r="D68" s="69" t="str">
        <f t="array" ref="D68">TEXTJOIN("", TRUE, 
IFERROR(INDEX('language&amp;DataTest'!A:J, MATCH(INDEX( PointerTest!C:C, MATCH(INDEX(PointerTest!B:B, MATCH(B68, PointerTest!A:A, 0)), PointerTest!A:A, 0), 0), 'language&amp;DataTest'!A:A, 0), MATCH(HOME!$A$25, 'language&amp;DataTest'!$A$1:$H$1, 0))),                      
IFERROR(INDEX('language&amp;DataTest'!A:J, MATCH(INDEX( PointerTest!D:D, MATCH(INDEX(PointerTest!B:B, MATCH(B68, PointerTest!A:A, 0)), PointerTest!A:A, 0), 0), 'language&amp;DataTest'!A:A, 0), MATCH(HOME!$A$25, 'language&amp;DataTest'!$A$1:$H$1, 0))),                                          
IFERROR(INDEX('language&amp;DataTest'!A:J, MATCH(INDEX( PointerTest!E:E, MATCH(INDEX(PointerTest!B:B, MATCH(B68, PointerTest!A:A, 0)), PointerTest!A:A, 0), 0), 'language&amp;DataTest'!A:A, 0), MATCH(HOME!$A$25, 'language&amp;DataTest'!$A$1:$H$1, 0))))</f>
        <v>Lucario ex</v>
      </c>
      <c r="E68" s="69" t="str">
        <f t="array" ref="E68">INDEX( PointerTest!F:F, MATCH(B68, PointerTest!A:A, 0), 0)</f>
        <v>♢</v>
      </c>
      <c r="F68" s="70">
        <f t="array" ref="F68">LET(percentage,XLOOKUP($E68,$K$2:$K$12,L$2:L$12,"",0)/(COUNTIFS($E:$E,$E68,$D:$D,RegularFormula!$D$2)+COUNTIFS($E:$E,$E68,$D:$D,IF($D68=RegularFormula!$D$2,$K$17,$D68))),IFERROR(IF(percentage,percentage,""),""))</f>
        <v>0.031234375</v>
      </c>
      <c r="G68" s="71" t="str">
        <f t="array" ref="G68">LET(percentage,XLOOKUP($E68,$K$2:$K$12,M$2:M$12,"",0)/(COUNTIFS($E:$E,$E68,$D:$D,RegularFormula!$D$2)+COUNTIFS($E:$E,$E68,$D:$D,IF($D68=RegularFormula!$D$2,$K$17,$D68))),IFERROR(IF(percentage,percentage,""),""))</f>
        <v/>
      </c>
      <c r="H68" s="71" t="str">
        <f t="array" ref="H68">LET(percentage,XLOOKUP($E68,$K$2:$K$12,N$2:N$12,"",0)/(COUNTIFS($E:$E,$E68,$D:$D,RegularFormula!$D$2)+COUNTIFS($E:$E,$E68,$D:$D,IF($D68=RegularFormula!$D$2,$K$17,$D68))),IFERROR(IF(percentage,percentage,""),""))</f>
        <v/>
      </c>
      <c r="I68" s="72" t="str">
        <f t="shared" si="1"/>
        <v/>
      </c>
      <c r="J68" s="73">
        <v>0.0</v>
      </c>
      <c r="K68" s="100"/>
      <c r="O68" s="163"/>
      <c r="P68" s="163"/>
      <c r="Q68" s="163"/>
      <c r="R68" s="79" t="str">
        <f t="shared" si="2"/>
        <v/>
      </c>
    </row>
    <row r="69">
      <c r="A69" s="217" t="b">
        <v>1</v>
      </c>
      <c r="B69" s="218" t="s">
        <v>921</v>
      </c>
      <c r="C69" s="69" t="str">
        <f t="array" ref="C69">TEXTJOIN("", TRUE, IFERROR(INDEX('language&amp;DataTest'!A:J, MATCH(INDEX( PointerTest!C:C, MATCH(B69, PointerTest!A:A, 0), 0), 'language&amp;DataTest'!A:A, 0), MATCH(HOME!$A$25, 'language&amp;DataTest'!$A$1:$H$1, 0))),                      IFERROR(INDEX('language&amp;DataTest'!A:J, MATCH(INDEX( PointerTest!D:D, MATCH(B69, PointerTest!A:A, 0), 0), 'language&amp;DataTest'!A:A, 0), MATCH(HOME!$A$25, 'language&amp;DataTest'!$A$1:$H$1, 0))),                                          
IFERROR(INDEX('language&amp;DataTest'!A:J, MATCH(INDEX( PointerTest!E:E, MATCH(B69, PointerTest!A:A, 0), 0), 'language&amp;DataTest'!A:A, 0), MATCH(HOME!$A$25, 'language&amp;DataTest'!$A$1:$H$1, 0))))</f>
        <v>Cyclizar</v>
      </c>
      <c r="D69" s="69" t="str">
        <f t="array" ref="D69">TEXTJOIN("", TRUE, 
IFERROR(INDEX('language&amp;DataTest'!A:J, MATCH(INDEX( PointerTest!C:C, MATCH(INDEX(PointerTest!B:B, MATCH(B69, PointerTest!A:A, 0)), PointerTest!A:A, 0), 0), 'language&amp;DataTest'!A:A, 0), MATCH(HOME!$A$25, 'language&amp;DataTest'!$A$1:$H$1, 0))),                      
IFERROR(INDEX('language&amp;DataTest'!A:J, MATCH(INDEX( PointerTest!D:D, MATCH(INDEX(PointerTest!B:B, MATCH(B69, PointerTest!A:A, 0)), PointerTest!A:A, 0), 0), 'language&amp;DataTest'!A:A, 0), MATCH(HOME!$A$25, 'language&amp;DataTest'!$A$1:$H$1, 0))),                                          
IFERROR(INDEX('language&amp;DataTest'!A:J, MATCH(INDEX( PointerTest!E:E, MATCH(INDEX(PointerTest!B:B, MATCH(B69, PointerTest!A:A, 0)), PointerTest!A:A, 0), 0), 'language&amp;DataTest'!A:A, 0), MATCH(HOME!$A$25, 'language&amp;DataTest'!$A$1:$H$1, 0))))</f>
        <v>Lucario ex</v>
      </c>
      <c r="E69" s="69" t="str">
        <f t="array" ref="E69">INDEX( PointerTest!F:F, MATCH(B69, PointerTest!A:A, 0), 0)</f>
        <v>♢♢</v>
      </c>
      <c r="F69" s="70" t="str">
        <f t="array" ref="F69">LET(percentage,XLOOKUP($E69,$K$2:$K$12,L$2:L$12,"",0)/(COUNTIFS($E:$E,$E69,$D:$D,RegularFormula!$D$2)+COUNTIFS($E:$E,$E69,$D:$D,IF($D69=RegularFormula!$D$2,$K$17,$D69))),IFERROR(IF(percentage,percentage,""),""))</f>
        <v/>
      </c>
      <c r="G69" s="71">
        <f t="array" ref="G69">LET(percentage,XLOOKUP($E69,$K$2:$K$12,M$2:M$12,"",0)/(COUNTIFS($E:$E,$E69,$D:$D,RegularFormula!$D$2)+COUNTIFS($E:$E,$E69,$D:$D,IF($D69=RegularFormula!$D$2,$K$17,$D69))),IFERROR(IF(percentage,percentage,""),""))</f>
        <v>0.04043431818</v>
      </c>
      <c r="H69" s="71">
        <f t="array" ref="H69">LET(percentage,XLOOKUP($E69,$K$2:$K$12,N$2:N$12,"",0)/(COUNTIFS($E:$E,$E69,$D:$D,RegularFormula!$D$2)+COUNTIFS($E:$E,$E69,$D:$D,IF($D69=RegularFormula!$D$2,$K$17,$D69))),IFERROR(IF(percentage,percentage,""),""))</f>
        <v>0.02544181818</v>
      </c>
      <c r="I69" s="72" t="str">
        <f t="shared" si="1"/>
        <v/>
      </c>
      <c r="J69" s="73">
        <v>0.0</v>
      </c>
      <c r="K69" s="100"/>
      <c r="O69" s="163"/>
      <c r="P69" s="163"/>
      <c r="Q69" s="163"/>
      <c r="R69" s="79" t="str">
        <f t="shared" si="2"/>
        <v/>
      </c>
    </row>
    <row r="70">
      <c r="A70" s="217" t="b">
        <v>1</v>
      </c>
      <c r="B70" s="218" t="s">
        <v>922</v>
      </c>
      <c r="C70" s="69" t="str">
        <f t="array" ref="C70">TEXTJOIN("", TRUE, IFERROR(INDEX('language&amp;DataTest'!A:J, MATCH(INDEX( PointerTest!C:C, MATCH(B70, PointerTest!A:A, 0), 0), 'language&amp;DataTest'!A:A, 0), MATCH(HOME!$A$25, 'language&amp;DataTest'!$A$1:$H$1, 0))),                      IFERROR(INDEX('language&amp;DataTest'!A:J, MATCH(INDEX( PointerTest!D:D, MATCH(B70, PointerTest!A:A, 0), 0), 'language&amp;DataTest'!A:A, 0), MATCH(HOME!$A$25, 'language&amp;DataTest'!$A$1:$H$1, 0))),                                          
IFERROR(INDEX('language&amp;DataTest'!A:J, MATCH(INDEX( PointerTest!E:E, MATCH(B70, PointerTest!A:A, 0), 0), 'language&amp;DataTest'!A:A, 0), MATCH(HOME!$A$25, 'language&amp;DataTest'!$A$1:$H$1, 0))))</f>
        <v>Iono</v>
      </c>
      <c r="D70" s="69" t="str">
        <f t="array" ref="D70">TEXTJOIN("", TRUE, 
IFERROR(INDEX('language&amp;DataTest'!A:J, MATCH(INDEX( PointerTest!C:C, MATCH(INDEX(PointerTest!B:B, MATCH(B70, PointerTest!A:A, 0)), PointerTest!A:A, 0), 0), 'language&amp;DataTest'!A:A, 0), MATCH(HOME!$A$25, 'language&amp;DataTest'!$A$1:$H$1, 0))),                      
IFERROR(INDEX('language&amp;DataTest'!A:J, MATCH(INDEX( PointerTest!D:D, MATCH(INDEX(PointerTest!B:B, MATCH(B70, PointerTest!A:A, 0)), PointerTest!A:A, 0), 0), 'language&amp;DataTest'!A:A, 0), MATCH(HOME!$A$25, 'language&amp;DataTest'!$A$1:$H$1, 0))),                                          
IFERROR(INDEX('language&amp;DataTest'!A:J, MATCH(INDEX( PointerTest!E:E, MATCH(INDEX(PointerTest!B:B, MATCH(B70, PointerTest!A:A, 0)), PointerTest!A:A, 0), 0), 'language&amp;DataTest'!A:A, 0), MATCH(HOME!$A$25, 'language&amp;DataTest'!$A$1:$H$1, 0))))</f>
        <v>Lucario ex</v>
      </c>
      <c r="E70" s="69" t="str">
        <f t="array" ref="E70">INDEX( PointerTest!F:F, MATCH(B70, PointerTest!A:A, 0), 0)</f>
        <v>♢♢</v>
      </c>
      <c r="F70" s="70" t="str">
        <f t="array" ref="F70">LET(percentage,XLOOKUP($E70,$K$2:$K$12,L$2:L$12,"",0)/(COUNTIFS($E:$E,$E70,$D:$D,RegularFormula!$D$2)+COUNTIFS($E:$E,$E70,$D:$D,IF($D70=RegularFormula!$D$2,$K$17,$D70))),IFERROR(IF(percentage,percentage,""),""))</f>
        <v/>
      </c>
      <c r="G70" s="71">
        <f t="array" ref="G70">LET(percentage,XLOOKUP($E70,$K$2:$K$12,M$2:M$12,"",0)/(COUNTIFS($E:$E,$E70,$D:$D,RegularFormula!$D$2)+COUNTIFS($E:$E,$E70,$D:$D,IF($D70=RegularFormula!$D$2,$K$17,$D70))),IFERROR(IF(percentage,percentage,""),""))</f>
        <v>0.04043431818</v>
      </c>
      <c r="H70" s="71">
        <f t="array" ref="H70">LET(percentage,XLOOKUP($E70,$K$2:$K$12,N$2:N$12,"",0)/(COUNTIFS($E:$E,$E70,$D:$D,RegularFormula!$D$2)+COUNTIFS($E:$E,$E70,$D:$D,IF($D70=RegularFormula!$D$2,$K$17,$D70))),IFERROR(IF(percentage,percentage,""),""))</f>
        <v>0.02544181818</v>
      </c>
      <c r="I70" s="72" t="str">
        <f t="shared" si="1"/>
        <v/>
      </c>
      <c r="J70" s="73">
        <v>0.0</v>
      </c>
      <c r="K70" s="100"/>
      <c r="L70" s="192"/>
      <c r="M70" s="192"/>
      <c r="N70" s="55"/>
      <c r="O70" s="103"/>
      <c r="P70" s="103"/>
      <c r="Q70" s="103"/>
      <c r="R70" s="79" t="str">
        <f t="shared" si="2"/>
        <v/>
      </c>
    </row>
    <row r="71">
      <c r="A71" s="217" t="b">
        <v>1</v>
      </c>
      <c r="B71" s="218" t="s">
        <v>923</v>
      </c>
      <c r="C71" s="69" t="str">
        <f t="array" ref="C71">TEXTJOIN("", TRUE, IFERROR(INDEX('language&amp;DataTest'!A:J, MATCH(INDEX( PointerTest!C:C, MATCH(B71, PointerTest!A:A, 0), 0), 'language&amp;DataTest'!A:A, 0), MATCH(HOME!$A$25, 'language&amp;DataTest'!$A$1:$H$1, 0))),                      IFERROR(INDEX('language&amp;DataTest'!A:J, MATCH(INDEX( PointerTest!D:D, MATCH(B71, PointerTest!A:A, 0), 0), 'language&amp;DataTest'!A:A, 0), MATCH(HOME!$A$25, 'language&amp;DataTest'!$A$1:$H$1, 0))),                                          
IFERROR(INDEX('language&amp;DataTest'!A:J, MATCH(INDEX( PointerTest!E:E, MATCH(B71, PointerTest!A:A, 0), 0), 'language&amp;DataTest'!A:A, 0), MATCH(HOME!$A$25, 'language&amp;DataTest'!$A$1:$H$1, 0))))</f>
        <v>Pokemon Center Lady</v>
      </c>
      <c r="D71" s="69" t="str">
        <f t="array" ref="D71">TEXTJOIN("", TRUE, 
IFERROR(INDEX('language&amp;DataTest'!A:J, MATCH(INDEX( PointerTest!C:C, MATCH(INDEX(PointerTest!B:B, MATCH(B71, PointerTest!A:A, 0)), PointerTest!A:A, 0), 0), 'language&amp;DataTest'!A:A, 0), MATCH(HOME!$A$25, 'language&amp;DataTest'!$A$1:$H$1, 0))),                      
IFERROR(INDEX('language&amp;DataTest'!A:J, MATCH(INDEX( PointerTest!D:D, MATCH(INDEX(PointerTest!B:B, MATCH(B71, PointerTest!A:A, 0)), PointerTest!A:A, 0), 0), 'language&amp;DataTest'!A:A, 0), MATCH(HOME!$A$25, 'language&amp;DataTest'!$A$1:$H$1, 0))),                                          
IFERROR(INDEX('language&amp;DataTest'!A:J, MATCH(INDEX( PointerTest!E:E, MATCH(INDEX(PointerTest!B:B, MATCH(B71, PointerTest!A:A, 0)), PointerTest!A:A, 0), 0), 'language&amp;DataTest'!A:A, 0), MATCH(HOME!$A$25, 'language&amp;DataTest'!$A$1:$H$1, 0))))</f>
        <v>Lucario ex</v>
      </c>
      <c r="E71" s="69" t="str">
        <f t="array" ref="E71">INDEX( PointerTest!F:F, MATCH(B71, PointerTest!A:A, 0), 0)</f>
        <v>♢♢</v>
      </c>
      <c r="F71" s="70" t="str">
        <f t="array" ref="F71">LET(percentage,XLOOKUP($E71,$K$2:$K$12,L$2:L$12,"",0)/(COUNTIFS($E:$E,$E71,$D:$D,RegularFormula!$D$2)+COUNTIFS($E:$E,$E71,$D:$D,IF($D71=RegularFormula!$D$2,$K$17,$D71))),IFERROR(IF(percentage,percentage,""),""))</f>
        <v/>
      </c>
      <c r="G71" s="71">
        <f t="array" ref="G71">LET(percentage,XLOOKUP($E71,$K$2:$K$12,M$2:M$12,"",0)/(COUNTIFS($E:$E,$E71,$D:$D,RegularFormula!$D$2)+COUNTIFS($E:$E,$E71,$D:$D,IF($D71=RegularFormula!$D$2,$K$17,$D71))),IFERROR(IF(percentage,percentage,""),""))</f>
        <v>0.04043431818</v>
      </c>
      <c r="H71" s="71">
        <f t="array" ref="H71">LET(percentage,XLOOKUP($E71,$K$2:$K$12,N$2:N$12,"",0)/(COUNTIFS($E:$E,$E71,$D:$D,RegularFormula!$D$2)+COUNTIFS($E:$E,$E71,$D:$D,IF($D71=RegularFormula!$D$2,$K$17,$D71))),IFERROR(IF(percentage,percentage,""),""))</f>
        <v>0.02544181818</v>
      </c>
      <c r="I71" s="72" t="str">
        <f t="shared" si="1"/>
        <v/>
      </c>
      <c r="J71" s="73">
        <v>0.0</v>
      </c>
      <c r="K71" s="193"/>
      <c r="L71" s="192"/>
      <c r="M71" s="192"/>
      <c r="N71" s="55"/>
      <c r="O71" s="103"/>
      <c r="P71" s="103"/>
      <c r="Q71" s="103"/>
      <c r="R71" s="79" t="str">
        <f t="shared" si="2"/>
        <v/>
      </c>
    </row>
    <row r="72">
      <c r="A72" s="217" t="b">
        <v>1</v>
      </c>
      <c r="B72" s="218" t="s">
        <v>924</v>
      </c>
      <c r="C72" s="69" t="str">
        <f t="array" ref="C72">TEXTJOIN("", TRUE, IFERROR(INDEX('language&amp;DataTest'!A:J, MATCH(INDEX( PointerTest!C:C, MATCH(B72, PointerTest!A:A, 0), 0), 'language&amp;DataTest'!A:A, 0), MATCH(HOME!$A$25, 'language&amp;DataTest'!$A$1:$H$1, 0))),                      IFERROR(INDEX('language&amp;DataTest'!A:J, MATCH(INDEX( PointerTest!D:D, MATCH(B72, PointerTest!A:A, 0), 0), 'language&amp;DataTest'!A:A, 0), MATCH(HOME!$A$25, 'language&amp;DataTest'!$A$1:$H$1, 0))),                                          
IFERROR(INDEX('language&amp;DataTest'!A:J, MATCH(INDEX( PointerTest!E:E, MATCH(B72, PointerTest!A:A, 0), 0), 'language&amp;DataTest'!A:A, 0), MATCH(HOME!$A$25, 'language&amp;DataTest'!$A$1:$H$1, 0))))</f>
        <v>Red</v>
      </c>
      <c r="D72" s="69" t="str">
        <f t="array" ref="D72">TEXTJOIN("", TRUE, 
IFERROR(INDEX('language&amp;DataTest'!A:J, MATCH(INDEX( PointerTest!C:C, MATCH(INDEX(PointerTest!B:B, MATCH(B72, PointerTest!A:A, 0)), PointerTest!A:A, 0), 0), 'language&amp;DataTest'!A:A, 0), MATCH(HOME!$A$25, 'language&amp;DataTest'!$A$1:$H$1, 0))),                      
IFERROR(INDEX('language&amp;DataTest'!A:J, MATCH(INDEX( PointerTest!D:D, MATCH(INDEX(PointerTest!B:B, MATCH(B72, PointerTest!A:A, 0)), PointerTest!A:A, 0), 0), 'language&amp;DataTest'!A:A, 0), MATCH(HOME!$A$25, 'language&amp;DataTest'!$A$1:$H$1, 0))),                                          
IFERROR(INDEX('language&amp;DataTest'!A:J, MATCH(INDEX( PointerTest!E:E, MATCH(INDEX(PointerTest!B:B, MATCH(B72, PointerTest!A:A, 0)), PointerTest!A:A, 0), 0), 'language&amp;DataTest'!A:A, 0), MATCH(HOME!$A$25, 'language&amp;DataTest'!$A$1:$H$1, 0))))</f>
        <v>Lucario ex</v>
      </c>
      <c r="E72" s="69" t="str">
        <f t="array" ref="E72">INDEX( PointerTest!F:F, MATCH(B72, PointerTest!A:A, 0), 0)</f>
        <v>♢♢</v>
      </c>
      <c r="F72" s="70" t="str">
        <f t="array" ref="F72">LET(percentage,XLOOKUP($E72,$K$2:$K$12,L$2:L$12,"",0)/(COUNTIFS($E:$E,$E72,$D:$D,RegularFormula!$D$2)+COUNTIFS($E:$E,$E72,$D:$D,IF($D72=RegularFormula!$D$2,$K$17,$D72))),IFERROR(IF(percentage,percentage,""),""))</f>
        <v/>
      </c>
      <c r="G72" s="71">
        <f t="array" ref="G72">LET(percentage,XLOOKUP($E72,$K$2:$K$12,M$2:M$12,"",0)/(COUNTIFS($E:$E,$E72,$D:$D,RegularFormula!$D$2)+COUNTIFS($E:$E,$E72,$D:$D,IF($D72=RegularFormula!$D$2,$K$17,$D72))),IFERROR(IF(percentage,percentage,""),""))</f>
        <v>0.04043431818</v>
      </c>
      <c r="H72" s="71">
        <f t="array" ref="H72">LET(percentage,XLOOKUP($E72,$K$2:$K$12,N$2:N$12,"",0)/(COUNTIFS($E:$E,$E72,$D:$D,RegularFormula!$D$2)+COUNTIFS($E:$E,$E72,$D:$D,IF($D72=RegularFormula!$D$2,$K$17,$D72))),IFERROR(IF(percentage,percentage,""),""))</f>
        <v>0.02544181818</v>
      </c>
      <c r="I72" s="72" t="str">
        <f t="shared" si="1"/>
        <v/>
      </c>
      <c r="J72" s="73">
        <v>0.0</v>
      </c>
      <c r="K72" s="194"/>
      <c r="L72" s="192"/>
      <c r="M72" s="192"/>
      <c r="N72" s="55"/>
      <c r="O72" s="103"/>
      <c r="P72" s="103"/>
      <c r="Q72" s="103"/>
      <c r="R72" s="79" t="str">
        <f t="shared" si="2"/>
        <v/>
      </c>
    </row>
    <row r="73">
      <c r="A73" s="217" t="b">
        <v>1</v>
      </c>
      <c r="B73" s="218" t="s">
        <v>925</v>
      </c>
      <c r="C73" s="69" t="str">
        <f t="array" ref="C73">TEXTJOIN("", TRUE, IFERROR(INDEX('language&amp;DataTest'!A:J, MATCH(INDEX( PointerTest!C:C, MATCH(B73, PointerTest!A:A, 0), 0), 'language&amp;DataTest'!A:A, 0), MATCH(HOME!$A$25, 'language&amp;DataTest'!$A$1:$H$1, 0))),                      IFERROR(INDEX('language&amp;DataTest'!A:J, MATCH(INDEX( PointerTest!D:D, MATCH(B73, PointerTest!A:A, 0), 0), 'language&amp;DataTest'!A:A, 0), MATCH(HOME!$A$25, 'language&amp;DataTest'!$A$1:$H$1, 0))),                                          
IFERROR(INDEX('language&amp;DataTest'!A:J, MATCH(INDEX( PointerTest!E:E, MATCH(B73, PointerTest!A:A, 0), 0), 'language&amp;DataTest'!A:A, 0), MATCH(HOME!$A$25, 'language&amp;DataTest'!$A$1:$H$1, 0))))</f>
        <v>Team Rocket Grunt</v>
      </c>
      <c r="D73" s="69" t="str">
        <f t="array" ref="D73">TEXTJOIN("", TRUE, 
IFERROR(INDEX('language&amp;DataTest'!A:J, MATCH(INDEX( PointerTest!C:C, MATCH(INDEX(PointerTest!B:B, MATCH(B73, PointerTest!A:A, 0)), PointerTest!A:A, 0), 0), 'language&amp;DataTest'!A:A, 0), MATCH(HOME!$A$25, 'language&amp;DataTest'!$A$1:$H$1, 0))),                      
IFERROR(INDEX('language&amp;DataTest'!A:J, MATCH(INDEX( PointerTest!D:D, MATCH(INDEX(PointerTest!B:B, MATCH(B73, PointerTest!A:A, 0)), PointerTest!A:A, 0), 0), 'language&amp;DataTest'!A:A, 0), MATCH(HOME!$A$25, 'language&amp;DataTest'!$A$1:$H$1, 0))),                                          
IFERROR(INDEX('language&amp;DataTest'!A:J, MATCH(INDEX( PointerTest!E:E, MATCH(INDEX(PointerTest!B:B, MATCH(B73, PointerTest!A:A, 0)), PointerTest!A:A, 0), 0), 'language&amp;DataTest'!A:A, 0), MATCH(HOME!$A$25, 'language&amp;DataTest'!$A$1:$H$1, 0))))</f>
        <v>Lucario ex</v>
      </c>
      <c r="E73" s="69" t="str">
        <f t="array" ref="E73">INDEX( PointerTest!F:F, MATCH(B73, PointerTest!A:A, 0), 0)</f>
        <v>♢♢</v>
      </c>
      <c r="F73" s="70" t="str">
        <f t="array" ref="F73">LET(percentage,XLOOKUP($E73,$K$2:$K$12,L$2:L$12,"",0)/(COUNTIFS($E:$E,$E73,$D:$D,RegularFormula!$D$2)+COUNTIFS($E:$E,$E73,$D:$D,IF($D73=RegularFormula!$D$2,$K$17,$D73))),IFERROR(IF(percentage,percentage,""),""))</f>
        <v/>
      </c>
      <c r="G73" s="71">
        <f t="array" ref="G73">LET(percentage,XLOOKUP($E73,$K$2:$K$12,M$2:M$12,"",0)/(COUNTIFS($E:$E,$E73,$D:$D,RegularFormula!$D$2)+COUNTIFS($E:$E,$E73,$D:$D,IF($D73=RegularFormula!$D$2,$K$17,$D73))),IFERROR(IF(percentage,percentage,""),""))</f>
        <v>0.04043431818</v>
      </c>
      <c r="H73" s="71">
        <f t="array" ref="H73">LET(percentage,XLOOKUP($E73,$K$2:$K$12,N$2:N$12,"",0)/(COUNTIFS($E:$E,$E73,$D:$D,RegularFormula!$D$2)+COUNTIFS($E:$E,$E73,$D:$D,IF($D73=RegularFormula!$D$2,$K$17,$D73))),IFERROR(IF(percentage,percentage,""),""))</f>
        <v>0.02544181818</v>
      </c>
      <c r="I73" s="72" t="str">
        <f t="shared" si="1"/>
        <v/>
      </c>
      <c r="J73" s="73">
        <v>0.0</v>
      </c>
      <c r="K73" s="194"/>
      <c r="L73" s="192"/>
      <c r="M73" s="192"/>
      <c r="N73" s="55"/>
      <c r="O73" s="103"/>
      <c r="P73" s="103"/>
      <c r="Q73" s="103"/>
      <c r="R73" s="79" t="str">
        <f t="shared" si="2"/>
        <v/>
      </c>
    </row>
    <row r="74">
      <c r="A74" s="217" t="b">
        <v>1</v>
      </c>
      <c r="B74" s="218" t="s">
        <v>926</v>
      </c>
      <c r="C74" s="69" t="str">
        <f t="array" ref="C74">TEXTJOIN("", TRUE, IFERROR(INDEX('language&amp;DataTest'!A:J, MATCH(INDEX( PointerTest!C:C, MATCH(B74, PointerTest!A:A, 0), 0), 'language&amp;DataTest'!A:A, 0), MATCH(HOME!$A$25, 'language&amp;DataTest'!$A$1:$H$1, 0))),                      IFERROR(INDEX('language&amp;DataTest'!A:J, MATCH(INDEX( PointerTest!D:D, MATCH(B74, PointerTest!A:A, 0), 0), 'language&amp;DataTest'!A:A, 0), MATCH(HOME!$A$25, 'language&amp;DataTest'!$A$1:$H$1, 0))),                                          
IFERROR(INDEX('language&amp;DataTest'!A:J, MATCH(INDEX( PointerTest!E:E, MATCH(B74, PointerTest!A:A, 0), 0), 'language&amp;DataTest'!A:A, 0), MATCH(HOME!$A$25, 'language&amp;DataTest'!$A$1:$H$1, 0))))</f>
        <v>Meowscarada</v>
      </c>
      <c r="D74" s="69" t="str">
        <f t="array" ref="D74">TEXTJOIN("", TRUE, 
IFERROR(INDEX('language&amp;DataTest'!A:J, MATCH(INDEX( PointerTest!C:C, MATCH(INDEX(PointerTest!B:B, MATCH(B74, PointerTest!A:A, 0)), PointerTest!A:A, 0), 0), 'language&amp;DataTest'!A:A, 0), MATCH(HOME!$A$25, 'language&amp;DataTest'!$A$1:$H$1, 0))),                      
IFERROR(INDEX('language&amp;DataTest'!A:J, MATCH(INDEX( PointerTest!D:D, MATCH(INDEX(PointerTest!B:B, MATCH(B74, PointerTest!A:A, 0)), PointerTest!A:A, 0), 0), 'language&amp;DataTest'!A:A, 0), MATCH(HOME!$A$25, 'language&amp;DataTest'!$A$1:$H$1, 0))),                                          
IFERROR(INDEX('language&amp;DataTest'!A:J, MATCH(INDEX( PointerTest!E:E, MATCH(INDEX(PointerTest!B:B, MATCH(B74, PointerTest!A:A, 0)), PointerTest!A:A, 0), 0), 'language&amp;DataTest'!A:A, 0), MATCH(HOME!$A$25, 'language&amp;DataTest'!$A$1:$H$1, 0))))</f>
        <v>Lucario ex</v>
      </c>
      <c r="E74" s="69" t="str">
        <f t="array" ref="E74">INDEX( PointerTest!F:F, MATCH(B74, PointerTest!A:A, 0), 0)</f>
        <v>☆</v>
      </c>
      <c r="F74" s="70"/>
      <c r="G74" s="71">
        <f t="array" ref="G74">LET(percentage,XLOOKUP($E74,$K$2:$K$12,M$2:M$12,"",0)/(COUNTIFS($E:$E,$E74,$D:$D,RegularFormula!$D$2)+COUNTIFS($E:$E,$E74,$D:$D,IF($D74=RegularFormula!$D$2,$K$17,$D74))),IFERROR(IF(percentage,percentage,""),""))</f>
        <v>0.004297343333</v>
      </c>
      <c r="H74" s="71">
        <f t="array" ref="H74">LET(percentage,XLOOKUP($E74,$K$2:$K$12,N$2:N$12,"",0)/(COUNTIFS($E:$E,$E74,$D:$D,RegularFormula!$D$2)+COUNTIFS($E:$E,$E74,$D:$D,IF($D74=RegularFormula!$D$2,$K$17,$D74))),IFERROR(IF(percentage,percentage,""),""))</f>
        <v>0.01715091333</v>
      </c>
      <c r="I74" s="72" t="str">
        <f t="shared" si="1"/>
        <v/>
      </c>
      <c r="J74" s="73">
        <v>0.0</v>
      </c>
      <c r="K74" s="194"/>
      <c r="L74" s="55"/>
      <c r="M74" s="55"/>
      <c r="N74" s="55"/>
      <c r="O74" s="103"/>
      <c r="P74" s="103"/>
      <c r="Q74" s="103"/>
      <c r="R74" s="79" t="str">
        <f t="shared" si="2"/>
        <v/>
      </c>
    </row>
    <row r="75">
      <c r="A75" s="217" t="b">
        <v>1</v>
      </c>
      <c r="B75" s="218" t="s">
        <v>927</v>
      </c>
      <c r="C75" s="69" t="str">
        <f t="array" ref="C75">TEXTJOIN("", TRUE, IFERROR(INDEX('language&amp;DataTest'!A:J, MATCH(INDEX( PointerTest!C:C, MATCH(B75, PointerTest!A:A, 0), 0), 'language&amp;DataTest'!A:A, 0), MATCH(HOME!$A$25, 'language&amp;DataTest'!$A$1:$H$1, 0))),                      IFERROR(INDEX('language&amp;DataTest'!A:J, MATCH(INDEX( PointerTest!D:D, MATCH(B75, PointerTest!A:A, 0), 0), 'language&amp;DataTest'!A:A, 0), MATCH(HOME!$A$25, 'language&amp;DataTest'!$A$1:$H$1, 0))),                                          
IFERROR(INDEX('language&amp;DataTest'!A:J, MATCH(INDEX( PointerTest!E:E, MATCH(B75, PointerTest!A:A, 0), 0), 'language&amp;DataTest'!A:A, 0), MATCH(HOME!$A$25, 'language&amp;DataTest'!$A$1:$H$1, 0))))</f>
        <v>Buizel</v>
      </c>
      <c r="D75" s="69" t="str">
        <f t="array" ref="D75">TEXTJOIN("", TRUE, 
IFERROR(INDEX('language&amp;DataTest'!A:J, MATCH(INDEX( PointerTest!C:C, MATCH(INDEX(PointerTest!B:B, MATCH(B75, PointerTest!A:A, 0)), PointerTest!A:A, 0), 0), 'language&amp;DataTest'!A:A, 0), MATCH(HOME!$A$25, 'language&amp;DataTest'!$A$1:$H$1, 0))),                      
IFERROR(INDEX('language&amp;DataTest'!A:J, MATCH(INDEX( PointerTest!D:D, MATCH(INDEX(PointerTest!B:B, MATCH(B75, PointerTest!A:A, 0)), PointerTest!A:A, 0), 0), 'language&amp;DataTest'!A:A, 0), MATCH(HOME!$A$25, 'language&amp;DataTest'!$A$1:$H$1, 0))),                                          
IFERROR(INDEX('language&amp;DataTest'!A:J, MATCH(INDEX( PointerTest!E:E, MATCH(INDEX(PointerTest!B:B, MATCH(B75, PointerTest!A:A, 0)), PointerTest!A:A, 0), 0), 'language&amp;DataTest'!A:A, 0), MATCH(HOME!$A$25, 'language&amp;DataTest'!$A$1:$H$1, 0))))</f>
        <v>Lucario ex</v>
      </c>
      <c r="E75" s="69" t="str">
        <f t="array" ref="E75">INDEX( PointerTest!F:F, MATCH(B75, PointerTest!A:A, 0), 0)</f>
        <v>☆</v>
      </c>
      <c r="F75" s="70"/>
      <c r="G75" s="71">
        <f t="array" ref="G75">LET(percentage,XLOOKUP($E75,$K$2:$K$12,M$2:M$12,"",0)/(COUNTIFS($E:$E,$E75,$D:$D,RegularFormula!$D$2)+COUNTIFS($E:$E,$E75,$D:$D,IF($D75=RegularFormula!$D$2,$K$17,$D75))),IFERROR(IF(percentage,percentage,""),""))</f>
        <v>0.004297343333</v>
      </c>
      <c r="H75" s="71">
        <f t="array" ref="H75">LET(percentage,XLOOKUP($E75,$K$2:$K$12,N$2:N$12,"",0)/(COUNTIFS($E:$E,$E75,$D:$D,RegularFormula!$D$2)+COUNTIFS($E:$E,$E75,$D:$D,IF($D75=RegularFormula!$D$2,$K$17,$D75))),IFERROR(IF(percentage,percentage,""),""))</f>
        <v>0.01715091333</v>
      </c>
      <c r="I75" s="72" t="str">
        <f t="shared" si="1"/>
        <v/>
      </c>
      <c r="J75" s="73">
        <v>0.0</v>
      </c>
      <c r="K75" s="194"/>
      <c r="L75" s="55"/>
      <c r="M75" s="55"/>
      <c r="N75" s="55"/>
      <c r="O75" s="103"/>
      <c r="P75" s="103"/>
      <c r="Q75" s="103"/>
      <c r="R75" s="79" t="str">
        <f t="shared" si="2"/>
        <v/>
      </c>
    </row>
    <row r="76">
      <c r="A76" s="217" t="b">
        <v>1</v>
      </c>
      <c r="B76" s="218" t="s">
        <v>928</v>
      </c>
      <c r="C76" s="69" t="str">
        <f t="array" ref="C76">TEXTJOIN("", TRUE, IFERROR(INDEX('language&amp;DataTest'!A:J, MATCH(INDEX( PointerTest!C:C, MATCH(B76, PointerTest!A:A, 0), 0), 'language&amp;DataTest'!A:A, 0), MATCH(HOME!$A$25, 'language&amp;DataTest'!$A$1:$H$1, 0))),                      IFERROR(INDEX('language&amp;DataTest'!A:J, MATCH(INDEX( PointerTest!D:D, MATCH(B76, PointerTest!A:A, 0), 0), 'language&amp;DataTest'!A:A, 0), MATCH(HOME!$A$25, 'language&amp;DataTest'!$A$1:$H$1, 0))),                                          
IFERROR(INDEX('language&amp;DataTest'!A:J, MATCH(INDEX( PointerTest!E:E, MATCH(B76, PointerTest!A:A, 0), 0), 'language&amp;DataTest'!A:A, 0), MATCH(HOME!$A$25, 'language&amp;DataTest'!$A$1:$H$1, 0))))</f>
        <v>Tatsugiri</v>
      </c>
      <c r="D76" s="69" t="str">
        <f t="array" ref="D76">TEXTJOIN("", TRUE, 
IFERROR(INDEX('language&amp;DataTest'!A:J, MATCH(INDEX( PointerTest!C:C, MATCH(INDEX(PointerTest!B:B, MATCH(B76, PointerTest!A:A, 0)), PointerTest!A:A, 0), 0), 'language&amp;DataTest'!A:A, 0), MATCH(HOME!$A$25, 'language&amp;DataTest'!$A$1:$H$1, 0))),                      
IFERROR(INDEX('language&amp;DataTest'!A:J, MATCH(INDEX( PointerTest!D:D, MATCH(INDEX(PointerTest!B:B, MATCH(B76, PointerTest!A:A, 0)), PointerTest!A:A, 0), 0), 'language&amp;DataTest'!A:A, 0), MATCH(HOME!$A$25, 'language&amp;DataTest'!$A$1:$H$1, 0))),                                          
IFERROR(INDEX('language&amp;DataTest'!A:J, MATCH(INDEX( PointerTest!E:E, MATCH(INDEX(PointerTest!B:B, MATCH(B76, PointerTest!A:A, 0)), PointerTest!A:A, 0), 0), 'language&amp;DataTest'!A:A, 0), MATCH(HOME!$A$25, 'language&amp;DataTest'!$A$1:$H$1, 0))))</f>
        <v>Lucario ex</v>
      </c>
      <c r="E76" s="69" t="str">
        <f t="array" ref="E76">INDEX( PointerTest!F:F, MATCH(B76, PointerTest!A:A, 0), 0)</f>
        <v>☆</v>
      </c>
      <c r="F76" s="70"/>
      <c r="G76" s="71">
        <f t="array" ref="G76">LET(percentage,XLOOKUP($E76,$K$2:$K$12,M$2:M$12,"",0)/(COUNTIFS($E:$E,$E76,$D:$D,RegularFormula!$D$2)+COUNTIFS($E:$E,$E76,$D:$D,IF($D76=RegularFormula!$D$2,$K$17,$D76))),IFERROR(IF(percentage,percentage,""),""))</f>
        <v>0.004297343333</v>
      </c>
      <c r="H76" s="71">
        <f t="array" ref="H76">LET(percentage,XLOOKUP($E76,$K$2:$K$12,N$2:N$12,"",0)/(COUNTIFS($E:$E,$E76,$D:$D,RegularFormula!$D$2)+COUNTIFS($E:$E,$E76,$D:$D,IF($D76=RegularFormula!$D$2,$K$17,$D76))),IFERROR(IF(percentage,percentage,""),""))</f>
        <v>0.01715091333</v>
      </c>
      <c r="I76" s="72" t="str">
        <f t="shared" si="1"/>
        <v/>
      </c>
      <c r="J76" s="73">
        <v>0.0</v>
      </c>
      <c r="K76" s="194"/>
      <c r="L76" s="55"/>
      <c r="M76" s="55"/>
      <c r="N76" s="55"/>
      <c r="O76" s="103"/>
      <c r="P76" s="103"/>
      <c r="Q76" s="103"/>
      <c r="R76" s="79" t="str">
        <f t="shared" si="2"/>
        <v/>
      </c>
    </row>
    <row r="77">
      <c r="A77" s="217" t="b">
        <v>1</v>
      </c>
      <c r="B77" s="218" t="s">
        <v>929</v>
      </c>
      <c r="C77" s="69" t="str">
        <f t="array" ref="C77">TEXTJOIN("", TRUE, IFERROR(INDEX('language&amp;DataTest'!A:J, MATCH(INDEX( PointerTest!C:C, MATCH(B77, PointerTest!A:A, 0), 0), 'language&amp;DataTest'!A:A, 0), MATCH(HOME!$A$25, 'language&amp;DataTest'!$A$1:$H$1, 0))),                      IFERROR(INDEX('language&amp;DataTest'!A:J, MATCH(INDEX( PointerTest!D:D, MATCH(B77, PointerTest!A:A, 0), 0), 'language&amp;DataTest'!A:A, 0), MATCH(HOME!$A$25, 'language&amp;DataTest'!$A$1:$H$1, 0))),                                          
IFERROR(INDEX('language&amp;DataTest'!A:J, MATCH(INDEX( PointerTest!E:E, MATCH(B77, PointerTest!A:A, 0), 0), 'language&amp;DataTest'!A:A, 0), MATCH(HOME!$A$25, 'language&amp;DataTest'!$A$1:$H$1, 0))))</f>
        <v>Grafaiai</v>
      </c>
      <c r="D77" s="69" t="str">
        <f t="array" ref="D77">TEXTJOIN("", TRUE, 
IFERROR(INDEX('language&amp;DataTest'!A:J, MATCH(INDEX( PointerTest!C:C, MATCH(INDEX(PointerTest!B:B, MATCH(B77, PointerTest!A:A, 0)), PointerTest!A:A, 0), 0), 'language&amp;DataTest'!A:A, 0), MATCH(HOME!$A$25, 'language&amp;DataTest'!$A$1:$H$1, 0))),                      
IFERROR(INDEX('language&amp;DataTest'!A:J, MATCH(INDEX( PointerTest!D:D, MATCH(INDEX(PointerTest!B:B, MATCH(B77, PointerTest!A:A, 0)), PointerTest!A:A, 0), 0), 'language&amp;DataTest'!A:A, 0), MATCH(HOME!$A$25, 'language&amp;DataTest'!$A$1:$H$1, 0))),                                          
IFERROR(INDEX('language&amp;DataTest'!A:J, MATCH(INDEX( PointerTest!E:E, MATCH(INDEX(PointerTest!B:B, MATCH(B77, PointerTest!A:A, 0)), PointerTest!A:A, 0), 0), 'language&amp;DataTest'!A:A, 0), MATCH(HOME!$A$25, 'language&amp;DataTest'!$A$1:$H$1, 0))))</f>
        <v>Lucario ex</v>
      </c>
      <c r="E77" s="69" t="str">
        <f t="array" ref="E77">INDEX( PointerTest!F:F, MATCH(B77, PointerTest!A:A, 0), 0)</f>
        <v>☆</v>
      </c>
      <c r="F77" s="70"/>
      <c r="G77" s="71">
        <f t="array" ref="G77">LET(percentage,XLOOKUP($E77,$K$2:$K$12,M$2:M$12,"",0)/(COUNTIFS($E:$E,$E77,$D:$D,RegularFormula!$D$2)+COUNTIFS($E:$E,$E77,$D:$D,IF($D77=RegularFormula!$D$2,$K$17,$D77))),IFERROR(IF(percentage,percentage,""),""))</f>
        <v>0.004297343333</v>
      </c>
      <c r="H77" s="71">
        <f t="array" ref="H77">LET(percentage,XLOOKUP($E77,$K$2:$K$12,N$2:N$12,"",0)/(COUNTIFS($E:$E,$E77,$D:$D,RegularFormula!$D$2)+COUNTIFS($E:$E,$E77,$D:$D,IF($D77=RegularFormula!$D$2,$K$17,$D77))),IFERROR(IF(percentage,percentage,""),""))</f>
        <v>0.01715091333</v>
      </c>
      <c r="I77" s="72" t="str">
        <f t="shared" si="1"/>
        <v/>
      </c>
      <c r="J77" s="73">
        <v>0.0</v>
      </c>
      <c r="K77" s="194"/>
      <c r="L77" s="55"/>
      <c r="M77" s="55"/>
      <c r="N77" s="55"/>
      <c r="O77" s="103"/>
      <c r="P77" s="103"/>
      <c r="Q77" s="103"/>
      <c r="R77" s="79" t="str">
        <f t="shared" si="2"/>
        <v/>
      </c>
    </row>
    <row r="78">
      <c r="A78" s="217" t="b">
        <v>1</v>
      </c>
      <c r="B78" s="218" t="s">
        <v>930</v>
      </c>
      <c r="C78" s="69" t="str">
        <f t="array" ref="C78">TEXTJOIN("", TRUE, IFERROR(INDEX('language&amp;DataTest'!A:J, MATCH(INDEX( PointerTest!C:C, MATCH(B78, PointerTest!A:A, 0), 0), 'language&amp;DataTest'!A:A, 0), MATCH(HOME!$A$25, 'language&amp;DataTest'!$A$1:$H$1, 0))),                      IFERROR(INDEX('language&amp;DataTest'!A:J, MATCH(INDEX( PointerTest!D:D, MATCH(B78, PointerTest!A:A, 0), 0), 'language&amp;DataTest'!A:A, 0), MATCH(HOME!$A$25, 'language&amp;DataTest'!$A$1:$H$1, 0))),                                          
IFERROR(INDEX('language&amp;DataTest'!A:J, MATCH(INDEX( PointerTest!E:E, MATCH(B78, PointerTest!A:A, 0), 0), 'language&amp;DataTest'!A:A, 0), MATCH(HOME!$A$25, 'language&amp;DataTest'!$A$1:$H$1, 0))))</f>
        <v>Gholdengo</v>
      </c>
      <c r="D78" s="69" t="str">
        <f t="array" ref="D78">TEXTJOIN("", TRUE, 
IFERROR(INDEX('language&amp;DataTest'!A:J, MATCH(INDEX( PointerTest!C:C, MATCH(INDEX(PointerTest!B:B, MATCH(B78, PointerTest!A:A, 0)), PointerTest!A:A, 0), 0), 'language&amp;DataTest'!A:A, 0), MATCH(HOME!$A$25, 'language&amp;DataTest'!$A$1:$H$1, 0))),                      
IFERROR(INDEX('language&amp;DataTest'!A:J, MATCH(INDEX( PointerTest!D:D, MATCH(INDEX(PointerTest!B:B, MATCH(B78, PointerTest!A:A, 0)), PointerTest!A:A, 0), 0), 'language&amp;DataTest'!A:A, 0), MATCH(HOME!$A$25, 'language&amp;DataTest'!$A$1:$H$1, 0))),                                          
IFERROR(INDEX('language&amp;DataTest'!A:J, MATCH(INDEX( PointerTest!E:E, MATCH(INDEX(PointerTest!B:B, MATCH(B78, PointerTest!A:A, 0)), PointerTest!A:A, 0), 0), 'language&amp;DataTest'!A:A, 0), MATCH(HOME!$A$25, 'language&amp;DataTest'!$A$1:$H$1, 0))))</f>
        <v>Lucario ex</v>
      </c>
      <c r="E78" s="69" t="str">
        <f t="array" ref="E78">INDEX( PointerTest!F:F, MATCH(B78, PointerTest!A:A, 0), 0)</f>
        <v>☆</v>
      </c>
      <c r="F78" s="70"/>
      <c r="G78" s="71">
        <f t="array" ref="G78">LET(percentage,XLOOKUP($E78,$K$2:$K$12,M$2:M$12,"",0)/(COUNTIFS($E:$E,$E78,$D:$D,RegularFormula!$D$2)+COUNTIFS($E:$E,$E78,$D:$D,IF($D78=RegularFormula!$D$2,$K$17,$D78))),IFERROR(IF(percentage,percentage,""),""))</f>
        <v>0.004297343333</v>
      </c>
      <c r="H78" s="71">
        <f t="array" ref="H78">LET(percentage,XLOOKUP($E78,$K$2:$K$12,N$2:N$12,"",0)/(COUNTIFS($E:$E,$E78,$D:$D,RegularFormula!$D$2)+COUNTIFS($E:$E,$E78,$D:$D,IF($D78=RegularFormula!$D$2,$K$17,$D78))),IFERROR(IF(percentage,percentage,""),""))</f>
        <v>0.01715091333</v>
      </c>
      <c r="I78" s="72" t="str">
        <f t="shared" si="1"/>
        <v/>
      </c>
      <c r="J78" s="73">
        <v>0.0</v>
      </c>
      <c r="K78" s="194"/>
      <c r="L78" s="55"/>
      <c r="M78" s="55"/>
      <c r="N78" s="55"/>
      <c r="O78" s="103"/>
      <c r="P78" s="103"/>
      <c r="Q78" s="103"/>
      <c r="R78" s="79" t="str">
        <f t="shared" si="2"/>
        <v/>
      </c>
    </row>
    <row r="79">
      <c r="A79" s="217" t="b">
        <v>1</v>
      </c>
      <c r="B79" s="218" t="s">
        <v>931</v>
      </c>
      <c r="C79" s="69" t="str">
        <f t="array" ref="C79">TEXTJOIN("", TRUE, IFERROR(INDEX('language&amp;DataTest'!A:J, MATCH(INDEX( PointerTest!C:C, MATCH(B79, PointerTest!A:A, 0), 0), 'language&amp;DataTest'!A:A, 0), MATCH(HOME!$A$25, 'language&amp;DataTest'!$A$1:$H$1, 0))),                      IFERROR(INDEX('language&amp;DataTest'!A:J, MATCH(INDEX( PointerTest!D:D, MATCH(B79, PointerTest!A:A, 0), 0), 'language&amp;DataTest'!A:A, 0), MATCH(HOME!$A$25, 'language&amp;DataTest'!$A$1:$H$1, 0))),                                          
IFERROR(INDEX('language&amp;DataTest'!A:J, MATCH(INDEX( PointerTest!E:E, MATCH(B79, PointerTest!A:A, 0), 0), 'language&amp;DataTest'!A:A, 0), MATCH(HOME!$A$25, 'language&amp;DataTest'!$A$1:$H$1, 0))))</f>
        <v>Wigglytuff</v>
      </c>
      <c r="D79" s="69" t="str">
        <f t="array" ref="D79">TEXTJOIN("", TRUE, 
IFERROR(INDEX('language&amp;DataTest'!A:J, MATCH(INDEX( PointerTest!C:C, MATCH(INDEX(PointerTest!B:B, MATCH(B79, PointerTest!A:A, 0)), PointerTest!A:A, 0), 0), 'language&amp;DataTest'!A:A, 0), MATCH(HOME!$A$25, 'language&amp;DataTest'!$A$1:$H$1, 0))),                      
IFERROR(INDEX('language&amp;DataTest'!A:J, MATCH(INDEX( PointerTest!D:D, MATCH(INDEX(PointerTest!B:B, MATCH(B79, PointerTest!A:A, 0)), PointerTest!A:A, 0), 0), 'language&amp;DataTest'!A:A, 0), MATCH(HOME!$A$25, 'language&amp;DataTest'!$A$1:$H$1, 0))),                                          
IFERROR(INDEX('language&amp;DataTest'!A:J, MATCH(INDEX( PointerTest!E:E, MATCH(INDEX(PointerTest!B:B, MATCH(B79, PointerTest!A:A, 0)), PointerTest!A:A, 0), 0), 'language&amp;DataTest'!A:A, 0), MATCH(HOME!$A$25, 'language&amp;DataTest'!$A$1:$H$1, 0))))</f>
        <v>Lucario ex</v>
      </c>
      <c r="E79" s="69" t="str">
        <f t="array" ref="E79">INDEX( PointerTest!F:F, MATCH(B79, PointerTest!A:A, 0), 0)</f>
        <v>☆</v>
      </c>
      <c r="F79" s="70"/>
      <c r="G79" s="71">
        <f t="array" ref="G79">LET(percentage,XLOOKUP($E79,$K$2:$K$12,M$2:M$12,"",0)/(COUNTIFS($E:$E,$E79,$D:$D,RegularFormula!$D$2)+COUNTIFS($E:$E,$E79,$D:$D,IF($D79=RegularFormula!$D$2,$K$17,$D79))),IFERROR(IF(percentage,percentage,""),""))</f>
        <v>0.004297343333</v>
      </c>
      <c r="H79" s="71">
        <f t="array" ref="H79">LET(percentage,XLOOKUP($E79,$K$2:$K$12,N$2:N$12,"",0)/(COUNTIFS($E:$E,$E79,$D:$D,RegularFormula!$D$2)+COUNTIFS($E:$E,$E79,$D:$D,IF($D79=RegularFormula!$D$2,$K$17,$D79))),IFERROR(IF(percentage,percentage,""),""))</f>
        <v>0.01715091333</v>
      </c>
      <c r="I79" s="72" t="str">
        <f t="shared" si="1"/>
        <v/>
      </c>
      <c r="J79" s="73">
        <v>0.0</v>
      </c>
      <c r="K79" s="194"/>
      <c r="L79" s="55" t="str">
        <f t="array" ref="L79">TEXTJOIN("", TRUE, 
IFERROR(INDEX('language&amp;DataTest'!A:J, MATCH(INDEX( PointerTest!C:C, MATCH(INDEX(PointerTest!B:B, MATCH(B28, PointerTest!A:A, 0)), PointerTest!A:A, 0), 0), 'language&amp;DataTest'!A:A, 0), MATCH(HOME!$A$25, HOME!$C$2:$C112, 0))),                      
IFERROR(INDEX('language&amp;DataTest'!A:J, MATCH(INDEX( PointerTest!D:D, MATCH(INDEX(PointerTest!B:B, MATCH(B28, PointerTest!A:A, 0)), PointerTest!A:A, 0), 0), 'language&amp;DataTest'!A:A, 0), MATCH(HOME!$A$25, HOME!$C$2:$C112, 0))),                                          
IFERROR(INDEX('language&amp;DataTest'!A:J, MATCH(INDEX( PointerTest!E:E, MATCH(INDEX(PointerTest!B:B, MATCH(B28, PointerTest!A:A, 0)), PointerTest!A:A, 0), 0), 'language&amp;DataTest'!A:A, 0), MATCH(HOME!$A$25, HOME!$C$2:$C112, 0))))</f>
        <v/>
      </c>
      <c r="M79" s="55"/>
      <c r="N79" s="55"/>
      <c r="O79" s="103"/>
      <c r="P79" s="103"/>
      <c r="Q79" s="103"/>
      <c r="R79" s="79" t="str">
        <f t="shared" si="2"/>
        <v/>
      </c>
    </row>
    <row r="80">
      <c r="A80" s="217" t="b">
        <v>0</v>
      </c>
      <c r="B80" s="218" t="s">
        <v>932</v>
      </c>
      <c r="C80" s="69" t="str">
        <f t="array" ref="C80">TEXTJOIN("", TRUE, IFERROR(INDEX('language&amp;DataTest'!A:J, MATCH(INDEX( PointerTest!C:C, MATCH(B80, PointerTest!A:A, 0), 0), 'language&amp;DataTest'!A:A, 0), MATCH(HOME!$A$25, 'language&amp;DataTest'!$A$1:$H$1, 0))),                      IFERROR(INDEX('language&amp;DataTest'!A:J, MATCH(INDEX( PointerTest!D:D, MATCH(B80, PointerTest!A:A, 0), 0), 'language&amp;DataTest'!A:A, 0), MATCH(HOME!$A$25, 'language&amp;DataTest'!$A$1:$H$1, 0))),                                          
IFERROR(INDEX('language&amp;DataTest'!A:J, MATCH(INDEX( PointerTest!E:E, MATCH(B80, PointerTest!A:A, 0), 0), 'language&amp;DataTest'!A:A, 0), MATCH(HOME!$A$25, 'language&amp;DataTest'!$A$1:$H$1, 0))))</f>
        <v>Beedrill ex</v>
      </c>
      <c r="D80" s="69" t="str">
        <f t="array" ref="D80">TEXTJOIN("", TRUE, 
IFERROR(INDEX('language&amp;DataTest'!A:J, MATCH(INDEX( PointerTest!C:C, MATCH(INDEX(PointerTest!B:B, MATCH(B80, PointerTest!A:A, 0)), PointerTest!A:A, 0), 0), 'language&amp;DataTest'!A:A, 0), MATCH(HOME!$A$25, 'language&amp;DataTest'!$A$1:$H$1, 0))),                      
IFERROR(INDEX('language&amp;DataTest'!A:J, MATCH(INDEX( PointerTest!D:D, MATCH(INDEX(PointerTest!B:B, MATCH(B80, PointerTest!A:A, 0)), PointerTest!A:A, 0), 0), 'language&amp;DataTest'!A:A, 0), MATCH(HOME!$A$25, 'language&amp;DataTest'!$A$1:$H$1, 0))),                                          
IFERROR(INDEX('language&amp;DataTest'!A:J, MATCH(INDEX( PointerTest!E:E, MATCH(INDEX(PointerTest!B:B, MATCH(B80, PointerTest!A:A, 0)), PointerTest!A:A, 0), 0), 'language&amp;DataTest'!A:A, 0), MATCH(HOME!$A$25, 'language&amp;DataTest'!$A$1:$H$1, 0))))</f>
        <v>Lucario ex</v>
      </c>
      <c r="E80" s="69" t="str">
        <f t="array" ref="E80">INDEX( PointerTest!F:F, MATCH(B80, PointerTest!A:A, 0), 0)</f>
        <v>☆☆</v>
      </c>
      <c r="F80" s="70"/>
      <c r="G80" s="71">
        <f t="array" ref="G80">LET(percentage,XLOOKUP($E80,$K$2:$K$12,M$2:M$12,"",0)/(COUNTIFS($E:$E,$E80,$D:$D,RegularFormula!$D$2)+COUNTIFS($E:$E,$E80,$D:$D,IF($D80=RegularFormula!$D$2,$K$17,$D80))),IFERROR(IF(percentage,percentage,""),""))</f>
        <v>0.0003067908824</v>
      </c>
      <c r="H80" s="71">
        <f t="array" ref="H80">LET(percentage,XLOOKUP($E80,$K$2:$K$12,N$2:N$12,"",0)/(COUNTIFS($E:$E,$E80,$D:$D,RegularFormula!$D$2)+COUNTIFS($E:$E,$E80,$D:$D,IF($D80=RegularFormula!$D$2,$K$17,$D80))),IFERROR(IF(percentage,percentage,""),""))</f>
        <v>0.001188702647</v>
      </c>
      <c r="I80" s="72" t="str">
        <f t="shared" si="1"/>
        <v/>
      </c>
      <c r="J80" s="73">
        <v>0.0</v>
      </c>
      <c r="K80" s="194"/>
      <c r="L80" s="55"/>
      <c r="M80" s="55"/>
      <c r="N80" s="55"/>
      <c r="O80" s="103"/>
      <c r="P80" s="103"/>
      <c r="Q80" s="103"/>
      <c r="R80" s="79" t="str">
        <f t="shared" si="2"/>
        <v/>
      </c>
    </row>
    <row r="81">
      <c r="A81" s="217" t="b">
        <v>0</v>
      </c>
      <c r="B81" s="218" t="s">
        <v>933</v>
      </c>
      <c r="C81" s="69" t="str">
        <f t="array" ref="C81">TEXTJOIN("", TRUE, IFERROR(INDEX('language&amp;DataTest'!A:J, MATCH(INDEX( PointerTest!C:C, MATCH(B81, PointerTest!A:A, 0), 0), 'language&amp;DataTest'!A:A, 0), MATCH(HOME!$A$25, 'language&amp;DataTest'!$A$1:$H$1, 0))),                      IFERROR(INDEX('language&amp;DataTest'!A:J, MATCH(INDEX( PointerTest!D:D, MATCH(B81, PointerTest!A:A, 0), 0), 'language&amp;DataTest'!A:A, 0), MATCH(HOME!$A$25, 'language&amp;DataTest'!$A$1:$H$1, 0))),                                          
IFERROR(INDEX('language&amp;DataTest'!A:J, MATCH(INDEX( PointerTest!E:E, MATCH(B81, PointerTest!A:A, 0), 0), 'language&amp;DataTest'!A:A, 0), MATCH(HOME!$A$25, 'language&amp;DataTest'!$A$1:$H$1, 0))))</f>
        <v>Charizard ex</v>
      </c>
      <c r="D81" s="69" t="str">
        <f t="array" ref="D81">TEXTJOIN("", TRUE, 
IFERROR(INDEX('language&amp;DataTest'!A:J, MATCH(INDEX( PointerTest!C:C, MATCH(INDEX(PointerTest!B:B, MATCH(B81, PointerTest!A:A, 0)), PointerTest!A:A, 0), 0), 'language&amp;DataTest'!A:A, 0), MATCH(HOME!$A$25, 'language&amp;DataTest'!$A$1:$H$1, 0))),                      
IFERROR(INDEX('language&amp;DataTest'!A:J, MATCH(INDEX( PointerTest!D:D, MATCH(INDEX(PointerTest!B:B, MATCH(B81, PointerTest!A:A, 0)), PointerTest!A:A, 0), 0), 'language&amp;DataTest'!A:A, 0), MATCH(HOME!$A$25, 'language&amp;DataTest'!$A$1:$H$1, 0))),                                          
IFERROR(INDEX('language&amp;DataTest'!A:J, MATCH(INDEX( PointerTest!E:E, MATCH(INDEX(PointerTest!B:B, MATCH(B81, PointerTest!A:A, 0)), PointerTest!A:A, 0), 0), 'language&amp;DataTest'!A:A, 0), MATCH(HOME!$A$25, 'language&amp;DataTest'!$A$1:$H$1, 0))))</f>
        <v>Lucario ex</v>
      </c>
      <c r="E81" s="69" t="str">
        <f t="array" ref="E81">INDEX( PointerTest!F:F, MATCH(B81, PointerTest!A:A, 0), 0)</f>
        <v>☆☆</v>
      </c>
      <c r="F81" s="70"/>
      <c r="G81" s="71">
        <f t="array" ref="G81">LET(percentage,XLOOKUP($E81,$K$2:$K$12,M$2:M$12,"",0)/(COUNTIFS($E:$E,$E81,$D:$D,RegularFormula!$D$2)+COUNTIFS($E:$E,$E81,$D:$D,IF($D81=RegularFormula!$D$2,$K$17,$D81))),IFERROR(IF(percentage,percentage,""),""))</f>
        <v>0.0003067908824</v>
      </c>
      <c r="H81" s="71">
        <f t="array" ref="H81">LET(percentage,XLOOKUP($E81,$K$2:$K$12,N$2:N$12,"",0)/(COUNTIFS($E:$E,$E81,$D:$D,RegularFormula!$D$2)+COUNTIFS($E:$E,$E81,$D:$D,IF($D81=RegularFormula!$D$2,$K$17,$D81))),IFERROR(IF(percentage,percentage,""),""))</f>
        <v>0.001188702647</v>
      </c>
      <c r="I81" s="72" t="str">
        <f t="shared" si="1"/>
        <v/>
      </c>
      <c r="J81" s="73">
        <v>0.0</v>
      </c>
      <c r="K81" s="194"/>
      <c r="L81" s="55"/>
      <c r="M81" s="55"/>
      <c r="N81" s="55"/>
      <c r="O81" s="103"/>
      <c r="P81" s="103"/>
      <c r="Q81" s="103"/>
      <c r="R81" s="79" t="str">
        <f t="shared" si="2"/>
        <v/>
      </c>
    </row>
    <row r="82">
      <c r="A82" s="217" t="b">
        <v>0</v>
      </c>
      <c r="B82" s="218" t="s">
        <v>934</v>
      </c>
      <c r="C82" s="69" t="str">
        <f t="array" ref="C82">TEXTJOIN("", TRUE, IFERROR(INDEX('language&amp;DataTest'!A:J, MATCH(INDEX( PointerTest!C:C, MATCH(B82, PointerTest!A:A, 0), 0), 'language&amp;DataTest'!A:A, 0), MATCH(HOME!$A$25, 'language&amp;DataTest'!$A$1:$H$1, 0))),                      IFERROR(INDEX('language&amp;DataTest'!A:J, MATCH(INDEX( PointerTest!D:D, MATCH(B82, PointerTest!A:A, 0), 0), 'language&amp;DataTest'!A:A, 0), MATCH(HOME!$A$25, 'language&amp;DataTest'!$A$1:$H$1, 0))),                                          
IFERROR(INDEX('language&amp;DataTest'!A:J, MATCH(INDEX( PointerTest!E:E, MATCH(B82, PointerTest!A:A, 0), 0), 'language&amp;DataTest'!A:A, 0), MATCH(HOME!$A$25, 'language&amp;DataTest'!$A$1:$H$1, 0))))</f>
        <v>Wugtrio ex</v>
      </c>
      <c r="D82" s="69" t="str">
        <f t="array" ref="D82">TEXTJOIN("", TRUE, 
IFERROR(INDEX('language&amp;DataTest'!A:J, MATCH(INDEX( PointerTest!C:C, MATCH(INDEX(PointerTest!B:B, MATCH(B82, PointerTest!A:A, 0)), PointerTest!A:A, 0), 0), 'language&amp;DataTest'!A:A, 0), MATCH(HOME!$A$25, 'language&amp;DataTest'!$A$1:$H$1, 0))),                      
IFERROR(INDEX('language&amp;DataTest'!A:J, MATCH(INDEX( PointerTest!D:D, MATCH(INDEX(PointerTest!B:B, MATCH(B82, PointerTest!A:A, 0)), PointerTest!A:A, 0), 0), 'language&amp;DataTest'!A:A, 0), MATCH(HOME!$A$25, 'language&amp;DataTest'!$A$1:$H$1, 0))),                                          
IFERROR(INDEX('language&amp;DataTest'!A:J, MATCH(INDEX( PointerTest!E:E, MATCH(INDEX(PointerTest!B:B, MATCH(B82, PointerTest!A:A, 0)), PointerTest!A:A, 0), 0), 'language&amp;DataTest'!A:A, 0), MATCH(HOME!$A$25, 'language&amp;DataTest'!$A$1:$H$1, 0))))</f>
        <v>Lucario ex</v>
      </c>
      <c r="E82" s="69" t="str">
        <f t="array" ref="E82">INDEX( PointerTest!F:F, MATCH(B82, PointerTest!A:A, 0), 0)</f>
        <v>☆☆</v>
      </c>
      <c r="F82" s="70"/>
      <c r="G82" s="71">
        <f t="array" ref="G82">LET(percentage,XLOOKUP($E82,$K$2:$K$12,M$2:M$12,"",0)/(COUNTIFS($E:$E,$E82,$D:$D,RegularFormula!$D$2)+COUNTIFS($E:$E,$E82,$D:$D,IF($D82=RegularFormula!$D$2,$K$17,$D82))),IFERROR(IF(percentage,percentage,""),""))</f>
        <v>0.0003067908824</v>
      </c>
      <c r="H82" s="71">
        <f t="array" ref="H82">LET(percentage,XLOOKUP($E82,$K$2:$K$12,N$2:N$12,"",0)/(COUNTIFS($E:$E,$E82,$D:$D,RegularFormula!$D$2)+COUNTIFS($E:$E,$E82,$D:$D,IF($D82=RegularFormula!$D$2,$K$17,$D82))),IFERROR(IF(percentage,percentage,""),""))</f>
        <v>0.001188702647</v>
      </c>
      <c r="I82" s="72" t="str">
        <f t="shared" si="1"/>
        <v/>
      </c>
      <c r="J82" s="73">
        <v>0.0</v>
      </c>
      <c r="K82" s="194"/>
      <c r="L82" s="55"/>
      <c r="M82" s="55"/>
      <c r="N82" s="55"/>
      <c r="O82" s="103"/>
      <c r="P82" s="103"/>
      <c r="Q82" s="103"/>
      <c r="R82" s="79" t="str">
        <f t="shared" si="2"/>
        <v/>
      </c>
    </row>
    <row r="83">
      <c r="A83" s="217" t="b">
        <v>0</v>
      </c>
      <c r="B83" s="218" t="s">
        <v>935</v>
      </c>
      <c r="C83" s="69" t="str">
        <f t="array" ref="C83">TEXTJOIN("", TRUE, IFERROR(INDEX('language&amp;DataTest'!A:J, MATCH(INDEX( PointerTest!C:C, MATCH(B83, PointerTest!A:A, 0), 0), 'language&amp;DataTest'!A:A, 0), MATCH(HOME!$A$25, 'language&amp;DataTest'!$A$1:$H$1, 0))),                      IFERROR(INDEX('language&amp;DataTest'!A:J, MATCH(INDEX( PointerTest!D:D, MATCH(B83, PointerTest!A:A, 0), 0), 'language&amp;DataTest'!A:A, 0), MATCH(HOME!$A$25, 'language&amp;DataTest'!$A$1:$H$1, 0))),                                          
IFERROR(INDEX('language&amp;DataTest'!A:J, MATCH(INDEX( PointerTest!E:E, MATCH(B83, PointerTest!A:A, 0), 0), 'language&amp;DataTest'!A:A, 0), MATCH(HOME!$A$25, 'language&amp;DataTest'!$A$1:$H$1, 0))))</f>
        <v>Pikachu ex</v>
      </c>
      <c r="D83" s="69" t="str">
        <f t="array" ref="D83">TEXTJOIN("", TRUE, 
IFERROR(INDEX('language&amp;DataTest'!A:J, MATCH(INDEX( PointerTest!C:C, MATCH(INDEX(PointerTest!B:B, MATCH(B83, PointerTest!A:A, 0)), PointerTest!A:A, 0), 0), 'language&amp;DataTest'!A:A, 0), MATCH(HOME!$A$25, 'language&amp;DataTest'!$A$1:$H$1, 0))),                      
IFERROR(INDEX('language&amp;DataTest'!A:J, MATCH(INDEX( PointerTest!D:D, MATCH(INDEX(PointerTest!B:B, MATCH(B83, PointerTest!A:A, 0)), PointerTest!A:A, 0), 0), 'language&amp;DataTest'!A:A, 0), MATCH(HOME!$A$25, 'language&amp;DataTest'!$A$1:$H$1, 0))),                                          
IFERROR(INDEX('language&amp;DataTest'!A:J, MATCH(INDEX( PointerTest!E:E, MATCH(INDEX(PointerTest!B:B, MATCH(B83, PointerTest!A:A, 0)), PointerTest!A:A, 0), 0), 'language&amp;DataTest'!A:A, 0), MATCH(HOME!$A$25, 'language&amp;DataTest'!$A$1:$H$1, 0))))</f>
        <v>Lucario ex</v>
      </c>
      <c r="E83" s="69" t="str">
        <f t="array" ref="E83">INDEX( PointerTest!F:F, MATCH(B83, PointerTest!A:A, 0), 0)</f>
        <v>☆☆</v>
      </c>
      <c r="F83" s="70"/>
      <c r="G83" s="71">
        <f t="array" ref="G83">LET(percentage,XLOOKUP($E83,$K$2:$K$12,M$2:M$12,"",0)/(COUNTIFS($E:$E,$E83,$D:$D,RegularFormula!$D$2)+COUNTIFS($E:$E,$E83,$D:$D,IF($D83=RegularFormula!$D$2,$K$17,$D83))),IFERROR(IF(percentage,percentage,""),""))</f>
        <v>0.0003067908824</v>
      </c>
      <c r="H83" s="71">
        <f t="array" ref="H83">LET(percentage,XLOOKUP($E83,$K$2:$K$12,N$2:N$12,"",0)/(COUNTIFS($E:$E,$E83,$D:$D,RegularFormula!$D$2)+COUNTIFS($E:$E,$E83,$D:$D,IF($D83=RegularFormula!$D$2,$K$17,$D83))),IFERROR(IF(percentage,percentage,""),""))</f>
        <v>0.001188702647</v>
      </c>
      <c r="I83" s="72" t="str">
        <f t="shared" si="1"/>
        <v/>
      </c>
      <c r="J83" s="73">
        <v>0.0</v>
      </c>
      <c r="K83" s="194"/>
      <c r="L83" s="55"/>
      <c r="M83" s="55"/>
      <c r="N83" s="55"/>
      <c r="O83" s="103"/>
      <c r="P83" s="103"/>
      <c r="Q83" s="103"/>
      <c r="R83" s="79" t="str">
        <f t="shared" si="2"/>
        <v/>
      </c>
    </row>
    <row r="84">
      <c r="A84" s="217" t="b">
        <v>0</v>
      </c>
      <c r="B84" s="218" t="s">
        <v>936</v>
      </c>
      <c r="C84" s="69" t="str">
        <f t="array" ref="C84">TEXTJOIN("", TRUE, IFERROR(INDEX('language&amp;DataTest'!A:J, MATCH(INDEX( PointerTest!C:C, MATCH(B84, PointerTest!A:A, 0), 0), 'language&amp;DataTest'!A:A, 0), MATCH(HOME!$A$25, 'language&amp;DataTest'!$A$1:$H$1, 0))),                      IFERROR(INDEX('language&amp;DataTest'!A:J, MATCH(INDEX( PointerTest!D:D, MATCH(B84, PointerTest!A:A, 0), 0), 'language&amp;DataTest'!A:A, 0), MATCH(HOME!$A$25, 'language&amp;DataTest'!$A$1:$H$1, 0))),                                          
IFERROR(INDEX('language&amp;DataTest'!A:J, MATCH(INDEX( PointerTest!E:E, MATCH(B84, PointerTest!A:A, 0), 0), 'language&amp;DataTest'!A:A, 0), MATCH(HOME!$A$25, 'language&amp;DataTest'!$A$1:$H$1, 0))))</f>
        <v>Giratina ex</v>
      </c>
      <c r="D84" s="69" t="str">
        <f t="array" ref="D84">TEXTJOIN("", TRUE, 
IFERROR(INDEX('language&amp;DataTest'!A:J, MATCH(INDEX( PointerTest!C:C, MATCH(INDEX(PointerTest!B:B, MATCH(B84, PointerTest!A:A, 0)), PointerTest!A:A, 0), 0), 'language&amp;DataTest'!A:A, 0), MATCH(HOME!$A$25, 'language&amp;DataTest'!$A$1:$H$1, 0))),                      
IFERROR(INDEX('language&amp;DataTest'!A:J, MATCH(INDEX( PointerTest!D:D, MATCH(INDEX(PointerTest!B:B, MATCH(B84, PointerTest!A:A, 0)), PointerTest!A:A, 0), 0), 'language&amp;DataTest'!A:A, 0), MATCH(HOME!$A$25, 'language&amp;DataTest'!$A$1:$H$1, 0))),                                          
IFERROR(INDEX('language&amp;DataTest'!A:J, MATCH(INDEX( PointerTest!E:E, MATCH(INDEX(PointerTest!B:B, MATCH(B84, PointerTest!A:A, 0)), PointerTest!A:A, 0), 0), 'language&amp;DataTest'!A:A, 0), MATCH(HOME!$A$25, 'language&amp;DataTest'!$A$1:$H$1, 0))))</f>
        <v>Lucario ex</v>
      </c>
      <c r="E84" s="69" t="str">
        <f t="array" ref="E84">INDEX( PointerTest!F:F, MATCH(B84, PointerTest!A:A, 0), 0)</f>
        <v>☆☆</v>
      </c>
      <c r="F84" s="70"/>
      <c r="G84" s="71">
        <f t="array" ref="G84">LET(percentage,XLOOKUP($E84,$K$2:$K$12,M$2:M$12,"",0)/(COUNTIFS($E:$E,$E84,$D:$D,RegularFormula!$D$2)+COUNTIFS($E:$E,$E84,$D:$D,IF($D84=RegularFormula!$D$2,$K$17,$D84))),IFERROR(IF(percentage,percentage,""),""))</f>
        <v>0.0003067908824</v>
      </c>
      <c r="H84" s="71">
        <f t="array" ref="H84">LET(percentage,XLOOKUP($E84,$K$2:$K$12,N$2:N$12,"",0)/(COUNTIFS($E:$E,$E84,$D:$D,RegularFormula!$D$2)+COUNTIFS($E:$E,$E84,$D:$D,IF($D84=RegularFormula!$D$2,$K$17,$D84))),IFERROR(IF(percentage,percentage,""),""))</f>
        <v>0.001188702647</v>
      </c>
      <c r="I84" s="72" t="str">
        <f t="shared" si="1"/>
        <v/>
      </c>
      <c r="J84" s="73">
        <v>0.0</v>
      </c>
      <c r="K84" s="194"/>
      <c r="L84" s="55"/>
      <c r="M84" s="55"/>
      <c r="N84" s="55"/>
      <c r="O84" s="103"/>
      <c r="P84" s="103"/>
      <c r="Q84" s="103"/>
      <c r="R84" s="79" t="str">
        <f t="shared" si="2"/>
        <v/>
      </c>
    </row>
    <row r="85">
      <c r="A85" s="217" t="b">
        <v>0</v>
      </c>
      <c r="B85" s="218" t="s">
        <v>937</v>
      </c>
      <c r="C85" s="69" t="str">
        <f t="array" ref="C85">TEXTJOIN("", TRUE, IFERROR(INDEX('language&amp;DataTest'!A:J, MATCH(INDEX( PointerTest!C:C, MATCH(B85, PointerTest!A:A, 0), 0), 'language&amp;DataTest'!A:A, 0), MATCH(HOME!$A$25, 'language&amp;DataTest'!$A$1:$H$1, 0))),                      IFERROR(INDEX('language&amp;DataTest'!A:J, MATCH(INDEX( PointerTest!D:D, MATCH(B85, PointerTest!A:A, 0), 0), 'language&amp;DataTest'!A:A, 0), MATCH(HOME!$A$25, 'language&amp;DataTest'!$A$1:$H$1, 0))),                                          
IFERROR(INDEX('language&amp;DataTest'!A:J, MATCH(INDEX( PointerTest!E:E, MATCH(B85, PointerTest!A:A, 0), 0), 'language&amp;DataTest'!A:A, 0), MATCH(HOME!$A$25, 'language&amp;DataTest'!$A$1:$H$1, 0))))</f>
        <v>Lucario ex</v>
      </c>
      <c r="D85" s="69" t="str">
        <f t="array" ref="D85">TEXTJOIN("", TRUE, 
IFERROR(INDEX('language&amp;DataTest'!A:J, MATCH(INDEX( PointerTest!C:C, MATCH(INDEX(PointerTest!B:B, MATCH(B85, PointerTest!A:A, 0)), PointerTest!A:A, 0), 0), 'language&amp;DataTest'!A:A, 0), MATCH(HOME!$A$25, 'language&amp;DataTest'!$A$1:$H$1, 0))),                      
IFERROR(INDEX('language&amp;DataTest'!A:J, MATCH(INDEX( PointerTest!D:D, MATCH(INDEX(PointerTest!B:B, MATCH(B85, PointerTest!A:A, 0)), PointerTest!A:A, 0), 0), 'language&amp;DataTest'!A:A, 0), MATCH(HOME!$A$25, 'language&amp;DataTest'!$A$1:$H$1, 0))),                                          
IFERROR(INDEX('language&amp;DataTest'!A:J, MATCH(INDEX( PointerTest!E:E, MATCH(INDEX(PointerTest!B:B, MATCH(B85, PointerTest!A:A, 0)), PointerTest!A:A, 0), 0), 'language&amp;DataTest'!A:A, 0), MATCH(HOME!$A$25, 'language&amp;DataTest'!$A$1:$H$1, 0))))</f>
        <v>Lucario ex</v>
      </c>
      <c r="E85" s="69" t="str">
        <f t="array" ref="E85">INDEX( PointerTest!F:F, MATCH(B85, PointerTest!A:A, 0), 0)</f>
        <v>☆☆</v>
      </c>
      <c r="F85" s="70"/>
      <c r="G85" s="71">
        <f t="array" ref="G85">LET(percentage,XLOOKUP($E85,$K$2:$K$12,M$2:M$12,"",0)/(COUNTIFS($E:$E,$E85,$D:$D,RegularFormula!$D$2)+COUNTIFS($E:$E,$E85,$D:$D,IF($D85=RegularFormula!$D$2,$K$17,$D85))),IFERROR(IF(percentage,percentage,""),""))</f>
        <v>0.0003067908824</v>
      </c>
      <c r="H85" s="71">
        <f t="array" ref="H85">LET(percentage,XLOOKUP($E85,$K$2:$K$12,N$2:N$12,"",0)/(COUNTIFS($E:$E,$E85,$D:$D,RegularFormula!$D$2)+COUNTIFS($E:$E,$E85,$D:$D,IF($D85=RegularFormula!$D$2,$K$17,$D85))),IFERROR(IF(percentage,percentage,""),""))</f>
        <v>0.001188702647</v>
      </c>
      <c r="I85" s="72" t="str">
        <f t="shared" si="1"/>
        <v/>
      </c>
      <c r="J85" s="73">
        <v>0.0</v>
      </c>
      <c r="K85" s="194"/>
      <c r="L85" s="55"/>
      <c r="M85" s="55"/>
      <c r="N85" s="55"/>
      <c r="O85" s="103"/>
      <c r="P85" s="103"/>
      <c r="Q85" s="103"/>
      <c r="R85" s="79" t="str">
        <f t="shared" si="2"/>
        <v/>
      </c>
    </row>
    <row r="86">
      <c r="A86" s="217" t="b">
        <v>1</v>
      </c>
      <c r="B86" s="218" t="s">
        <v>938</v>
      </c>
      <c r="C86" s="69" t="str">
        <f t="array" ref="C86">TEXTJOIN("", TRUE, IFERROR(INDEX('language&amp;DataTest'!A:J, MATCH(INDEX( PointerTest!C:C, MATCH(B86, PointerTest!A:A, 0), 0), 'language&amp;DataTest'!A:A, 0), MATCH(HOME!$A$25, 'language&amp;DataTest'!$A$1:$H$1, 0))),                      IFERROR(INDEX('language&amp;DataTest'!A:J, MATCH(INDEX( PointerTest!D:D, MATCH(B86, PointerTest!A:A, 0), 0), 'language&amp;DataTest'!A:A, 0), MATCH(HOME!$A$25, 'language&amp;DataTest'!$A$1:$H$1, 0))),                                          
IFERROR(INDEX('language&amp;DataTest'!A:J, MATCH(INDEX( PointerTest!E:E, MATCH(B86, PointerTest!A:A, 0), 0), 'language&amp;DataTest'!A:A, 0), MATCH(HOME!$A$25, 'language&amp;DataTest'!$A$1:$H$1, 0))))</f>
        <v>Paldean Clodsire ex</v>
      </c>
      <c r="D86" s="69" t="str">
        <f t="array" ref="D86">TEXTJOIN("", TRUE, 
IFERROR(INDEX('language&amp;DataTest'!A:J, MATCH(INDEX( PointerTest!C:C, MATCH(INDEX(PointerTest!B:B, MATCH(B86, PointerTest!A:A, 0)), PointerTest!A:A, 0), 0), 'language&amp;DataTest'!A:A, 0), MATCH(HOME!$A$25, 'language&amp;DataTest'!$A$1:$H$1, 0))),                      
IFERROR(INDEX('language&amp;DataTest'!A:J, MATCH(INDEX( PointerTest!D:D, MATCH(INDEX(PointerTest!B:B, MATCH(B86, PointerTest!A:A, 0)), PointerTest!A:A, 0), 0), 'language&amp;DataTest'!A:A, 0), MATCH(HOME!$A$25, 'language&amp;DataTest'!$A$1:$H$1, 0))),                                          
IFERROR(INDEX('language&amp;DataTest'!A:J, MATCH(INDEX( PointerTest!E:E, MATCH(INDEX(PointerTest!B:B, MATCH(B86, PointerTest!A:A, 0)), PointerTest!A:A, 0), 0), 'language&amp;DataTest'!A:A, 0), MATCH(HOME!$A$25, 'language&amp;DataTest'!$A$1:$H$1, 0))))</f>
        <v>Lucario ex</v>
      </c>
      <c r="E86" s="69" t="str">
        <f t="array" ref="E86">INDEX( PointerTest!F:F, MATCH(B86, PointerTest!A:A, 0), 0)</f>
        <v>☆☆</v>
      </c>
      <c r="F86" s="70"/>
      <c r="G86" s="71">
        <f t="array" ref="G86">LET(percentage,XLOOKUP($E86,$K$2:$K$12,M$2:M$12,"",0)/(COUNTIFS($E:$E,$E86,$D:$D,RegularFormula!$D$2)+COUNTIFS($E:$E,$E86,$D:$D,IF($D86=RegularFormula!$D$2,$K$17,$D86))),IFERROR(IF(percentage,percentage,""),""))</f>
        <v>0.0003067908824</v>
      </c>
      <c r="H86" s="71">
        <f t="array" ref="H86">LET(percentage,XLOOKUP($E86,$K$2:$K$12,N$2:N$12,"",0)/(COUNTIFS($E:$E,$E86,$D:$D,RegularFormula!$D$2)+COUNTIFS($E:$E,$E86,$D:$D,IF($D86=RegularFormula!$D$2,$K$17,$D86))),IFERROR(IF(percentage,percentage,""),""))</f>
        <v>0.001188702647</v>
      </c>
      <c r="I86" s="72" t="str">
        <f t="shared" si="1"/>
        <v/>
      </c>
      <c r="J86" s="73">
        <v>0.0</v>
      </c>
      <c r="K86" s="194"/>
      <c r="L86" s="55"/>
      <c r="M86" s="55"/>
      <c r="N86" s="55"/>
      <c r="O86" s="103"/>
      <c r="P86" s="103"/>
      <c r="Q86" s="103"/>
      <c r="R86" s="79" t="str">
        <f t="shared" si="2"/>
        <v/>
      </c>
    </row>
    <row r="87">
      <c r="A87" s="217" t="b">
        <v>0</v>
      </c>
      <c r="B87" s="218" t="s">
        <v>939</v>
      </c>
      <c r="C87" s="69" t="str">
        <f t="array" ref="C87">TEXTJOIN("", TRUE, IFERROR(INDEX('language&amp;DataTest'!A:J, MATCH(INDEX( PointerTest!C:C, MATCH(B87, PointerTest!A:A, 0), 0), 'language&amp;DataTest'!A:A, 0), MATCH(HOME!$A$25, 'language&amp;DataTest'!$A$1:$H$1, 0))),                      IFERROR(INDEX('language&amp;DataTest'!A:J, MATCH(INDEX( PointerTest!D:D, MATCH(B87, PointerTest!A:A, 0), 0), 'language&amp;DataTest'!A:A, 0), MATCH(HOME!$A$25, 'language&amp;DataTest'!$A$1:$H$1, 0))),                                          
IFERROR(INDEX('language&amp;DataTest'!A:J, MATCH(INDEX( PointerTest!E:E, MATCH(B87, PointerTest!A:A, 0), 0), 'language&amp;DataTest'!A:A, 0), MATCH(HOME!$A$25, 'language&amp;DataTest'!$A$1:$H$1, 0))))</f>
        <v>Tinkaton ex</v>
      </c>
      <c r="D87" s="69" t="str">
        <f t="array" ref="D87">TEXTJOIN("", TRUE, 
IFERROR(INDEX('language&amp;DataTest'!A:J, MATCH(INDEX( PointerTest!C:C, MATCH(INDEX(PointerTest!B:B, MATCH(B87, PointerTest!A:A, 0)), PointerTest!A:A, 0), 0), 'language&amp;DataTest'!A:A, 0), MATCH(HOME!$A$25, 'language&amp;DataTest'!$A$1:$H$1, 0))),                      
IFERROR(INDEX('language&amp;DataTest'!A:J, MATCH(INDEX( PointerTest!D:D, MATCH(INDEX(PointerTest!B:B, MATCH(B87, PointerTest!A:A, 0)), PointerTest!A:A, 0), 0), 'language&amp;DataTest'!A:A, 0), MATCH(HOME!$A$25, 'language&amp;DataTest'!$A$1:$H$1, 0))),                                          
IFERROR(INDEX('language&amp;DataTest'!A:J, MATCH(INDEX( PointerTest!E:E, MATCH(INDEX(PointerTest!B:B, MATCH(B87, PointerTest!A:A, 0)), PointerTest!A:A, 0), 0), 'language&amp;DataTest'!A:A, 0), MATCH(HOME!$A$25, 'language&amp;DataTest'!$A$1:$H$1, 0))))</f>
        <v>Lucario ex</v>
      </c>
      <c r="E87" s="69" t="str">
        <f t="array" ref="E87">INDEX( PointerTest!F:F, MATCH(B87, PointerTest!A:A, 0), 0)</f>
        <v>☆☆</v>
      </c>
      <c r="F87" s="70"/>
      <c r="G87" s="71">
        <f t="array" ref="G87">LET(percentage,XLOOKUP($E87,$K$2:$K$12,M$2:M$12,"",0)/(COUNTIFS($E:$E,$E87,$D:$D,RegularFormula!$D$2)+COUNTIFS($E:$E,$E87,$D:$D,IF($D87=RegularFormula!$D$2,$K$17,$D87))),IFERROR(IF(percentage,percentage,""),""))</f>
        <v>0.0003067908824</v>
      </c>
      <c r="H87" s="71">
        <f t="array" ref="H87">LET(percentage,XLOOKUP($E87,$K$2:$K$12,N$2:N$12,"",0)/(COUNTIFS($E:$E,$E87,$D:$D,RegularFormula!$D$2)+COUNTIFS($E:$E,$E87,$D:$D,IF($D87=RegularFormula!$D$2,$K$17,$D87))),IFERROR(IF(percentage,percentage,""),""))</f>
        <v>0.001188702647</v>
      </c>
      <c r="I87" s="72" t="str">
        <f t="shared" si="1"/>
        <v/>
      </c>
      <c r="J87" s="73">
        <v>0.0</v>
      </c>
      <c r="K87" s="194"/>
      <c r="L87" s="55"/>
      <c r="M87" s="55"/>
      <c r="N87" s="55"/>
      <c r="O87" s="103"/>
      <c r="P87" s="103"/>
      <c r="Q87" s="103"/>
      <c r="R87" s="79"/>
    </row>
    <row r="88">
      <c r="A88" s="217" t="b">
        <v>0</v>
      </c>
      <c r="B88" s="218" t="s">
        <v>940</v>
      </c>
      <c r="C88" s="69" t="str">
        <f t="array" ref="C88">TEXTJOIN("", TRUE, IFERROR(INDEX('language&amp;DataTest'!A:J, MATCH(INDEX( PointerTest!C:C, MATCH(B88, PointerTest!A:A, 0), 0), 'language&amp;DataTest'!A:A, 0), MATCH(HOME!$A$25, 'language&amp;DataTest'!$A$1:$H$1, 0))),                      IFERROR(INDEX('language&amp;DataTest'!A:J, MATCH(INDEX( PointerTest!D:D, MATCH(B88, PointerTest!A:A, 0), 0), 'language&amp;DataTest'!A:A, 0), MATCH(HOME!$A$25, 'language&amp;DataTest'!$A$1:$H$1, 0))),                                          
IFERROR(INDEX('language&amp;DataTest'!A:J, MATCH(INDEX( PointerTest!E:E, MATCH(B88, PointerTest!A:A, 0), 0), 'language&amp;DataTest'!A:A, 0), MATCH(HOME!$A$25, 'language&amp;DataTest'!$A$1:$H$1, 0))))</f>
        <v>Bibarel ex</v>
      </c>
      <c r="D88" s="69" t="str">
        <f t="array" ref="D88">TEXTJOIN("", TRUE, 
IFERROR(INDEX('language&amp;DataTest'!A:J, MATCH(INDEX( PointerTest!C:C, MATCH(INDEX(PointerTest!B:B, MATCH(B88, PointerTest!A:A, 0)), PointerTest!A:A, 0), 0), 'language&amp;DataTest'!A:A, 0), MATCH(HOME!$A$25, 'language&amp;DataTest'!$A$1:$H$1, 0))),                      
IFERROR(INDEX('language&amp;DataTest'!A:J, MATCH(INDEX( PointerTest!D:D, MATCH(INDEX(PointerTest!B:B, MATCH(B88, PointerTest!A:A, 0)), PointerTest!A:A, 0), 0), 'language&amp;DataTest'!A:A, 0), MATCH(HOME!$A$25, 'language&amp;DataTest'!$A$1:$H$1, 0))),                                          
IFERROR(INDEX('language&amp;DataTest'!A:J, MATCH(INDEX( PointerTest!E:E, MATCH(INDEX(PointerTest!B:B, MATCH(B88, PointerTest!A:A, 0)), PointerTest!A:A, 0), 0), 'language&amp;DataTest'!A:A, 0), MATCH(HOME!$A$25, 'language&amp;DataTest'!$A$1:$H$1, 0))))</f>
        <v>Lucario ex</v>
      </c>
      <c r="E88" s="69" t="str">
        <f t="array" ref="E88">INDEX( PointerTest!F:F, MATCH(B88, PointerTest!A:A, 0), 0)</f>
        <v>☆☆</v>
      </c>
      <c r="F88" s="70"/>
      <c r="G88" s="71">
        <f t="array" ref="G88">LET(percentage,XLOOKUP($E88,$K$2:$K$12,M$2:M$12,"",0)/(COUNTIFS($E:$E,$E88,$D:$D,RegularFormula!$D$2)+COUNTIFS($E:$E,$E88,$D:$D,IF($D88=RegularFormula!$D$2,$K$17,$D88))),IFERROR(IF(percentage,percentage,""),""))</f>
        <v>0.0003067908824</v>
      </c>
      <c r="H88" s="71">
        <f t="array" ref="H88">LET(percentage,XLOOKUP($E88,$K$2:$K$12,N$2:N$12,"",0)/(COUNTIFS($E:$E,$E88,$D:$D,RegularFormula!$D$2)+COUNTIFS($E:$E,$E88,$D:$D,IF($D88=RegularFormula!$D$2,$K$17,$D88))),IFERROR(IF(percentage,percentage,""),""))</f>
        <v>0.001188702647</v>
      </c>
      <c r="I88" s="72" t="str">
        <f t="shared" si="1"/>
        <v/>
      </c>
      <c r="J88" s="73">
        <v>0.0</v>
      </c>
      <c r="K88" s="194"/>
      <c r="L88" s="55"/>
      <c r="M88" s="55"/>
      <c r="N88" s="55"/>
      <c r="O88" s="103"/>
      <c r="P88" s="103"/>
      <c r="Q88" s="103"/>
      <c r="R88" s="79"/>
    </row>
    <row r="89">
      <c r="A89" s="217" t="b">
        <v>0</v>
      </c>
      <c r="B89" s="218" t="s">
        <v>941</v>
      </c>
      <c r="C89" s="69" t="str">
        <f t="array" ref="C89">TEXTJOIN("", TRUE, IFERROR(INDEX('language&amp;DataTest'!A:J, MATCH(INDEX( PointerTest!C:C, MATCH(B89, PointerTest!A:A, 0), 0), 'language&amp;DataTest'!A:A, 0), MATCH(HOME!$A$25, 'language&amp;DataTest'!$A$1:$H$1, 0))),                      IFERROR(INDEX('language&amp;DataTest'!A:J, MATCH(INDEX( PointerTest!D:D, MATCH(B89, PointerTest!A:A, 0), 0), 'language&amp;DataTest'!A:A, 0), MATCH(HOME!$A$25, 'language&amp;DataTest'!$A$1:$H$1, 0))),                                          
IFERROR(INDEX('language&amp;DataTest'!A:J, MATCH(INDEX( PointerTest!E:E, MATCH(B89, PointerTest!A:A, 0), 0), 'language&amp;DataTest'!A:A, 0), MATCH(HOME!$A$25, 'language&amp;DataTest'!$A$1:$H$1, 0))))</f>
        <v>Iono</v>
      </c>
      <c r="D89" s="69" t="str">
        <f t="array" ref="D89">TEXTJOIN("", TRUE, 
IFERROR(INDEX('language&amp;DataTest'!A:J, MATCH(INDEX( PointerTest!C:C, MATCH(INDEX(PointerTest!B:B, MATCH(B89, PointerTest!A:A, 0)), PointerTest!A:A, 0), 0), 'language&amp;DataTest'!A:A, 0), MATCH(HOME!$A$25, 'language&amp;DataTest'!$A$1:$H$1, 0))),                      
IFERROR(INDEX('language&amp;DataTest'!A:J, MATCH(INDEX( PointerTest!D:D, MATCH(INDEX(PointerTest!B:B, MATCH(B89, PointerTest!A:A, 0)), PointerTest!A:A, 0), 0), 'language&amp;DataTest'!A:A, 0), MATCH(HOME!$A$25, 'language&amp;DataTest'!$A$1:$H$1, 0))),                                          
IFERROR(INDEX('language&amp;DataTest'!A:J, MATCH(INDEX( PointerTest!E:E, MATCH(INDEX(PointerTest!B:B, MATCH(B89, PointerTest!A:A, 0)), PointerTest!A:A, 0), 0), 'language&amp;DataTest'!A:A, 0), MATCH(HOME!$A$25, 'language&amp;DataTest'!$A$1:$H$1, 0))))</f>
        <v>Lucario ex</v>
      </c>
      <c r="E89" s="69" t="str">
        <f t="array" ref="E89">INDEX( PointerTest!F:F, MATCH(B89, PointerTest!A:A, 0), 0)</f>
        <v>☆☆</v>
      </c>
      <c r="F89" s="70"/>
      <c r="G89" s="71">
        <f t="array" ref="G89">LET(percentage,XLOOKUP($E89,$K$2:$K$12,M$2:M$12,"",0)/(COUNTIFS($E:$E,$E89,$D:$D,RegularFormula!$D$2)+COUNTIFS($E:$E,$E89,$D:$D,IF($D89=RegularFormula!$D$2,$K$17,$D89))),IFERROR(IF(percentage,percentage,""),""))</f>
        <v>0.0003067908824</v>
      </c>
      <c r="H89" s="71">
        <f t="array" ref="H89">LET(percentage,XLOOKUP($E89,$K$2:$K$12,N$2:N$12,"",0)/(COUNTIFS($E:$E,$E89,$D:$D,RegularFormula!$D$2)+COUNTIFS($E:$E,$E89,$D:$D,IF($D89=RegularFormula!$D$2,$K$17,$D89))),IFERROR(IF(percentage,percentage,""),""))</f>
        <v>0.001188702647</v>
      </c>
      <c r="I89" s="72" t="str">
        <f t="shared" si="1"/>
        <v/>
      </c>
      <c r="J89" s="73">
        <v>0.0</v>
      </c>
      <c r="K89" s="194"/>
      <c r="L89" s="55"/>
      <c r="M89" s="55"/>
      <c r="N89" s="55"/>
      <c r="O89" s="103"/>
      <c r="P89" s="103"/>
      <c r="Q89" s="103"/>
      <c r="R89" s="79"/>
    </row>
    <row r="90">
      <c r="A90" s="217" t="b">
        <v>0</v>
      </c>
      <c r="B90" s="218" t="s">
        <v>942</v>
      </c>
      <c r="C90" s="69" t="str">
        <f t="array" ref="C90">TEXTJOIN("", TRUE, IFERROR(INDEX('language&amp;DataTest'!A:J, MATCH(INDEX( PointerTest!C:C, MATCH(B90, PointerTest!A:A, 0), 0), 'language&amp;DataTest'!A:A, 0), MATCH(HOME!$A$25, 'language&amp;DataTest'!$A$1:$H$1, 0))),                      IFERROR(INDEX('language&amp;DataTest'!A:J, MATCH(INDEX( PointerTest!D:D, MATCH(B90, PointerTest!A:A, 0), 0), 'language&amp;DataTest'!A:A, 0), MATCH(HOME!$A$25, 'language&amp;DataTest'!$A$1:$H$1, 0))),                                          
IFERROR(INDEX('language&amp;DataTest'!A:J, MATCH(INDEX( PointerTest!E:E, MATCH(B90, PointerTest!A:A, 0), 0), 'language&amp;DataTest'!A:A, 0), MATCH(HOME!$A$25, 'language&amp;DataTest'!$A$1:$H$1, 0))))</f>
        <v>Pokemon Center Lady</v>
      </c>
      <c r="D90" s="69" t="str">
        <f t="array" ref="D90">TEXTJOIN("", TRUE, 
IFERROR(INDEX('language&amp;DataTest'!A:J, MATCH(INDEX( PointerTest!C:C, MATCH(INDEX(PointerTest!B:B, MATCH(B90, PointerTest!A:A, 0)), PointerTest!A:A, 0), 0), 'language&amp;DataTest'!A:A, 0), MATCH(HOME!$A$25, 'language&amp;DataTest'!$A$1:$H$1, 0))),                      
IFERROR(INDEX('language&amp;DataTest'!A:J, MATCH(INDEX( PointerTest!D:D, MATCH(INDEX(PointerTest!B:B, MATCH(B90, PointerTest!A:A, 0)), PointerTest!A:A, 0), 0), 'language&amp;DataTest'!A:A, 0), MATCH(HOME!$A$25, 'language&amp;DataTest'!$A$1:$H$1, 0))),                                          
IFERROR(INDEX('language&amp;DataTest'!A:J, MATCH(INDEX( PointerTest!E:E, MATCH(INDEX(PointerTest!B:B, MATCH(B90, PointerTest!A:A, 0)), PointerTest!A:A, 0), 0), 'language&amp;DataTest'!A:A, 0), MATCH(HOME!$A$25, 'language&amp;DataTest'!$A$1:$H$1, 0))))</f>
        <v>Lucario ex</v>
      </c>
      <c r="E90" s="69" t="str">
        <f t="array" ref="E90">INDEX( PointerTest!F:F, MATCH(B90, PointerTest!A:A, 0), 0)</f>
        <v>☆☆</v>
      </c>
      <c r="F90" s="70"/>
      <c r="G90" s="71">
        <f t="array" ref="G90">LET(percentage,XLOOKUP($E90,$K$2:$K$12,M$2:M$12,"",0)/(COUNTIFS($E:$E,$E90,$D:$D,RegularFormula!$D$2)+COUNTIFS($E:$E,$E90,$D:$D,IF($D90=RegularFormula!$D$2,$K$17,$D90))),IFERROR(IF(percentage,percentage,""),""))</f>
        <v>0.0003067908824</v>
      </c>
      <c r="H90" s="71">
        <f t="array" ref="H90">LET(percentage,XLOOKUP($E90,$K$2:$K$12,N$2:N$12,"",0)/(COUNTIFS($E:$E,$E90,$D:$D,RegularFormula!$D$2)+COUNTIFS($E:$E,$E90,$D:$D,IF($D90=RegularFormula!$D$2,$K$17,$D90))),IFERROR(IF(percentage,percentage,""),""))</f>
        <v>0.001188702647</v>
      </c>
      <c r="I90" s="72" t="str">
        <f t="shared" si="1"/>
        <v/>
      </c>
      <c r="J90" s="73">
        <v>0.0</v>
      </c>
      <c r="K90" s="194"/>
      <c r="L90" s="55"/>
      <c r="M90" s="55"/>
      <c r="N90" s="55"/>
      <c r="O90" s="103"/>
      <c r="P90" s="103"/>
      <c r="Q90" s="103"/>
      <c r="R90" s="79"/>
    </row>
    <row r="91">
      <c r="A91" s="217" t="b">
        <v>0</v>
      </c>
      <c r="B91" s="218" t="s">
        <v>943</v>
      </c>
      <c r="C91" s="69" t="str">
        <f t="array" ref="C91">TEXTJOIN("", TRUE, IFERROR(INDEX('language&amp;DataTest'!A:J, MATCH(INDEX( PointerTest!C:C, MATCH(B91, PointerTest!A:A, 0), 0), 'language&amp;DataTest'!A:A, 0), MATCH(HOME!$A$25, 'language&amp;DataTest'!$A$1:$H$1, 0))),                      IFERROR(INDEX('language&amp;DataTest'!A:J, MATCH(INDEX( PointerTest!D:D, MATCH(B91, PointerTest!A:A, 0), 0), 'language&amp;DataTest'!A:A, 0), MATCH(HOME!$A$25, 'language&amp;DataTest'!$A$1:$H$1, 0))),                                          
IFERROR(INDEX('language&amp;DataTest'!A:J, MATCH(INDEX( PointerTest!E:E, MATCH(B91, PointerTest!A:A, 0), 0), 'language&amp;DataTest'!A:A, 0), MATCH(HOME!$A$25, 'language&amp;DataTest'!$A$1:$H$1, 0))))</f>
        <v>Red</v>
      </c>
      <c r="D91" s="69" t="str">
        <f t="array" ref="D91">TEXTJOIN("", TRUE, 
IFERROR(INDEX('language&amp;DataTest'!A:J, MATCH(INDEX( PointerTest!C:C, MATCH(INDEX(PointerTest!B:B, MATCH(B91, PointerTest!A:A, 0)), PointerTest!A:A, 0), 0), 'language&amp;DataTest'!A:A, 0), MATCH(HOME!$A$25, 'language&amp;DataTest'!$A$1:$H$1, 0))),                      
IFERROR(INDEX('language&amp;DataTest'!A:J, MATCH(INDEX( PointerTest!D:D, MATCH(INDEX(PointerTest!B:B, MATCH(B91, PointerTest!A:A, 0)), PointerTest!A:A, 0), 0), 'language&amp;DataTest'!A:A, 0), MATCH(HOME!$A$25, 'language&amp;DataTest'!$A$1:$H$1, 0))),                                          
IFERROR(INDEX('language&amp;DataTest'!A:J, MATCH(INDEX( PointerTest!E:E, MATCH(INDEX(PointerTest!B:B, MATCH(B91, PointerTest!A:A, 0)), PointerTest!A:A, 0), 0), 'language&amp;DataTest'!A:A, 0), MATCH(HOME!$A$25, 'language&amp;DataTest'!$A$1:$H$1, 0))))</f>
        <v>Lucario ex</v>
      </c>
      <c r="E91" s="69" t="str">
        <f t="array" ref="E91">INDEX( PointerTest!F:F, MATCH(B91, PointerTest!A:A, 0), 0)</f>
        <v>☆☆</v>
      </c>
      <c r="F91" s="70"/>
      <c r="G91" s="71">
        <f t="array" ref="G91">LET(percentage,XLOOKUP($E91,$K$2:$K$12,M$2:M$12,"",0)/(COUNTIFS($E:$E,$E91,$D:$D,RegularFormula!$D$2)+COUNTIFS($E:$E,$E91,$D:$D,IF($D91=RegularFormula!$D$2,$K$17,$D91))),IFERROR(IF(percentage,percentage,""),""))</f>
        <v>0.0003067908824</v>
      </c>
      <c r="H91" s="71">
        <f t="array" ref="H91">LET(percentage,XLOOKUP($E91,$K$2:$K$12,N$2:N$12,"",0)/(COUNTIFS($E:$E,$E91,$D:$D,RegularFormula!$D$2)+COUNTIFS($E:$E,$E91,$D:$D,IF($D91=RegularFormula!$D$2,$K$17,$D91))),IFERROR(IF(percentage,percentage,""),""))</f>
        <v>0.001188702647</v>
      </c>
      <c r="I91" s="72" t="str">
        <f t="shared" si="1"/>
        <v/>
      </c>
      <c r="J91" s="73">
        <v>0.0</v>
      </c>
      <c r="K91" s="194"/>
      <c r="L91" s="55"/>
      <c r="M91" s="55"/>
      <c r="N91" s="55"/>
      <c r="O91" s="103"/>
      <c r="P91" s="103"/>
      <c r="Q91" s="103"/>
      <c r="R91" s="79"/>
    </row>
    <row r="92">
      <c r="A92" s="217" t="b">
        <v>0</v>
      </c>
      <c r="B92" s="218" t="s">
        <v>944</v>
      </c>
      <c r="C92" s="69" t="str">
        <f t="array" ref="C92">TEXTJOIN("", TRUE, IFERROR(INDEX('language&amp;DataTest'!A:J, MATCH(INDEX( PointerTest!C:C, MATCH(B92, PointerTest!A:A, 0), 0), 'language&amp;DataTest'!A:A, 0), MATCH(HOME!$A$25, 'language&amp;DataTest'!$A$1:$H$1, 0))),                      IFERROR(INDEX('language&amp;DataTest'!A:J, MATCH(INDEX( PointerTest!D:D, MATCH(B92, PointerTest!A:A, 0), 0), 'language&amp;DataTest'!A:A, 0), MATCH(HOME!$A$25, 'language&amp;DataTest'!$A$1:$H$1, 0))),                                          
IFERROR(INDEX('language&amp;DataTest'!A:J, MATCH(INDEX( PointerTest!E:E, MATCH(B92, PointerTest!A:A, 0), 0), 'language&amp;DataTest'!A:A, 0), MATCH(HOME!$A$25, 'language&amp;DataTest'!$A$1:$H$1, 0))))</f>
        <v>Team Rocket Grunt</v>
      </c>
      <c r="D92" s="69" t="str">
        <f t="array" ref="D92">TEXTJOIN("", TRUE, 
IFERROR(INDEX('language&amp;DataTest'!A:J, MATCH(INDEX( PointerTest!C:C, MATCH(INDEX(PointerTest!B:B, MATCH(B92, PointerTest!A:A, 0)), PointerTest!A:A, 0), 0), 'language&amp;DataTest'!A:A, 0), MATCH(HOME!$A$25, 'language&amp;DataTest'!$A$1:$H$1, 0))),                      
IFERROR(INDEX('language&amp;DataTest'!A:J, MATCH(INDEX( PointerTest!D:D, MATCH(INDEX(PointerTest!B:B, MATCH(B92, PointerTest!A:A, 0)), PointerTest!A:A, 0), 0), 'language&amp;DataTest'!A:A, 0), MATCH(HOME!$A$25, 'language&amp;DataTest'!$A$1:$H$1, 0))),                                          
IFERROR(INDEX('language&amp;DataTest'!A:J, MATCH(INDEX( PointerTest!E:E, MATCH(INDEX(PointerTest!B:B, MATCH(B92, PointerTest!A:A, 0)), PointerTest!A:A, 0), 0), 'language&amp;DataTest'!A:A, 0), MATCH(HOME!$A$25, 'language&amp;DataTest'!$A$1:$H$1, 0))))</f>
        <v>Lucario ex</v>
      </c>
      <c r="E92" s="69" t="str">
        <f t="array" ref="E92">INDEX( PointerTest!F:F, MATCH(B92, PointerTest!A:A, 0), 0)</f>
        <v>☆☆</v>
      </c>
      <c r="F92" s="70"/>
      <c r="G92" s="71">
        <f t="array" ref="G92">LET(percentage,XLOOKUP($E92,$K$2:$K$12,M$2:M$12,"",0)/(COUNTIFS($E:$E,$E92,$D:$D,RegularFormula!$D$2)+COUNTIFS($E:$E,$E92,$D:$D,IF($D92=RegularFormula!$D$2,$K$17,$D92))),IFERROR(IF(percentage,percentage,""),""))</f>
        <v>0.0003067908824</v>
      </c>
      <c r="H92" s="71">
        <f t="array" ref="H92">LET(percentage,XLOOKUP($E92,$K$2:$K$12,N$2:N$12,"",0)/(COUNTIFS($E:$E,$E92,$D:$D,RegularFormula!$D$2)+COUNTIFS($E:$E,$E92,$D:$D,IF($D92=RegularFormula!$D$2,$K$17,$D92))),IFERROR(IF(percentage,percentage,""),""))</f>
        <v>0.001188702647</v>
      </c>
      <c r="I92" s="72" t="str">
        <f t="shared" si="1"/>
        <v/>
      </c>
      <c r="J92" s="73">
        <v>0.0</v>
      </c>
      <c r="K92" s="194"/>
      <c r="L92" s="55"/>
      <c r="M92" s="55"/>
      <c r="N92" s="55"/>
      <c r="O92" s="103"/>
      <c r="P92" s="103"/>
      <c r="Q92" s="103"/>
      <c r="R92" s="79"/>
    </row>
    <row r="93">
      <c r="A93" s="217" t="b">
        <v>0</v>
      </c>
      <c r="B93" s="218" t="s">
        <v>945</v>
      </c>
      <c r="C93" s="69" t="str">
        <f t="array" ref="C93">TEXTJOIN("", TRUE, IFERROR(INDEX('language&amp;DataTest'!A:J, MATCH(INDEX( PointerTest!C:C, MATCH(B93, PointerTest!A:A, 0), 0), 'language&amp;DataTest'!A:A, 0), MATCH(HOME!$A$25, 'language&amp;DataTest'!$A$1:$H$1, 0))),                      IFERROR(INDEX('language&amp;DataTest'!A:J, MATCH(INDEX( PointerTest!D:D, MATCH(B93, PointerTest!A:A, 0), 0), 'language&amp;DataTest'!A:A, 0), MATCH(HOME!$A$25, 'language&amp;DataTest'!$A$1:$H$1, 0))),                                          
IFERROR(INDEX('language&amp;DataTest'!A:J, MATCH(INDEX( PointerTest!E:E, MATCH(B93, PointerTest!A:A, 0), 0), 'language&amp;DataTest'!A:A, 0), MATCH(HOME!$A$25, 'language&amp;DataTest'!$A$1:$H$1, 0))))</f>
        <v>Pikachu ex</v>
      </c>
      <c r="D93" s="69" t="str">
        <f t="array" ref="D93">TEXTJOIN("", TRUE, 
IFERROR(INDEX('language&amp;DataTest'!A:J, MATCH(INDEX( PointerTest!C:C, MATCH(INDEX(PointerTest!B:B, MATCH(B93, PointerTest!A:A, 0)), PointerTest!A:A, 0), 0), 'language&amp;DataTest'!A:A, 0), MATCH(HOME!$A$25, 'language&amp;DataTest'!$A$1:$H$1, 0))),                      
IFERROR(INDEX('language&amp;DataTest'!A:J, MATCH(INDEX( PointerTest!D:D, MATCH(INDEX(PointerTest!B:B, MATCH(B93, PointerTest!A:A, 0)), PointerTest!A:A, 0), 0), 'language&amp;DataTest'!A:A, 0), MATCH(HOME!$A$25, 'language&amp;DataTest'!$A$1:$H$1, 0))),                                          
IFERROR(INDEX('language&amp;DataTest'!A:J, MATCH(INDEX( PointerTest!E:E, MATCH(INDEX(PointerTest!B:B, MATCH(B93, PointerTest!A:A, 0)), PointerTest!A:A, 0), 0), 'language&amp;DataTest'!A:A, 0), MATCH(HOME!$A$25, 'language&amp;DataTest'!$A$1:$H$1, 0))))</f>
        <v>Lucario ex</v>
      </c>
      <c r="E93" s="69" t="str">
        <f t="array" ref="E93">INDEX( PointerTest!F:F, MATCH(B93, PointerTest!A:A, 0), 0)</f>
        <v>☆☆</v>
      </c>
      <c r="F93" s="70"/>
      <c r="G93" s="71">
        <f t="array" ref="G93">LET(percentage,XLOOKUP($E93,$K$2:$K$12,M$2:M$12,"",0)/(COUNTIFS($E:$E,$E93,$D:$D,RegularFormula!$D$2)+COUNTIFS($E:$E,$E93,$D:$D,IF($D93=RegularFormula!$D$2,$K$17,$D93))),IFERROR(IF(percentage,percentage,""),""))</f>
        <v>0.0003067908824</v>
      </c>
      <c r="H93" s="71">
        <f t="array" ref="H93">LET(percentage,XLOOKUP($E93,$K$2:$K$12,N$2:N$12,"",0)/(COUNTIFS($E:$E,$E93,$D:$D,RegularFormula!$D$2)+COUNTIFS($E:$E,$E93,$D:$D,IF($D93=RegularFormula!$D$2,$K$17,$D93))),IFERROR(IF(percentage,percentage,""),""))</f>
        <v>0.001188702647</v>
      </c>
      <c r="I93" s="72" t="str">
        <f t="shared" si="1"/>
        <v/>
      </c>
      <c r="J93" s="73">
        <v>0.0</v>
      </c>
      <c r="K93" s="194"/>
      <c r="L93" s="55"/>
      <c r="M93" s="55"/>
      <c r="N93" s="55"/>
      <c r="O93" s="103"/>
      <c r="P93" s="103"/>
      <c r="Q93" s="103"/>
      <c r="R93" s="79"/>
    </row>
    <row r="94">
      <c r="A94" s="217" t="b">
        <v>1</v>
      </c>
      <c r="B94" s="218" t="s">
        <v>946</v>
      </c>
      <c r="C94" s="69" t="str">
        <f t="array" ref="C94">TEXTJOIN("", TRUE, IFERROR(INDEX('language&amp;DataTest'!A:J, MATCH(INDEX( PointerTest!C:C, MATCH(B94, PointerTest!A:A, 0), 0), 'language&amp;DataTest'!A:A, 0), MATCH(HOME!$A$25, 'language&amp;DataTest'!$A$1:$H$1, 0))),                      IFERROR(INDEX('language&amp;DataTest'!A:J, MATCH(INDEX( PointerTest!D:D, MATCH(B94, PointerTest!A:A, 0), 0), 'language&amp;DataTest'!A:A, 0), MATCH(HOME!$A$25, 'language&amp;DataTest'!$A$1:$H$1, 0))),                                          
IFERROR(INDEX('language&amp;DataTest'!A:J, MATCH(INDEX( PointerTest!E:E, MATCH(B94, PointerTest!A:A, 0), 0), 'language&amp;DataTest'!A:A, 0), MATCH(HOME!$A$25, 'language&amp;DataTest'!$A$1:$H$1, 0))))</f>
        <v>Paldean Clodsire ex</v>
      </c>
      <c r="D94" s="69" t="str">
        <f t="array" ref="D94">TEXTJOIN("", TRUE, 
IFERROR(INDEX('language&amp;DataTest'!A:J, MATCH(INDEX( PointerTest!C:C, MATCH(INDEX(PointerTest!B:B, MATCH(B94, PointerTest!A:A, 0)), PointerTest!A:A, 0), 0), 'language&amp;DataTest'!A:A, 0), MATCH(HOME!$A$25, 'language&amp;DataTest'!$A$1:$H$1, 0))),                      
IFERROR(INDEX('language&amp;DataTest'!A:J, MATCH(INDEX( PointerTest!D:D, MATCH(INDEX(PointerTest!B:B, MATCH(B94, PointerTest!A:A, 0)), PointerTest!A:A, 0), 0), 'language&amp;DataTest'!A:A, 0), MATCH(HOME!$A$25, 'language&amp;DataTest'!$A$1:$H$1, 0))),                                          
IFERROR(INDEX('language&amp;DataTest'!A:J, MATCH(INDEX( PointerTest!E:E, MATCH(INDEX(PointerTest!B:B, MATCH(B94, PointerTest!A:A, 0)), PointerTest!A:A, 0), 0), 'language&amp;DataTest'!A:A, 0), MATCH(HOME!$A$25, 'language&amp;DataTest'!$A$1:$H$1, 0))))</f>
        <v>Lucario ex</v>
      </c>
      <c r="E94" s="69" t="str">
        <f t="array" ref="E94">INDEX( PointerTest!F:F, MATCH(B94, PointerTest!A:A, 0), 0)</f>
        <v>☆☆</v>
      </c>
      <c r="F94" s="70"/>
      <c r="G94" s="71">
        <f t="array" ref="G94">LET(percentage,XLOOKUP($E94,$K$2:$K$12,M$2:M$12,"",0)/(COUNTIFS($E:$E,$E94,$D:$D,RegularFormula!$D$2)+COUNTIFS($E:$E,$E94,$D:$D,IF($D94=RegularFormula!$D$2,$K$17,$D94))),IFERROR(IF(percentage,percentage,""),""))</f>
        <v>0.0003067908824</v>
      </c>
      <c r="H94" s="71">
        <f t="array" ref="H94">LET(percentage,XLOOKUP($E94,$K$2:$K$12,N$2:N$12,"",0)/(COUNTIFS($E:$E,$E94,$D:$D,RegularFormula!$D$2)+COUNTIFS($E:$E,$E94,$D:$D,IF($D94=RegularFormula!$D$2,$K$17,$D94))),IFERROR(IF(percentage,percentage,""),""))</f>
        <v>0.001188702647</v>
      </c>
      <c r="I94" s="72" t="str">
        <f t="shared" si="1"/>
        <v/>
      </c>
      <c r="J94" s="73">
        <v>0.0</v>
      </c>
      <c r="K94" s="194"/>
      <c r="L94" s="55"/>
      <c r="M94" s="55"/>
      <c r="N94" s="55"/>
      <c r="O94" s="103"/>
      <c r="P94" s="103"/>
      <c r="Q94" s="103"/>
      <c r="R94" s="79"/>
    </row>
    <row r="95">
      <c r="A95" s="217" t="b">
        <v>0</v>
      </c>
      <c r="B95" s="218" t="s">
        <v>947</v>
      </c>
      <c r="C95" s="69" t="str">
        <f t="array" ref="C95">TEXTJOIN("", TRUE, IFERROR(INDEX('language&amp;DataTest'!A:J, MATCH(INDEX( PointerTest!C:C, MATCH(B95, PointerTest!A:A, 0), 0), 'language&amp;DataTest'!A:A, 0), MATCH(HOME!$A$25, 'language&amp;DataTest'!$A$1:$H$1, 0))),                      IFERROR(INDEX('language&amp;DataTest'!A:J, MATCH(INDEX( PointerTest!D:D, MATCH(B95, PointerTest!A:A, 0), 0), 'language&amp;DataTest'!A:A, 0), MATCH(HOME!$A$25, 'language&amp;DataTest'!$A$1:$H$1, 0))),                                          
IFERROR(INDEX('language&amp;DataTest'!A:J, MATCH(INDEX( PointerTest!E:E, MATCH(B95, PointerTest!A:A, 0), 0), 'language&amp;DataTest'!A:A, 0), MATCH(HOME!$A$25, 'language&amp;DataTest'!$A$1:$H$1, 0))))</f>
        <v>Tinkaton ex</v>
      </c>
      <c r="D95" s="69" t="str">
        <f t="array" ref="D95">TEXTJOIN("", TRUE, 
IFERROR(INDEX('language&amp;DataTest'!A:J, MATCH(INDEX( PointerTest!C:C, MATCH(INDEX(PointerTest!B:B, MATCH(B95, PointerTest!A:A, 0)), PointerTest!A:A, 0), 0), 'language&amp;DataTest'!A:A, 0), MATCH(HOME!$A$25, 'language&amp;DataTest'!$A$1:$H$1, 0))),                      
IFERROR(INDEX('language&amp;DataTest'!A:J, MATCH(INDEX( PointerTest!D:D, MATCH(INDEX(PointerTest!B:B, MATCH(B95, PointerTest!A:A, 0)), PointerTest!A:A, 0), 0), 'language&amp;DataTest'!A:A, 0), MATCH(HOME!$A$25, 'language&amp;DataTest'!$A$1:$H$1, 0))),                                          
IFERROR(INDEX('language&amp;DataTest'!A:J, MATCH(INDEX( PointerTest!E:E, MATCH(INDEX(PointerTest!B:B, MATCH(B95, PointerTest!A:A, 0)), PointerTest!A:A, 0), 0), 'language&amp;DataTest'!A:A, 0), MATCH(HOME!$A$25, 'language&amp;DataTest'!$A$1:$H$1, 0))))</f>
        <v>Lucario ex</v>
      </c>
      <c r="E95" s="69" t="str">
        <f t="array" ref="E95">INDEX( PointerTest!F:F, MATCH(B95, PointerTest!A:A, 0), 0)</f>
        <v>☆☆</v>
      </c>
      <c r="F95" s="70"/>
      <c r="G95" s="71">
        <f t="array" ref="G95">LET(percentage,XLOOKUP($E95,$K$2:$K$12,M$2:M$12,"",0)/(COUNTIFS($E:$E,$E95,$D:$D,RegularFormula!$D$2)+COUNTIFS($E:$E,$E95,$D:$D,IF($D95=RegularFormula!$D$2,$K$17,$D95))),IFERROR(IF(percentage,percentage,""),""))</f>
        <v>0.0003067908824</v>
      </c>
      <c r="H95" s="71">
        <f t="array" ref="H95">LET(percentage,XLOOKUP($E95,$K$2:$K$12,N$2:N$12,"",0)/(COUNTIFS($E:$E,$E95,$D:$D,RegularFormula!$D$2)+COUNTIFS($E:$E,$E95,$D:$D,IF($D95=RegularFormula!$D$2,$K$17,$D95))),IFERROR(IF(percentage,percentage,""),""))</f>
        <v>0.001188702647</v>
      </c>
      <c r="I95" s="72" t="str">
        <f t="shared" si="1"/>
        <v/>
      </c>
      <c r="J95" s="73">
        <v>0.0</v>
      </c>
      <c r="K95" s="194"/>
      <c r="L95" s="55"/>
      <c r="M95" s="55"/>
      <c r="N95" s="55"/>
      <c r="O95" s="103"/>
      <c r="P95" s="103"/>
      <c r="Q95" s="103"/>
      <c r="R95" s="79"/>
    </row>
    <row r="96">
      <c r="A96" s="217" t="b">
        <v>0</v>
      </c>
      <c r="B96" s="218" t="s">
        <v>948</v>
      </c>
      <c r="C96" s="69" t="str">
        <f t="array" ref="C96">TEXTJOIN("", TRUE, IFERROR(INDEX('language&amp;DataTest'!A:J, MATCH(INDEX( PointerTest!C:C, MATCH(B96, PointerTest!A:A, 0), 0), 'language&amp;DataTest'!A:A, 0), MATCH(HOME!$A$25, 'language&amp;DataTest'!$A$1:$H$1, 0))),                      IFERROR(INDEX('language&amp;DataTest'!A:J, MATCH(INDEX( PointerTest!D:D, MATCH(B96, PointerTest!A:A, 0), 0), 'language&amp;DataTest'!A:A, 0), MATCH(HOME!$A$25, 'language&amp;DataTest'!$A$1:$H$1, 0))),                                          
IFERROR(INDEX('language&amp;DataTest'!A:J, MATCH(INDEX( PointerTest!E:E, MATCH(B96, PointerTest!A:A, 0), 0), 'language&amp;DataTest'!A:A, 0), MATCH(HOME!$A$25, 'language&amp;DataTest'!$A$1:$H$1, 0))))</f>
        <v>Bibarel ex</v>
      </c>
      <c r="D96" s="69" t="str">
        <f t="array" ref="D96">TEXTJOIN("", TRUE, 
IFERROR(INDEX('language&amp;DataTest'!A:J, MATCH(INDEX( PointerTest!C:C, MATCH(INDEX(PointerTest!B:B, MATCH(B96, PointerTest!A:A, 0)), PointerTest!A:A, 0), 0), 'language&amp;DataTest'!A:A, 0), MATCH(HOME!$A$25, 'language&amp;DataTest'!$A$1:$H$1, 0))),                      
IFERROR(INDEX('language&amp;DataTest'!A:J, MATCH(INDEX( PointerTest!D:D, MATCH(INDEX(PointerTest!B:B, MATCH(B96, PointerTest!A:A, 0)), PointerTest!A:A, 0), 0), 'language&amp;DataTest'!A:A, 0), MATCH(HOME!$A$25, 'language&amp;DataTest'!$A$1:$H$1, 0))),                                          
IFERROR(INDEX('language&amp;DataTest'!A:J, MATCH(INDEX( PointerTest!E:E, MATCH(INDEX(PointerTest!B:B, MATCH(B96, PointerTest!A:A, 0)), PointerTest!A:A, 0), 0), 'language&amp;DataTest'!A:A, 0), MATCH(HOME!$A$25, 'language&amp;DataTest'!$A$1:$H$1, 0))))</f>
        <v>Lucario ex</v>
      </c>
      <c r="E96" s="69" t="str">
        <f t="array" ref="E96">INDEX( PointerTest!F:F, MATCH(B96, PointerTest!A:A, 0), 0)</f>
        <v>☆☆</v>
      </c>
      <c r="F96" s="70"/>
      <c r="G96" s="71">
        <f t="array" ref="G96">LET(percentage,XLOOKUP($E96,$K$2:$K$12,M$2:M$12,"",0)/(COUNTIFS($E:$E,$E96,$D:$D,RegularFormula!$D$2)+COUNTIFS($E:$E,$E96,$D:$D,IF($D96=RegularFormula!$D$2,$K$17,$D96))),IFERROR(IF(percentage,percentage,""),""))</f>
        <v>0.0003067908824</v>
      </c>
      <c r="H96" s="71">
        <f t="array" ref="H96">LET(percentage,XLOOKUP($E96,$K$2:$K$12,N$2:N$12,"",0)/(COUNTIFS($E:$E,$E96,$D:$D,RegularFormula!$D$2)+COUNTIFS($E:$E,$E96,$D:$D,IF($D96=RegularFormula!$D$2,$K$17,$D96))),IFERROR(IF(percentage,percentage,""),""))</f>
        <v>0.001188702647</v>
      </c>
      <c r="I96" s="72" t="str">
        <f t="shared" si="1"/>
        <v/>
      </c>
      <c r="J96" s="73">
        <v>0.0</v>
      </c>
      <c r="K96" s="194"/>
      <c r="L96" s="55"/>
      <c r="M96" s="55"/>
      <c r="N96" s="55"/>
      <c r="O96" s="103"/>
      <c r="P96" s="103"/>
      <c r="Q96" s="103"/>
      <c r="R96" s="79"/>
    </row>
    <row r="97">
      <c r="A97" s="217" t="b">
        <v>1</v>
      </c>
      <c r="B97" s="218" t="s">
        <v>949</v>
      </c>
      <c r="C97" s="69" t="str">
        <f t="array" ref="C97">TEXTJOIN("", TRUE, IFERROR(INDEX('language&amp;DataTest'!A:J, MATCH(INDEX( PointerTest!C:C, MATCH(B97, PointerTest!A:A, 0), 0), 'language&amp;DataTest'!A:A, 0), MATCH(HOME!$A$25, 'language&amp;DataTest'!$A$1:$H$1, 0))),                      IFERROR(INDEX('language&amp;DataTest'!A:J, MATCH(INDEX( PointerTest!D:D, MATCH(B97, PointerTest!A:A, 0), 0), 'language&amp;DataTest'!A:A, 0), MATCH(HOME!$A$25, 'language&amp;DataTest'!$A$1:$H$1, 0))),                                          
IFERROR(INDEX('language&amp;DataTest'!A:J, MATCH(INDEX( PointerTest!E:E, MATCH(B97, PointerTest!A:A, 0), 0), 'language&amp;DataTest'!A:A, 0), MATCH(HOME!$A$25, 'language&amp;DataTest'!$A$1:$H$1, 0))))</f>
        <v>Giratina ex</v>
      </c>
      <c r="D97" s="69" t="str">
        <f t="array" ref="D97">TEXTJOIN("", TRUE, 
IFERROR(INDEX('language&amp;DataTest'!A:J, MATCH(INDEX( PointerTest!C:C, MATCH(INDEX(PointerTest!B:B, MATCH(B97, PointerTest!A:A, 0)), PointerTest!A:A, 0), 0), 'language&amp;DataTest'!A:A, 0), MATCH(HOME!$A$25, 'language&amp;DataTest'!$A$1:$H$1, 0))),                      
IFERROR(INDEX('language&amp;DataTest'!A:J, MATCH(INDEX( PointerTest!D:D, MATCH(INDEX(PointerTest!B:B, MATCH(B97, PointerTest!A:A, 0)), PointerTest!A:A, 0), 0), 'language&amp;DataTest'!A:A, 0), MATCH(HOME!$A$25, 'language&amp;DataTest'!$A$1:$H$1, 0))),                                          
IFERROR(INDEX('language&amp;DataTest'!A:J, MATCH(INDEX( PointerTest!E:E, MATCH(INDEX(PointerTest!B:B, MATCH(B97, PointerTest!A:A, 0)), PointerTest!A:A, 0), 0), 'language&amp;DataTest'!A:A, 0), MATCH(HOME!$A$25, 'language&amp;DataTest'!$A$1:$H$1, 0))))</f>
        <v>Lucario ex</v>
      </c>
      <c r="E97" s="69" t="str">
        <f t="array" ref="E97">INDEX( PointerTest!F:F, MATCH(B97, PointerTest!A:A, 0), 0)</f>
        <v>☆☆☆</v>
      </c>
      <c r="F97" s="70"/>
      <c r="G97" s="71">
        <f t="array" ref="G97">LET(percentage,XLOOKUP($E97,$K$2:$K$12,M$2:M$12,"",0)/(COUNTIFS($E:$E,$E97,$D:$D,RegularFormula!$D$2)+COUNTIFS($E:$E,$E97,$D:$D,IF($D97=RegularFormula!$D$2,$K$17,$D97))),IFERROR(IF(percentage,percentage,""),""))</f>
        <v>0.00223171</v>
      </c>
      <c r="H97" s="71">
        <f t="array" ref="H97">LET(percentage,XLOOKUP($E97,$K$2:$K$12,N$2:N$12,"",0)/(COUNTIFS($E:$E,$E97,$D:$D,RegularFormula!$D$2)+COUNTIFS($E:$E,$E97,$D:$D,IF($D97=RegularFormula!$D$2,$K$17,$D97))),IFERROR(IF(percentage,percentage,""),""))</f>
        <v>0.00888838</v>
      </c>
      <c r="I97" s="72" t="str">
        <f t="shared" si="1"/>
        <v/>
      </c>
      <c r="J97" s="73">
        <v>0.0</v>
      </c>
      <c r="K97" s="194"/>
      <c r="L97" s="55"/>
      <c r="M97" s="55"/>
      <c r="N97" s="55"/>
      <c r="O97" s="103"/>
      <c r="P97" s="103"/>
      <c r="Q97" s="103"/>
      <c r="R97" s="79"/>
    </row>
    <row r="98">
      <c r="A98" s="217" t="b">
        <v>1</v>
      </c>
      <c r="B98" s="218" t="s">
        <v>950</v>
      </c>
      <c r="C98" s="69" t="str">
        <f t="array" ref="C98">TEXTJOIN("", TRUE, IFERROR(INDEX('language&amp;DataTest'!A:J, MATCH(INDEX( PointerTest!C:C, MATCH(B98, PointerTest!A:A, 0), 0), 'language&amp;DataTest'!A:A, 0), MATCH(HOME!$A$25, 'language&amp;DataTest'!$A$1:$H$1, 0))),                      IFERROR(INDEX('language&amp;DataTest'!A:J, MATCH(INDEX( PointerTest!D:D, MATCH(B98, PointerTest!A:A, 0), 0), 'language&amp;DataTest'!A:A, 0), MATCH(HOME!$A$25, 'language&amp;DataTest'!$A$1:$H$1, 0))),                                          
IFERROR(INDEX('language&amp;DataTest'!A:J, MATCH(INDEX( PointerTest!E:E, MATCH(B98, PointerTest!A:A, 0), 0), 'language&amp;DataTest'!A:A, 0), MATCH(HOME!$A$25, 'language&amp;DataTest'!$A$1:$H$1, 0))))</f>
        <v>Weedle</v>
      </c>
      <c r="D98" s="69" t="str">
        <f t="array" ref="D98">TEXTJOIN("", TRUE, 
IFERROR(INDEX('language&amp;DataTest'!A:J, MATCH(INDEX( PointerTest!C:C, MATCH(INDEX(PointerTest!B:B, MATCH(B98, PointerTest!A:A, 0)), PointerTest!A:A, 0), 0), 'language&amp;DataTest'!A:A, 0), MATCH(HOME!$A$25, 'language&amp;DataTest'!$A$1:$H$1, 0))),                      
IFERROR(INDEX('language&amp;DataTest'!A:J, MATCH(INDEX( PointerTest!D:D, MATCH(INDEX(PointerTest!B:B, MATCH(B98, PointerTest!A:A, 0)), PointerTest!A:A, 0), 0), 'language&amp;DataTest'!A:A, 0), MATCH(HOME!$A$25, 'language&amp;DataTest'!$A$1:$H$1, 0))),                                          
IFERROR(INDEX('language&amp;DataTest'!A:J, MATCH(INDEX( PointerTest!E:E, MATCH(INDEX(PointerTest!B:B, MATCH(B98, PointerTest!A:A, 0)), PointerTest!A:A, 0), 0), 'language&amp;DataTest'!A:A, 0), MATCH(HOME!$A$25, 'language&amp;DataTest'!$A$1:$H$1, 0))))</f>
        <v>Lucario ex</v>
      </c>
      <c r="E98" s="69" t="str">
        <f t="array" ref="E98">INDEX( PointerTest!F:F, MATCH(B98, PointerTest!A:A, 0), 0)</f>
        <v>✷</v>
      </c>
      <c r="F98" s="70"/>
      <c r="G98" s="71">
        <f t="array" ref="G98">LET(percentage,XLOOKUP($E98,$K$2:$K$12,M$2:M$12,"",0)/(COUNTIFS($E:$E,$E98,$D:$D,RegularFormula!$D$2)+COUNTIFS($E:$E,$E98,$D:$D,IF($D98=RegularFormula!$D$2,$K$17,$D98))),IFERROR(IF(percentage,percentage,""),""))</f>
        <v>0.0007264635</v>
      </c>
      <c r="H98" s="71">
        <f t="array" ref="H98">LET(percentage,XLOOKUP($E98,$K$2:$K$12,N$2:N$12,"",0)/(COUNTIFS($E:$E,$E98,$D:$D,RegularFormula!$D$2)+COUNTIFS($E:$E,$E98,$D:$D,IF($D98=RegularFormula!$D$2,$K$17,$D98))),IFERROR(IF(percentage,percentage,""),""))</f>
        <v>0.002868392</v>
      </c>
      <c r="I98" s="72" t="str">
        <f t="shared" si="1"/>
        <v/>
      </c>
      <c r="J98" s="73">
        <v>0.0</v>
      </c>
      <c r="K98" s="194"/>
      <c r="L98" s="55"/>
      <c r="M98" s="55"/>
      <c r="N98" s="55"/>
      <c r="O98" s="103"/>
      <c r="P98" s="103"/>
      <c r="Q98" s="103"/>
      <c r="R98" s="79"/>
    </row>
    <row r="99">
      <c r="A99" s="217" t="b">
        <v>1</v>
      </c>
      <c r="B99" s="218" t="s">
        <v>951</v>
      </c>
      <c r="C99" s="69" t="str">
        <f t="array" ref="C99">TEXTJOIN("", TRUE, IFERROR(INDEX('language&amp;DataTest'!A:J, MATCH(INDEX( PointerTest!C:C, MATCH(B99, PointerTest!A:A, 0), 0), 'language&amp;DataTest'!A:A, 0), MATCH(HOME!$A$25, 'language&amp;DataTest'!$A$1:$H$1, 0))),                      IFERROR(INDEX('language&amp;DataTest'!A:J, MATCH(INDEX( PointerTest!D:D, MATCH(B99, PointerTest!A:A, 0), 0), 'language&amp;DataTest'!A:A, 0), MATCH(HOME!$A$25, 'language&amp;DataTest'!$A$1:$H$1, 0))),                                          
IFERROR(INDEX('language&amp;DataTest'!A:J, MATCH(INDEX( PointerTest!E:E, MATCH(B99, PointerTest!A:A, 0), 0), 'language&amp;DataTest'!A:A, 0), MATCH(HOME!$A$25, 'language&amp;DataTest'!$A$1:$H$1, 0))))</f>
        <v>Kakuna</v>
      </c>
      <c r="D99" s="69" t="str">
        <f t="array" ref="D99">TEXTJOIN("", TRUE, 
IFERROR(INDEX('language&amp;DataTest'!A:J, MATCH(INDEX( PointerTest!C:C, MATCH(INDEX(PointerTest!B:B, MATCH(B99, PointerTest!A:A, 0)), PointerTest!A:A, 0), 0), 'language&amp;DataTest'!A:A, 0), MATCH(HOME!$A$25, 'language&amp;DataTest'!$A$1:$H$1, 0))),                      
IFERROR(INDEX('language&amp;DataTest'!A:J, MATCH(INDEX( PointerTest!D:D, MATCH(INDEX(PointerTest!B:B, MATCH(B99, PointerTest!A:A, 0)), PointerTest!A:A, 0), 0), 'language&amp;DataTest'!A:A, 0), MATCH(HOME!$A$25, 'language&amp;DataTest'!$A$1:$H$1, 0))),                                          
IFERROR(INDEX('language&amp;DataTest'!A:J, MATCH(INDEX( PointerTest!E:E, MATCH(INDEX(PointerTest!B:B, MATCH(B99, PointerTest!A:A, 0)), PointerTest!A:A, 0), 0), 'language&amp;DataTest'!A:A, 0), MATCH(HOME!$A$25, 'language&amp;DataTest'!$A$1:$H$1, 0))))</f>
        <v>Lucario ex</v>
      </c>
      <c r="E99" s="69" t="str">
        <f t="array" ref="E99">INDEX( PointerTest!F:F, MATCH(B99, PointerTest!A:A, 0), 0)</f>
        <v>✷</v>
      </c>
      <c r="F99" s="70"/>
      <c r="G99" s="71">
        <f t="array" ref="G99">LET(percentage,XLOOKUP($E99,$K$2:$K$12,M$2:M$12,"",0)/(COUNTIFS($E:$E,$E99,$D:$D,RegularFormula!$D$2)+COUNTIFS($E:$E,$E99,$D:$D,IF($D99=RegularFormula!$D$2,$K$17,$D99))),IFERROR(IF(percentage,percentage,""),""))</f>
        <v>0.0007264635</v>
      </c>
      <c r="H99" s="71">
        <f t="array" ref="H99">LET(percentage,XLOOKUP($E99,$K$2:$K$12,N$2:N$12,"",0)/(COUNTIFS($E:$E,$E99,$D:$D,RegularFormula!$D$2)+COUNTIFS($E:$E,$E99,$D:$D,IF($D99=RegularFormula!$D$2,$K$17,$D99))),IFERROR(IF(percentage,percentage,""),""))</f>
        <v>0.002868392</v>
      </c>
      <c r="I99" s="72" t="str">
        <f t="shared" si="1"/>
        <v/>
      </c>
      <c r="J99" s="73">
        <v>0.0</v>
      </c>
      <c r="K99" s="194"/>
      <c r="L99" s="55"/>
      <c r="M99" s="55"/>
      <c r="N99" s="55"/>
      <c r="O99" s="103"/>
      <c r="P99" s="103"/>
      <c r="Q99" s="103"/>
      <c r="R99" s="79"/>
    </row>
    <row r="100">
      <c r="A100" s="217" t="b">
        <v>0</v>
      </c>
      <c r="B100" s="218" t="s">
        <v>952</v>
      </c>
      <c r="C100" s="69" t="str">
        <f t="array" ref="C100">TEXTJOIN("", TRUE, IFERROR(INDEX('language&amp;DataTest'!A:J, MATCH(INDEX( PointerTest!C:C, MATCH(B100, PointerTest!A:A, 0), 0), 'language&amp;DataTest'!A:A, 0), MATCH(HOME!$A$25, 'language&amp;DataTest'!$A$1:$H$1, 0))),                      IFERROR(INDEX('language&amp;DataTest'!A:J, MATCH(INDEX( PointerTest!D:D, MATCH(B100, PointerTest!A:A, 0), 0), 'language&amp;DataTest'!A:A, 0), MATCH(HOME!$A$25, 'language&amp;DataTest'!$A$1:$H$1, 0))),                                          
IFERROR(INDEX('language&amp;DataTest'!A:J, MATCH(INDEX( PointerTest!E:E, MATCH(B100, PointerTest!A:A, 0), 0), 'language&amp;DataTest'!A:A, 0), MATCH(HOME!$A$25, 'language&amp;DataTest'!$A$1:$H$1, 0))))</f>
        <v>Charmander</v>
      </c>
      <c r="D100" s="69" t="str">
        <f t="array" ref="D100">TEXTJOIN("", TRUE, 
IFERROR(INDEX('language&amp;DataTest'!A:J, MATCH(INDEX( PointerTest!C:C, MATCH(INDEX(PointerTest!B:B, MATCH(B100, PointerTest!A:A, 0)), PointerTest!A:A, 0), 0), 'language&amp;DataTest'!A:A, 0), MATCH(HOME!$A$25, 'language&amp;DataTest'!$A$1:$H$1, 0))),                      
IFERROR(INDEX('language&amp;DataTest'!A:J, MATCH(INDEX( PointerTest!D:D, MATCH(INDEX(PointerTest!B:B, MATCH(B100, PointerTest!A:A, 0)), PointerTest!A:A, 0), 0), 'language&amp;DataTest'!A:A, 0), MATCH(HOME!$A$25, 'language&amp;DataTest'!$A$1:$H$1, 0))),                                          
IFERROR(INDEX('language&amp;DataTest'!A:J, MATCH(INDEX( PointerTest!E:E, MATCH(INDEX(PointerTest!B:B, MATCH(B100, PointerTest!A:A, 0)), PointerTest!A:A, 0), 0), 'language&amp;DataTest'!A:A, 0), MATCH(HOME!$A$25, 'language&amp;DataTest'!$A$1:$H$1, 0))))</f>
        <v>Lucario ex</v>
      </c>
      <c r="E100" s="69" t="str">
        <f t="array" ref="E100">INDEX( PointerTest!F:F, MATCH(B100, PointerTest!A:A, 0), 0)</f>
        <v>✷</v>
      </c>
      <c r="F100" s="70"/>
      <c r="G100" s="71">
        <f t="array" ref="G100">LET(percentage,XLOOKUP($E100,$K$2:$K$12,M$2:M$12,"",0)/(COUNTIFS($E:$E,$E100,$D:$D,RegularFormula!$D$2)+COUNTIFS($E:$E,$E100,$D:$D,IF($D100=RegularFormula!$D$2,$K$17,$D100))),IFERROR(IF(percentage,percentage,""),""))</f>
        <v>0.0007264635</v>
      </c>
      <c r="H100" s="71">
        <f t="array" ref="H100">LET(percentage,XLOOKUP($E100,$K$2:$K$12,N$2:N$12,"",0)/(COUNTIFS($E:$E,$E100,$D:$D,RegularFormula!$D$2)+COUNTIFS($E:$E,$E100,$D:$D,IF($D100=RegularFormula!$D$2,$K$17,$D100))),IFERROR(IF(percentage,percentage,""),""))</f>
        <v>0.002868392</v>
      </c>
      <c r="I100" s="72" t="str">
        <f t="shared" si="1"/>
        <v/>
      </c>
      <c r="J100" s="73">
        <v>0.0</v>
      </c>
      <c r="K100" s="194"/>
      <c r="L100" s="55"/>
      <c r="M100" s="55"/>
      <c r="N100" s="55"/>
      <c r="O100" s="103"/>
      <c r="P100" s="103"/>
      <c r="Q100" s="103"/>
      <c r="R100" s="79"/>
    </row>
    <row r="101">
      <c r="A101" s="217" t="b">
        <v>0</v>
      </c>
      <c r="B101" s="218" t="s">
        <v>953</v>
      </c>
      <c r="C101" s="69" t="str">
        <f t="array" ref="C101">TEXTJOIN("", TRUE, IFERROR(INDEX('language&amp;DataTest'!A:J, MATCH(INDEX( PointerTest!C:C, MATCH(B101, PointerTest!A:A, 0), 0), 'language&amp;DataTest'!A:A, 0), MATCH(HOME!$A$25, 'language&amp;DataTest'!$A$1:$H$1, 0))),                      IFERROR(INDEX('language&amp;DataTest'!A:J, MATCH(INDEX( PointerTest!D:D, MATCH(B101, PointerTest!A:A, 0), 0), 'language&amp;DataTest'!A:A, 0), MATCH(HOME!$A$25, 'language&amp;DataTest'!$A$1:$H$1, 0))),                                          
IFERROR(INDEX('language&amp;DataTest'!A:J, MATCH(INDEX( PointerTest!E:E, MATCH(B101, PointerTest!A:A, 0), 0), 'language&amp;DataTest'!A:A, 0), MATCH(HOME!$A$25, 'language&amp;DataTest'!$A$1:$H$1, 0))))</f>
        <v>Charmeleon</v>
      </c>
      <c r="D101" s="69" t="str">
        <f t="array" ref="D101">TEXTJOIN("", TRUE, 
IFERROR(INDEX('language&amp;DataTest'!A:J, MATCH(INDEX( PointerTest!C:C, MATCH(INDEX(PointerTest!B:B, MATCH(B101, PointerTest!A:A, 0)), PointerTest!A:A, 0), 0), 'language&amp;DataTest'!A:A, 0), MATCH(HOME!$A$25, 'language&amp;DataTest'!$A$1:$H$1, 0))),                      
IFERROR(INDEX('language&amp;DataTest'!A:J, MATCH(INDEX( PointerTest!D:D, MATCH(INDEX(PointerTest!B:B, MATCH(B101, PointerTest!A:A, 0)), PointerTest!A:A, 0), 0), 'language&amp;DataTest'!A:A, 0), MATCH(HOME!$A$25, 'language&amp;DataTest'!$A$1:$H$1, 0))),                                          
IFERROR(INDEX('language&amp;DataTest'!A:J, MATCH(INDEX( PointerTest!E:E, MATCH(INDEX(PointerTest!B:B, MATCH(B101, PointerTest!A:A, 0)), PointerTest!A:A, 0), 0), 'language&amp;DataTest'!A:A, 0), MATCH(HOME!$A$25, 'language&amp;DataTest'!$A$1:$H$1, 0))))</f>
        <v>Lucario ex</v>
      </c>
      <c r="E101" s="69" t="str">
        <f t="array" ref="E101">INDEX( PointerTest!F:F, MATCH(B101, PointerTest!A:A, 0), 0)</f>
        <v>✷</v>
      </c>
      <c r="F101" s="70"/>
      <c r="G101" s="71">
        <f t="array" ref="G101">LET(percentage,XLOOKUP($E101,$K$2:$K$12,M$2:M$12,"",0)/(COUNTIFS($E:$E,$E101,$D:$D,RegularFormula!$D$2)+COUNTIFS($E:$E,$E101,$D:$D,IF($D101=RegularFormula!$D$2,$K$17,$D101))),IFERROR(IF(percentage,percentage,""),""))</f>
        <v>0.0007264635</v>
      </c>
      <c r="H101" s="71">
        <f t="array" ref="H101">LET(percentage,XLOOKUP($E101,$K$2:$K$12,N$2:N$12,"",0)/(COUNTIFS($E:$E,$E101,$D:$D,RegularFormula!$D$2)+COUNTIFS($E:$E,$E101,$D:$D,IF($D101=RegularFormula!$D$2,$K$17,$D101))),IFERROR(IF(percentage,percentage,""),""))</f>
        <v>0.002868392</v>
      </c>
      <c r="I101" s="72" t="str">
        <f t="shared" si="1"/>
        <v/>
      </c>
      <c r="J101" s="73">
        <v>0.0</v>
      </c>
      <c r="K101" s="194"/>
      <c r="L101" s="55"/>
      <c r="M101" s="55"/>
      <c r="N101" s="55"/>
      <c r="O101" s="103"/>
      <c r="P101" s="103"/>
      <c r="Q101" s="103"/>
      <c r="R101" s="79"/>
    </row>
    <row r="102">
      <c r="A102" s="217" t="b">
        <v>0</v>
      </c>
      <c r="B102" s="218" t="s">
        <v>954</v>
      </c>
      <c r="C102" s="69" t="str">
        <f t="array" ref="C102">TEXTJOIN("", TRUE, IFERROR(INDEX('language&amp;DataTest'!A:J, MATCH(INDEX( PointerTest!C:C, MATCH(B102, PointerTest!A:A, 0), 0), 'language&amp;DataTest'!A:A, 0), MATCH(HOME!$A$25, 'language&amp;DataTest'!$A$1:$H$1, 0))),                      IFERROR(INDEX('language&amp;DataTest'!A:J, MATCH(INDEX( PointerTest!D:D, MATCH(B102, PointerTest!A:A, 0), 0), 'language&amp;DataTest'!A:A, 0), MATCH(HOME!$A$25, 'language&amp;DataTest'!$A$1:$H$1, 0))),                                          
IFERROR(INDEX('language&amp;DataTest'!A:J, MATCH(INDEX( PointerTest!E:E, MATCH(B102, PointerTest!A:A, 0), 0), 'language&amp;DataTest'!A:A, 0), MATCH(HOME!$A$25, 'language&amp;DataTest'!$A$1:$H$1, 0))))</f>
        <v>Wiglett</v>
      </c>
      <c r="D102" s="69" t="str">
        <f t="array" ref="D102">TEXTJOIN("", TRUE, 
IFERROR(INDEX('language&amp;DataTest'!A:J, MATCH(INDEX( PointerTest!C:C, MATCH(INDEX(PointerTest!B:B, MATCH(B102, PointerTest!A:A, 0)), PointerTest!A:A, 0), 0), 'language&amp;DataTest'!A:A, 0), MATCH(HOME!$A$25, 'language&amp;DataTest'!$A$1:$H$1, 0))),                      
IFERROR(INDEX('language&amp;DataTest'!A:J, MATCH(INDEX( PointerTest!D:D, MATCH(INDEX(PointerTest!B:B, MATCH(B102, PointerTest!A:A, 0)), PointerTest!A:A, 0), 0), 'language&amp;DataTest'!A:A, 0), MATCH(HOME!$A$25, 'language&amp;DataTest'!$A$1:$H$1, 0))),                                          
IFERROR(INDEX('language&amp;DataTest'!A:J, MATCH(INDEX( PointerTest!E:E, MATCH(INDEX(PointerTest!B:B, MATCH(B102, PointerTest!A:A, 0)), PointerTest!A:A, 0), 0), 'language&amp;DataTest'!A:A, 0), MATCH(HOME!$A$25, 'language&amp;DataTest'!$A$1:$H$1, 0))))</f>
        <v>Lucario ex</v>
      </c>
      <c r="E102" s="69" t="str">
        <f t="array" ref="E102">INDEX( PointerTest!F:F, MATCH(B102, PointerTest!A:A, 0), 0)</f>
        <v>✷</v>
      </c>
      <c r="F102" s="70"/>
      <c r="G102" s="71">
        <f t="array" ref="G102">LET(percentage,XLOOKUP($E102,$K$2:$K$12,M$2:M$12,"",0)/(COUNTIFS($E:$E,$E102,$D:$D,RegularFormula!$D$2)+COUNTIFS($E:$E,$E102,$D:$D,IF($D102=RegularFormula!$D$2,$K$17,$D102))),IFERROR(IF(percentage,percentage,""),""))</f>
        <v>0.0007264635</v>
      </c>
      <c r="H102" s="71">
        <f t="array" ref="H102">LET(percentage,XLOOKUP($E102,$K$2:$K$12,N$2:N$12,"",0)/(COUNTIFS($E:$E,$E102,$D:$D,RegularFormula!$D$2)+COUNTIFS($E:$E,$E102,$D:$D,IF($D102=RegularFormula!$D$2,$K$17,$D102))),IFERROR(IF(percentage,percentage,""),""))</f>
        <v>0.002868392</v>
      </c>
      <c r="I102" s="72" t="str">
        <f t="shared" si="1"/>
        <v/>
      </c>
      <c r="J102" s="73">
        <v>0.0</v>
      </c>
      <c r="K102" s="194"/>
      <c r="L102" s="55"/>
      <c r="M102" s="55"/>
      <c r="N102" s="55"/>
      <c r="O102" s="103"/>
      <c r="P102" s="103"/>
      <c r="Q102" s="103"/>
      <c r="R102" s="79"/>
    </row>
    <row r="103">
      <c r="A103" s="217" t="b">
        <v>0</v>
      </c>
      <c r="B103" s="218" t="s">
        <v>955</v>
      </c>
      <c r="C103" s="69" t="str">
        <f t="array" ref="C103">TEXTJOIN("", TRUE, IFERROR(INDEX('language&amp;DataTest'!A:J, MATCH(INDEX( PointerTest!C:C, MATCH(B103, PointerTest!A:A, 0), 0), 'language&amp;DataTest'!A:A, 0), MATCH(HOME!$A$25, 'language&amp;DataTest'!$A$1:$H$1, 0))),                      IFERROR(INDEX('language&amp;DataTest'!A:J, MATCH(INDEX( PointerTest!D:D, MATCH(B103, PointerTest!A:A, 0), 0), 'language&amp;DataTest'!A:A, 0), MATCH(HOME!$A$25, 'language&amp;DataTest'!$A$1:$H$1, 0))),                                          
IFERROR(INDEX('language&amp;DataTest'!A:J, MATCH(INDEX( PointerTest!E:E, MATCH(B103, PointerTest!A:A, 0), 0), 'language&amp;DataTest'!A:A, 0), MATCH(HOME!$A$25, 'language&amp;DataTest'!$A$1:$H$1, 0))))</f>
        <v>Dondozo</v>
      </c>
      <c r="D103" s="69" t="str">
        <f t="array" ref="D103">TEXTJOIN("", TRUE, 
IFERROR(INDEX('language&amp;DataTest'!A:J, MATCH(INDEX( PointerTest!C:C, MATCH(INDEX(PointerTest!B:B, MATCH(B103, PointerTest!A:A, 0)), PointerTest!A:A, 0), 0), 'language&amp;DataTest'!A:A, 0), MATCH(HOME!$A$25, 'language&amp;DataTest'!$A$1:$H$1, 0))),                      
IFERROR(INDEX('language&amp;DataTest'!A:J, MATCH(INDEX( PointerTest!D:D, MATCH(INDEX(PointerTest!B:B, MATCH(B103, PointerTest!A:A, 0)), PointerTest!A:A, 0), 0), 'language&amp;DataTest'!A:A, 0), MATCH(HOME!$A$25, 'language&amp;DataTest'!$A$1:$H$1, 0))),                                          
IFERROR(INDEX('language&amp;DataTest'!A:J, MATCH(INDEX( PointerTest!E:E, MATCH(INDEX(PointerTest!B:B, MATCH(B103, PointerTest!A:A, 0)), PointerTest!A:A, 0), 0), 'language&amp;DataTest'!A:A, 0), MATCH(HOME!$A$25, 'language&amp;DataTest'!$A$1:$H$1, 0))))</f>
        <v>Lucario ex</v>
      </c>
      <c r="E103" s="69" t="str">
        <f t="array" ref="E103">INDEX( PointerTest!F:F, MATCH(B103, PointerTest!A:A, 0), 0)</f>
        <v>✷</v>
      </c>
      <c r="F103" s="70"/>
      <c r="G103" s="71">
        <f t="array" ref="G103">LET(percentage,XLOOKUP($E103,$K$2:$K$12,M$2:M$12,"",0)/(COUNTIFS($E:$E,$E103,$D:$D,RegularFormula!$D$2)+COUNTIFS($E:$E,$E103,$D:$D,IF($D103=RegularFormula!$D$2,$K$17,$D103))),IFERROR(IF(percentage,percentage,""),""))</f>
        <v>0.0007264635</v>
      </c>
      <c r="H103" s="71">
        <f t="array" ref="H103">LET(percentage,XLOOKUP($E103,$K$2:$K$12,N$2:N$12,"",0)/(COUNTIFS($E:$E,$E103,$D:$D,RegularFormula!$D$2)+COUNTIFS($E:$E,$E103,$D:$D,IF($D103=RegularFormula!$D$2,$K$17,$D103))),IFERROR(IF(percentage,percentage,""),""))</f>
        <v>0.002868392</v>
      </c>
      <c r="I103" s="72" t="str">
        <f t="shared" si="1"/>
        <v/>
      </c>
      <c r="J103" s="73">
        <v>0.0</v>
      </c>
      <c r="K103" s="194"/>
      <c r="L103" s="55"/>
      <c r="M103" s="55"/>
      <c r="N103" s="55"/>
      <c r="O103" s="103"/>
      <c r="P103" s="103"/>
      <c r="Q103" s="103"/>
      <c r="R103" s="79"/>
    </row>
    <row r="104">
      <c r="A104" s="217" t="b">
        <v>0</v>
      </c>
      <c r="B104" s="218" t="s">
        <v>956</v>
      </c>
      <c r="C104" s="69" t="str">
        <f t="array" ref="C104">TEXTJOIN("", TRUE, IFERROR(INDEX('language&amp;DataTest'!A:J, MATCH(INDEX( PointerTest!C:C, MATCH(B104, PointerTest!A:A, 0), 0), 'language&amp;DataTest'!A:A, 0), MATCH(HOME!$A$25, 'language&amp;DataTest'!$A$1:$H$1, 0))),                      IFERROR(INDEX('language&amp;DataTest'!A:J, MATCH(INDEX( PointerTest!D:D, MATCH(B104, PointerTest!A:A, 0), 0), 'language&amp;DataTest'!A:A, 0), MATCH(HOME!$A$25, 'language&amp;DataTest'!$A$1:$H$1, 0))),                                          
IFERROR(INDEX('language&amp;DataTest'!A:J, MATCH(INDEX( PointerTest!E:E, MATCH(B104, PointerTest!A:A, 0), 0), 'language&amp;DataTest'!A:A, 0), MATCH(HOME!$A$25, 'language&amp;DataTest'!$A$1:$H$1, 0))))</f>
        <v>Pachirisu</v>
      </c>
      <c r="D104" s="69" t="str">
        <f t="array" ref="D104">TEXTJOIN("", TRUE, 
IFERROR(INDEX('language&amp;DataTest'!A:J, MATCH(INDEX( PointerTest!C:C, MATCH(INDEX(PointerTest!B:B, MATCH(B104, PointerTest!A:A, 0)), PointerTest!A:A, 0), 0), 'language&amp;DataTest'!A:A, 0), MATCH(HOME!$A$25, 'language&amp;DataTest'!$A$1:$H$1, 0))),                      
IFERROR(INDEX('language&amp;DataTest'!A:J, MATCH(INDEX( PointerTest!D:D, MATCH(INDEX(PointerTest!B:B, MATCH(B104, PointerTest!A:A, 0)), PointerTest!A:A, 0), 0), 'language&amp;DataTest'!A:A, 0), MATCH(HOME!$A$25, 'language&amp;DataTest'!$A$1:$H$1, 0))),                                          
IFERROR(INDEX('language&amp;DataTest'!A:J, MATCH(INDEX( PointerTest!E:E, MATCH(INDEX(PointerTest!B:B, MATCH(B104, PointerTest!A:A, 0)), PointerTest!A:A, 0), 0), 'language&amp;DataTest'!A:A, 0), MATCH(HOME!$A$25, 'language&amp;DataTest'!$A$1:$H$1, 0))))</f>
        <v>Lucario ex</v>
      </c>
      <c r="E104" s="69" t="str">
        <f t="array" ref="E104">INDEX( PointerTest!F:F, MATCH(B104, PointerTest!A:A, 0), 0)</f>
        <v>✷</v>
      </c>
      <c r="F104" s="70"/>
      <c r="G104" s="71">
        <f t="array" ref="G104">LET(percentage,XLOOKUP($E104,$K$2:$K$12,M$2:M$12,"",0)/(COUNTIFS($E:$E,$E104,$D:$D,RegularFormula!$D$2)+COUNTIFS($E:$E,$E104,$D:$D,IF($D104=RegularFormula!$D$2,$K$17,$D104))),IFERROR(IF(percentage,percentage,""),""))</f>
        <v>0.0007264635</v>
      </c>
      <c r="H104" s="71">
        <f t="array" ref="H104">LET(percentage,XLOOKUP($E104,$K$2:$K$12,N$2:N$12,"",0)/(COUNTIFS($E:$E,$E104,$D:$D,RegularFormula!$D$2)+COUNTIFS($E:$E,$E104,$D:$D,IF($D104=RegularFormula!$D$2,$K$17,$D104))),IFERROR(IF(percentage,percentage,""),""))</f>
        <v>0.002868392</v>
      </c>
      <c r="I104" s="72" t="str">
        <f t="shared" si="1"/>
        <v/>
      </c>
      <c r="J104" s="73">
        <v>0.0</v>
      </c>
      <c r="K104" s="194"/>
      <c r="L104" s="55"/>
      <c r="M104" s="55"/>
      <c r="N104" s="55"/>
      <c r="O104" s="103"/>
      <c r="P104" s="103"/>
      <c r="Q104" s="103"/>
      <c r="R104" s="79"/>
    </row>
    <row r="105">
      <c r="A105" s="217" t="b">
        <v>0</v>
      </c>
      <c r="B105" s="218" t="s">
        <v>957</v>
      </c>
      <c r="C105" s="69" t="str">
        <f t="array" ref="C105">TEXTJOIN("", TRUE, IFERROR(INDEX('language&amp;DataTest'!A:J, MATCH(INDEX( PointerTest!C:C, MATCH(B105, PointerTest!A:A, 0), 0), 'language&amp;DataTest'!A:A, 0), MATCH(HOME!$A$25, 'language&amp;DataTest'!$A$1:$H$1, 0))),                      IFERROR(INDEX('language&amp;DataTest'!A:J, MATCH(INDEX( PointerTest!D:D, MATCH(B105, PointerTest!A:A, 0), 0), 'language&amp;DataTest'!A:A, 0), MATCH(HOME!$A$25, 'language&amp;DataTest'!$A$1:$H$1, 0))),                                          
IFERROR(INDEX('language&amp;DataTest'!A:J, MATCH(INDEX( PointerTest!E:E, MATCH(B105, PointerTest!A:A, 0), 0), 'language&amp;DataTest'!A:A, 0), MATCH(HOME!$A$25, 'language&amp;DataTest'!$A$1:$H$1, 0))))</f>
        <v>Riolu</v>
      </c>
      <c r="D105" s="69" t="str">
        <f t="array" ref="D105">TEXTJOIN("", TRUE, 
IFERROR(INDEX('language&amp;DataTest'!A:J, MATCH(INDEX( PointerTest!C:C, MATCH(INDEX(PointerTest!B:B, MATCH(B105, PointerTest!A:A, 0)), PointerTest!A:A, 0), 0), 'language&amp;DataTest'!A:A, 0), MATCH(HOME!$A$25, 'language&amp;DataTest'!$A$1:$H$1, 0))),                      
IFERROR(INDEX('language&amp;DataTest'!A:J, MATCH(INDEX( PointerTest!D:D, MATCH(INDEX(PointerTest!B:B, MATCH(B105, PointerTest!A:A, 0)), PointerTest!A:A, 0), 0), 'language&amp;DataTest'!A:A, 0), MATCH(HOME!$A$25, 'language&amp;DataTest'!$A$1:$H$1, 0))),                                          
IFERROR(INDEX('language&amp;DataTest'!A:J, MATCH(INDEX( PointerTest!E:E, MATCH(INDEX(PointerTest!B:B, MATCH(B105, PointerTest!A:A, 0)), PointerTest!A:A, 0), 0), 'language&amp;DataTest'!A:A, 0), MATCH(HOME!$A$25, 'language&amp;DataTest'!$A$1:$H$1, 0))))</f>
        <v>Lucario ex</v>
      </c>
      <c r="E105" s="69" t="str">
        <f t="array" ref="E105">INDEX( PointerTest!F:F, MATCH(B105, PointerTest!A:A, 0), 0)</f>
        <v>✷</v>
      </c>
      <c r="F105" s="70"/>
      <c r="G105" s="71">
        <f t="array" ref="G105">LET(percentage,XLOOKUP($E105,$K$2:$K$12,M$2:M$12,"",0)/(COUNTIFS($E:$E,$E105,$D:$D,RegularFormula!$D$2)+COUNTIFS($E:$E,$E105,$D:$D,IF($D105=RegularFormula!$D$2,$K$17,$D105))),IFERROR(IF(percentage,percentage,""),""))</f>
        <v>0.0007264635</v>
      </c>
      <c r="H105" s="71">
        <f t="array" ref="H105">LET(percentage,XLOOKUP($E105,$K$2:$K$12,N$2:N$12,"",0)/(COUNTIFS($E:$E,$E105,$D:$D,RegularFormula!$D$2)+COUNTIFS($E:$E,$E105,$D:$D,IF($D105=RegularFormula!$D$2,$K$17,$D105))),IFERROR(IF(percentage,percentage,""),""))</f>
        <v>0.002868392</v>
      </c>
      <c r="I105" s="72" t="str">
        <f t="shared" si="1"/>
        <v/>
      </c>
      <c r="J105" s="73">
        <v>0.0</v>
      </c>
      <c r="K105" s="194"/>
      <c r="L105" s="55"/>
      <c r="M105" s="55"/>
      <c r="N105" s="55"/>
      <c r="O105" s="103"/>
      <c r="P105" s="103"/>
      <c r="Q105" s="103"/>
      <c r="R105" s="79"/>
    </row>
    <row r="106">
      <c r="A106" s="217" t="b">
        <v>1</v>
      </c>
      <c r="B106" s="218" t="s">
        <v>958</v>
      </c>
      <c r="C106" s="69" t="str">
        <f t="array" ref="C106">TEXTJOIN("", TRUE, IFERROR(INDEX('language&amp;DataTest'!A:J, MATCH(INDEX( PointerTest!C:C, MATCH(B106, PointerTest!A:A, 0), 0), 'language&amp;DataTest'!A:A, 0), MATCH(HOME!$A$25, 'language&amp;DataTest'!$A$1:$H$1, 0))),                      IFERROR(INDEX('language&amp;DataTest'!A:J, MATCH(INDEX( PointerTest!D:D, MATCH(B106, PointerTest!A:A, 0), 0), 'language&amp;DataTest'!A:A, 0), MATCH(HOME!$A$25, 'language&amp;DataTest'!$A$1:$H$1, 0))),                                          
IFERROR(INDEX('language&amp;DataTest'!A:J, MATCH(INDEX( PointerTest!E:E, MATCH(B106, PointerTest!A:A, 0), 0), 'language&amp;DataTest'!A:A, 0), MATCH(HOME!$A$25, 'language&amp;DataTest'!$A$1:$H$1, 0))))</f>
        <v>Varoom</v>
      </c>
      <c r="D106" s="69" t="str">
        <f t="array" ref="D106">TEXTJOIN("", TRUE, 
IFERROR(INDEX('language&amp;DataTest'!A:J, MATCH(INDEX( PointerTest!C:C, MATCH(INDEX(PointerTest!B:B, MATCH(B106, PointerTest!A:A, 0)), PointerTest!A:A, 0), 0), 'language&amp;DataTest'!A:A, 0), MATCH(HOME!$A$25, 'language&amp;DataTest'!$A$1:$H$1, 0))),                      
IFERROR(INDEX('language&amp;DataTest'!A:J, MATCH(INDEX( PointerTest!D:D, MATCH(INDEX(PointerTest!B:B, MATCH(B106, PointerTest!A:A, 0)), PointerTest!A:A, 0), 0), 'language&amp;DataTest'!A:A, 0), MATCH(HOME!$A$25, 'language&amp;DataTest'!$A$1:$H$1, 0))),                                          
IFERROR(INDEX('language&amp;DataTest'!A:J, MATCH(INDEX( PointerTest!E:E, MATCH(INDEX(PointerTest!B:B, MATCH(B106, PointerTest!A:A, 0)), PointerTest!A:A, 0), 0), 'language&amp;DataTest'!A:A, 0), MATCH(HOME!$A$25, 'language&amp;DataTest'!$A$1:$H$1, 0))))</f>
        <v>Lucario ex</v>
      </c>
      <c r="E106" s="69" t="str">
        <f t="array" ref="E106">INDEX( PointerTest!F:F, MATCH(B106, PointerTest!A:A, 0), 0)</f>
        <v>✷</v>
      </c>
      <c r="F106" s="70"/>
      <c r="G106" s="71">
        <f t="array" ref="G106">LET(percentage,XLOOKUP($E106,$K$2:$K$12,M$2:M$12,"",0)/(COUNTIFS($E:$E,$E106,$D:$D,RegularFormula!$D$2)+COUNTIFS($E:$E,$E106,$D:$D,IF($D106=RegularFormula!$D$2,$K$17,$D106))),IFERROR(IF(percentage,percentage,""),""))</f>
        <v>0.0007264635</v>
      </c>
      <c r="H106" s="71">
        <f t="array" ref="H106">LET(percentage,XLOOKUP($E106,$K$2:$K$12,N$2:N$12,"",0)/(COUNTIFS($E:$E,$E106,$D:$D,RegularFormula!$D$2)+COUNTIFS($E:$E,$E106,$D:$D,IF($D106=RegularFormula!$D$2,$K$17,$D106))),IFERROR(IF(percentage,percentage,""),""))</f>
        <v>0.002868392</v>
      </c>
      <c r="I106" s="72" t="str">
        <f t="shared" si="1"/>
        <v/>
      </c>
      <c r="J106" s="73">
        <v>0.0</v>
      </c>
      <c r="K106" s="194"/>
      <c r="L106" s="55"/>
      <c r="M106" s="55"/>
      <c r="N106" s="55"/>
      <c r="O106" s="103"/>
      <c r="P106" s="103"/>
      <c r="Q106" s="103"/>
      <c r="R106" s="79"/>
    </row>
    <row r="107">
      <c r="A107" s="217" t="b">
        <v>0</v>
      </c>
      <c r="B107" s="218" t="s">
        <v>959</v>
      </c>
      <c r="C107" s="69" t="str">
        <f t="array" ref="C107">TEXTJOIN("", TRUE, IFERROR(INDEX('language&amp;DataTest'!A:J, MATCH(INDEX( PointerTest!C:C, MATCH(B107, PointerTest!A:A, 0), 0), 'language&amp;DataTest'!A:A, 0), MATCH(HOME!$A$25, 'language&amp;DataTest'!$A$1:$H$1, 0))),                      IFERROR(INDEX('language&amp;DataTest'!A:J, MATCH(INDEX( PointerTest!D:D, MATCH(B107, PointerTest!A:A, 0), 0), 'language&amp;DataTest'!A:A, 0), MATCH(HOME!$A$25, 'language&amp;DataTest'!$A$1:$H$1, 0))),                                          
IFERROR(INDEX('language&amp;DataTest'!A:J, MATCH(INDEX( PointerTest!E:E, MATCH(B107, PointerTest!A:A, 0), 0), 'language&amp;DataTest'!A:A, 0), MATCH(HOME!$A$25, 'language&amp;DataTest'!$A$1:$H$1, 0))))</f>
        <v>Revavroom</v>
      </c>
      <c r="D107" s="69" t="str">
        <f t="array" ref="D107">TEXTJOIN("", TRUE, 
IFERROR(INDEX('language&amp;DataTest'!A:J, MATCH(INDEX( PointerTest!C:C, MATCH(INDEX(PointerTest!B:B, MATCH(B107, PointerTest!A:A, 0)), PointerTest!A:A, 0), 0), 'language&amp;DataTest'!A:A, 0), MATCH(HOME!$A$25, 'language&amp;DataTest'!$A$1:$H$1, 0))),                      
IFERROR(INDEX('language&amp;DataTest'!A:J, MATCH(INDEX( PointerTest!D:D, MATCH(INDEX(PointerTest!B:B, MATCH(B107, PointerTest!A:A, 0)), PointerTest!A:A, 0), 0), 'language&amp;DataTest'!A:A, 0), MATCH(HOME!$A$25, 'language&amp;DataTest'!$A$1:$H$1, 0))),                                          
IFERROR(INDEX('language&amp;DataTest'!A:J, MATCH(INDEX( PointerTest!E:E, MATCH(INDEX(PointerTest!B:B, MATCH(B107, PointerTest!A:A, 0)), PointerTest!A:A, 0), 0), 'language&amp;DataTest'!A:A, 0), MATCH(HOME!$A$25, 'language&amp;DataTest'!$A$1:$H$1, 0))))</f>
        <v>Lucario ex</v>
      </c>
      <c r="E107" s="69" t="str">
        <f t="array" ref="E107">INDEX( PointerTest!F:F, MATCH(B107, PointerTest!A:A, 0), 0)</f>
        <v>✷</v>
      </c>
      <c r="F107" s="70"/>
      <c r="G107" s="71">
        <f t="array" ref="G107">LET(percentage,XLOOKUP($E107,$K$2:$K$12,M$2:M$12,"",0)/(COUNTIFS($E:$E,$E107,$D:$D,RegularFormula!$D$2)+COUNTIFS($E:$E,$E107,$D:$D,IF($D107=RegularFormula!$D$2,$K$17,$D107))),IFERROR(IF(percentage,percentage,""),""))</f>
        <v>0.0007264635</v>
      </c>
      <c r="H107" s="71">
        <f t="array" ref="H107">LET(percentage,XLOOKUP($E107,$K$2:$K$12,N$2:N$12,"",0)/(COUNTIFS($E:$E,$E107,$D:$D,RegularFormula!$D$2)+COUNTIFS($E:$E,$E107,$D:$D,IF($D107=RegularFormula!$D$2,$K$17,$D107))),IFERROR(IF(percentage,percentage,""),""))</f>
        <v>0.002868392</v>
      </c>
      <c r="I107" s="72" t="str">
        <f t="shared" si="1"/>
        <v/>
      </c>
      <c r="J107" s="73">
        <v>0.0</v>
      </c>
      <c r="K107" s="194"/>
      <c r="L107" s="55"/>
      <c r="M107" s="55"/>
      <c r="N107" s="55"/>
      <c r="O107" s="103"/>
      <c r="P107" s="103"/>
      <c r="Q107" s="103"/>
      <c r="R107" s="79"/>
    </row>
    <row r="108">
      <c r="A108" s="217" t="b">
        <v>0</v>
      </c>
      <c r="B108" s="218" t="s">
        <v>960</v>
      </c>
      <c r="C108" s="69" t="str">
        <f t="array" ref="C108">TEXTJOIN("", TRUE, IFERROR(INDEX('language&amp;DataTest'!A:J, MATCH(INDEX( PointerTest!C:C, MATCH(B108, PointerTest!A:A, 0), 0), 'language&amp;DataTest'!A:A, 0), MATCH(HOME!$A$25, 'language&amp;DataTest'!$A$1:$H$1, 0))),                      IFERROR(INDEX('language&amp;DataTest'!A:J, MATCH(INDEX( PointerTest!D:D, MATCH(B108, PointerTest!A:A, 0), 0), 'language&amp;DataTest'!A:A, 0), MATCH(HOME!$A$25, 'language&amp;DataTest'!$A$1:$H$1, 0))),                                          
IFERROR(INDEX('language&amp;DataTest'!A:J, MATCH(INDEX( PointerTest!E:E, MATCH(B108, PointerTest!A:A, 0), 0), 'language&amp;DataTest'!A:A, 0), MATCH(HOME!$A$25, 'language&amp;DataTest'!$A$1:$H$1, 0))))</f>
        <v>Beedrill ex</v>
      </c>
      <c r="D108" s="69" t="str">
        <f t="array" ref="D108">TEXTJOIN("", TRUE, 
IFERROR(INDEX('language&amp;DataTest'!A:J, MATCH(INDEX( PointerTest!C:C, MATCH(INDEX(PointerTest!B:B, MATCH(B108, PointerTest!A:A, 0)), PointerTest!A:A, 0), 0), 'language&amp;DataTest'!A:A, 0), MATCH(HOME!$A$25, 'language&amp;DataTest'!$A$1:$H$1, 0))),                      
IFERROR(INDEX('language&amp;DataTest'!A:J, MATCH(INDEX( PointerTest!D:D, MATCH(INDEX(PointerTest!B:B, MATCH(B108, PointerTest!A:A, 0)), PointerTest!A:A, 0), 0), 'language&amp;DataTest'!A:A, 0), MATCH(HOME!$A$25, 'language&amp;DataTest'!$A$1:$H$1, 0))),                                          
IFERROR(INDEX('language&amp;DataTest'!A:J, MATCH(INDEX( PointerTest!E:E, MATCH(INDEX(PointerTest!B:B, MATCH(B108, PointerTest!A:A, 0)), PointerTest!A:A, 0), 0), 'language&amp;DataTest'!A:A, 0), MATCH(HOME!$A$25, 'language&amp;DataTest'!$A$1:$H$1, 0))))</f>
        <v>Lucario ex</v>
      </c>
      <c r="E108" s="69" t="str">
        <f t="array" ref="E108">INDEX( PointerTest!F:F, MATCH(B108, PointerTest!A:A, 0), 0)</f>
        <v>✷✷</v>
      </c>
      <c r="F108" s="70"/>
      <c r="G108" s="71">
        <f t="array" ref="G108">LET(percentage,XLOOKUP($E108,$K$2:$K$12,M$2:M$12,"",0)/(COUNTIFS($E:$E,$E108,$D:$D,RegularFormula!$D$2)+COUNTIFS($E:$E,$E108,$D:$D,IF($D108=RegularFormula!$D$2,$K$17,$D108))),IFERROR(IF(percentage,percentage,""),""))</f>
        <v>0.00084490375</v>
      </c>
      <c r="H108" s="71">
        <f t="array" ref="H108">LET(percentage,XLOOKUP($E108,$K$2:$K$12,N$2:N$12,"",0)/(COUNTIFS($E:$E,$E108,$D:$D,RegularFormula!$D$2)+COUNTIFS($E:$E,$E108,$D:$D,IF($D108=RegularFormula!$D$2,$K$17,$D108))),IFERROR(IF(percentage,percentage,""),""))</f>
        <v>0.00334365375</v>
      </c>
      <c r="I108" s="72" t="str">
        <f t="shared" si="1"/>
        <v/>
      </c>
      <c r="J108" s="73">
        <v>0.0</v>
      </c>
      <c r="K108" s="194"/>
      <c r="L108" s="55"/>
      <c r="M108" s="55"/>
      <c r="N108" s="55"/>
      <c r="O108" s="103"/>
      <c r="P108" s="103"/>
      <c r="Q108" s="103"/>
      <c r="R108" s="79"/>
    </row>
    <row r="109">
      <c r="A109" s="217" t="b">
        <v>0</v>
      </c>
      <c r="B109" s="218" t="s">
        <v>961</v>
      </c>
      <c r="C109" s="69" t="str">
        <f t="array" ref="C109">TEXTJOIN("", TRUE, IFERROR(INDEX('language&amp;DataTest'!A:J, MATCH(INDEX( PointerTest!C:C, MATCH(B109, PointerTest!A:A, 0), 0), 'language&amp;DataTest'!A:A, 0), MATCH(HOME!$A$25, 'language&amp;DataTest'!$A$1:$H$1, 0))),                      IFERROR(INDEX('language&amp;DataTest'!A:J, MATCH(INDEX( PointerTest!D:D, MATCH(B109, PointerTest!A:A, 0), 0), 'language&amp;DataTest'!A:A, 0), MATCH(HOME!$A$25, 'language&amp;DataTest'!$A$1:$H$1, 0))),                                          
IFERROR(INDEX('language&amp;DataTest'!A:J, MATCH(INDEX( PointerTest!E:E, MATCH(B109, PointerTest!A:A, 0), 0), 'language&amp;DataTest'!A:A, 0), MATCH(HOME!$A$25, 'language&amp;DataTest'!$A$1:$H$1, 0))))</f>
        <v>Charizard ex</v>
      </c>
      <c r="D109" s="69" t="str">
        <f t="array" ref="D109">TEXTJOIN("", TRUE, 
IFERROR(INDEX('language&amp;DataTest'!A:J, MATCH(INDEX( PointerTest!C:C, MATCH(INDEX(PointerTest!B:B, MATCH(B109, PointerTest!A:A, 0)), PointerTest!A:A, 0), 0), 'language&amp;DataTest'!A:A, 0), MATCH(HOME!$A$25, 'language&amp;DataTest'!$A$1:$H$1, 0))),                      
IFERROR(INDEX('language&amp;DataTest'!A:J, MATCH(INDEX( PointerTest!D:D, MATCH(INDEX(PointerTest!B:B, MATCH(B109, PointerTest!A:A, 0)), PointerTest!A:A, 0), 0), 'language&amp;DataTest'!A:A, 0), MATCH(HOME!$A$25, 'language&amp;DataTest'!$A$1:$H$1, 0))),                                          
IFERROR(INDEX('language&amp;DataTest'!A:J, MATCH(INDEX( PointerTest!E:E, MATCH(INDEX(PointerTest!B:B, MATCH(B109, PointerTest!A:A, 0)), PointerTest!A:A, 0), 0), 'language&amp;DataTest'!A:A, 0), MATCH(HOME!$A$25, 'language&amp;DataTest'!$A$1:$H$1, 0))))</f>
        <v>Lucario ex</v>
      </c>
      <c r="E109" s="69" t="str">
        <f t="array" ref="E109">INDEX( PointerTest!F:F, MATCH(B109, PointerTest!A:A, 0), 0)</f>
        <v>✷✷</v>
      </c>
      <c r="F109" s="70"/>
      <c r="G109" s="71">
        <f t="array" ref="G109">LET(percentage,XLOOKUP($E109,$K$2:$K$12,M$2:M$12,"",0)/(COUNTIFS($E:$E,$E109,$D:$D,RegularFormula!$D$2)+COUNTIFS($E:$E,$E109,$D:$D,IF($D109=RegularFormula!$D$2,$K$17,$D109))),IFERROR(IF(percentage,percentage,""),""))</f>
        <v>0.00084490375</v>
      </c>
      <c r="H109" s="71">
        <f t="array" ref="H109">LET(percentage,XLOOKUP($E109,$K$2:$K$12,N$2:N$12,"",0)/(COUNTIFS($E:$E,$E109,$D:$D,RegularFormula!$D$2)+COUNTIFS($E:$E,$E109,$D:$D,IF($D109=RegularFormula!$D$2,$K$17,$D109))),IFERROR(IF(percentage,percentage,""),""))</f>
        <v>0.00334365375</v>
      </c>
      <c r="I109" s="72" t="str">
        <f t="shared" si="1"/>
        <v/>
      </c>
      <c r="J109" s="73">
        <v>0.0</v>
      </c>
      <c r="K109" s="194"/>
      <c r="L109" s="55"/>
      <c r="M109" s="55"/>
      <c r="N109" s="55"/>
      <c r="O109" s="103"/>
      <c r="P109" s="103"/>
      <c r="Q109" s="103"/>
      <c r="R109" s="79"/>
    </row>
    <row r="110">
      <c r="A110" s="217" t="b">
        <v>0</v>
      </c>
      <c r="B110" s="218" t="s">
        <v>962</v>
      </c>
      <c r="C110" s="69" t="str">
        <f t="array" ref="C110">TEXTJOIN("", TRUE, IFERROR(INDEX('language&amp;DataTest'!A:J, MATCH(INDEX( PointerTest!C:C, MATCH(B110, PointerTest!A:A, 0), 0), 'language&amp;DataTest'!A:A, 0), MATCH(HOME!$A$25, 'language&amp;DataTest'!$A$1:$H$1, 0))),                      IFERROR(INDEX('language&amp;DataTest'!A:J, MATCH(INDEX( PointerTest!D:D, MATCH(B110, PointerTest!A:A, 0), 0), 'language&amp;DataTest'!A:A, 0), MATCH(HOME!$A$25, 'language&amp;DataTest'!$A$1:$H$1, 0))),                                          
IFERROR(INDEX('language&amp;DataTest'!A:J, MATCH(INDEX( PointerTest!E:E, MATCH(B110, PointerTest!A:A, 0), 0), 'language&amp;DataTest'!A:A, 0), MATCH(HOME!$A$25, 'language&amp;DataTest'!$A$1:$H$1, 0))))</f>
        <v>Wugtrio ex</v>
      </c>
      <c r="D110" s="69" t="str">
        <f t="array" ref="D110">TEXTJOIN("", TRUE, 
IFERROR(INDEX('language&amp;DataTest'!A:J, MATCH(INDEX( PointerTest!C:C, MATCH(INDEX(PointerTest!B:B, MATCH(B110, PointerTest!A:A, 0)), PointerTest!A:A, 0), 0), 'language&amp;DataTest'!A:A, 0), MATCH(HOME!$A$25, 'language&amp;DataTest'!$A$1:$H$1, 0))),                      
IFERROR(INDEX('language&amp;DataTest'!A:J, MATCH(INDEX( PointerTest!D:D, MATCH(INDEX(PointerTest!B:B, MATCH(B110, PointerTest!A:A, 0)), PointerTest!A:A, 0), 0), 'language&amp;DataTest'!A:A, 0), MATCH(HOME!$A$25, 'language&amp;DataTest'!$A$1:$H$1, 0))),                                          
IFERROR(INDEX('language&amp;DataTest'!A:J, MATCH(INDEX( PointerTest!E:E, MATCH(INDEX(PointerTest!B:B, MATCH(B110, PointerTest!A:A, 0)), PointerTest!A:A, 0), 0), 'language&amp;DataTest'!A:A, 0), MATCH(HOME!$A$25, 'language&amp;DataTest'!$A$1:$H$1, 0))))</f>
        <v>Lucario ex</v>
      </c>
      <c r="E110" s="69" t="str">
        <f t="array" ref="E110">INDEX( PointerTest!F:F, MATCH(B110, PointerTest!A:A, 0), 0)</f>
        <v>✷✷</v>
      </c>
      <c r="F110" s="70"/>
      <c r="G110" s="71">
        <f t="array" ref="G110">LET(percentage,XLOOKUP($E110,$K$2:$K$12,M$2:M$12,"",0)/(COUNTIFS($E:$E,$E110,$D:$D,RegularFormula!$D$2)+COUNTIFS($E:$E,$E110,$D:$D,IF($D110=RegularFormula!$D$2,$K$17,$D110))),IFERROR(IF(percentage,percentage,""),""))</f>
        <v>0.00084490375</v>
      </c>
      <c r="H110" s="71">
        <f t="array" ref="H110">LET(percentage,XLOOKUP($E110,$K$2:$K$12,N$2:N$12,"",0)/(COUNTIFS($E:$E,$E110,$D:$D,RegularFormula!$D$2)+COUNTIFS($E:$E,$E110,$D:$D,IF($D110=RegularFormula!$D$2,$K$17,$D110))),IFERROR(IF(percentage,percentage,""),""))</f>
        <v>0.00334365375</v>
      </c>
      <c r="I110" s="72" t="str">
        <f t="shared" si="1"/>
        <v/>
      </c>
      <c r="J110" s="73">
        <v>0.0</v>
      </c>
      <c r="K110" s="194"/>
      <c r="L110" s="55"/>
      <c r="M110" s="55"/>
      <c r="N110" s="55"/>
      <c r="O110" s="103"/>
      <c r="P110" s="103"/>
      <c r="Q110" s="103"/>
      <c r="R110" s="79"/>
    </row>
    <row r="111">
      <c r="A111" s="217" t="b">
        <v>0</v>
      </c>
      <c r="B111" s="218" t="s">
        <v>963</v>
      </c>
      <c r="C111" s="69" t="str">
        <f t="array" ref="C111">TEXTJOIN("", TRUE, IFERROR(INDEX('language&amp;DataTest'!A:J, MATCH(INDEX( PointerTest!C:C, MATCH(B111, PointerTest!A:A, 0), 0), 'language&amp;DataTest'!A:A, 0), MATCH(HOME!$A$25, 'language&amp;DataTest'!$A$1:$H$1, 0))),                      IFERROR(INDEX('language&amp;DataTest'!A:J, MATCH(INDEX( PointerTest!D:D, MATCH(B111, PointerTest!A:A, 0), 0), 'language&amp;DataTest'!A:A, 0), MATCH(HOME!$A$25, 'language&amp;DataTest'!$A$1:$H$1, 0))),                                          
IFERROR(INDEX('language&amp;DataTest'!A:J, MATCH(INDEX( PointerTest!E:E, MATCH(B111, PointerTest!A:A, 0), 0), 'language&amp;DataTest'!A:A, 0), MATCH(HOME!$A$25, 'language&amp;DataTest'!$A$1:$H$1, 0))))</f>
        <v>Lucario ex</v>
      </c>
      <c r="D111" s="69" t="str">
        <f t="array" ref="D111">TEXTJOIN("", TRUE, 
IFERROR(INDEX('language&amp;DataTest'!A:J, MATCH(INDEX( PointerTest!C:C, MATCH(INDEX(PointerTest!B:B, MATCH(B111, PointerTest!A:A, 0)), PointerTest!A:A, 0), 0), 'language&amp;DataTest'!A:A, 0), MATCH(HOME!$A$25, 'language&amp;DataTest'!$A$1:$H$1, 0))),                      
IFERROR(INDEX('language&amp;DataTest'!A:J, MATCH(INDEX( PointerTest!D:D, MATCH(INDEX(PointerTest!B:B, MATCH(B111, PointerTest!A:A, 0)), PointerTest!A:A, 0), 0), 'language&amp;DataTest'!A:A, 0), MATCH(HOME!$A$25, 'language&amp;DataTest'!$A$1:$H$1, 0))),                                          
IFERROR(INDEX('language&amp;DataTest'!A:J, MATCH(INDEX( PointerTest!E:E, MATCH(INDEX(PointerTest!B:B, MATCH(B111, PointerTest!A:A, 0)), PointerTest!A:A, 0), 0), 'language&amp;DataTest'!A:A, 0), MATCH(HOME!$A$25, 'language&amp;DataTest'!$A$1:$H$1, 0))))</f>
        <v>Lucario ex</v>
      </c>
      <c r="E111" s="69" t="str">
        <f t="array" ref="E111">INDEX( PointerTest!F:F, MATCH(B111, PointerTest!A:A, 0), 0)</f>
        <v>✷✷</v>
      </c>
      <c r="F111" s="70"/>
      <c r="G111" s="71">
        <f t="array" ref="G111">LET(percentage,XLOOKUP($E111,$K$2:$K$12,M$2:M$12,"",0)/(COUNTIFS($E:$E,$E111,$D:$D,RegularFormula!$D$2)+COUNTIFS($E:$E,$E111,$D:$D,IF($D111=RegularFormula!$D$2,$K$17,$D111))),IFERROR(IF(percentage,percentage,""),""))</f>
        <v>0.00084490375</v>
      </c>
      <c r="H111" s="71">
        <f t="array" ref="H111">LET(percentage,XLOOKUP($E111,$K$2:$K$12,N$2:N$12,"",0)/(COUNTIFS($E:$E,$E111,$D:$D,RegularFormula!$D$2)+COUNTIFS($E:$E,$E111,$D:$D,IF($D111=RegularFormula!$D$2,$K$17,$D111))),IFERROR(IF(percentage,percentage,""),""))</f>
        <v>0.00334365375</v>
      </c>
      <c r="I111" s="72" t="str">
        <f t="shared" si="1"/>
        <v/>
      </c>
      <c r="J111" s="73">
        <v>0.0</v>
      </c>
      <c r="K111" s="194"/>
      <c r="L111" s="55"/>
      <c r="M111" s="55"/>
      <c r="N111" s="55"/>
      <c r="O111" s="103"/>
      <c r="P111" s="103"/>
      <c r="Q111" s="103"/>
      <c r="R111" s="79"/>
    </row>
    <row r="112">
      <c r="A112" s="217" t="b">
        <v>0</v>
      </c>
      <c r="B112" s="218" t="s">
        <v>964</v>
      </c>
      <c r="C112" s="69" t="str">
        <f t="array" ref="C112">TEXTJOIN("", TRUE, IFERROR(INDEX('language&amp;DataTest'!A:J, MATCH(INDEX( PointerTest!C:C, MATCH(B112, PointerTest!A:A, 0), 0), 'language&amp;DataTest'!A:A, 0), MATCH(HOME!$A$25, 'language&amp;DataTest'!$A$1:$H$1, 0))),                      IFERROR(INDEX('language&amp;DataTest'!A:J, MATCH(INDEX( PointerTest!D:D, MATCH(B112, PointerTest!A:A, 0), 0), 'language&amp;DataTest'!A:A, 0), MATCH(HOME!$A$25, 'language&amp;DataTest'!$A$1:$H$1, 0))),                                          
IFERROR(INDEX('language&amp;DataTest'!A:J, MATCH(INDEX( PointerTest!E:E, MATCH(B112, PointerTest!A:A, 0), 0), 'language&amp;DataTest'!A:A, 0), MATCH(HOME!$A$25, 'language&amp;DataTest'!$A$1:$H$1, 0))))</f>
        <v>Poke ball</v>
      </c>
      <c r="D112" s="69" t="str">
        <f t="array" ref="D112">TEXTJOIN("", TRUE, 
IFERROR(INDEX('language&amp;DataTest'!A:J, MATCH(INDEX( PointerTest!C:C, MATCH(INDEX(PointerTest!B:B, MATCH(B112, PointerTest!A:A, 0)), PointerTest!A:A, 0), 0), 'language&amp;DataTest'!A:A, 0), MATCH(HOME!$A$25, 'language&amp;DataTest'!$A$1:$H$1, 0))),                      
IFERROR(INDEX('language&amp;DataTest'!A:J, MATCH(INDEX( PointerTest!D:D, MATCH(INDEX(PointerTest!B:B, MATCH(B112, PointerTest!A:A, 0)), PointerTest!A:A, 0), 0), 'language&amp;DataTest'!A:A, 0), MATCH(HOME!$A$25, 'language&amp;DataTest'!$A$1:$H$1, 0))),                                          
IFERROR(INDEX('language&amp;DataTest'!A:J, MATCH(INDEX( PointerTest!E:E, MATCH(INDEX(PointerTest!B:B, MATCH(B112, PointerTest!A:A, 0)), PointerTest!A:A, 0), 0), 'language&amp;DataTest'!A:A, 0), MATCH(HOME!$A$25, 'language&amp;DataTest'!$A$1:$H$1, 0))))</f>
        <v>Lucario ex</v>
      </c>
      <c r="E112" s="69" t="str">
        <f t="array" ref="E112">INDEX( PointerTest!F:F, MATCH(B112, PointerTest!A:A, 0), 0)</f>
        <v>♛</v>
      </c>
      <c r="F112" s="70"/>
      <c r="G112" s="71">
        <f t="array" ref="G112">LET(percentage,XLOOKUP($E112,$K$2:$K$12,M$2:M$12,"",0)/(COUNTIFS($E:$E,$E112,$D:$D,RegularFormula!$D$2)+COUNTIFS($E:$E,$E112,$D:$D,IF($D112=RegularFormula!$D$2,$K$17,$D112))),IFERROR(IF(percentage,percentage,""),""))</f>
        <v>0.00041262</v>
      </c>
      <c r="H112" s="71">
        <f t="array" ref="H112">LET(percentage,XLOOKUP($E112,$K$2:$K$12,N$2:N$12,"",0)/(COUNTIFS($E:$E,$E112,$D:$D,RegularFormula!$D$2)+COUNTIFS($E:$E,$E112,$D:$D,IF($D112=RegularFormula!$D$2,$K$17,$D112))),IFERROR(IF(percentage,percentage,""),""))</f>
        <v>0.00161202</v>
      </c>
      <c r="I112" s="72" t="str">
        <f t="shared" si="1"/>
        <v/>
      </c>
      <c r="J112" s="73">
        <v>0.0</v>
      </c>
      <c r="K112" s="194"/>
      <c r="L112" s="55"/>
      <c r="M112" s="55"/>
      <c r="N112" s="55"/>
      <c r="O112" s="103"/>
      <c r="P112" s="103"/>
      <c r="Q112" s="103"/>
      <c r="R112" s="79" t="str">
        <f>IFERROR(IFS(Q112="♢",35,Q112="♢♢",70,Q112="♢♢♢",150,Q112="♢♢♢♢",500,Q112="☆",400,Q112="☆☆",1250,Q112="☆☆☆",1500,Q112="♛",2500),"")</f>
        <v/>
      </c>
    </row>
  </sheetData>
  <mergeCells count="16">
    <mergeCell ref="O1:P1"/>
    <mergeCell ref="K13:N14"/>
    <mergeCell ref="K18:K19"/>
    <mergeCell ref="L18:N19"/>
    <mergeCell ref="K20:N21"/>
    <mergeCell ref="K28:N28"/>
    <mergeCell ref="K32:K33"/>
    <mergeCell ref="M40:N40"/>
    <mergeCell ref="M41:N42"/>
    <mergeCell ref="L32:N33"/>
    <mergeCell ref="K34:N34"/>
    <mergeCell ref="K37:K38"/>
    <mergeCell ref="L37:L38"/>
    <mergeCell ref="M37:M38"/>
    <mergeCell ref="N37:N38"/>
    <mergeCell ref="K39:N39"/>
  </mergeCells>
  <conditionalFormatting sqref="J2:J112">
    <cfRule type="cellIs" dxfId="17" priority="1" operator="greaterThanOrEqual">
      <formula>2</formula>
    </cfRule>
  </conditionalFormatting>
  <conditionalFormatting sqref="J2:J112">
    <cfRule type="cellIs" dxfId="0" priority="2" operator="lessThan">
      <formula>2</formula>
    </cfRule>
  </conditionalFormatting>
  <conditionalFormatting sqref="A2:I112">
    <cfRule type="expression" dxfId="12" priority="3">
      <formula>$D2=$C$44</formula>
    </cfRule>
  </conditionalFormatting>
  <conditionalFormatting sqref="A2:A112 C2:I112">
    <cfRule type="expression" dxfId="21" priority="4">
      <formula>COUNTIF({"All", "Tous"}, $D2)&gt;0</formula>
    </cfRule>
  </conditionalFormatting>
  <conditionalFormatting sqref="K15:N15 K17:N17 K27:L46 M27:N41">
    <cfRule type="expression" dxfId="12" priority="5">
      <formula>$K15=$C$44</formula>
    </cfRule>
  </conditionalFormatting>
  <conditionalFormatting sqref="K15:N15 K17:N17 K27:L46 M27:N41">
    <cfRule type="expression" dxfId="21" priority="6">
      <formula>COUNTIF({"All", "Tous"}, $K15)&gt;0</formula>
    </cfRule>
  </conditionalFormatting>
  <conditionalFormatting sqref="L16:N19 L29:L33 M29:N33 L35:L38 M35:N38 M40:N46">
    <cfRule type="expression" dxfId="12" priority="7">
      <formula>L16=$C$44</formula>
    </cfRule>
  </conditionalFormatting>
  <drawing r:id="rId2"/>
  <legacyDrawing r:id="rId3"/>
  <tableParts count="1">
    <tablePart r:id="rId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7.13"/>
    <col customWidth="1" min="3" max="4" width="20.5"/>
    <col customWidth="1" min="6" max="6" width="8.25"/>
    <col customWidth="1" min="7" max="7" width="31.13"/>
  </cols>
  <sheetData>
    <row r="1">
      <c r="A1" s="60"/>
      <c r="B1" s="60" t="s">
        <v>54</v>
      </c>
      <c r="C1" s="60" t="s">
        <v>55</v>
      </c>
      <c r="D1" s="60" t="s">
        <v>56</v>
      </c>
      <c r="E1" s="251" t="s">
        <v>61</v>
      </c>
      <c r="F1" s="252" t="s">
        <v>62</v>
      </c>
    </row>
    <row r="2">
      <c r="A2" s="217" t="b">
        <v>1</v>
      </c>
      <c r="B2" s="69" t="s">
        <v>965</v>
      </c>
      <c r="C2" s="69" t="str">
        <f t="array" ref="C2">TEXTJOIN("", TRUE, IFERROR(INDEX('language&amp;DataTest'!A:J, MATCH(INDEX( PointerTest!C:C, MATCH(B2, PointerTest!A:A, 0), 0), 'language&amp;DataTest'!A:A, 0), MATCH(HOME!$A$25, 'language&amp;DataTest'!$A$1:$H$1, 0))),                      IFERROR(INDEX('language&amp;DataTest'!A:J, MATCH(INDEX( PointerTest!D:D, MATCH(B2, PointerTest!A:A, 0), 0), 'language&amp;DataTest'!A:A, 0), MATCH(HOME!$A$25, 'language&amp;DataTest'!$A$1:$H$1, 0))),                                          
IFERROR(INDEX('language&amp;DataTest'!A:J, MATCH(INDEX( PointerTest!E:E, MATCH(B2, PointerTest!A:A, 0), 0), 'language&amp;DataTest'!A:A, 0), MATCH(HOME!$A$25, 'language&amp;DataTest'!$A$1:$H$1, 0))))</f>
        <v>Potion</v>
      </c>
      <c r="D2" s="249" t="str">
        <f t="array" ref="D2">INDEX('language&amp;DataTest'!A:J, MATCH(INDEX( PointerTest!D:D, MATCH(INDEX(PointerTest!B:B, MATCH(B2, PointerTest!A:A, 0)), PointerTest!A:A, 0), 0), 'language&amp;DataTest'!A:A, 0), MATCH(HOME!$A$25, 'language&amp;DataTest'!$A$1:$H$1, 0))</f>
        <v>Shop</v>
      </c>
      <c r="E2" s="253" t="str">
        <f t="shared" ref="E2:E8" si="1">IF(D2 = "All", "*Based on " &amp; '(OLD) Genetic Apex'!$D$2 &amp; " pack", "")
</f>
        <v/>
      </c>
      <c r="F2" s="254">
        <v>0.0</v>
      </c>
      <c r="G2" s="255" t="s">
        <v>87</v>
      </c>
      <c r="H2" s="199"/>
      <c r="I2" s="199"/>
      <c r="J2" s="200"/>
    </row>
    <row r="3">
      <c r="A3" s="217" t="b">
        <v>1</v>
      </c>
      <c r="B3" s="69" t="s">
        <v>966</v>
      </c>
      <c r="C3" s="69" t="str">
        <f t="array" ref="C3">TEXTJOIN("", TRUE, IFERROR(INDEX('language&amp;DataTest'!A:J, MATCH(INDEX( PointerTest!C:C, MATCH(B3, PointerTest!A:A, 0), 0), 'language&amp;DataTest'!A:A, 0), MATCH(HOME!$A$25, 'language&amp;DataTest'!$A$1:$H$1, 0))),                      IFERROR(INDEX('language&amp;DataTest'!A:J, MATCH(INDEX( PointerTest!D:D, MATCH(B3, PointerTest!A:A, 0), 0), 'language&amp;DataTest'!A:A, 0), MATCH(HOME!$A$25, 'language&amp;DataTest'!$A$1:$H$1, 0))),                                          
IFERROR(INDEX('language&amp;DataTest'!A:J, MATCH(INDEX( PointerTest!E:E, MATCH(B3, PointerTest!A:A, 0), 0), 'language&amp;DataTest'!A:A, 0), MATCH(HOME!$A$25, 'language&amp;DataTest'!$A$1:$H$1, 0))))</f>
        <v>X speed</v>
      </c>
      <c r="D3" s="249" t="str">
        <f t="array" ref="D3">INDEX('language&amp;DataTest'!A:J, MATCH(INDEX( PointerTest!D:D, MATCH(INDEX(PointerTest!B:B, MATCH(B3, PointerTest!A:A, 0)), PointerTest!A:A, 0), 0), 'language&amp;DataTest'!A:A, 0), MATCH(HOME!$A$25, 'language&amp;DataTest'!$A$1:$H$1, 0))</f>
        <v>Shop</v>
      </c>
      <c r="E3" s="253" t="str">
        <f t="shared" si="1"/>
        <v/>
      </c>
      <c r="F3" s="254">
        <v>0.0</v>
      </c>
      <c r="G3" s="96"/>
      <c r="J3" s="94"/>
    </row>
    <row r="4">
      <c r="A4" s="217" t="b">
        <v>1</v>
      </c>
      <c r="B4" s="69" t="s">
        <v>967</v>
      </c>
      <c r="C4" s="69" t="str">
        <f t="array" ref="C4">TEXTJOIN("", TRUE, IFERROR(INDEX('language&amp;DataTest'!A:J, MATCH(INDEX( PointerTest!C:C, MATCH(B4, PointerTest!A:A, 0), 0), 'language&amp;DataTest'!A:A, 0), MATCH(HOME!$A$25, 'language&amp;DataTest'!$A$1:$H$1, 0))),                      IFERROR(INDEX('language&amp;DataTest'!A:J, MATCH(INDEX( PointerTest!D:D, MATCH(B4, PointerTest!A:A, 0), 0), 'language&amp;DataTest'!A:A, 0), MATCH(HOME!$A$25, 'language&amp;DataTest'!$A$1:$H$1, 0))),                                          
IFERROR(INDEX('language&amp;DataTest'!A:J, MATCH(INDEX( PointerTest!E:E, MATCH(B4, PointerTest!A:A, 0), 0), 'language&amp;DataTest'!A:A, 0), MATCH(HOME!$A$25, 'language&amp;DataTest'!$A$1:$H$1, 0))))</f>
        <v>Hand scope</v>
      </c>
      <c r="D4" s="249" t="str">
        <f t="array" ref="D4">INDEX('language&amp;DataTest'!A:J, MATCH(INDEX( PointerTest!D:D, MATCH(INDEX(PointerTest!B:B, MATCH(B4, PointerTest!A:A, 0)), PointerTest!A:A, 0), 0), 'language&amp;DataTest'!A:A, 0), MATCH(HOME!$A$25, 'language&amp;DataTest'!$A$1:$H$1, 0))</f>
        <v>Shop</v>
      </c>
      <c r="E4" s="253" t="str">
        <f t="shared" si="1"/>
        <v/>
      </c>
      <c r="F4" s="254">
        <v>0.0</v>
      </c>
      <c r="G4" s="97" t="s">
        <v>91</v>
      </c>
      <c r="H4" s="98" t="s">
        <v>92</v>
      </c>
      <c r="I4" s="98" t="s">
        <v>93</v>
      </c>
      <c r="J4" s="99" t="s">
        <v>94</v>
      </c>
    </row>
    <row r="5">
      <c r="A5" s="217" t="b">
        <v>1</v>
      </c>
      <c r="B5" s="69" t="s">
        <v>968</v>
      </c>
      <c r="C5" s="69" t="str">
        <f t="array" ref="C5">TEXTJOIN("", TRUE, IFERROR(INDEX('language&amp;DataTest'!A:J, MATCH(INDEX( PointerTest!C:C, MATCH(B5, PointerTest!A:A, 0), 0), 'language&amp;DataTest'!A:A, 0), MATCH(HOME!$A$25, 'language&amp;DataTest'!$A$1:$H$1, 0))),                      IFERROR(INDEX('language&amp;DataTest'!A:J, MATCH(INDEX( PointerTest!D:D, MATCH(B5, PointerTest!A:A, 0), 0), 'language&amp;DataTest'!A:A, 0), MATCH(HOME!$A$25, 'language&amp;DataTest'!$A$1:$H$1, 0))),                                          
IFERROR(INDEX('language&amp;DataTest'!A:J, MATCH(INDEX( PointerTest!E:E, MATCH(B5, PointerTest!A:A, 0), 0), 'language&amp;DataTest'!A:A, 0), MATCH(HOME!$A$25, 'language&amp;DataTest'!$A$1:$H$1, 0))))</f>
        <v>Pokedex</v>
      </c>
      <c r="D5" s="249" t="str">
        <f t="array" ref="D5">INDEX('language&amp;DataTest'!A:J, MATCH(INDEX( PointerTest!D:D, MATCH(INDEX(PointerTest!B:B, MATCH(B5, PointerTest!A:A, 0)), PointerTest!A:A, 0), 0), 'language&amp;DataTest'!A:A, 0), MATCH(HOME!$A$25, 'language&amp;DataTest'!$A$1:$H$1, 0))</f>
        <v>Shop</v>
      </c>
      <c r="E5" s="253" t="str">
        <f t="shared" si="1"/>
        <v/>
      </c>
      <c r="F5" s="254">
        <v>0.0</v>
      </c>
      <c r="G5" s="100" t="s">
        <v>96</v>
      </c>
      <c r="H5" s="101">
        <f>COUNTIF(A2:A50, TRUE) / COUNTA(A2:A50)</f>
        <v>0.9387755102</v>
      </c>
      <c r="I5" s="101">
        <f>COUNTIF(A2:A50, FALSE) / COUNTA(A2:A50)</f>
        <v>0.0612244898</v>
      </c>
      <c r="J5" s="102" t="str">
        <f>TEXT(COUNTIF(A2:A50, TRUE), "0") &amp; "/" &amp; TEXT(COUNTA(A2:A50), "0")</f>
        <v>46/49</v>
      </c>
    </row>
    <row r="6">
      <c r="A6" s="217" t="b">
        <v>1</v>
      </c>
      <c r="B6" s="69" t="s">
        <v>969</v>
      </c>
      <c r="C6" s="69" t="str">
        <f t="array" ref="C6">TEXTJOIN("", TRUE, IFERROR(INDEX('language&amp;DataTest'!A:J, MATCH(INDEX( PointerTest!C:C, MATCH(B6, PointerTest!A:A, 0), 0), 'language&amp;DataTest'!A:A, 0), MATCH(HOME!$A$25, 'language&amp;DataTest'!$A$1:$H$1, 0))),                      IFERROR(INDEX('language&amp;DataTest'!A:J, MATCH(INDEX( PointerTest!D:D, MATCH(B6, PointerTest!A:A, 0), 0), 'language&amp;DataTest'!A:A, 0), MATCH(HOME!$A$25, 'language&amp;DataTest'!$A$1:$H$1, 0))),                                          
IFERROR(INDEX('language&amp;DataTest'!A:J, MATCH(INDEX( PointerTest!E:E, MATCH(B6, PointerTest!A:A, 0), 0), 'language&amp;DataTest'!A:A, 0), MATCH(HOME!$A$25, 'language&amp;DataTest'!$A$1:$H$1, 0))))</f>
        <v>Poke ball</v>
      </c>
      <c r="D6" s="249" t="str">
        <f t="array" ref="D6">INDEX('language&amp;DataTest'!A:J, MATCH(INDEX( PointerTest!D:D, MATCH(INDEX(PointerTest!B:B, MATCH(B6, PointerTest!A:A, 0)), PointerTest!A:A, 0), 0), 'language&amp;DataTest'!A:A, 0), MATCH(HOME!$A$25, 'language&amp;DataTest'!$A$1:$H$1, 0))</f>
        <v>Shop</v>
      </c>
      <c r="E6" s="253" t="str">
        <f t="shared" si="1"/>
        <v/>
      </c>
      <c r="F6" s="254">
        <v>0.0</v>
      </c>
      <c r="G6" s="256" t="str">
        <f t="shared" ref="G6:G11" si="2">G14</f>
        <v>Free mission</v>
      </c>
      <c r="H6" s="257">
        <f t="shared" ref="H6:H11" si="3">IFERROR((COUNTIFS(A$2:A50, TRUE, D$2:D50, G6) + COUNTIFS(A$2:A50, TRUE, D$2:D50, "All")) / (COUNTIFS(D$2:D50, G6) + COUNTIFS(D$2:D50, "All")), 0)</f>
        <v>0</v>
      </c>
      <c r="I6" s="244">
        <f t="shared" ref="I6:I11" si="4">IFERROR((COUNTIFS(A$2:A50, FALSE, D$2:D50, G6) + COUNTIFS(A$2:A50, FALSE, D$2:D50, "All")) / (COUNTIFS(D$2:D50, G6) + COUNTIFS(D$2:D50, "All")), 0)</f>
        <v>0</v>
      </c>
      <c r="J6" s="205" t="str">
        <f>TEXT(COUNTIFS(A2:A50, TRUE, D2:D50, G6) + COUNTIFS(A2:A50, TRUE, D2:D50, "All"), "0") &amp; "/" &amp; TEXT(COUNTIFS(D2:D50, G6) + COUNTIFS(D2:D50, "All"), "0")</f>
        <v>0/0</v>
      </c>
    </row>
    <row r="7">
      <c r="A7" s="217" t="b">
        <v>1</v>
      </c>
      <c r="B7" s="69" t="s">
        <v>970</v>
      </c>
      <c r="C7" s="69" t="str">
        <f t="array" ref="C7">TEXTJOIN("", TRUE, IFERROR(INDEX('language&amp;DataTest'!A:J, MATCH(INDEX( PointerTest!C:C, MATCH(B7, PointerTest!A:A, 0), 0), 'language&amp;DataTest'!A:A, 0), MATCH(HOME!$A$25, 'language&amp;DataTest'!$A$1:$H$1, 0))),                      IFERROR(INDEX('language&amp;DataTest'!A:J, MATCH(INDEX( PointerTest!D:D, MATCH(B7, PointerTest!A:A, 0), 0), 'language&amp;DataTest'!A:A, 0), MATCH(HOME!$A$25, 'language&amp;DataTest'!$A$1:$H$1, 0))),                                          
IFERROR(INDEX('language&amp;DataTest'!A:J, MATCH(INDEX( PointerTest!E:E, MATCH(B7, PointerTest!A:A, 0), 0), 'language&amp;DataTest'!A:A, 0), MATCH(HOME!$A$25, 'language&amp;DataTest'!$A$1:$H$1, 0))))</f>
        <v>Red card </v>
      </c>
      <c r="D7" s="249" t="str">
        <f t="array" ref="D7">INDEX('language&amp;DataTest'!A:J, MATCH(INDEX( PointerTest!D:D, MATCH(INDEX(PointerTest!B:B, MATCH(B7, PointerTest!A:A, 0)), PointerTest!A:A, 0), 0), 'language&amp;DataTest'!A:A, 0), MATCH(HOME!$A$25, 'language&amp;DataTest'!$A$1:$H$1, 0))</f>
        <v>Shop</v>
      </c>
      <c r="E7" s="253" t="str">
        <f t="shared" si="1"/>
        <v/>
      </c>
      <c r="F7" s="254">
        <v>0.0</v>
      </c>
      <c r="G7" s="193" t="str">
        <f t="shared" si="2"/>
        <v>Premium mission</v>
      </c>
      <c r="H7" s="257">
        <f t="shared" si="3"/>
        <v>1</v>
      </c>
      <c r="I7" s="244">
        <f t="shared" si="4"/>
        <v>0</v>
      </c>
      <c r="J7" s="205" t="str">
        <f t="shared" ref="J7:J8" si="5">TEXT(COUNTIFS(A1:A50, TRUE, D1:D50, G7) + COUNTIFS(A1:A50, TRUE, D1:D50, "All"), "0") &amp; "/" &amp; TEXT(COUNTIFS(D1:D50, G7) + COUNTIFS(D1:D50, "All"), "0")</f>
        <v>4/4</v>
      </c>
    </row>
    <row r="8">
      <c r="A8" s="217" t="b">
        <v>1</v>
      </c>
      <c r="B8" s="69" t="s">
        <v>971</v>
      </c>
      <c r="C8" s="69" t="str">
        <f t="array" ref="C8">TEXTJOIN("", TRUE, IFERROR(INDEX('language&amp;DataTest'!A:J, MATCH(INDEX( PointerTest!C:C, MATCH(B8, PointerTest!A:A, 0), 0), 'language&amp;DataTest'!A:A, 0), MATCH(HOME!$A$25, 'language&amp;DataTest'!$A$1:$H$1, 0))),                      IFERROR(INDEX('language&amp;DataTest'!A:J, MATCH(INDEX( PointerTest!D:D, MATCH(B8, PointerTest!A:A, 0), 0), 'language&amp;DataTest'!A:A, 0), MATCH(HOME!$A$25, 'language&amp;DataTest'!$A$1:$H$1, 0))),                                          
IFERROR(INDEX('language&amp;DataTest'!A:J, MATCH(INDEX( PointerTest!E:E, MATCH(B8, PointerTest!A:A, 0), 0), 'language&amp;DataTest'!A:A, 0), MATCH(HOME!$A$25, 'language&amp;DataTest'!$A$1:$H$1, 0))))</f>
        <v>Professor's Research</v>
      </c>
      <c r="D8" s="249" t="str">
        <f t="array" ref="D8">INDEX('language&amp;DataTest'!A:J, MATCH(INDEX( PointerTest!D:D, MATCH(INDEX(PointerTest!B:B, MATCH(B8, PointerTest!A:A, 0)), PointerTest!A:A, 0), 0), 'language&amp;DataTest'!A:A, 0), MATCH(HOME!$A$25, 'language&amp;DataTest'!$A$1:$H$1, 0))</f>
        <v>Shop</v>
      </c>
      <c r="E8" s="253" t="str">
        <f t="shared" si="1"/>
        <v/>
      </c>
      <c r="F8" s="254">
        <v>0.0</v>
      </c>
      <c r="G8" s="193" t="str">
        <f t="shared" si="2"/>
        <v>Shop</v>
      </c>
      <c r="H8" s="257">
        <f t="shared" si="3"/>
        <v>1</v>
      </c>
      <c r="I8" s="244">
        <f t="shared" si="4"/>
        <v>0</v>
      </c>
      <c r="J8" s="205" t="str">
        <f t="shared" si="5"/>
        <v>8/8</v>
      </c>
    </row>
    <row r="9">
      <c r="A9" s="217" t="b">
        <v>1</v>
      </c>
      <c r="B9" s="249" t="s">
        <v>972</v>
      </c>
      <c r="C9" s="69" t="str">
        <f t="array" ref="C9">TEXTJOIN("", TRUE, IFERROR(INDEX('language&amp;DataTest'!A:J, MATCH(INDEX( PointerTest!C:C, MATCH(B9, PointerTest!A:A, 0), 0), 'language&amp;DataTest'!A:A, 0), MATCH(HOME!$A$25, 'language&amp;DataTest'!$A$1:$H$1, 0))),                      IFERROR(INDEX('language&amp;DataTest'!A:J, MATCH(INDEX( PointerTest!D:D, MATCH(B9, PointerTest!A:A, 0), 0), 'language&amp;DataTest'!A:A, 0), MATCH(HOME!$A$25, 'language&amp;DataTest'!$A$1:$H$1, 0))),                                          
IFERROR(INDEX('language&amp;DataTest'!A:J, MATCH(INDEX( PointerTest!E:E, MATCH(B9, PointerTest!A:A, 0), 0), 'language&amp;DataTest'!A:A, 0), MATCH(HOME!$A$25, 'language&amp;DataTest'!$A$1:$H$1, 0))))</f>
        <v>Pokedex</v>
      </c>
      <c r="D9" s="249" t="str">
        <f t="array" ref="D9">INDEX('language&amp;DataTest'!A:J, MATCH(INDEX( PointerTest!D:D, MATCH(INDEX(PointerTest!B:B, MATCH(B9, PointerTest!A:A, 0)), PointerTest!A:A, 0), 0), 'language&amp;DataTest'!A:A, 0), MATCH(HOME!$A$25, 'language&amp;DataTest'!$A$1:$H$1, 0))</f>
        <v>Developer's gift</v>
      </c>
      <c r="E9" s="258"/>
      <c r="F9" s="254">
        <v>0.0</v>
      </c>
      <c r="G9" s="100" t="str">
        <f t="shared" si="2"/>
        <v>Wonder Pick</v>
      </c>
      <c r="H9" s="257">
        <f t="shared" si="3"/>
        <v>1</v>
      </c>
      <c r="I9" s="244">
        <f t="shared" si="4"/>
        <v>0</v>
      </c>
      <c r="J9" s="259" t="str">
        <f>TEXT(COUNTIFS(A1:A50, TRUE, D1:D50, G9) + COUNTIFS(A1:A50, TRUE, D1:D50, "All"), "0") &amp; "/" &amp; TEXT(COUNTIFS(D1:D50, G9) + COUNTIFS(D1:D50, "All"), "0")</f>
        <v>10/10</v>
      </c>
    </row>
    <row r="10">
      <c r="A10" s="217" t="b">
        <v>1</v>
      </c>
      <c r="B10" s="249" t="s">
        <v>973</v>
      </c>
      <c r="C10" s="69" t="str">
        <f t="array" ref="C10">TEXTJOIN("", TRUE, IFERROR(INDEX('language&amp;DataTest'!A:J, MATCH(INDEX( PointerTest!C:C, MATCH(B10, PointerTest!A:A, 0), 0), 'language&amp;DataTest'!A:A, 0), MATCH(HOME!$A$25, 'language&amp;DataTest'!$A$1:$H$1, 0))),                      IFERROR(INDEX('language&amp;DataTest'!A:J, MATCH(INDEX( PointerTest!D:D, MATCH(B10, PointerTest!A:A, 0), 0), 'language&amp;DataTest'!A:A, 0), MATCH(HOME!$A$25, 'language&amp;DataTest'!$A$1:$H$1, 0))),                                          
IFERROR(INDEX('language&amp;DataTest'!A:J, MATCH(INDEX( PointerTest!E:E, MATCH(B10, PointerTest!A:A, 0), 0), 'language&amp;DataTest'!A:A, 0), MATCH(HOME!$A$25, 'language&amp;DataTest'!$A$1:$H$1, 0))))</f>
        <v>Pikachu</v>
      </c>
      <c r="D10" s="249" t="str">
        <f t="array" ref="D10">INDEX('language&amp;DataTest'!A:J, MATCH(INDEX( PointerTest!D:D, MATCH(INDEX(PointerTest!B:B, MATCH(B10, PointerTest!A:A, 0)), PointerTest!A:A, 0), 0), 'language&amp;DataTest'!A:A, 0), MATCH(HOME!$A$25, 'language&amp;DataTest'!$A$1:$H$1, 0))</f>
        <v>Shop</v>
      </c>
      <c r="E10" s="253" t="str">
        <f>IF(D10 = "All", "*Based on " &amp; '(OLD) Genetic Apex'!$D$2 &amp; " pack", "")
</f>
        <v/>
      </c>
      <c r="F10" s="254">
        <v>0.0</v>
      </c>
      <c r="G10" s="193" t="str">
        <f t="shared" si="2"/>
        <v>Promo pack</v>
      </c>
      <c r="H10" s="257">
        <f t="shared" si="3"/>
        <v>0.88</v>
      </c>
      <c r="I10" s="244">
        <f t="shared" si="4"/>
        <v>0.12</v>
      </c>
      <c r="J10" s="205" t="str">
        <f>TEXT(COUNTIFS(A3:A50, TRUE, D3:D50, G10) + COUNTIFS(A3:A50, TRUE, D3:D50, "All"), "0") &amp; "/" &amp; TEXT(COUNTIFS(D3:D50, G10) + COUNTIFS(D3:D50, "All"), "0")</f>
        <v>22/25</v>
      </c>
    </row>
    <row r="11">
      <c r="A11" s="217" t="b">
        <v>1</v>
      </c>
      <c r="B11" s="69" t="s">
        <v>974</v>
      </c>
      <c r="C11" s="69" t="str">
        <f t="array" ref="C11">TEXTJOIN("", TRUE, IFERROR(INDEX('language&amp;DataTest'!A:J, MATCH(INDEX( PointerTest!C:C, MATCH(B11, PointerTest!A:A, 0), 0), 'language&amp;DataTest'!A:A, 0), MATCH(HOME!$A$25, 'language&amp;DataTest'!$A$1:$H$1, 0))),                      IFERROR(INDEX('language&amp;DataTest'!A:J, MATCH(INDEX( PointerTest!D:D, MATCH(B11, PointerTest!A:A, 0), 0), 'language&amp;DataTest'!A:A, 0), MATCH(HOME!$A$25, 'language&amp;DataTest'!$A$1:$H$1, 0))),                                          
IFERROR(INDEX('language&amp;DataTest'!A:J, MATCH(INDEX( PointerTest!E:E, MATCH(B11, PointerTest!A:A, 0), 0), 'language&amp;DataTest'!A:A, 0), MATCH(HOME!$A$25, 'language&amp;DataTest'!$A$1:$H$1, 0))))</f>
        <v>Mewtwo</v>
      </c>
      <c r="D11" s="249" t="str">
        <f t="array" ref="D11">INDEX('language&amp;DataTest'!A:J, MATCH(INDEX( PointerTest!D:D, MATCH(INDEX(PointerTest!B:B, MATCH(B11, PointerTest!A:A, 0)), PointerTest!A:A, 0), 0), 'language&amp;DataTest'!A:A, 0), MATCH(HOME!$A$25, 'language&amp;DataTest'!$A$1:$H$1, 0))</f>
        <v>Premium mission</v>
      </c>
      <c r="E11" s="258"/>
      <c r="F11" s="254">
        <v>0.0</v>
      </c>
      <c r="G11" s="260" t="str">
        <f t="shared" si="2"/>
        <v>Developer's gift</v>
      </c>
      <c r="H11" s="261">
        <f t="shared" si="3"/>
        <v>1</v>
      </c>
      <c r="I11" s="262">
        <f t="shared" si="4"/>
        <v>0</v>
      </c>
      <c r="J11" s="263" t="str">
        <f>TEXT(COUNTIFS(A3:A50, TRUE, D3:D50, G11) + COUNTIFS(A3:A50, TRUE, D3:D50, "All"), "0") &amp; "/" &amp; TEXT(COUNTIFS(D3:D50, G11) + COUNTIFS(D3:D50, "All"), "0")</f>
        <v>2/2</v>
      </c>
    </row>
    <row r="12">
      <c r="A12" s="217" t="b">
        <v>1</v>
      </c>
      <c r="B12" s="69" t="s">
        <v>975</v>
      </c>
      <c r="C12" s="69" t="str">
        <f t="array" ref="C12">TEXTJOIN("", TRUE, IFERROR(INDEX('language&amp;DataTest'!A:J, MATCH(INDEX( PointerTest!C:C, MATCH(B12, PointerTest!A:A, 0), 0), 'language&amp;DataTest'!A:A, 0), MATCH(HOME!$A$25, 'language&amp;DataTest'!$A$1:$H$1, 0))),                      IFERROR(INDEX('language&amp;DataTest'!A:J, MATCH(INDEX( PointerTest!D:D, MATCH(B12, PointerTest!A:A, 0), 0), 'language&amp;DataTest'!A:A, 0), MATCH(HOME!$A$25, 'language&amp;DataTest'!$A$1:$H$1, 0))),                                          
IFERROR(INDEX('language&amp;DataTest'!A:J, MATCH(INDEX( PointerTest!E:E, MATCH(B12, PointerTest!A:A, 0), 0), 'language&amp;DataTest'!A:A, 0), MATCH(HOME!$A$25, 'language&amp;DataTest'!$A$1:$H$1, 0))))</f>
        <v>Chansey</v>
      </c>
      <c r="D12" s="249" t="str">
        <f t="array" ref="D12">INDEX('language&amp;DataTest'!A:J, MATCH(INDEX( PointerTest!D:D, MATCH(INDEX(PointerTest!B:B, MATCH(B12, PointerTest!A:A, 0)), PointerTest!A:A, 0), 0), 'language&amp;DataTest'!A:A, 0), MATCH(HOME!$A$25, 'language&amp;DataTest'!$A$1:$H$1, 0))</f>
        <v>Wonder Pick</v>
      </c>
      <c r="E12" s="253" t="str">
        <f t="shared" ref="E12:E24" si="6">IF(D12 = "All", "*Based on " &amp; '(OLD) Genetic Apex'!$D$2 &amp; " pack", "")
</f>
        <v/>
      </c>
      <c r="F12" s="254">
        <v>0.0</v>
      </c>
      <c r="G12" s="264" t="str">
        <f t="array" ref="G12">INDEX('language&amp;DataTest'!A:J, MATCH(INDEX( PointerTest!D:D, MATCH(PointerTest!A2, PointerTest!A:A, 0), 0), 'language&amp;DataTest'!A:A, 0), MATCH(HOME!$A$25, 'language&amp;DataTest'!$A$1:$H$1, 0))</f>
        <v>???</v>
      </c>
      <c r="H12" s="265"/>
      <c r="I12" s="265"/>
      <c r="J12" s="265"/>
    </row>
    <row r="13">
      <c r="A13" s="217" t="b">
        <v>1</v>
      </c>
      <c r="B13" s="69" t="s">
        <v>976</v>
      </c>
      <c r="C13" s="69" t="str">
        <f t="array" ref="C13">TEXTJOIN("", TRUE, IFERROR(INDEX('language&amp;DataTest'!A:J, MATCH(INDEX( PointerTest!C:C, MATCH(B13, PointerTest!A:A, 0), 0), 'language&amp;DataTest'!A:A, 0), MATCH(HOME!$A$25, 'language&amp;DataTest'!$A$1:$H$1, 0))),                      IFERROR(INDEX('language&amp;DataTest'!A:J, MATCH(INDEX( PointerTest!D:D, MATCH(B13, PointerTest!A:A, 0), 0), 'language&amp;DataTest'!A:A, 0), MATCH(HOME!$A$25, 'language&amp;DataTest'!$A$1:$H$1, 0))),                                          
IFERROR(INDEX('language&amp;DataTest'!A:J, MATCH(INDEX( PointerTest!E:E, MATCH(B13, PointerTest!A:A, 0), 0), 'language&amp;DataTest'!A:A, 0), MATCH(HOME!$A$25, 'language&amp;DataTest'!$A$1:$H$1, 0))))</f>
        <v>Meowth</v>
      </c>
      <c r="D13" s="249" t="str">
        <f t="array" ref="D13">INDEX('language&amp;DataTest'!A:J, MATCH(INDEX( PointerTest!D:D, MATCH(INDEX(PointerTest!B:B, MATCH(B13, PointerTest!A:A, 0)), PointerTest!A:A, 0), 0), 'language&amp;DataTest'!A:A, 0), MATCH(HOME!$A$25, 'language&amp;DataTest'!$A$1:$H$1, 0))</f>
        <v>Wonder Pick</v>
      </c>
      <c r="E13" s="253" t="str">
        <f t="shared" si="6"/>
        <v/>
      </c>
      <c r="F13" s="254">
        <v>0.0</v>
      </c>
      <c r="G13" s="264" t="str">
        <f t="array" ref="G13">INDEX('language&amp;DataTest'!A:J, MATCH(INDEX( PointerTest!D:D, MATCH(PointerTest!A3, PointerTest!A:A, 0), 0), 'language&amp;DataTest'!A:A, 0), MATCH(HOME!$A$25, 'language&amp;DataTest'!$A$1:$H$1, 0))</f>
        <v>All</v>
      </c>
      <c r="H13" s="265"/>
      <c r="I13" s="265"/>
      <c r="J13" s="265"/>
    </row>
    <row r="14">
      <c r="A14" s="217" t="b">
        <v>1</v>
      </c>
      <c r="B14" s="69" t="s">
        <v>977</v>
      </c>
      <c r="C14" s="69" t="str">
        <f t="array" ref="C14">TEXTJOIN("", TRUE, IFERROR(INDEX('language&amp;DataTest'!A:J, MATCH(INDEX( PointerTest!C:C, MATCH(B14, PointerTest!A:A, 0), 0), 'language&amp;DataTest'!A:A, 0), MATCH(HOME!$A$25, 'language&amp;DataTest'!$A$1:$H$1, 0))),                      IFERROR(INDEX('language&amp;DataTest'!A:J, MATCH(INDEX( PointerTest!D:D, MATCH(B14, PointerTest!A:A, 0), 0), 'language&amp;DataTest'!A:A, 0), MATCH(HOME!$A$25, 'language&amp;DataTest'!$A$1:$H$1, 0))),                                          
IFERROR(INDEX('language&amp;DataTest'!A:J, MATCH(INDEX( PointerTest!E:E, MATCH(B14, PointerTest!A:A, 0), 0), 'language&amp;DataTest'!A:A, 0), MATCH(HOME!$A$25, 'language&amp;DataTest'!$A$1:$H$1, 0))))</f>
        <v>Butterfree</v>
      </c>
      <c r="D14" s="249" t="str">
        <f t="array" ref="D14">INDEX('language&amp;DataTest'!A:J, MATCH(INDEX( PointerTest!D:D, MATCH(INDEX(PointerTest!B:B, MATCH(B14, PointerTest!A:A, 0)), PointerTest!A:A, 0), 0), 'language&amp;DataTest'!A:A, 0), MATCH(HOME!$A$25, 'language&amp;DataTest'!$A$1:$H$1, 0))</f>
        <v>Promo pack</v>
      </c>
      <c r="E14" s="253" t="str">
        <f t="shared" si="6"/>
        <v/>
      </c>
      <c r="F14" s="254">
        <v>0.0</v>
      </c>
      <c r="G14" s="264" t="str">
        <f t="array" ref="G14">INDEX('language&amp;DataTest'!A:J, MATCH(INDEX( PointerTest!D:D, MATCH(PointerTest!A4, PointerTest!A:A, 0), 0), 'language&amp;DataTest'!A:A, 0), MATCH(HOME!$A$25, 'language&amp;DataTest'!$A$1:$H$1, 0))</f>
        <v>Free mission</v>
      </c>
      <c r="H14" s="265"/>
      <c r="I14" s="265"/>
      <c r="J14" s="265"/>
    </row>
    <row r="15">
      <c r="A15" s="217" t="b">
        <v>0</v>
      </c>
      <c r="B15" s="69" t="s">
        <v>978</v>
      </c>
      <c r="C15" s="69" t="str">
        <f t="array" ref="C15">TEXTJOIN("", TRUE, IFERROR(INDEX('language&amp;DataTest'!A:J, MATCH(INDEX( PointerTest!C:C, MATCH(B15, PointerTest!A:A, 0), 0), 'language&amp;DataTest'!A:A, 0), MATCH(HOME!$A$25, 'language&amp;DataTest'!$A$1:$H$1, 0))),                      IFERROR(INDEX('language&amp;DataTest'!A:J, MATCH(INDEX( PointerTest!D:D, MATCH(B15, PointerTest!A:A, 0), 0), 'language&amp;DataTest'!A:A, 0), MATCH(HOME!$A$25, 'language&amp;DataTest'!$A$1:$H$1, 0))),                                          
IFERROR(INDEX('language&amp;DataTest'!A:J, MATCH(INDEX( PointerTest!E:E, MATCH(B15, PointerTest!A:A, 0), 0), 'language&amp;DataTest'!A:A, 0), MATCH(HOME!$A$25, 'language&amp;DataTest'!$A$1:$H$1, 0))))</f>
        <v>Lapras ex</v>
      </c>
      <c r="D15" s="249" t="str">
        <f t="array" ref="D15">INDEX('language&amp;DataTest'!A:J, MATCH(INDEX( PointerTest!D:D, MATCH(INDEX(PointerTest!B:B, MATCH(B15, PointerTest!A:A, 0)), PointerTest!A:A, 0), 0), 'language&amp;DataTest'!A:A, 0), MATCH(HOME!$A$25, 'language&amp;DataTest'!$A$1:$H$1, 0))</f>
        <v>Promo pack</v>
      </c>
      <c r="E15" s="253" t="str">
        <f t="shared" si="6"/>
        <v/>
      </c>
      <c r="F15" s="254">
        <v>0.0</v>
      </c>
      <c r="G15" s="264" t="str">
        <f t="array" ref="G15">INDEX('language&amp;DataTest'!A:J, MATCH(INDEX( PointerTest!D:D, MATCH(PointerTest!A5, PointerTest!A:A, 0), 0), 'language&amp;DataTest'!A:A, 0), MATCH(HOME!$A$25, 'language&amp;DataTest'!$A$1:$H$1, 0))</f>
        <v>Premium mission</v>
      </c>
      <c r="H15" s="265"/>
      <c r="I15" s="265"/>
      <c r="J15" s="265"/>
    </row>
    <row r="16">
      <c r="A16" s="217" t="b">
        <v>1</v>
      </c>
      <c r="B16" s="69" t="s">
        <v>979</v>
      </c>
      <c r="C16" s="69" t="str">
        <f t="array" ref="C16">TEXTJOIN("", TRUE, IFERROR(INDEX('language&amp;DataTest'!A:J, MATCH(INDEX( PointerTest!C:C, MATCH(B16, PointerTest!A:A, 0), 0), 'language&amp;DataTest'!A:A, 0), MATCH(HOME!$A$25, 'language&amp;DataTest'!$A$1:$H$1, 0))),                      IFERROR(INDEX('language&amp;DataTest'!A:J, MATCH(INDEX( PointerTest!D:D, MATCH(B16, PointerTest!A:A, 0), 0), 'language&amp;DataTest'!A:A, 0), MATCH(HOME!$A$25, 'language&amp;DataTest'!$A$1:$H$1, 0))),                                          
IFERROR(INDEX('language&amp;DataTest'!A:J, MATCH(INDEX( PointerTest!E:E, MATCH(B16, PointerTest!A:A, 0), 0), 'language&amp;DataTest'!A:A, 0), MATCH(HOME!$A$25, 'language&amp;DataTest'!$A$1:$H$1, 0))))</f>
        <v>Pikachu</v>
      </c>
      <c r="D16" s="249" t="str">
        <f t="array" ref="D16">INDEX('language&amp;DataTest'!A:J, MATCH(INDEX( PointerTest!D:D, MATCH(INDEX(PointerTest!B:B, MATCH(B16, PointerTest!A:A, 0)), PointerTest!A:A, 0), 0), 'language&amp;DataTest'!A:A, 0), MATCH(HOME!$A$25, 'language&amp;DataTest'!$A$1:$H$1, 0))</f>
        <v>Promo pack</v>
      </c>
      <c r="E16" s="253" t="str">
        <f t="shared" si="6"/>
        <v/>
      </c>
      <c r="F16" s="254">
        <v>0.0</v>
      </c>
      <c r="G16" s="264" t="str">
        <f t="array" ref="G16">INDEX('language&amp;DataTest'!A:J, MATCH(INDEX( PointerTest!D:D, MATCH(PointerTest!A6, PointerTest!A:A, 0), 0), 'language&amp;DataTest'!A:A, 0), MATCH(HOME!$A$25, 'language&amp;DataTest'!$A$1:$H$1, 0))</f>
        <v>Shop</v>
      </c>
      <c r="H16" s="265"/>
      <c r="I16" s="265"/>
      <c r="J16" s="265"/>
    </row>
    <row r="17">
      <c r="A17" s="217" t="b">
        <v>1</v>
      </c>
      <c r="B17" s="69" t="s">
        <v>980</v>
      </c>
      <c r="C17" s="69" t="str">
        <f t="array" ref="C17">TEXTJOIN("", TRUE, IFERROR(INDEX('language&amp;DataTest'!A:J, MATCH(INDEX( PointerTest!C:C, MATCH(B17, PointerTest!A:A, 0), 0), 'language&amp;DataTest'!A:A, 0), MATCH(HOME!$A$25, 'language&amp;DataTest'!$A$1:$H$1, 0))),                      IFERROR(INDEX('language&amp;DataTest'!A:J, MATCH(INDEX( PointerTest!D:D, MATCH(B17, PointerTest!A:A, 0), 0), 'language&amp;DataTest'!A:A, 0), MATCH(HOME!$A$25, 'language&amp;DataTest'!$A$1:$H$1, 0))),                                          
IFERROR(INDEX('language&amp;DataTest'!A:J, MATCH(INDEX( PointerTest!E:E, MATCH(B17, PointerTest!A:A, 0), 0), 'language&amp;DataTest'!A:A, 0), MATCH(HOME!$A$25, 'language&amp;DataTest'!$A$1:$H$1, 0))))</f>
        <v>Clefairy</v>
      </c>
      <c r="D17" s="249" t="str">
        <f t="array" ref="D17">INDEX('language&amp;DataTest'!A:J, MATCH(INDEX( PointerTest!D:D, MATCH(INDEX(PointerTest!B:B, MATCH(B17, PointerTest!A:A, 0)), PointerTest!A:A, 0), 0), 'language&amp;DataTest'!A:A, 0), MATCH(HOME!$A$25, 'language&amp;DataTest'!$A$1:$H$1, 0))</f>
        <v>Promo pack</v>
      </c>
      <c r="E17" s="253" t="str">
        <f t="shared" si="6"/>
        <v/>
      </c>
      <c r="F17" s="254">
        <v>0.0</v>
      </c>
      <c r="G17" s="264" t="str">
        <f t="array" ref="G17">INDEX('language&amp;DataTest'!A:J, MATCH(INDEX( PointerTest!D:D, MATCH(PointerTest!A7, PointerTest!A:A, 0), 0), 'language&amp;DataTest'!A:A, 0), MATCH(HOME!$A$25, 'language&amp;DataTest'!$A$1:$H$1, 0))</f>
        <v>Wonder Pick</v>
      </c>
      <c r="H17" s="265"/>
      <c r="I17" s="265"/>
      <c r="J17" s="265"/>
    </row>
    <row r="18">
      <c r="A18" s="217" t="b">
        <v>1</v>
      </c>
      <c r="B18" s="249" t="s">
        <v>981</v>
      </c>
      <c r="C18" s="69" t="str">
        <f t="array" ref="C18">TEXTJOIN("", TRUE, IFERROR(INDEX('language&amp;DataTest'!A:J, MATCH(INDEX( PointerTest!C:C, MATCH(B18, PointerTest!A:A, 0), 0), 'language&amp;DataTest'!A:A, 0), MATCH(HOME!$A$25, 'language&amp;DataTest'!$A$1:$H$1, 0))),                      IFERROR(INDEX('language&amp;DataTest'!A:J, MATCH(INDEX( PointerTest!D:D, MATCH(B18, PointerTest!A:A, 0), 0), 'language&amp;DataTest'!A:A, 0), MATCH(HOME!$A$25, 'language&amp;DataTest'!$A$1:$H$1, 0))),                                          
IFERROR(INDEX('language&amp;DataTest'!A:J, MATCH(INDEX( PointerTest!E:E, MATCH(B18, PointerTest!A:A, 0), 0), 'language&amp;DataTest'!A:A, 0), MATCH(HOME!$A$25, 'language&amp;DataTest'!$A$1:$H$1, 0))))</f>
        <v>Mankey</v>
      </c>
      <c r="D18" s="249" t="str">
        <f t="array" ref="D18">INDEX('language&amp;DataTest'!A:J, MATCH(INDEX( PointerTest!D:D, MATCH(INDEX(PointerTest!B:B, MATCH(B18, PointerTest!A:A, 0)), PointerTest!A:A, 0), 0), 'language&amp;DataTest'!A:A, 0), MATCH(HOME!$A$25, 'language&amp;DataTest'!$A$1:$H$1, 0))</f>
        <v>Promo pack</v>
      </c>
      <c r="E18" s="253" t="str">
        <f t="shared" si="6"/>
        <v/>
      </c>
      <c r="F18" s="254">
        <v>0.0</v>
      </c>
      <c r="G18" s="264" t="str">
        <f t="array" ref="G18">INDEX('language&amp;DataTest'!A:J, MATCH(INDEX( PointerTest!D:D, MATCH(PointerTest!A8, PointerTest!A:A, 0), 0), 'language&amp;DataTest'!A:A, 0), MATCH(HOME!$A$25, 'language&amp;DataTest'!$A$1:$H$1, 0))</f>
        <v>Promo pack</v>
      </c>
      <c r="H18" s="265"/>
      <c r="I18" s="265"/>
      <c r="J18" s="265"/>
    </row>
    <row r="19">
      <c r="A19" s="217" t="b">
        <v>1</v>
      </c>
      <c r="B19" s="249" t="s">
        <v>982</v>
      </c>
      <c r="C19" s="69" t="str">
        <f t="array" ref="C19">TEXTJOIN("", TRUE, IFERROR(INDEX('language&amp;DataTest'!A:J, MATCH(INDEX( PointerTest!C:C, MATCH(B19, PointerTest!A:A, 0), 0), 'language&amp;DataTest'!A:A, 0), MATCH(HOME!$A$25, 'language&amp;DataTest'!$A$1:$H$1, 0))),                      IFERROR(INDEX('language&amp;DataTest'!A:J, MATCH(INDEX( PointerTest!D:D, MATCH(B19, PointerTest!A:A, 0), 0), 'language&amp;DataTest'!A:A, 0), MATCH(HOME!$A$25, 'language&amp;DataTest'!$A$1:$H$1, 0))),                                          
IFERROR(INDEX('language&amp;DataTest'!A:J, MATCH(INDEX( PointerTest!E:E, MATCH(B19, PointerTest!A:A, 0), 0), 'language&amp;DataTest'!A:A, 0), MATCH(HOME!$A$25, 'language&amp;DataTest'!$A$1:$H$1, 0))))</f>
        <v>Venusaur</v>
      </c>
      <c r="D19" s="249" t="str">
        <f t="array" ref="D19">INDEX('language&amp;DataTest'!A:J, MATCH(INDEX( PointerTest!D:D, MATCH(INDEX(PointerTest!B:B, MATCH(B19, PointerTest!A:A, 0)), PointerTest!A:A, 0), 0), 'language&amp;DataTest'!A:A, 0), MATCH(HOME!$A$25, 'language&amp;DataTest'!$A$1:$H$1, 0))</f>
        <v>Promo pack</v>
      </c>
      <c r="E19" s="253" t="str">
        <f t="shared" si="6"/>
        <v/>
      </c>
      <c r="F19" s="254">
        <v>0.0</v>
      </c>
      <c r="G19" s="264" t="str">
        <f t="array" ref="G19">INDEX('language&amp;DataTest'!A:J, MATCH(INDEX( PointerTest!D:D, MATCH(PointerTest!A9, PointerTest!A:A, 0), 0), 'language&amp;DataTest'!A:A, 0), MATCH(HOME!$A$25, 'language&amp;DataTest'!$A$1:$H$1, 0))</f>
        <v>Developer's gift</v>
      </c>
      <c r="H19" s="265"/>
      <c r="I19" s="265"/>
      <c r="J19" s="265"/>
    </row>
    <row r="20">
      <c r="A20" s="217" t="b">
        <v>1</v>
      </c>
      <c r="B20" s="69" t="s">
        <v>983</v>
      </c>
      <c r="C20" s="69" t="str">
        <f t="array" ref="C20">TEXTJOIN("", TRUE, IFERROR(INDEX('language&amp;DataTest'!A:J, MATCH(INDEX( PointerTest!C:C, MATCH(B20, PointerTest!A:A, 0), 0), 'language&amp;DataTest'!A:A, 0), MATCH(HOME!$A$25, 'language&amp;DataTest'!$A$1:$H$1, 0))),                      IFERROR(INDEX('language&amp;DataTest'!A:J, MATCH(INDEX( PointerTest!D:D, MATCH(B20, PointerTest!A:A, 0), 0), 'language&amp;DataTest'!A:A, 0), MATCH(HOME!$A$25, 'language&amp;DataTest'!$A$1:$H$1, 0))),                                          
IFERROR(INDEX('language&amp;DataTest'!A:J, MATCH(INDEX( PointerTest!E:E, MATCH(B20, PointerTest!A:A, 0), 0), 'language&amp;DataTest'!A:A, 0), MATCH(HOME!$A$25, 'language&amp;DataTest'!$A$1:$H$1, 0))))</f>
        <v>Greninja</v>
      </c>
      <c r="D20" s="249" t="str">
        <f t="array" ref="D20">INDEX('language&amp;DataTest'!A:J, MATCH(INDEX( PointerTest!D:D, MATCH(INDEX(PointerTest!B:B, MATCH(B20, PointerTest!A:A, 0)), PointerTest!A:A, 0), 0), 'language&amp;DataTest'!A:A, 0), MATCH(HOME!$A$25, 'language&amp;DataTest'!$A$1:$H$1, 0))</f>
        <v>Promo pack</v>
      </c>
      <c r="E20" s="253" t="str">
        <f t="shared" si="6"/>
        <v/>
      </c>
      <c r="F20" s="254">
        <v>0.0</v>
      </c>
      <c r="G20" s="266"/>
      <c r="H20" s="265"/>
      <c r="I20" s="265"/>
      <c r="J20" s="265"/>
    </row>
    <row r="21">
      <c r="A21" s="217" t="b">
        <v>1</v>
      </c>
      <c r="B21" s="69" t="s">
        <v>984</v>
      </c>
      <c r="C21" s="69" t="str">
        <f t="array" ref="C21">TEXTJOIN("", TRUE, IFERROR(INDEX('language&amp;DataTest'!A:J, MATCH(INDEX( PointerTest!C:C, MATCH(B21, PointerTest!A:A, 0), 0), 'language&amp;DataTest'!A:A, 0), MATCH(HOME!$A$25, 'language&amp;DataTest'!$A$1:$H$1, 0))),                      IFERROR(INDEX('language&amp;DataTest'!A:J, MATCH(INDEX( PointerTest!D:D, MATCH(B21, PointerTest!A:A, 0), 0), 'language&amp;DataTest'!A:A, 0), MATCH(HOME!$A$25, 'language&amp;DataTest'!$A$1:$H$1, 0))),                                          
IFERROR(INDEX('language&amp;DataTest'!A:J, MATCH(INDEX( PointerTest!E:E, MATCH(B21, PointerTest!A:A, 0), 0), 'language&amp;DataTest'!A:A, 0), MATCH(HOME!$A$25, 'language&amp;DataTest'!$A$1:$H$1, 0))))</f>
        <v>Haunter</v>
      </c>
      <c r="D21" s="249" t="str">
        <f t="array" ref="D21">INDEX('language&amp;DataTest'!A:J, MATCH(INDEX( PointerTest!D:D, MATCH(INDEX(PointerTest!B:B, MATCH(B21, PointerTest!A:A, 0)), PointerTest!A:A, 0), 0), 'language&amp;DataTest'!A:A, 0), MATCH(HOME!$A$25, 'language&amp;DataTest'!$A$1:$H$1, 0))</f>
        <v>Promo pack</v>
      </c>
      <c r="E21" s="253" t="str">
        <f t="shared" si="6"/>
        <v/>
      </c>
      <c r="F21" s="254">
        <v>0.0</v>
      </c>
      <c r="G21" s="266"/>
      <c r="H21" s="265"/>
      <c r="I21" s="265"/>
      <c r="J21" s="265"/>
    </row>
    <row r="22">
      <c r="A22" s="217" t="b">
        <v>0</v>
      </c>
      <c r="B22" s="69" t="s">
        <v>985</v>
      </c>
      <c r="C22" s="69" t="str">
        <f t="array" ref="C22">TEXTJOIN("", TRUE, IFERROR(INDEX('language&amp;DataTest'!A:J, MATCH(INDEX( PointerTest!C:C, MATCH(B22, PointerTest!A:A, 0), 0), 'language&amp;DataTest'!A:A, 0), MATCH(HOME!$A$25, 'language&amp;DataTest'!$A$1:$H$1, 0))),                      IFERROR(INDEX('language&amp;DataTest'!A:J, MATCH(INDEX( PointerTest!D:D, MATCH(B22, PointerTest!A:A, 0), 0), 'language&amp;DataTest'!A:A, 0), MATCH(HOME!$A$25, 'language&amp;DataTest'!$A$1:$H$1, 0))),                                          
IFERROR(INDEX('language&amp;DataTest'!A:J, MATCH(INDEX( PointerTest!E:E, MATCH(B22, PointerTest!A:A, 0), 0), 'language&amp;DataTest'!A:A, 0), MATCH(HOME!$A$25, 'language&amp;DataTest'!$A$1:$H$1, 0))))</f>
        <v>Onix</v>
      </c>
      <c r="D22" s="249" t="str">
        <f t="array" ref="D22">INDEX('language&amp;DataTest'!A:J, MATCH(INDEX( PointerTest!D:D, MATCH(INDEX(PointerTest!B:B, MATCH(B22, PointerTest!A:A, 0)), PointerTest!A:A, 0), 0), 'language&amp;DataTest'!A:A, 0), MATCH(HOME!$A$25, 'language&amp;DataTest'!$A$1:$H$1, 0))</f>
        <v>Promo pack</v>
      </c>
      <c r="E22" s="253" t="str">
        <f t="shared" si="6"/>
        <v/>
      </c>
      <c r="F22" s="254">
        <v>0.0</v>
      </c>
      <c r="G22" s="265"/>
      <c r="H22" s="265"/>
      <c r="I22" s="265"/>
      <c r="J22" s="265"/>
    </row>
    <row r="23">
      <c r="A23" s="217" t="b">
        <v>1</v>
      </c>
      <c r="B23" s="69" t="s">
        <v>986</v>
      </c>
      <c r="C23" s="69" t="str">
        <f t="array" ref="C23">TEXTJOIN("", TRUE, IFERROR(INDEX('language&amp;DataTest'!A:J, MATCH(INDEX( PointerTest!C:C, MATCH(B23, PointerTest!A:A, 0), 0), 'language&amp;DataTest'!A:A, 0), MATCH(HOME!$A$25, 'language&amp;DataTest'!$A$1:$H$1, 0))),                      IFERROR(INDEX('language&amp;DataTest'!A:J, MATCH(INDEX( PointerTest!D:D, MATCH(B23, PointerTest!A:A, 0), 0), 'language&amp;DataTest'!A:A, 0), MATCH(HOME!$A$25, 'language&amp;DataTest'!$A$1:$H$1, 0))),                                          
IFERROR(INDEX('language&amp;DataTest'!A:J, MATCH(INDEX( PointerTest!E:E, MATCH(B23, PointerTest!A:A, 0), 0), 'language&amp;DataTest'!A:A, 0), MATCH(HOME!$A$25, 'language&amp;DataTest'!$A$1:$H$1, 0))))</f>
        <v>Jigglypuff</v>
      </c>
      <c r="D23" s="249" t="str">
        <f t="array" ref="D23">INDEX('language&amp;DataTest'!A:J, MATCH(INDEX( PointerTest!D:D, MATCH(INDEX(PointerTest!B:B, MATCH(B23, PointerTest!A:A, 0)), PointerTest!A:A, 0), 0), 'language&amp;DataTest'!A:A, 0), MATCH(HOME!$A$25, 'language&amp;DataTest'!$A$1:$H$1, 0))</f>
        <v>Promo pack</v>
      </c>
      <c r="E23" s="253" t="str">
        <f t="shared" si="6"/>
        <v/>
      </c>
      <c r="F23" s="254">
        <v>0.0</v>
      </c>
      <c r="G23" s="265"/>
      <c r="H23" s="265"/>
      <c r="I23" s="265"/>
      <c r="J23" s="265"/>
    </row>
    <row r="24">
      <c r="A24" s="217" t="b">
        <v>1</v>
      </c>
      <c r="B24" s="69" t="s">
        <v>987</v>
      </c>
      <c r="C24" s="69" t="str">
        <f t="array" ref="C24">TEXTJOIN("", TRUE, IFERROR(INDEX('language&amp;DataTest'!A:J, MATCH(INDEX( PointerTest!C:C, MATCH(B24, PointerTest!A:A, 0), 0), 'language&amp;DataTest'!A:A, 0), MATCH(HOME!$A$25, 'language&amp;DataTest'!$A$1:$H$1, 0))),                      IFERROR(INDEX('language&amp;DataTest'!A:J, MATCH(INDEX( PointerTest!D:D, MATCH(B24, PointerTest!A:A, 0), 0), 'language&amp;DataTest'!A:A, 0), MATCH(HOME!$A$25, 'language&amp;DataTest'!$A$1:$H$1, 0))),                                          
IFERROR(INDEX('language&amp;DataTest'!A:J, MATCH(INDEX( PointerTest!E:E, MATCH(B24, PointerTest!A:A, 0), 0), 'language&amp;DataTest'!A:A, 0), MATCH(HOME!$A$25, 'language&amp;DataTest'!$A$1:$H$1, 0))))</f>
        <v>Bulbasaur</v>
      </c>
      <c r="D24" s="249" t="str">
        <f t="array" ref="D24">INDEX('language&amp;DataTest'!A:J, MATCH(INDEX( PointerTest!D:D, MATCH(INDEX(PointerTest!B:B, MATCH(B24, PointerTest!A:A, 0)), PointerTest!A:A, 0), 0), 'language&amp;DataTest'!A:A, 0), MATCH(HOME!$A$25, 'language&amp;DataTest'!$A$1:$H$1, 0))</f>
        <v>Wonder Pick</v>
      </c>
      <c r="E24" s="253" t="str">
        <f t="shared" si="6"/>
        <v/>
      </c>
      <c r="F24" s="254">
        <v>0.0</v>
      </c>
      <c r="G24" s="265"/>
      <c r="H24" s="265"/>
      <c r="I24" s="265"/>
      <c r="J24" s="265"/>
    </row>
    <row r="25">
      <c r="A25" s="217" t="b">
        <v>1</v>
      </c>
      <c r="B25" s="69" t="s">
        <v>988</v>
      </c>
      <c r="C25" s="69" t="str">
        <f t="array" ref="C25">TEXTJOIN("", TRUE, IFERROR(INDEX('language&amp;DataTest'!A:J, MATCH(INDEX( PointerTest!C:C, MATCH(B25, PointerTest!A:A, 0), 0), 'language&amp;DataTest'!A:A, 0), MATCH(HOME!$A$25, 'language&amp;DataTest'!$A$1:$H$1, 0))),                      IFERROR(INDEX('language&amp;DataTest'!A:J, MATCH(INDEX( PointerTest!D:D, MATCH(B25, PointerTest!A:A, 0), 0), 'language&amp;DataTest'!A:A, 0), MATCH(HOME!$A$25, 'language&amp;DataTest'!$A$1:$H$1, 0))),                                          
IFERROR(INDEX('language&amp;DataTest'!A:J, MATCH(INDEX( PointerTest!E:E, MATCH(B25, PointerTest!A:A, 0), 0), 'language&amp;DataTest'!A:A, 0), MATCH(HOME!$A$25, 'language&amp;DataTest'!$A$1:$H$1, 0))))</f>
        <v>Magnemite</v>
      </c>
      <c r="D25" s="249" t="str">
        <f t="array" ref="D25">INDEX('language&amp;DataTest'!A:J, MATCH(INDEX( PointerTest!D:D, MATCH(INDEX(PointerTest!B:B, MATCH(B25, PointerTest!A:A, 0)), PointerTest!A:A, 0), 0), 'language&amp;DataTest'!A:A, 0), MATCH(HOME!$A$25, 'language&amp;DataTest'!$A$1:$H$1, 0))</f>
        <v>Wonder Pick</v>
      </c>
      <c r="E25" s="253"/>
      <c r="F25" s="254">
        <v>0.0</v>
      </c>
      <c r="G25" s="265"/>
      <c r="H25" s="265"/>
      <c r="I25" s="265"/>
      <c r="J25" s="265"/>
    </row>
    <row r="26">
      <c r="A26" s="217" t="b">
        <v>1</v>
      </c>
      <c r="B26" s="69" t="s">
        <v>989</v>
      </c>
      <c r="C26" s="69" t="str">
        <f t="array" ref="C26">TEXTJOIN("", TRUE, IFERROR(INDEX('language&amp;DataTest'!A:J, MATCH(INDEX( PointerTest!C:C, MATCH(B26, PointerTest!A:A, 0), 0), 'language&amp;DataTest'!A:A, 0), MATCH(HOME!$A$25, 'language&amp;DataTest'!$A$1:$H$1, 0))),                      IFERROR(INDEX('language&amp;DataTest'!A:J, MATCH(INDEX( PointerTest!D:D, MATCH(B26, PointerTest!A:A, 0), 0), 'language&amp;DataTest'!A:A, 0), MATCH(HOME!$A$25, 'language&amp;DataTest'!$A$1:$H$1, 0))),                                          
IFERROR(INDEX('language&amp;DataTest'!A:J, MATCH(INDEX( PointerTest!E:E, MATCH(B26, PointerTest!A:A, 0), 0), 'language&amp;DataTest'!A:A, 0), MATCH(HOME!$A$25, 'language&amp;DataTest'!$A$1:$H$1, 0))))</f>
        <v>Moltres ex</v>
      </c>
      <c r="D26" s="249" t="str">
        <f t="array" ref="D26">INDEX('language&amp;DataTest'!A:J, MATCH(INDEX( PointerTest!D:D, MATCH(INDEX(PointerTest!B:B, MATCH(B26, PointerTest!A:A, 0)), PointerTest!A:A, 0), 0), 'language&amp;DataTest'!A:A, 0), MATCH(HOME!$A$25, 'language&amp;DataTest'!$A$1:$H$1, 0))</f>
        <v>Premium mission</v>
      </c>
      <c r="E26" s="253"/>
      <c r="F26" s="254">
        <v>0.0</v>
      </c>
      <c r="G26" s="265"/>
      <c r="H26" s="265"/>
      <c r="I26" s="265"/>
      <c r="J26" s="265"/>
    </row>
    <row r="27">
      <c r="A27" s="217" t="b">
        <v>1</v>
      </c>
      <c r="B27" s="69" t="s">
        <v>990</v>
      </c>
      <c r="C27" s="69" t="str">
        <f t="array" ref="C27">TEXTJOIN("", TRUE, IFERROR(INDEX('language&amp;DataTest'!A:J, MATCH(INDEX( PointerTest!C:C, MATCH(B27, PointerTest!A:A, 0), 0), 'language&amp;DataTest'!A:A, 0), MATCH(HOME!$A$25, 'language&amp;DataTest'!$A$1:$H$1, 0))),                      IFERROR(INDEX('language&amp;DataTest'!A:J, MATCH(INDEX( PointerTest!D:D, MATCH(B27, PointerTest!A:A, 0), 0), 'language&amp;DataTest'!A:A, 0), MATCH(HOME!$A$25, 'language&amp;DataTest'!$A$1:$H$1, 0))),                                          
IFERROR(INDEX('language&amp;DataTest'!A:J, MATCH(INDEX( PointerTest!E:E, MATCH(B27, PointerTest!A:A, 0), 0), 'language&amp;DataTest'!A:A, 0), MATCH(HOME!$A$25, 'language&amp;DataTest'!$A$1:$H$1, 0))))</f>
        <v>Pikachu</v>
      </c>
      <c r="D27" s="249" t="str">
        <f t="array" ref="D27">INDEX('language&amp;DataTest'!A:J, MATCH(INDEX( PointerTest!D:D, MATCH(INDEX(PointerTest!B:B, MATCH(B27, PointerTest!A:A, 0)), PointerTest!A:A, 0), 0), 'language&amp;DataTest'!A:A, 0), MATCH(HOME!$A$25, 'language&amp;DataTest'!$A$1:$H$1, 0))</f>
        <v>Developer's gift</v>
      </c>
      <c r="E27" s="253"/>
      <c r="F27" s="254">
        <v>0.0</v>
      </c>
      <c r="G27" s="265"/>
      <c r="H27" s="265"/>
      <c r="I27" s="265"/>
      <c r="J27" s="265"/>
    </row>
    <row r="28">
      <c r="A28" s="217" t="b">
        <v>1</v>
      </c>
      <c r="B28" s="69" t="s">
        <v>991</v>
      </c>
      <c r="C28" s="69" t="str">
        <f t="array" ref="C28">TEXTJOIN("", TRUE, IFERROR(INDEX('language&amp;DataTest'!A:J, MATCH(INDEX( PointerTest!C:C, MATCH(B28, PointerTest!A:A, 0), 0), 'language&amp;DataTest'!A:A, 0), MATCH(HOME!$A$25, 'language&amp;DataTest'!$A$1:$H$1, 0))),                      IFERROR(INDEX('language&amp;DataTest'!A:J, MATCH(INDEX( PointerTest!D:D, MATCH(B28, PointerTest!A:A, 0), 0), 'language&amp;DataTest'!A:A, 0), MATCH(HOME!$A$25, 'language&amp;DataTest'!$A$1:$H$1, 0))),                                          
IFERROR(INDEX('language&amp;DataTest'!A:J, MATCH(INDEX( PointerTest!E:E, MATCH(B28, PointerTest!A:A, 0), 0), 'language&amp;DataTest'!A:A, 0), MATCH(HOME!$A$25, 'language&amp;DataTest'!$A$1:$H$1, 0))))</f>
        <v>Snivy</v>
      </c>
      <c r="D28" s="249" t="str">
        <f t="array" ref="D28">INDEX('language&amp;DataTest'!A:J, MATCH(INDEX( PointerTest!D:D, MATCH(INDEX(PointerTest!B:B, MATCH(B28, PointerTest!A:A, 0)), PointerTest!A:A, 0), 0), 'language&amp;DataTest'!A:A, 0), MATCH(HOME!$A$25, 'language&amp;DataTest'!$A$1:$H$1, 0))</f>
        <v>Promo pack</v>
      </c>
      <c r="E28" s="253"/>
      <c r="F28" s="254">
        <v>0.0</v>
      </c>
      <c r="G28" s="265"/>
      <c r="H28" s="265"/>
      <c r="I28" s="265"/>
      <c r="J28" s="265"/>
    </row>
    <row r="29">
      <c r="A29" s="217" t="b">
        <v>1</v>
      </c>
      <c r="B29" s="69" t="s">
        <v>992</v>
      </c>
      <c r="C29" s="69" t="str">
        <f t="array" ref="C29">TEXTJOIN("", TRUE, IFERROR(INDEX('language&amp;DataTest'!A:J, MATCH(INDEX( PointerTest!C:C, MATCH(B29, PointerTest!A:A, 0), 0), 'language&amp;DataTest'!A:A, 0), MATCH(HOME!$A$25, 'language&amp;DataTest'!$A$1:$H$1, 0))),                      IFERROR(INDEX('language&amp;DataTest'!A:J, MATCH(INDEX( PointerTest!D:D, MATCH(B29, PointerTest!A:A, 0), 0), 'language&amp;DataTest'!A:A, 0), MATCH(HOME!$A$25, 'language&amp;DataTest'!$A$1:$H$1, 0))),                                          
IFERROR(INDEX('language&amp;DataTest'!A:J, MATCH(INDEX( PointerTest!E:E, MATCH(B29, PointerTest!A:A, 0), 0), 'language&amp;DataTest'!A:A, 0), MATCH(HOME!$A$25, 'language&amp;DataTest'!$A$1:$H$1, 0))))</f>
        <v>Volcarona</v>
      </c>
      <c r="D29" s="249" t="str">
        <f t="array" ref="D29">INDEX('language&amp;DataTest'!A:J, MATCH(INDEX( PointerTest!D:D, MATCH(INDEX(PointerTest!B:B, MATCH(B29, PointerTest!A:A, 0)), PointerTest!A:A, 0), 0), 'language&amp;DataTest'!A:A, 0), MATCH(HOME!$A$25, 'language&amp;DataTest'!$A$1:$H$1, 0))</f>
        <v>Promo pack</v>
      </c>
      <c r="E29" s="253"/>
      <c r="F29" s="254">
        <v>0.0</v>
      </c>
      <c r="G29" s="265"/>
      <c r="H29" s="265"/>
      <c r="I29" s="265"/>
      <c r="J29" s="265"/>
    </row>
    <row r="30">
      <c r="A30" s="217" t="b">
        <v>1</v>
      </c>
      <c r="B30" s="69" t="s">
        <v>993</v>
      </c>
      <c r="C30" s="69" t="str">
        <f t="array" ref="C30">TEXTJOIN("", TRUE, IFERROR(INDEX('language&amp;DataTest'!A:J, MATCH(INDEX( PointerTest!C:C, MATCH(B30, PointerTest!A:A, 0), 0), 'language&amp;DataTest'!A:A, 0), MATCH(HOME!$A$25, 'language&amp;DataTest'!$A$1:$H$1, 0))),                      IFERROR(INDEX('language&amp;DataTest'!A:J, MATCH(INDEX( PointerTest!D:D, MATCH(B30, PointerTest!A:A, 0), 0), 'language&amp;DataTest'!A:A, 0), MATCH(HOME!$A$25, 'language&amp;DataTest'!$A$1:$H$1, 0))),                                          
IFERROR(INDEX('language&amp;DataTest'!A:J, MATCH(INDEX( PointerTest!E:E, MATCH(B30, PointerTest!A:A, 0), 0), 'language&amp;DataTest'!A:A, 0), MATCH(HOME!$A$25, 'language&amp;DataTest'!$A$1:$H$1, 0))))</f>
        <v>Blastoise</v>
      </c>
      <c r="D30" s="249" t="str">
        <f t="array" ref="D30">INDEX('language&amp;DataTest'!A:J, MATCH(INDEX( PointerTest!D:D, MATCH(INDEX(PointerTest!B:B, MATCH(B30, PointerTest!A:A, 0)), PointerTest!A:A, 0), 0), 'language&amp;DataTest'!A:A, 0), MATCH(HOME!$A$25, 'language&amp;DataTest'!$A$1:$H$1, 0))</f>
        <v>Promo pack</v>
      </c>
      <c r="E30" s="253"/>
      <c r="F30" s="254">
        <v>0.0</v>
      </c>
      <c r="G30" s="265"/>
      <c r="H30" s="265"/>
      <c r="I30" s="265"/>
      <c r="J30" s="265"/>
    </row>
    <row r="31">
      <c r="A31" s="217" t="b">
        <v>1</v>
      </c>
      <c r="B31" s="69" t="s">
        <v>994</v>
      </c>
      <c r="C31" s="69" t="str">
        <f t="array" ref="C31">TEXTJOIN("", TRUE, IFERROR(INDEX('language&amp;DataTest'!A:J, MATCH(INDEX( PointerTest!C:C, MATCH(B31, PointerTest!A:A, 0), 0), 'language&amp;DataTest'!A:A, 0), MATCH(HOME!$A$25, 'language&amp;DataTest'!$A$1:$H$1, 0))),                      IFERROR(INDEX('language&amp;DataTest'!A:J, MATCH(INDEX( PointerTest!D:D, MATCH(B31, PointerTest!A:A, 0), 0), 'language&amp;DataTest'!A:A, 0), MATCH(HOME!$A$25, 'language&amp;DataTest'!$A$1:$H$1, 0))),                                          
IFERROR(INDEX('language&amp;DataTest'!A:J, MATCH(INDEX( PointerTest!E:E, MATCH(B31, PointerTest!A:A, 0), 0), 'language&amp;DataTest'!A:A, 0), MATCH(HOME!$A$25, 'language&amp;DataTest'!$A$1:$H$1, 0))))</f>
        <v>Eevee</v>
      </c>
      <c r="D31" s="249" t="str">
        <f t="array" ref="D31">INDEX('language&amp;DataTest'!A:J, MATCH(INDEX( PointerTest!D:D, MATCH(INDEX(PointerTest!B:B, MATCH(B31, PointerTest!A:A, 0)), PointerTest!A:A, 0), 0), 'language&amp;DataTest'!A:A, 0), MATCH(HOME!$A$25, 'language&amp;DataTest'!$A$1:$H$1, 0))</f>
        <v>Promo pack</v>
      </c>
      <c r="E31" s="253"/>
      <c r="F31" s="254">
        <v>0.0</v>
      </c>
      <c r="G31" s="265"/>
      <c r="H31" s="265"/>
      <c r="I31" s="265"/>
      <c r="J31" s="265"/>
    </row>
    <row r="32">
      <c r="A32" s="217" t="b">
        <v>1</v>
      </c>
      <c r="B32" s="69" t="s">
        <v>995</v>
      </c>
      <c r="C32" s="69" t="str">
        <f t="array" ref="C32">TEXTJOIN("", TRUE, IFERROR(INDEX('language&amp;DataTest'!A:J, MATCH(INDEX( PointerTest!C:C, MATCH(B32, PointerTest!A:A, 0), 0), 'language&amp;DataTest'!A:A, 0), MATCH(HOME!$A$25, 'language&amp;DataTest'!$A$1:$H$1, 0))),                      IFERROR(INDEX('language&amp;DataTest'!A:J, MATCH(INDEX( PointerTest!D:D, MATCH(B32, PointerTest!A:A, 0), 0), 'language&amp;DataTest'!A:A, 0), MATCH(HOME!$A$25, 'language&amp;DataTest'!$A$1:$H$1, 0))),                                          
IFERROR(INDEX('language&amp;DataTest'!A:J, MATCH(INDEX( PointerTest!E:E, MATCH(B32, PointerTest!A:A, 0), 0), 'language&amp;DataTest'!A:A, 0), MATCH(HOME!$A$25, 'language&amp;DataTest'!$A$1:$H$1, 0))))</f>
        <v>Cinccino</v>
      </c>
      <c r="D32" s="249" t="str">
        <f t="array" ref="D32">INDEX('language&amp;DataTest'!A:J, MATCH(INDEX( PointerTest!D:D, MATCH(INDEX(PointerTest!B:B, MATCH(B32, PointerTest!A:A, 0)), PointerTest!A:A, 0), 0), 'language&amp;DataTest'!A:A, 0), MATCH(HOME!$A$25, 'language&amp;DataTest'!$A$1:$H$1, 0))</f>
        <v>Promo pack</v>
      </c>
      <c r="E32" s="253"/>
      <c r="F32" s="254">
        <v>0.0</v>
      </c>
      <c r="G32" s="265"/>
      <c r="H32" s="265"/>
      <c r="I32" s="265"/>
      <c r="J32" s="265"/>
    </row>
    <row r="33">
      <c r="A33" s="217" t="b">
        <v>1</v>
      </c>
      <c r="B33" s="69" t="s">
        <v>996</v>
      </c>
      <c r="C33" s="69" t="str">
        <f t="array" ref="C33">TEXTJOIN("", TRUE, IFERROR(INDEX('language&amp;DataTest'!A:J, MATCH(INDEX( PointerTest!C:C, MATCH(B33, PointerTest!A:A, 0), 0), 'language&amp;DataTest'!A:A, 0), MATCH(HOME!$A$25, 'language&amp;DataTest'!$A$1:$H$1, 0))),                      IFERROR(INDEX('language&amp;DataTest'!A:J, MATCH(INDEX( PointerTest!D:D, MATCH(B33, PointerTest!A:A, 0), 0), 'language&amp;DataTest'!A:A, 0), MATCH(HOME!$A$25, 'language&amp;DataTest'!$A$1:$H$1, 0))),                                          
IFERROR(INDEX('language&amp;DataTest'!A:J, MATCH(INDEX( PointerTest!E:E, MATCH(B33, PointerTest!A:A, 0), 0), 'language&amp;DataTest'!A:A, 0), MATCH(HOME!$A$25, 'language&amp;DataTest'!$A$1:$H$1, 0))))</f>
        <v>Charmander</v>
      </c>
      <c r="D33" s="249" t="str">
        <f t="array" ref="D33">INDEX('language&amp;DataTest'!A:J, MATCH(INDEX( PointerTest!D:D, MATCH(INDEX(PointerTest!B:B, MATCH(B33, PointerTest!A:A, 0)), PointerTest!A:A, 0), 0), 'language&amp;DataTest'!A:A, 0), MATCH(HOME!$A$25, 'language&amp;DataTest'!$A$1:$H$1, 0))</f>
        <v>Wonder Pick</v>
      </c>
      <c r="E33" s="253"/>
      <c r="F33" s="254">
        <v>0.0</v>
      </c>
      <c r="G33" s="265"/>
      <c r="H33" s="265"/>
      <c r="I33" s="265"/>
      <c r="J33" s="265"/>
    </row>
    <row r="34">
      <c r="A34" s="217" t="b">
        <v>1</v>
      </c>
      <c r="B34" s="69" t="s">
        <v>997</v>
      </c>
      <c r="C34" s="69" t="str">
        <f t="array" ref="C34">TEXTJOIN("", TRUE, IFERROR(INDEX('language&amp;DataTest'!A:J, MATCH(INDEX( PointerTest!C:C, MATCH(B34, PointerTest!A:A, 0), 0), 'language&amp;DataTest'!A:A, 0), MATCH(HOME!$A$25, 'language&amp;DataTest'!$A$1:$H$1, 0))),                      IFERROR(INDEX('language&amp;DataTest'!A:J, MATCH(INDEX( PointerTest!D:D, MATCH(B34, PointerTest!A:A, 0), 0), 'language&amp;DataTest'!A:A, 0), MATCH(HOME!$A$25, 'language&amp;DataTest'!$A$1:$H$1, 0))),                                          
IFERROR(INDEX('language&amp;DataTest'!A:J, MATCH(INDEX( PointerTest!E:E, MATCH(B34, PointerTest!A:A, 0), 0), 'language&amp;DataTest'!A:A, 0), MATCH(HOME!$A$25, 'language&amp;DataTest'!$A$1:$H$1, 0))))</f>
        <v>Squirtle</v>
      </c>
      <c r="D34" s="249" t="str">
        <f t="array" ref="D34">INDEX('language&amp;DataTest'!A:J, MATCH(INDEX( PointerTest!D:D, MATCH(INDEX(PointerTest!B:B, MATCH(B34, PointerTest!A:A, 0)), PointerTest!A:A, 0), 0), 'language&amp;DataTest'!A:A, 0), MATCH(HOME!$A$25, 'language&amp;DataTest'!$A$1:$H$1, 0))</f>
        <v>Wonder Pick</v>
      </c>
      <c r="E34" s="253" t="str">
        <f t="shared" ref="E34:E50" si="7">IF(D34 = "All", "*Based on " &amp; '(OLD) Genetic Apex'!$D$2 &amp; " pack", "")
</f>
        <v/>
      </c>
      <c r="F34" s="254">
        <v>0.0</v>
      </c>
      <c r="G34" s="265"/>
      <c r="H34" s="265"/>
      <c r="I34" s="265"/>
      <c r="J34" s="265"/>
    </row>
    <row r="35">
      <c r="A35" s="217" t="b">
        <v>1</v>
      </c>
      <c r="B35" s="69" t="s">
        <v>998</v>
      </c>
      <c r="C35" s="69" t="str">
        <f t="array" ref="C35">TEXTJOIN("", TRUE, IFERROR(INDEX('language&amp;DataTest'!A:J, MATCH(INDEX( PointerTest!C:C, MATCH(B35, PointerTest!A:A, 0), 0), 'language&amp;DataTest'!A:A, 0), MATCH(HOME!$A$25, 'language&amp;DataTest'!$A$1:$H$1, 0))),                      IFERROR(INDEX('language&amp;DataTest'!A:J, MATCH(INDEX( PointerTest!D:D, MATCH(B35, PointerTest!A:A, 0), 0), 'language&amp;DataTest'!A:A, 0), MATCH(HOME!$A$25, 'language&amp;DataTest'!$A$1:$H$1, 0))),                                          
IFERROR(INDEX('language&amp;DataTest'!A:J, MATCH(INDEX( PointerTest!E:E, MATCH(B35, PointerTest!A:A, 0), 0), 'language&amp;DataTest'!A:A, 0), MATCH(HOME!$A$25, 'language&amp;DataTest'!$A$1:$H$1, 0))))</f>
        <v>Piplup</v>
      </c>
      <c r="D35" s="249" t="str">
        <f t="array" ref="D35">INDEX('language&amp;DataTest'!A:J, MATCH(INDEX( PointerTest!D:D, MATCH(INDEX(PointerTest!B:B, MATCH(B35, PointerTest!A:A, 0)), PointerTest!A:A, 0), 0), 'language&amp;DataTest'!A:A, 0), MATCH(HOME!$A$25, 'language&amp;DataTest'!$A$1:$H$1, 0))</f>
        <v>Premium mission</v>
      </c>
      <c r="E35" s="253" t="str">
        <f t="shared" si="7"/>
        <v/>
      </c>
      <c r="F35" s="254">
        <v>0.0</v>
      </c>
      <c r="G35" s="265"/>
      <c r="H35" s="265"/>
      <c r="I35" s="265"/>
      <c r="J35" s="265"/>
    </row>
    <row r="36">
      <c r="A36" s="217" t="b">
        <v>1</v>
      </c>
      <c r="B36" s="69" t="s">
        <v>999</v>
      </c>
      <c r="C36" s="69" t="str">
        <f t="array" ref="C36">TEXTJOIN("", TRUE, IFERROR(INDEX('language&amp;DataTest'!A:J, MATCH(INDEX( PointerTest!C:C, MATCH(B36, PointerTest!A:A, 0), 0), 'language&amp;DataTest'!A:A, 0), MATCH(HOME!$A$25, 'language&amp;DataTest'!$A$1:$H$1, 0))),                      IFERROR(INDEX('language&amp;DataTest'!A:J, MATCH(INDEX( PointerTest!D:D, MATCH(B36, PointerTest!A:A, 0), 0), 'language&amp;DataTest'!A:A, 0), MATCH(HOME!$A$25, 'language&amp;DataTest'!$A$1:$H$1, 0))),                                          
IFERROR(INDEX('language&amp;DataTest'!A:J, MATCH(INDEX( PointerTest!E:E, MATCH(B36, PointerTest!A:A, 0), 0), 'language&amp;DataTest'!A:A, 0), MATCH(HOME!$A$25, 'language&amp;DataTest'!$A$1:$H$1, 0))))</f>
        <v>Turtwig</v>
      </c>
      <c r="D36" s="249" t="str">
        <f t="array" ref="D36">INDEX('language&amp;DataTest'!A:J, MATCH(INDEX( PointerTest!D:D, MATCH(INDEX(PointerTest!B:B, MATCH(B36, PointerTest!A:A, 0)), PointerTest!A:A, 0), 0), 'language&amp;DataTest'!A:A, 0), MATCH(HOME!$A$25, 'language&amp;DataTest'!$A$1:$H$1, 0))</f>
        <v>Promo pack</v>
      </c>
      <c r="E36" s="253" t="str">
        <f t="shared" si="7"/>
        <v/>
      </c>
      <c r="F36" s="254">
        <v>0.0</v>
      </c>
      <c r="G36" s="265"/>
      <c r="H36" s="265"/>
      <c r="I36" s="265"/>
      <c r="J36" s="265"/>
    </row>
    <row r="37">
      <c r="A37" s="217" t="b">
        <v>1</v>
      </c>
      <c r="B37" s="69" t="s">
        <v>1000</v>
      </c>
      <c r="C37" s="69" t="str">
        <f t="array" ref="C37">TEXTJOIN("", TRUE, IFERROR(INDEX('language&amp;DataTest'!A:J, MATCH(INDEX( PointerTest!C:C, MATCH(B37, PointerTest!A:A, 0), 0), 'language&amp;DataTest'!A:A, 0), MATCH(HOME!$A$25, 'language&amp;DataTest'!$A$1:$H$1, 0))),                      IFERROR(INDEX('language&amp;DataTest'!A:J, MATCH(INDEX( PointerTest!D:D, MATCH(B37, PointerTest!A:A, 0), 0), 'language&amp;DataTest'!A:A, 0), MATCH(HOME!$A$25, 'language&amp;DataTest'!$A$1:$H$1, 0))),                                          
IFERROR(INDEX('language&amp;DataTest'!A:J, MATCH(INDEX( PointerTest!E:E, MATCH(B37, PointerTest!A:A, 0), 0), 'language&amp;DataTest'!A:A, 0), MATCH(HOME!$A$25, 'language&amp;DataTest'!$A$1:$H$1, 0))))</f>
        <v>Electivire</v>
      </c>
      <c r="D37" s="249" t="str">
        <f t="array" ref="D37">INDEX('language&amp;DataTest'!A:J, MATCH(INDEX( PointerTest!D:D, MATCH(INDEX(PointerTest!B:B, MATCH(B37, PointerTest!A:A, 0)), PointerTest!A:A, 0), 0), 'language&amp;DataTest'!A:A, 0), MATCH(HOME!$A$25, 'language&amp;DataTest'!$A$1:$H$1, 0))</f>
        <v>Promo pack</v>
      </c>
      <c r="E37" s="253" t="str">
        <f t="shared" si="7"/>
        <v/>
      </c>
      <c r="F37" s="254">
        <v>0.0</v>
      </c>
      <c r="G37" s="265"/>
      <c r="H37" s="265"/>
      <c r="I37" s="265"/>
      <c r="J37" s="265"/>
    </row>
    <row r="38">
      <c r="A38" s="217" t="b">
        <v>1</v>
      </c>
      <c r="B38" s="69" t="s">
        <v>1001</v>
      </c>
      <c r="C38" s="69" t="str">
        <f t="array" ref="C38">TEXTJOIN("", TRUE, IFERROR(INDEX('language&amp;DataTest'!A:J, MATCH(INDEX( PointerTest!C:C, MATCH(B38, PointerTest!A:A, 0), 0), 'language&amp;DataTest'!A:A, 0), MATCH(HOME!$A$25, 'language&amp;DataTest'!$A$1:$H$1, 0))),                      IFERROR(INDEX('language&amp;DataTest'!A:J, MATCH(INDEX( PointerTest!D:D, MATCH(B38, PointerTest!A:A, 0), 0), 'language&amp;DataTest'!A:A, 0), MATCH(HOME!$A$25, 'language&amp;DataTest'!$A$1:$H$1, 0))),                                          
IFERROR(INDEX('language&amp;DataTest'!A:J, MATCH(INDEX( PointerTest!E:E, MATCH(B38, PointerTest!A:A, 0), 0), 'language&amp;DataTest'!A:A, 0), MATCH(HOME!$A$25, 'language&amp;DataTest'!$A$1:$H$1, 0))))</f>
        <v>Cresselia ex</v>
      </c>
      <c r="D38" s="249" t="str">
        <f t="array" ref="D38">INDEX('language&amp;DataTest'!A:J, MATCH(INDEX( PointerTest!D:D, MATCH(INDEX(PointerTest!B:B, MATCH(B38, PointerTest!A:A, 0)), PointerTest!A:A, 0), 0), 'language&amp;DataTest'!A:A, 0), MATCH(HOME!$A$25, 'language&amp;DataTest'!$A$1:$H$1, 0))</f>
        <v>Promo pack</v>
      </c>
      <c r="E38" s="253" t="str">
        <f t="shared" si="7"/>
        <v/>
      </c>
      <c r="F38" s="254">
        <v>0.0</v>
      </c>
      <c r="G38" s="265"/>
      <c r="H38" s="265"/>
      <c r="I38" s="265"/>
      <c r="J38" s="265"/>
    </row>
    <row r="39">
      <c r="A39" s="217" t="b">
        <v>1</v>
      </c>
      <c r="B39" s="69" t="s">
        <v>1002</v>
      </c>
      <c r="C39" s="69" t="str">
        <f t="array" ref="C39">TEXTJOIN("", TRUE, IFERROR(INDEX('language&amp;DataTest'!A:J, MATCH(INDEX( PointerTest!C:C, MATCH(B39, PointerTest!A:A, 0), 0), 'language&amp;DataTest'!A:A, 0), MATCH(HOME!$A$25, 'language&amp;DataTest'!$A$1:$H$1, 0))),                      IFERROR(INDEX('language&amp;DataTest'!A:J, MATCH(INDEX( PointerTest!D:D, MATCH(B39, PointerTest!A:A, 0), 0), 'language&amp;DataTest'!A:A, 0), MATCH(HOME!$A$25, 'language&amp;DataTest'!$A$1:$H$1, 0))),                                          
IFERROR(INDEX('language&amp;DataTest'!A:J, MATCH(INDEX( PointerTest!E:E, MATCH(B39, PointerTest!A:A, 0), 0), 'language&amp;DataTest'!A:A, 0), MATCH(HOME!$A$25, 'language&amp;DataTest'!$A$1:$H$1, 0))))</f>
        <v>Misdreavus</v>
      </c>
      <c r="D39" s="249" t="str">
        <f t="array" ref="D39">INDEX('language&amp;DataTest'!A:J, MATCH(INDEX( PointerTest!D:D, MATCH(INDEX(PointerTest!B:B, MATCH(B39, PointerTest!A:A, 0)), PointerTest!A:A, 0), 0), 'language&amp;DataTest'!A:A, 0), MATCH(HOME!$A$25, 'language&amp;DataTest'!$A$1:$H$1, 0))</f>
        <v>Promo pack</v>
      </c>
      <c r="E39" s="253" t="str">
        <f t="shared" si="7"/>
        <v/>
      </c>
      <c r="F39" s="254">
        <v>0.0</v>
      </c>
      <c r="G39" s="265"/>
      <c r="H39" s="265"/>
      <c r="I39" s="265"/>
      <c r="J39" s="265"/>
    </row>
    <row r="40">
      <c r="A40" s="217" t="b">
        <v>1</v>
      </c>
      <c r="B40" s="69" t="s">
        <v>1003</v>
      </c>
      <c r="C40" s="69" t="str">
        <f t="array" ref="C40">TEXTJOIN("", TRUE, IFERROR(INDEX('language&amp;DataTest'!A:J, MATCH(INDEX( PointerTest!C:C, MATCH(B40, PointerTest!A:A, 0), 0), 'language&amp;DataTest'!A:A, 0), MATCH(HOME!$A$25, 'language&amp;DataTest'!$A$1:$H$1, 0))),                      IFERROR(INDEX('language&amp;DataTest'!A:J, MATCH(INDEX( PointerTest!D:D, MATCH(B40, PointerTest!A:A, 0), 0), 'language&amp;DataTest'!A:A, 0), MATCH(HOME!$A$25, 'language&amp;DataTest'!$A$1:$H$1, 0))),                                          
IFERROR(INDEX('language&amp;DataTest'!A:J, MATCH(INDEX( PointerTest!E:E, MATCH(B40, PointerTest!A:A, 0), 0), 'language&amp;DataTest'!A:A, 0), MATCH(HOME!$A$25, 'language&amp;DataTest'!$A$1:$H$1, 0))))</f>
        <v>Skarmory</v>
      </c>
      <c r="D40" s="249" t="str">
        <f t="array" ref="D40">INDEX('language&amp;DataTest'!A:J, MATCH(INDEX( PointerTest!D:D, MATCH(INDEX(PointerTest!B:B, MATCH(B40, PointerTest!A:A, 0)), PointerTest!A:A, 0), 0), 'language&amp;DataTest'!A:A, 0), MATCH(HOME!$A$25, 'language&amp;DataTest'!$A$1:$H$1, 0))</f>
        <v>Promo pack</v>
      </c>
      <c r="E40" s="253" t="str">
        <f t="shared" si="7"/>
        <v/>
      </c>
      <c r="F40" s="254">
        <v>0.0</v>
      </c>
      <c r="G40" s="265"/>
      <c r="H40" s="265"/>
      <c r="I40" s="265"/>
      <c r="J40" s="265"/>
    </row>
    <row r="41">
      <c r="A41" s="217" t="b">
        <v>1</v>
      </c>
      <c r="B41" s="69" t="s">
        <v>1004</v>
      </c>
      <c r="C41" s="69" t="str">
        <f t="array" ref="C41">TEXTJOIN("", TRUE, IFERROR(INDEX('language&amp;DataTest'!A:J, MATCH(INDEX( PointerTest!C:C, MATCH(B41, PointerTest!A:A, 0), 0), 'language&amp;DataTest'!A:A, 0), MATCH(HOME!$A$25, 'language&amp;DataTest'!$A$1:$H$1, 0))),                      IFERROR(INDEX('language&amp;DataTest'!A:J, MATCH(INDEX( PointerTest!D:D, MATCH(B41, PointerTest!A:A, 0), 0), 'language&amp;DataTest'!A:A, 0), MATCH(HOME!$A$25, 'language&amp;DataTest'!$A$1:$H$1, 0))),                                          
IFERROR(INDEX('language&amp;DataTest'!A:J, MATCH(INDEX( PointerTest!E:E, MATCH(B41, PointerTest!A:A, 0), 0), 'language&amp;DataTest'!A:A, 0), MATCH(HOME!$A$25, 'language&amp;DataTest'!$A$1:$H$1, 0))))</f>
        <v>Chimchar</v>
      </c>
      <c r="D41" s="249" t="str">
        <f t="array" ref="D41">INDEX('language&amp;DataTest'!A:J, MATCH(INDEX( PointerTest!D:D, MATCH(INDEX(PointerTest!B:B, MATCH(B41, PointerTest!A:A, 0)), PointerTest!A:A, 0), 0), 'language&amp;DataTest'!A:A, 0), MATCH(HOME!$A$25, 'language&amp;DataTest'!$A$1:$H$1, 0))</f>
        <v>Wonder Pick</v>
      </c>
      <c r="E41" s="253" t="str">
        <f t="shared" si="7"/>
        <v/>
      </c>
      <c r="F41" s="254">
        <v>0.0</v>
      </c>
      <c r="G41" s="265"/>
      <c r="H41" s="265"/>
      <c r="I41" s="265"/>
      <c r="J41" s="265"/>
    </row>
    <row r="42">
      <c r="A42" s="217" t="b">
        <v>1</v>
      </c>
      <c r="B42" s="69" t="s">
        <v>1005</v>
      </c>
      <c r="C42" s="69" t="str">
        <f t="array" ref="C42">TEXTJOIN("", TRUE, IFERROR(INDEX('language&amp;DataTest'!A:J, MATCH(INDEX( PointerTest!C:C, MATCH(B42, PointerTest!A:A, 0), 0), 'language&amp;DataTest'!A:A, 0), MATCH(HOME!$A$25, 'language&amp;DataTest'!$A$1:$H$1, 0))),                      IFERROR(INDEX('language&amp;DataTest'!A:J, MATCH(INDEX( PointerTest!D:D, MATCH(B42, PointerTest!A:A, 0), 0), 'language&amp;DataTest'!A:A, 0), MATCH(HOME!$A$25, 'language&amp;DataTest'!$A$1:$H$1, 0))),                                          
IFERROR(INDEX('language&amp;DataTest'!A:J, MATCH(INDEX( PointerTest!E:E, MATCH(B42, PointerTest!A:A, 0), 0), 'language&amp;DataTest'!A:A, 0), MATCH(HOME!$A$25, 'language&amp;DataTest'!$A$1:$H$1, 0))))</f>
        <v>Togepi</v>
      </c>
      <c r="D42" s="249" t="str">
        <f t="array" ref="D42">INDEX('language&amp;DataTest'!A:J, MATCH(INDEX( PointerTest!D:D, MATCH(INDEX(PointerTest!B:B, MATCH(B42, PointerTest!A:A, 0)), PointerTest!A:A, 0), 0), 'language&amp;DataTest'!A:A, 0), MATCH(HOME!$A$25, 'language&amp;DataTest'!$A$1:$H$1, 0))</f>
        <v>Wonder Pick</v>
      </c>
      <c r="E42" s="253" t="str">
        <f t="shared" si="7"/>
        <v/>
      </c>
      <c r="F42" s="254">
        <v>0.0</v>
      </c>
      <c r="G42" s="265"/>
      <c r="H42" s="265"/>
      <c r="I42" s="265"/>
      <c r="J42" s="265"/>
    </row>
    <row r="43">
      <c r="A43" s="217" t="b">
        <v>1</v>
      </c>
      <c r="B43" s="69" t="s">
        <v>1006</v>
      </c>
      <c r="C43" s="69" t="str">
        <f t="array" ref="C43">TEXTJOIN("", TRUE, IFERROR(INDEX('language&amp;DataTest'!A:J, MATCH(INDEX( PointerTest!C:C, MATCH(B43, PointerTest!A:A, 0), 0), 'language&amp;DataTest'!A:A, 0), MATCH(HOME!$A$25, 'language&amp;DataTest'!$A$1:$H$1, 0))),                      IFERROR(INDEX('language&amp;DataTest'!A:J, MATCH(INDEX( PointerTest!D:D, MATCH(B43, PointerTest!A:A, 0), 0), 'language&amp;DataTest'!A:A, 0), MATCH(HOME!$A$25, 'language&amp;DataTest'!$A$1:$H$1, 0))),                                          
IFERROR(INDEX('language&amp;DataTest'!A:J, MATCH(INDEX( PointerTest!E:E, MATCH(B43, PointerTest!A:A, 0), 0), 'language&amp;DataTest'!A:A, 0), MATCH(HOME!$A$25, 'language&amp;DataTest'!$A$1:$H$1, 0))))</f>
        <v>Darkrai ex</v>
      </c>
      <c r="D43" s="249" t="str">
        <f t="array" ref="D43">INDEX('language&amp;DataTest'!A:J, MATCH(INDEX( PointerTest!D:D, MATCH(INDEX(PointerTest!B:B, MATCH(B43, PointerTest!A:A, 0)), PointerTest!A:A, 0), 0), 'language&amp;DataTest'!A:A, 0), MATCH(HOME!$A$25, 'language&amp;DataTest'!$A$1:$H$1, 0))</f>
        <v>Premium mission</v>
      </c>
      <c r="E43" s="253" t="str">
        <f t="shared" si="7"/>
        <v/>
      </c>
      <c r="F43" s="254">
        <v>0.0</v>
      </c>
      <c r="G43" s="265"/>
      <c r="H43" s="265"/>
      <c r="I43" s="265"/>
      <c r="J43" s="265"/>
    </row>
    <row r="44">
      <c r="A44" s="217" t="b">
        <v>1</v>
      </c>
      <c r="B44" s="69" t="s">
        <v>1007</v>
      </c>
      <c r="C44" s="69" t="str">
        <f t="array" ref="C44">TEXTJOIN("", TRUE, IFERROR(INDEX('language&amp;DataTest'!A:J, MATCH(INDEX( PointerTest!C:C, MATCH(B44, PointerTest!A:A, 0), 0), 'language&amp;DataTest'!A:A, 0), MATCH(HOME!$A$25, 'language&amp;DataTest'!$A$1:$H$1, 0))),                      IFERROR(INDEX('language&amp;DataTest'!A:J, MATCH(INDEX( PointerTest!D:D, MATCH(B44, PointerTest!A:A, 0), 0), 'language&amp;DataTest'!A:A, 0), MATCH(HOME!$A$25, 'language&amp;DataTest'!$A$1:$H$1, 0))),                                          
IFERROR(INDEX('language&amp;DataTest'!A:J, MATCH(INDEX( PointerTest!E:E, MATCH(B44, PointerTest!A:A, 0), 0), 'language&amp;DataTest'!A:A, 0), MATCH(HOME!$A$25, 'language&amp;DataTest'!$A$1:$H$1, 0))))</f>
        <v>Cherrim</v>
      </c>
      <c r="D44" s="249" t="str">
        <f t="array" ref="D44">INDEX('language&amp;DataTest'!A:J, MATCH(INDEX( PointerTest!D:D, MATCH(INDEX(PointerTest!B:B, MATCH(B44, PointerTest!A:A, 0)), PointerTest!A:A, 0), 0), 'language&amp;DataTest'!A:A, 0), MATCH(HOME!$A$25, 'language&amp;DataTest'!$A$1:$H$1, 0))</f>
        <v>Promo pack</v>
      </c>
      <c r="E44" s="253" t="str">
        <f t="shared" si="7"/>
        <v/>
      </c>
      <c r="F44" s="254">
        <v>0.0</v>
      </c>
      <c r="G44" s="265"/>
      <c r="H44" s="265"/>
      <c r="I44" s="265"/>
      <c r="J44" s="265"/>
    </row>
    <row r="45">
      <c r="A45" s="217" t="b">
        <v>1</v>
      </c>
      <c r="B45" s="69" t="s">
        <v>1008</v>
      </c>
      <c r="C45" s="69" t="str">
        <f t="array" ref="C45">TEXTJOIN("", TRUE, IFERROR(INDEX('language&amp;DataTest'!A:J, MATCH(INDEX( PointerTest!C:C, MATCH(B45, PointerTest!A:A, 0), 0), 'language&amp;DataTest'!A:A, 0), MATCH(HOME!$A$25, 'language&amp;DataTest'!$A$1:$H$1, 0))),                      IFERROR(INDEX('language&amp;DataTest'!A:J, MATCH(INDEX( PointerTest!D:D, MATCH(B45, PointerTest!A:A, 0), 0), 'language&amp;DataTest'!A:A, 0), MATCH(HOME!$A$25, 'language&amp;DataTest'!$A$1:$H$1, 0))),                                          
IFERROR(INDEX('language&amp;DataTest'!A:J, MATCH(INDEX( PointerTest!E:E, MATCH(B45, PointerTest!A:A, 0), 0), 'language&amp;DataTest'!A:A, 0), MATCH(HOME!$A$25, 'language&amp;DataTest'!$A$1:$H$1, 0))))</f>
        <v>Raichu</v>
      </c>
      <c r="D45" s="249" t="str">
        <f t="array" ref="D45">INDEX('language&amp;DataTest'!A:J, MATCH(INDEX( PointerTest!D:D, MATCH(INDEX(PointerTest!B:B, MATCH(B45, PointerTest!A:A, 0)), PointerTest!A:A, 0), 0), 'language&amp;DataTest'!A:A, 0), MATCH(HOME!$A$25, 'language&amp;DataTest'!$A$1:$H$1, 0))</f>
        <v>Promo pack</v>
      </c>
      <c r="E45" s="253" t="str">
        <f t="shared" si="7"/>
        <v/>
      </c>
      <c r="F45" s="254">
        <v>0.0</v>
      </c>
      <c r="G45" s="265"/>
      <c r="H45" s="265"/>
      <c r="I45" s="265"/>
      <c r="J45" s="265"/>
    </row>
    <row r="46">
      <c r="A46" s="217" t="b">
        <v>0</v>
      </c>
      <c r="B46" s="69" t="s">
        <v>1009</v>
      </c>
      <c r="C46" s="69" t="str">
        <f t="array" ref="C46">TEXTJOIN("", TRUE, IFERROR(INDEX('language&amp;DataTest'!A:J, MATCH(INDEX( PointerTest!C:C, MATCH(B46, PointerTest!A:A, 0), 0), 'language&amp;DataTest'!A:A, 0), MATCH(HOME!$A$25, 'language&amp;DataTest'!$A$1:$H$1, 0))),                      IFERROR(INDEX('language&amp;DataTest'!A:J, MATCH(INDEX( PointerTest!D:D, MATCH(B46, PointerTest!A:A, 0), 0), 'language&amp;DataTest'!A:A, 0), MATCH(HOME!$A$25, 'language&amp;DataTest'!$A$1:$H$1, 0))),                                          
IFERROR(INDEX('language&amp;DataTest'!A:J, MATCH(INDEX( PointerTest!E:E, MATCH(B46, PointerTest!A:A, 0), 0), 'language&amp;DataTest'!A:A, 0), MATCH(HOME!$A$25, 'language&amp;DataTest'!$A$1:$H$1, 0))))</f>
        <v>Nosepass</v>
      </c>
      <c r="D46" s="249" t="str">
        <f t="array" ref="D46">INDEX('language&amp;DataTest'!A:J, MATCH(INDEX( PointerTest!D:D, MATCH(INDEX(PointerTest!B:B, MATCH(B46, PointerTest!A:A, 0)), PointerTest!A:A, 0), 0), 'language&amp;DataTest'!A:A, 0), MATCH(HOME!$A$25, 'language&amp;DataTest'!$A$1:$H$1, 0))</f>
        <v>Promo pack</v>
      </c>
      <c r="E46" s="253" t="str">
        <f t="shared" si="7"/>
        <v/>
      </c>
      <c r="F46" s="254">
        <v>0.0</v>
      </c>
      <c r="G46" s="265"/>
      <c r="H46" s="265"/>
      <c r="I46" s="265"/>
      <c r="J46" s="265"/>
    </row>
    <row r="47">
      <c r="A47" s="217" t="b">
        <v>1</v>
      </c>
      <c r="B47" s="69" t="s">
        <v>1010</v>
      </c>
      <c r="C47" s="69" t="str">
        <f t="array" ref="C47">TEXTJOIN("", TRUE, IFERROR(INDEX('language&amp;DataTest'!A:J, MATCH(INDEX( PointerTest!C:C, MATCH(B47, PointerTest!A:A, 0), 0), 'language&amp;DataTest'!A:A, 0), MATCH(HOME!$A$25, 'language&amp;DataTest'!$A$1:$H$1, 0))),                      IFERROR(INDEX('language&amp;DataTest'!A:J, MATCH(INDEX( PointerTest!D:D, MATCH(B47, PointerTest!A:A, 0), 0), 'language&amp;DataTest'!A:A, 0), MATCH(HOME!$A$25, 'language&amp;DataTest'!$A$1:$H$1, 0))),                                          
IFERROR(INDEX('language&amp;DataTest'!A:J, MATCH(INDEX( PointerTest!E:E, MATCH(B47, PointerTest!A:A, 0), 0), 'language&amp;DataTest'!A:A, 0), MATCH(HOME!$A$25, 'language&amp;DataTest'!$A$1:$H$1, 0))))</f>
        <v>Gible</v>
      </c>
      <c r="D47" s="249" t="str">
        <f t="array" ref="D47">INDEX('language&amp;DataTest'!A:J, MATCH(INDEX( PointerTest!D:D, MATCH(INDEX(PointerTest!B:B, MATCH(B47, PointerTest!A:A, 0)), PointerTest!A:A, 0), 0), 'language&amp;DataTest'!A:A, 0), MATCH(HOME!$A$25, 'language&amp;DataTest'!$A$1:$H$1, 0))</f>
        <v>Promo pack</v>
      </c>
      <c r="E47" s="253" t="str">
        <f t="shared" si="7"/>
        <v/>
      </c>
      <c r="F47" s="254">
        <v>0.0</v>
      </c>
      <c r="G47" s="265"/>
      <c r="H47" s="265"/>
      <c r="I47" s="265"/>
      <c r="J47" s="265"/>
    </row>
    <row r="48">
      <c r="A48" s="217" t="b">
        <v>1</v>
      </c>
      <c r="B48" s="69" t="s">
        <v>1011</v>
      </c>
      <c r="C48" s="69" t="str">
        <f t="array" ref="C48">TEXTJOIN("", TRUE, IFERROR(INDEX('language&amp;DataTest'!A:J, MATCH(INDEX( PointerTest!C:C, MATCH(B48, PointerTest!A:A, 0), 0), 'language&amp;DataTest'!A:A, 0), MATCH(HOME!$A$25, 'language&amp;DataTest'!$A$1:$H$1, 0))),                      IFERROR(INDEX('language&amp;DataTest'!A:J, MATCH(INDEX( PointerTest!D:D, MATCH(B48, PointerTest!A:A, 0), 0), 'language&amp;DataTest'!A:A, 0), MATCH(HOME!$A$25, 'language&amp;DataTest'!$A$1:$H$1, 0))),                                          
IFERROR(INDEX('language&amp;DataTest'!A:J, MATCH(INDEX( PointerTest!E:E, MATCH(B48, PointerTest!A:A, 0), 0), 'language&amp;DataTest'!A:A, 0), MATCH(HOME!$A$25, 'language&amp;DataTest'!$A$1:$H$1, 0))))</f>
        <v>Staraptor</v>
      </c>
      <c r="D48" s="249" t="str">
        <f t="array" ref="D48">INDEX('language&amp;DataTest'!A:J, MATCH(INDEX( PointerTest!D:D, MATCH(INDEX(PointerTest!B:B, MATCH(B48, PointerTest!A:A, 0)), PointerTest!A:A, 0), 0), 'language&amp;DataTest'!A:A, 0), MATCH(HOME!$A$25, 'language&amp;DataTest'!$A$1:$H$1, 0))</f>
        <v>Promo pack</v>
      </c>
      <c r="E48" s="253" t="str">
        <f t="shared" si="7"/>
        <v/>
      </c>
      <c r="F48" s="254">
        <v>0.0</v>
      </c>
      <c r="G48" s="265"/>
      <c r="H48" s="265"/>
      <c r="I48" s="265"/>
      <c r="J48" s="265"/>
    </row>
    <row r="49">
      <c r="A49" s="217" t="b">
        <v>1</v>
      </c>
      <c r="B49" s="69" t="s">
        <v>1012</v>
      </c>
      <c r="C49" s="69" t="str">
        <f t="array" ref="C49">TEXTJOIN("", TRUE, IFERROR(INDEX('language&amp;DataTest'!A:J, MATCH(INDEX( PointerTest!C:C, MATCH(B49, PointerTest!A:A, 0), 0), 'language&amp;DataTest'!A:A, 0), MATCH(HOME!$A$25, 'language&amp;DataTest'!$A$1:$H$1, 0))),                      IFERROR(INDEX('language&amp;DataTest'!A:J, MATCH(INDEX( PointerTest!D:D, MATCH(B49, PointerTest!A:A, 0), 0), 'language&amp;DataTest'!A:A, 0), MATCH(HOME!$A$25, 'language&amp;DataTest'!$A$1:$H$1, 0))),                                          
IFERROR(INDEX('language&amp;DataTest'!A:J, MATCH(INDEX( PointerTest!E:E, MATCH(B49, PointerTest!A:A, 0), 0), 'language&amp;DataTest'!A:A, 0), MATCH(HOME!$A$25, 'language&amp;DataTest'!$A$1:$H$1, 0))))</f>
        <v>Manaphy</v>
      </c>
      <c r="D49" s="249" t="str">
        <f t="array" ref="D49">INDEX('language&amp;DataTest'!A:J, MATCH(INDEX( PointerTest!D:D, MATCH(INDEX(PointerTest!B:B, MATCH(B49, PointerTest!A:A, 0)), PointerTest!A:A, 0), 0), 'language&amp;DataTest'!A:A, 0), MATCH(HOME!$A$25, 'language&amp;DataTest'!$A$1:$H$1, 0))</f>
        <v>Wonder Pick</v>
      </c>
      <c r="E49" s="253" t="str">
        <f t="shared" si="7"/>
        <v/>
      </c>
      <c r="F49" s="254">
        <v>0.0</v>
      </c>
      <c r="G49" s="265"/>
      <c r="H49" s="265"/>
      <c r="I49" s="265"/>
      <c r="J49" s="265"/>
    </row>
    <row r="50">
      <c r="A50" s="217" t="b">
        <v>1</v>
      </c>
      <c r="B50" s="69" t="s">
        <v>1013</v>
      </c>
      <c r="C50" s="69" t="str">
        <f t="array" ref="C50">TEXTJOIN("", TRUE, IFERROR(INDEX('language&amp;DataTest'!A:J, MATCH(INDEX( PointerTest!C:C, MATCH(B50, PointerTest!A:A, 0), 0), 'language&amp;DataTest'!A:A, 0), MATCH(HOME!$A$25, 'language&amp;DataTest'!$A$1:$H$1, 0))),                      IFERROR(INDEX('language&amp;DataTest'!A:J, MATCH(INDEX( PointerTest!D:D, MATCH(B50, PointerTest!A:A, 0), 0), 'language&amp;DataTest'!A:A, 0), MATCH(HOME!$A$25, 'language&amp;DataTest'!$A$1:$H$1, 0))),                                          
IFERROR(INDEX('language&amp;DataTest'!A:J, MATCH(INDEX( PointerTest!E:E, MATCH(B50, PointerTest!A:A, 0), 0), 'language&amp;DataTest'!A:A, 0), MATCH(HOME!$A$25, 'language&amp;DataTest'!$A$1:$H$1, 0))))</f>
        <v>Snorlax</v>
      </c>
      <c r="D50" s="249" t="str">
        <f t="array" ref="D50">INDEX('language&amp;DataTest'!A:J, MATCH(INDEX( PointerTest!D:D, MATCH(INDEX(PointerTest!B:B, MATCH(B50, PointerTest!A:A, 0)), PointerTest!A:A, 0), 0), 'language&amp;DataTest'!A:A, 0), MATCH(HOME!$A$25, 'language&amp;DataTest'!$A$1:$H$1, 0))</f>
        <v>Wonder Pick</v>
      </c>
      <c r="E50" s="253" t="str">
        <f t="shared" si="7"/>
        <v/>
      </c>
      <c r="F50" s="254">
        <v>0.0</v>
      </c>
      <c r="G50" s="265"/>
      <c r="H50" s="265"/>
      <c r="I50" s="265"/>
      <c r="J50" s="265"/>
    </row>
  </sheetData>
  <mergeCells count="1">
    <mergeCell ref="G2:J3"/>
  </mergeCells>
  <conditionalFormatting sqref="F2:F50">
    <cfRule type="cellIs" dxfId="17" priority="1" operator="greaterThanOrEqual">
      <formula>2</formula>
    </cfRule>
  </conditionalFormatting>
  <conditionalFormatting sqref="F2:F50">
    <cfRule type="cellIs" dxfId="0" priority="2" operator="lessThan">
      <formula>2</formula>
    </cfRule>
  </conditionalFormatting>
  <conditionalFormatting sqref="A2:E50">
    <cfRule type="expression" dxfId="5" priority="3">
      <formula>EXACT($D2, $G$13)</formula>
    </cfRule>
  </conditionalFormatting>
  <conditionalFormatting sqref="A2:E50">
    <cfRule type="expression" dxfId="1" priority="4">
      <formula>EXACT($D2, $G$14)</formula>
    </cfRule>
  </conditionalFormatting>
  <conditionalFormatting sqref="A2:E50">
    <cfRule type="expression" dxfId="8" priority="5">
      <formula>EXACT($D2, $G$15)</formula>
    </cfRule>
  </conditionalFormatting>
  <conditionalFormatting sqref="A2:E50">
    <cfRule type="expression" dxfId="22" priority="6">
      <formula>EXACT($D2, $G$16)</formula>
    </cfRule>
  </conditionalFormatting>
  <conditionalFormatting sqref="A2:E50">
    <cfRule type="expression" dxfId="23" priority="7">
      <formula>EXACT($D2, $G$17)</formula>
    </cfRule>
  </conditionalFormatting>
  <conditionalFormatting sqref="A2:E50">
    <cfRule type="expression" dxfId="2" priority="8">
      <formula>EXACT($D2, $G$18)</formula>
    </cfRule>
  </conditionalFormatting>
  <conditionalFormatting sqref="A2:E50">
    <cfRule type="expression" dxfId="24" priority="9">
      <formula>EXACT($D2, $G$19)</formula>
    </cfRule>
  </conditionalFormatting>
  <conditionalFormatting sqref="G6:J11">
    <cfRule type="expression" dxfId="5" priority="10">
      <formula>EXACT($G6, $G$13)</formula>
    </cfRule>
  </conditionalFormatting>
  <conditionalFormatting sqref="G6:J11">
    <cfRule type="expression" dxfId="1" priority="11">
      <formula>EXACT($G6, $G$14)</formula>
    </cfRule>
  </conditionalFormatting>
  <conditionalFormatting sqref="G6:J11">
    <cfRule type="expression" dxfId="8" priority="12">
      <formula>EXACT($G6, $G$15)</formula>
    </cfRule>
  </conditionalFormatting>
  <conditionalFormatting sqref="G6:J11">
    <cfRule type="expression" dxfId="22" priority="13">
      <formula>EXACT($G6, $G$16)</formula>
    </cfRule>
  </conditionalFormatting>
  <conditionalFormatting sqref="G6:J11">
    <cfRule type="expression" dxfId="23" priority="14">
      <formula>EXACT($G6, $G$17)</formula>
    </cfRule>
  </conditionalFormatting>
  <conditionalFormatting sqref="G6:J11">
    <cfRule type="expression" dxfId="2" priority="15">
      <formula>EXACT($G6, $G$18)</formula>
    </cfRule>
  </conditionalFormatting>
  <conditionalFormatting sqref="G6:J11">
    <cfRule type="expression" dxfId="24" priority="16">
      <formula>EXACT($G6, $G$19)</formula>
    </cfRule>
  </conditionalFormatting>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7.63"/>
    <col customWidth="1" min="4" max="4" width="24.38"/>
    <col customWidth="1" min="11" max="11" width="23.88"/>
    <col hidden="1" min="16" max="75" width="12.63"/>
  </cols>
  <sheetData>
    <row r="1">
      <c r="A1" s="267" t="s">
        <v>1014</v>
      </c>
      <c r="B1" s="268" t="s">
        <v>1015</v>
      </c>
      <c r="C1" s="34"/>
      <c r="D1" s="34"/>
      <c r="E1" s="34"/>
      <c r="F1" s="34"/>
      <c r="G1" s="34"/>
      <c r="H1" s="35"/>
      <c r="I1" s="269"/>
      <c r="J1" s="55"/>
      <c r="K1" s="270" t="s">
        <v>1016</v>
      </c>
      <c r="L1" s="4"/>
      <c r="M1" s="4"/>
      <c r="N1" s="4"/>
      <c r="O1" s="5"/>
      <c r="P1" s="55" t="str">
        <f>IFERROR(__xludf.DUMMYFUNCTION("FILTER('Probabilities&amp;Misc'!$F$3:$AA$300, 'Probabilities&amp;Misc'!$F$2:$AA$2=$C3)"),"#REF!")</f>
        <v>#REF!</v>
      </c>
      <c r="Q1" s="55" t="str">
        <f t="array" ref="Q1">INDEX('Probabilities&amp;Misc'!$F$3:$AA$300, , MATCH($C3, 'Probabilities&amp;Misc'!$F$2:$AA$2, 0) + 1)</f>
        <v>#N/A</v>
      </c>
      <c r="R1" s="55" t="str">
        <f t="array" ref="R1">INDEX('Probabilities&amp;Misc'!$F$3:$AA$300, , MATCH($C3, 'Probabilities&amp;Misc'!$F$2:$AA$2, 0) + 2)</f>
        <v>#N/A</v>
      </c>
      <c r="S1" s="55" t="str">
        <f>IFERROR(__xludf.DUMMYFUNCTION("FILTER('Probabilities&amp;Misc'!$F$3:$AA$300, 'Probabilities&amp;Misc'!$F$2:$AA$2=$C4)"),"#REF!")</f>
        <v>#REF!</v>
      </c>
      <c r="T1" s="55" t="str">
        <f t="array" ref="T1">INDEX('Probabilities&amp;Misc'!$F$3:$AA$300, , MATCH($C4, 'Probabilities&amp;Misc'!$F$2:$AA$2, 0) + 1)</f>
        <v>#N/A</v>
      </c>
      <c r="U1" s="55" t="str">
        <f t="array" ref="U1">INDEX('Probabilities&amp;Misc'!$F$3:$AA$300, , MATCH($C4, 'Probabilities&amp;Misc'!$F$2:$AA$2, 0) + 2)</f>
        <v>#N/A</v>
      </c>
      <c r="V1" s="55" t="str">
        <f>IFERROR(__xludf.DUMMYFUNCTION("FILTER('Probabilities&amp;Misc'!$F$3:$AA$300, 'Probabilities&amp;Misc'!$F$2:$AA$2=$C5)"),"#REF!")</f>
        <v>#REF!</v>
      </c>
      <c r="W1" s="55" t="str">
        <f t="array" ref="W1">INDEX('Probabilities&amp;Misc'!$F$3:$AA$300, , MATCH($C5, 'Probabilities&amp;Misc'!$F$2:$AA$2, 0) + 1)</f>
        <v>#N/A</v>
      </c>
      <c r="X1" s="55" t="str">
        <f t="array" ref="X1">INDEX('Probabilities&amp;Misc'!$F$3:$AA$300, , MATCH($C5, 'Probabilities&amp;Misc'!$F$2:$AA$2, 0) + 2)</f>
        <v>#N/A</v>
      </c>
      <c r="Y1" s="55" t="str">
        <f>IFERROR(__xludf.DUMMYFUNCTION("FILTER('Probabilities&amp;Misc'!$F$3:$AA$300, 'Probabilities&amp;Misc'!$F$2:$AA$2=$C6)"),"#REF!")</f>
        <v>#REF!</v>
      </c>
      <c r="Z1" s="55" t="str">
        <f t="array" ref="Z1">INDEX('Probabilities&amp;Misc'!$F$3:$AA$300, , MATCH($C6, 'Probabilities&amp;Misc'!$F$2:$AA$2, 0) + 1)</f>
        <v>#N/A</v>
      </c>
      <c r="AA1" s="55" t="str">
        <f t="array" ref="AA1">INDEX('Probabilities&amp;Misc'!$F$3:$AA$300, , MATCH($C6, 'Probabilities&amp;Misc'!$F$2:$AA$2, 0) + 2)</f>
        <v>#N/A</v>
      </c>
      <c r="AB1" s="55" t="str">
        <f>IFERROR(__xludf.DUMMYFUNCTION("FILTER('Probabilities&amp;Misc'!$F$3:$AA$300, 'Probabilities&amp;Misc'!$F$2:$AA$2=$C7)"),"#REF!")</f>
        <v>#REF!</v>
      </c>
      <c r="AC1" s="55" t="str">
        <f t="array" ref="AC1">INDEX('Probabilities&amp;Misc'!$F$3:$AA$300, , MATCH($C7, 'Probabilities&amp;Misc'!$F$2:$AA$2, 0) + 1)</f>
        <v>#N/A</v>
      </c>
      <c r="AD1" s="55" t="str">
        <f t="array" ref="AD1">INDEX('Probabilities&amp;Misc'!$F$3:$AA$300, , MATCH($C7, 'Probabilities&amp;Misc'!$F$2:$AA$2, 0) + 2)</f>
        <v>#N/A</v>
      </c>
      <c r="AE1" s="55" t="str">
        <f>IFERROR(__xludf.DUMMYFUNCTION("FILTER('Probabilities&amp;Misc'!$F$3:$AA$300, 'Probabilities&amp;Misc'!$F$2:$AA$2=$C8)"),"#REF!")</f>
        <v>#REF!</v>
      </c>
      <c r="AF1" s="55" t="str">
        <f t="array" ref="AF1">INDEX('Probabilities&amp;Misc'!$F$3:$AA$300, , MATCH($C8, 'Probabilities&amp;Misc'!$F$2:$AA$2, 0) + 1)</f>
        <v>#N/A</v>
      </c>
      <c r="AG1" s="55" t="str">
        <f t="array" ref="AG1">INDEX('Probabilities&amp;Misc'!$F$3:$AA$300, , MATCH($C8, 'Probabilities&amp;Misc'!$F$2:$AA$2, 0) + 2)</f>
        <v>#N/A</v>
      </c>
      <c r="AH1" s="55" t="str">
        <f>IFERROR(__xludf.DUMMYFUNCTION("FILTER('Probabilities&amp;Misc'!$F$3:$AA$300, 'Probabilities&amp;Misc'!$F$2:$AA$2=$C9)"),"#REF!")</f>
        <v>#REF!</v>
      </c>
      <c r="AI1" s="55" t="str">
        <f t="array" ref="AI1">INDEX('Probabilities&amp;Misc'!$F$3:$AA$300, , MATCH($C9, 'Probabilities&amp;Misc'!$F$2:$AA$2, 0) + 1)</f>
        <v>#N/A</v>
      </c>
      <c r="AJ1" s="55" t="str">
        <f t="array" ref="AJ1">INDEX('Probabilities&amp;Misc'!$F$3:$AA$300, , MATCH($C9, 'Probabilities&amp;Misc'!$F$2:$AA$2, 0) + 2)</f>
        <v>#N/A</v>
      </c>
      <c r="AK1" s="55" t="str">
        <f>IFERROR(__xludf.DUMMYFUNCTION("FILTER('Probabilities&amp;Misc'!$F$3:$AA$300, 'Probabilities&amp;Misc'!$F$2:$AA$2=$C10)"),"#REF!")</f>
        <v>#REF!</v>
      </c>
      <c r="AL1" s="55" t="str">
        <f t="array" ref="AL1">INDEX('Probabilities&amp;Misc'!$F$3:$AA$300, , MATCH($C10, 'Probabilities&amp;Misc'!$F$2:$AA$2, 0) + 1)</f>
        <v>#N/A</v>
      </c>
      <c r="AM1" s="55" t="str">
        <f t="array" ref="AM1">INDEX('Probabilities&amp;Misc'!$F$3:$AA$300, , MATCH($C10, 'Probabilities&amp;Misc'!$F$2:$AA$2, 0) + 2)</f>
        <v>#N/A</v>
      </c>
      <c r="AN1" s="55" t="str">
        <f>IFERROR(__xludf.DUMMYFUNCTION("FILTER('Probabilities&amp;Misc'!$F$3:$AA$300, 'Probabilities&amp;Misc'!$F$2:$AA$2=$C11)"),"#REF!")</f>
        <v>#REF!</v>
      </c>
      <c r="AO1" s="55" t="str">
        <f t="array" ref="AO1">INDEX('Probabilities&amp;Misc'!$F$3:$AA$300, , MATCH($C11, 'Probabilities&amp;Misc'!$F$2:$AA$2, 0) + 1)</f>
        <v>#N/A</v>
      </c>
      <c r="AP1" s="55" t="str">
        <f t="array" ref="AP1">INDEX('Probabilities&amp;Misc'!$F$3:$AA$300, , MATCH($C11, 'Probabilities&amp;Misc'!$F$2:$AA$2, 0) + 2)</f>
        <v>#N/A</v>
      </c>
      <c r="AQ1" s="55" t="str">
        <f>IFERROR(__xludf.DUMMYFUNCTION("FILTER('Probabilities&amp;Misc'!$F$3:$AA$300, 'Probabilities&amp;Misc'!$F$2:$AA$2=$C12)"),"#REF!")</f>
        <v>#REF!</v>
      </c>
      <c r="AR1" s="55" t="str">
        <f t="array" ref="AR1">INDEX('Probabilities&amp;Misc'!$F$3:$AA$300, , MATCH($C12, 'Probabilities&amp;Misc'!$F$2:$AA$2, 0) + 1)</f>
        <v>#N/A</v>
      </c>
      <c r="AS1" s="55" t="str">
        <f t="array" ref="AS1">INDEX('Probabilities&amp;Misc'!$F$3:$AA$300, , MATCH($C12, 'Probabilities&amp;Misc'!$F$2:$AA$2, 0) + 2)</f>
        <v>#N/A</v>
      </c>
      <c r="AT1" s="55" t="str">
        <f>IFERROR(__xludf.DUMMYFUNCTION("FILTER('Probabilities&amp;Misc'!$F$3:$AA$300, 'Probabilities&amp;Misc'!$F$2:$AA$2=$C13)"),"#REF!")</f>
        <v>#REF!</v>
      </c>
      <c r="AU1" s="55" t="str">
        <f t="array" ref="AU1">INDEX('Probabilities&amp;Misc'!$F$3:$AA$300, , MATCH($C13, 'Probabilities&amp;Misc'!$F$2:$AA$2, 0) + 1)</f>
        <v>#N/A</v>
      </c>
      <c r="AV1" s="55" t="str">
        <f t="array" ref="AV1">INDEX('Probabilities&amp;Misc'!$F$3:$AA$300, , MATCH($C13, 'Probabilities&amp;Misc'!$F$2:$AA$2, 0) + 2)</f>
        <v>#N/A</v>
      </c>
      <c r="AW1" s="55" t="str">
        <f>IFERROR(__xludf.DUMMYFUNCTION("FILTER('Probabilities&amp;Misc'!$F$3:$AA$300, 'Probabilities&amp;Misc'!$F$2:$AA$2=$C14)"),"#REF!")</f>
        <v>#REF!</v>
      </c>
      <c r="AX1" s="55" t="str">
        <f t="array" ref="AX1">INDEX('Probabilities&amp;Misc'!$F$3:$AA$300, , MATCH($C14, 'Probabilities&amp;Misc'!$F$2:$AA$2, 0) + 1)</f>
        <v>#N/A</v>
      </c>
      <c r="AY1" s="55" t="str">
        <f t="array" ref="AY1">INDEX('Probabilities&amp;Misc'!$F$3:$AA$300, , MATCH($C14, 'Probabilities&amp;Misc'!$F$2:$AA$2, 0) + 2)</f>
        <v>#N/A</v>
      </c>
      <c r="AZ1" s="55" t="str">
        <f>IFERROR(__xludf.DUMMYFUNCTION("FILTER('Probabilities&amp;Misc'!$F$3:$AA$300, 'Probabilities&amp;Misc'!$F$2:$AA$2=$C15)"),"#REF!")</f>
        <v>#REF!</v>
      </c>
      <c r="BA1" s="55" t="str">
        <f t="array" ref="BA1">INDEX('Probabilities&amp;Misc'!$F$3:$AA$300, , MATCH($C15, 'Probabilities&amp;Misc'!$F$2:$AA$2, 0) + 1)</f>
        <v>#N/A</v>
      </c>
      <c r="BB1" s="55" t="str">
        <f t="array" ref="BB1">INDEX('Probabilities&amp;Misc'!$F$3:$AA$300, , MATCH($C15, 'Probabilities&amp;Misc'!$F$2:$AA$2, 0) + 2)</f>
        <v>#N/A</v>
      </c>
      <c r="BC1" s="55" t="str">
        <f>IFERROR(__xludf.DUMMYFUNCTION("FILTER('Probabilities&amp;Misc'!$F$3:$AA$300, 'Probabilities&amp;Misc'!$F$2:$AA$2=$C16)"),"#REF!")</f>
        <v>#REF!</v>
      </c>
      <c r="BD1" s="55" t="str">
        <f t="array" ref="BD1">INDEX('Probabilities&amp;Misc'!$F$3:$AA$300, , MATCH($C16, 'Probabilities&amp;Misc'!$F$2:$AA$2, 0) + 1)</f>
        <v>#N/A</v>
      </c>
      <c r="BE1" s="55" t="str">
        <f t="array" ref="BE1">INDEX('Probabilities&amp;Misc'!$F$3:$AA$300, , MATCH($C16, 'Probabilities&amp;Misc'!$F$2:$AA$2, 0) + 2)</f>
        <v>#N/A</v>
      </c>
      <c r="BF1" s="55" t="str">
        <f>IFERROR(__xludf.DUMMYFUNCTION("FILTER('Probabilities&amp;Misc'!$F$3:$AA$300, 'Probabilities&amp;Misc'!$F$2:$AA$2=$C17)"),"#REF!")</f>
        <v>#REF!</v>
      </c>
      <c r="BG1" s="55" t="str">
        <f t="array" ref="BG1">INDEX('Probabilities&amp;Misc'!$F$3:$AA$300, , MATCH($C17, 'Probabilities&amp;Misc'!$F$2:$AA$2, 0) + 1)</f>
        <v>#N/A</v>
      </c>
      <c r="BH1" s="55" t="str">
        <f t="array" ref="BH1">INDEX('Probabilities&amp;Misc'!$F$3:$AA$300, , MATCH($C17, 'Probabilities&amp;Misc'!$F$2:$AA$2, 0) + 2)</f>
        <v>#N/A</v>
      </c>
      <c r="BI1" s="55" t="str">
        <f>IFERROR(__xludf.DUMMYFUNCTION("FILTER('Probabilities&amp;Misc'!$F$3:$AA$300, 'Probabilities&amp;Misc'!$F$2:$AA$2=$C18)"),"#REF!")</f>
        <v>#REF!</v>
      </c>
      <c r="BJ1" s="55" t="str">
        <f t="array" ref="BJ1">INDEX('Probabilities&amp;Misc'!$F$3:$AA$300, , MATCH($C18, 'Probabilities&amp;Misc'!$F$2:$AA$2, 0) + 1)</f>
        <v>#N/A</v>
      </c>
      <c r="BK1" s="55" t="str">
        <f t="array" ref="BK1">INDEX('Probabilities&amp;Misc'!$F$3:$AA$300, , MATCH($C18, 'Probabilities&amp;Misc'!$F$2:$AA$2, 0) + 2)</f>
        <v>#N/A</v>
      </c>
      <c r="BL1" s="55" t="str">
        <f>IFERROR(__xludf.DUMMYFUNCTION("FILTER('Probabilities&amp;Misc'!$F$3:$AA$300, 'Probabilities&amp;Misc'!$F$2:$AA$2=$C19)"),"#REF!")</f>
        <v>#REF!</v>
      </c>
      <c r="BM1" s="55" t="str">
        <f t="array" ref="BM1">INDEX('Probabilities&amp;Misc'!$F$3:$AA$300, , MATCH($C19, 'Probabilities&amp;Misc'!$F$2:$AA$2, 0) + 1)</f>
        <v>#N/A</v>
      </c>
      <c r="BN1" s="55" t="str">
        <f t="array" ref="BN1">INDEX('Probabilities&amp;Misc'!$F$3:$AA$300, , MATCH($C19, 'Probabilities&amp;Misc'!$F$2:$AA$2, 0) + 2)</f>
        <v>#N/A</v>
      </c>
      <c r="BO1" s="55" t="str">
        <f>IFERROR(__xludf.DUMMYFUNCTION("FILTER('Probabilities&amp;Misc'!$F$3:$AA$300, 'Probabilities&amp;Misc'!$F$2:$AA$2=$C20)"),"#REF!")</f>
        <v>#REF!</v>
      </c>
      <c r="BP1" s="55" t="str">
        <f t="array" ref="BP1">INDEX('Probabilities&amp;Misc'!$F$3:$AA$300, , MATCH($C20, 'Probabilities&amp;Misc'!$F$2:$AA$2, 0) + 1)</f>
        <v>#N/A</v>
      </c>
      <c r="BQ1" s="55" t="str">
        <f t="array" ref="BQ1">INDEX('Probabilities&amp;Misc'!$F$3:$AA$300, , MATCH($C20, 'Probabilities&amp;Misc'!$F$2:$AA$2, 0) + 2)</f>
        <v>#N/A</v>
      </c>
      <c r="BR1" s="55" t="str">
        <f>IFERROR(__xludf.DUMMYFUNCTION("FILTER('Probabilities&amp;Misc'!$F$3:$AA$300, 'Probabilities&amp;Misc'!$F$2:$AA$2=$C21)"),"#REF!")</f>
        <v>#REF!</v>
      </c>
      <c r="BS1" s="55" t="str">
        <f t="array" ref="BS1">INDEX('Probabilities&amp;Misc'!$F$3:$AA$300, , MATCH($C21, 'Probabilities&amp;Misc'!$F$2:$AA$2, 0) + 1)</f>
        <v>#N/A</v>
      </c>
      <c r="BT1" s="55" t="str">
        <f t="array" ref="BT1">INDEX('Probabilities&amp;Misc'!$F$3:$AA$300, , MATCH($C21, 'Probabilities&amp;Misc'!$F$2:$AA$2, 0) + 2)</f>
        <v>#N/A</v>
      </c>
      <c r="BU1" s="55" t="str">
        <f>IFERROR(__xludf.DUMMYFUNCTION("UNIQUE(FILTER('Probabilities&amp;Misc'!$F$3:$AA$300, 'Probabilities&amp;Misc'!$F$2:$AA$2=$C22))"),"#REF!")</f>
        <v>#REF!</v>
      </c>
      <c r="BV1" s="55" t="str">
        <f t="array" ref="BV1">INDEX('Probabilities&amp;Misc'!$F$3:$AA$300, , MATCH($C22, 'Probabilities&amp;Misc'!$F$2:$AA$2, 0) + 1)</f>
        <v>#N/A</v>
      </c>
      <c r="BW1" s="55" t="str">
        <f t="array" ref="BW1">INDEX('Probabilities&amp;Misc'!$F$3:$AA$300, , MATCH($C22, 'Probabilities&amp;Misc'!$F$2:$AA$2, 0) + 2)</f>
        <v>#N/A</v>
      </c>
    </row>
    <row r="2">
      <c r="A2" s="271" t="s">
        <v>1017</v>
      </c>
      <c r="B2" s="272"/>
      <c r="C2" s="267" t="s">
        <v>1018</v>
      </c>
      <c r="D2" s="271" t="s">
        <v>1019</v>
      </c>
      <c r="E2" s="271" t="s">
        <v>1020</v>
      </c>
      <c r="F2" s="267" t="s">
        <v>1021</v>
      </c>
      <c r="G2" s="267" t="s">
        <v>1022</v>
      </c>
      <c r="H2" s="267" t="s">
        <v>1023</v>
      </c>
      <c r="I2" s="55"/>
      <c r="J2" s="55"/>
      <c r="K2" s="8"/>
      <c r="L2" s="9"/>
      <c r="M2" s="9"/>
      <c r="N2" s="9"/>
      <c r="O2" s="10"/>
      <c r="P2" s="55"/>
      <c r="Q2" s="55"/>
      <c r="R2" s="55"/>
      <c r="S2" s="55"/>
      <c r="T2" s="55"/>
      <c r="U2" s="55"/>
      <c r="V2" s="55"/>
      <c r="W2" s="55"/>
      <c r="X2" s="55"/>
      <c r="Y2" s="55"/>
      <c r="Z2" s="55"/>
      <c r="AA2" s="55"/>
      <c r="AB2" s="55"/>
      <c r="AC2" s="55"/>
      <c r="AD2" s="55"/>
      <c r="AE2" s="55"/>
      <c r="AF2" s="55"/>
      <c r="AG2" s="55"/>
      <c r="AH2" s="55"/>
      <c r="AI2" s="55"/>
      <c r="AJ2" s="55"/>
      <c r="AK2" s="55"/>
      <c r="AL2" s="55"/>
      <c r="AM2" s="55"/>
      <c r="AN2" s="55"/>
      <c r="AO2" s="55"/>
      <c r="AP2" s="55"/>
      <c r="AQ2" s="55"/>
      <c r="AR2" s="55"/>
      <c r="AS2" s="55"/>
      <c r="AT2" s="55"/>
      <c r="AU2" s="55"/>
      <c r="AV2" s="55"/>
      <c r="AW2" s="55"/>
      <c r="AX2" s="55"/>
      <c r="AY2" s="55"/>
      <c r="AZ2" s="55"/>
      <c r="BA2" s="55"/>
      <c r="BB2" s="55"/>
      <c r="BC2" s="55"/>
      <c r="BD2" s="55"/>
      <c r="BE2" s="55"/>
      <c r="BF2" s="55"/>
      <c r="BG2" s="55"/>
      <c r="BH2" s="55"/>
      <c r="BI2" s="55"/>
      <c r="BJ2" s="55"/>
      <c r="BK2" s="55"/>
      <c r="BL2" s="55"/>
      <c r="BM2" s="55"/>
      <c r="BN2" s="55"/>
      <c r="BO2" s="55"/>
      <c r="BP2" s="55"/>
      <c r="BQ2" s="55"/>
      <c r="BR2" s="55"/>
      <c r="BS2" s="55"/>
      <c r="BT2" s="55"/>
      <c r="BU2" s="55"/>
      <c r="BV2" s="55"/>
      <c r="BW2" s="55"/>
    </row>
    <row r="3">
      <c r="A3" s="273">
        <v>1.0</v>
      </c>
      <c r="B3" s="274"/>
      <c r="C3" s="275"/>
      <c r="D3" s="276"/>
      <c r="E3" s="277">
        <v>0.0</v>
      </c>
      <c r="F3" s="278" t="str">
        <f t="shared" ref="F3:F22" si="1">IFERROR(INDEX(INDIRECT(ADDRESS(1, COLUMN(P:P) + (ROW()-3)*3) &amp; ":" &amp; ADDRESS(1000, COLUMN(P:P) + (ROW()-3)*3+2)), 
MATCH(D3, INDIRECT(ADDRESS(1, COLUMN(P:P) + (ROW()-3)*3) &amp; ":" &amp; ADDRESS(1000, COLUMN(P:P) + (ROW()-3)*3)), 0), 2), "")</f>
        <v/>
      </c>
      <c r="G3" s="279" t="str">
        <f t="shared" ref="G3:G22" si="2">IF(E3-F3&lt;0.5,"",E3-F3)</f>
        <v/>
      </c>
      <c r="H3" s="280" t="str">
        <f t="shared" ref="H3:H22" si="3">IFERROR(INDEX(INDIRECT(ADDRESS(1, COLUMN(P:P) + (ROW()-3)*3) &amp; ":" &amp; ADDRESS(1000, COLUMN(P:P) + (ROW()-3)*3+2)), MATCH(D3, INDIRECT(ADDRESS(1, COLUMN(P:P) + (ROW()-3)*3) &amp; ":" &amp; ADDRESS(1000, COLUMN(P:P) + (ROW()-3)*3)), 0), 3), "")</f>
        <v/>
      </c>
      <c r="I3" s="55"/>
      <c r="J3" s="55"/>
      <c r="K3" s="281" t="s">
        <v>56</v>
      </c>
      <c r="L3" s="282" t="s">
        <v>1022</v>
      </c>
      <c r="M3" s="282" t="s">
        <v>1024</v>
      </c>
      <c r="N3" s="283" t="s">
        <v>1025</v>
      </c>
      <c r="O3" s="284"/>
      <c r="P3" s="55"/>
      <c r="Q3" s="55"/>
      <c r="R3" s="55"/>
      <c r="S3" s="55"/>
      <c r="T3" s="55"/>
      <c r="U3" s="55"/>
      <c r="V3" s="55"/>
      <c r="W3" s="55"/>
      <c r="X3" s="55"/>
      <c r="Y3" s="55"/>
      <c r="Z3" s="55"/>
      <c r="AA3" s="55"/>
      <c r="AB3" s="55"/>
      <c r="AC3" s="55"/>
      <c r="AD3" s="55"/>
      <c r="AE3" s="55"/>
      <c r="AF3" s="55"/>
      <c r="AG3" s="55"/>
      <c r="AH3" s="55"/>
      <c r="AI3" s="55"/>
      <c r="AJ3" s="55"/>
      <c r="AK3" s="55"/>
      <c r="AL3" s="55"/>
      <c r="AM3" s="55"/>
      <c r="AN3" s="55"/>
      <c r="AO3" s="55"/>
      <c r="AP3" s="55"/>
      <c r="AQ3" s="55"/>
      <c r="AR3" s="55"/>
      <c r="AS3" s="55"/>
      <c r="AT3" s="55"/>
      <c r="AU3" s="55"/>
      <c r="AV3" s="55"/>
      <c r="AW3" s="55"/>
      <c r="AX3" s="55"/>
      <c r="AY3" s="55"/>
      <c r="AZ3" s="55"/>
      <c r="BA3" s="55"/>
      <c r="BB3" s="55"/>
      <c r="BC3" s="55"/>
      <c r="BD3" s="55"/>
      <c r="BE3" s="55"/>
      <c r="BF3" s="55"/>
      <c r="BG3" s="55"/>
      <c r="BH3" s="55"/>
      <c r="BI3" s="55"/>
      <c r="BJ3" s="55"/>
      <c r="BK3" s="55"/>
      <c r="BL3" s="55"/>
      <c r="BM3" s="55"/>
      <c r="BN3" s="55"/>
      <c r="BO3" s="55"/>
      <c r="BP3" s="55"/>
      <c r="BQ3" s="55"/>
      <c r="BR3" s="55"/>
      <c r="BS3" s="55"/>
      <c r="BT3" s="55"/>
      <c r="BU3" s="55"/>
      <c r="BV3" s="55"/>
      <c r="BW3" s="55"/>
    </row>
    <row r="4">
      <c r="A4" s="285">
        <v>2.0</v>
      </c>
      <c r="B4" s="274"/>
      <c r="C4" s="275"/>
      <c r="D4" s="276"/>
      <c r="E4" s="286">
        <v>0.0</v>
      </c>
      <c r="F4" s="278" t="str">
        <f t="shared" si="1"/>
        <v/>
      </c>
      <c r="G4" s="279" t="str">
        <f t="shared" si="2"/>
        <v/>
      </c>
      <c r="H4" s="280" t="str">
        <f t="shared" si="3"/>
        <v/>
      </c>
      <c r="I4" s="55"/>
      <c r="J4" s="55"/>
      <c r="K4" s="287" t="str">
        <f>'Genetic Apex'!K15</f>
        <v>Mewtwo</v>
      </c>
      <c r="L4" s="288">
        <f t="shared" ref="L4:L6" si="4">SUMIF($H$3:$H$22,K4,$G$3:$G$22)</f>
        <v>0</v>
      </c>
      <c r="M4" s="289">
        <f t="shared" ref="M4:M14" si="5">L4/20</f>
        <v>0</v>
      </c>
      <c r="N4" s="290">
        <f>max(M4:M16)</f>
        <v>0</v>
      </c>
      <c r="O4" s="46"/>
      <c r="P4" s="55"/>
      <c r="Q4" s="55"/>
      <c r="R4" s="55"/>
      <c r="S4" s="55"/>
      <c r="T4" s="55"/>
      <c r="U4" s="55"/>
      <c r="V4" s="55"/>
      <c r="W4" s="55"/>
      <c r="X4" s="55"/>
      <c r="Y4" s="55"/>
      <c r="Z4" s="55"/>
      <c r="AA4" s="55"/>
      <c r="AB4" s="55"/>
      <c r="AC4" s="55"/>
      <c r="AD4" s="55"/>
      <c r="AE4" s="55"/>
      <c r="AF4" s="55"/>
      <c r="AG4" s="55"/>
      <c r="AH4" s="55"/>
      <c r="AI4" s="55"/>
      <c r="AJ4" s="55"/>
      <c r="AK4" s="55"/>
      <c r="AL4" s="55"/>
      <c r="AM4" s="55"/>
      <c r="AN4" s="55"/>
      <c r="AO4" s="55"/>
      <c r="AP4" s="55"/>
      <c r="AQ4" s="55"/>
      <c r="AR4" s="55"/>
      <c r="AS4" s="55"/>
      <c r="AT4" s="55"/>
      <c r="AU4" s="55"/>
      <c r="AV4" s="55"/>
      <c r="AW4" s="55"/>
      <c r="AX4" s="55"/>
      <c r="AY4" s="55"/>
      <c r="AZ4" s="55"/>
      <c r="BA4" s="55"/>
      <c r="BB4" s="55"/>
      <c r="BC4" s="55"/>
      <c r="BD4" s="55"/>
      <c r="BE4" s="55"/>
      <c r="BF4" s="55"/>
      <c r="BG4" s="55"/>
      <c r="BH4" s="55"/>
      <c r="BI4" s="55"/>
      <c r="BJ4" s="55"/>
      <c r="BK4" s="55"/>
      <c r="BL4" s="55"/>
      <c r="BM4" s="55"/>
      <c r="BN4" s="55"/>
      <c r="BO4" s="55"/>
      <c r="BP4" s="55"/>
      <c r="BQ4" s="55"/>
      <c r="BR4" s="55"/>
      <c r="BS4" s="55"/>
      <c r="BT4" s="55"/>
      <c r="BU4" s="55"/>
      <c r="BV4" s="55"/>
      <c r="BW4" s="55"/>
    </row>
    <row r="5">
      <c r="A5" s="285">
        <v>3.0</v>
      </c>
      <c r="B5" s="274"/>
      <c r="C5" s="275"/>
      <c r="D5" s="276"/>
      <c r="E5" s="286">
        <v>0.0</v>
      </c>
      <c r="F5" s="278" t="str">
        <f t="shared" si="1"/>
        <v/>
      </c>
      <c r="G5" s="279" t="str">
        <f t="shared" si="2"/>
        <v/>
      </c>
      <c r="H5" s="280" t="str">
        <f t="shared" si="3"/>
        <v/>
      </c>
      <c r="I5" s="55"/>
      <c r="J5" s="55"/>
      <c r="K5" s="287" t="str">
        <f>'Genetic Apex'!K16</f>
        <v>Pikachu</v>
      </c>
      <c r="L5" s="288">
        <f t="shared" si="4"/>
        <v>0</v>
      </c>
      <c r="M5" s="289">
        <f t="shared" si="5"/>
        <v>0</v>
      </c>
      <c r="N5" s="291" t="s">
        <v>1026</v>
      </c>
      <c r="O5" s="46"/>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c r="BP5" s="55"/>
      <c r="BQ5" s="55"/>
      <c r="BR5" s="55"/>
      <c r="BS5" s="55"/>
      <c r="BT5" s="55"/>
      <c r="BU5" s="55"/>
      <c r="BV5" s="55"/>
      <c r="BW5" s="55"/>
    </row>
    <row r="6">
      <c r="A6" s="285">
        <v>4.0</v>
      </c>
      <c r="B6" s="274"/>
      <c r="C6" s="275"/>
      <c r="D6" s="276"/>
      <c r="E6" s="286">
        <v>0.0</v>
      </c>
      <c r="F6" s="278" t="str">
        <f t="shared" si="1"/>
        <v/>
      </c>
      <c r="G6" s="279" t="str">
        <f t="shared" si="2"/>
        <v/>
      </c>
      <c r="H6" s="280" t="str">
        <f t="shared" si="3"/>
        <v/>
      </c>
      <c r="I6" s="55"/>
      <c r="J6" s="55"/>
      <c r="K6" s="287" t="str">
        <f>'Genetic Apex'!K17</f>
        <v>Charizard</v>
      </c>
      <c r="L6" s="288">
        <f t="shared" si="4"/>
        <v>0</v>
      </c>
      <c r="M6" s="289">
        <f t="shared" si="5"/>
        <v>0</v>
      </c>
      <c r="N6" s="290">
        <f>SUM(M4:M16)</f>
        <v>0</v>
      </c>
      <c r="O6" s="46"/>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c r="BP6" s="55"/>
      <c r="BQ6" s="55"/>
      <c r="BR6" s="55"/>
      <c r="BS6" s="55"/>
      <c r="BT6" s="55"/>
      <c r="BU6" s="55"/>
      <c r="BV6" s="55"/>
      <c r="BW6" s="55"/>
    </row>
    <row r="7">
      <c r="A7" s="285">
        <v>5.0</v>
      </c>
      <c r="B7" s="274"/>
      <c r="C7" s="275"/>
      <c r="D7" s="276"/>
      <c r="E7" s="286">
        <v>0.0</v>
      </c>
      <c r="F7" s="278" t="str">
        <f t="shared" si="1"/>
        <v/>
      </c>
      <c r="G7" s="279" t="str">
        <f t="shared" si="2"/>
        <v/>
      </c>
      <c r="H7" s="280" t="str">
        <f t="shared" si="3"/>
        <v/>
      </c>
      <c r="I7" s="55"/>
      <c r="J7" s="55"/>
      <c r="K7" s="292" t="s">
        <v>1027</v>
      </c>
      <c r="L7" s="288">
        <f>SUMIFS($G$3:$G$22, $H$3:$H$22, RegularFormula!D2, $C$3:$C$22, "Genetic Apex")</f>
        <v>0</v>
      </c>
      <c r="M7" s="289">
        <f t="shared" si="5"/>
        <v>0</v>
      </c>
      <c r="N7" s="291" t="s">
        <v>1028</v>
      </c>
      <c r="O7" s="46"/>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c r="BP7" s="55"/>
      <c r="BQ7" s="55"/>
      <c r="BR7" s="55"/>
      <c r="BS7" s="55"/>
      <c r="BT7" s="55"/>
      <c r="BU7" s="55"/>
      <c r="BV7" s="55"/>
      <c r="BW7" s="55"/>
    </row>
    <row r="8">
      <c r="A8" s="285">
        <v>6.0</v>
      </c>
      <c r="B8" s="274"/>
      <c r="C8" s="275"/>
      <c r="D8" s="276"/>
      <c r="E8" s="286">
        <v>0.0</v>
      </c>
      <c r="F8" s="278" t="str">
        <f t="shared" si="1"/>
        <v/>
      </c>
      <c r="G8" s="279" t="str">
        <f t="shared" si="2"/>
        <v/>
      </c>
      <c r="H8" s="280" t="str">
        <f t="shared" si="3"/>
        <v/>
      </c>
      <c r="I8" s="55"/>
      <c r="J8" s="55"/>
      <c r="K8" s="293" t="str">
        <f>'Mythical Island'!K15</f>
        <v>Mew</v>
      </c>
      <c r="L8" s="288">
        <f t="shared" ref="L8:L10" si="6">SUMIF($H$3:$H$22,K8,$G$3:$G$22)</f>
        <v>0</v>
      </c>
      <c r="M8" s="289">
        <f t="shared" si="5"/>
        <v>0</v>
      </c>
      <c r="N8" s="294">
        <f>SUM(L4:L16)</f>
        <v>0</v>
      </c>
      <c r="O8" s="46"/>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row>
    <row r="9">
      <c r="A9" s="285">
        <v>7.0</v>
      </c>
      <c r="B9" s="274"/>
      <c r="C9" s="275"/>
      <c r="D9" s="276"/>
      <c r="E9" s="286">
        <v>0.0</v>
      </c>
      <c r="F9" s="278" t="str">
        <f t="shared" si="1"/>
        <v/>
      </c>
      <c r="G9" s="279" t="str">
        <f t="shared" si="2"/>
        <v/>
      </c>
      <c r="H9" s="280" t="str">
        <f t="shared" si="3"/>
        <v/>
      </c>
      <c r="I9" s="55"/>
      <c r="J9" s="55"/>
      <c r="K9" s="293" t="str">
        <f>'Space-Time Smackdown'!K15</f>
        <v>Palkia ex</v>
      </c>
      <c r="L9" s="288">
        <f t="shared" si="6"/>
        <v>0</v>
      </c>
      <c r="M9" s="289">
        <f t="shared" si="5"/>
        <v>0</v>
      </c>
      <c r="N9" s="295"/>
      <c r="O9" s="296"/>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c r="BP9" s="55"/>
      <c r="BQ9" s="55"/>
      <c r="BR9" s="55"/>
      <c r="BS9" s="55"/>
      <c r="BT9" s="55"/>
      <c r="BU9" s="55"/>
      <c r="BV9" s="55"/>
      <c r="BW9" s="55"/>
    </row>
    <row r="10">
      <c r="A10" s="285">
        <v>8.0</v>
      </c>
      <c r="B10" s="274"/>
      <c r="C10" s="275"/>
      <c r="D10" s="276"/>
      <c r="E10" s="286">
        <v>0.0</v>
      </c>
      <c r="F10" s="278" t="str">
        <f t="shared" si="1"/>
        <v/>
      </c>
      <c r="G10" s="279" t="str">
        <f t="shared" si="2"/>
        <v/>
      </c>
      <c r="H10" s="280" t="str">
        <f t="shared" si="3"/>
        <v/>
      </c>
      <c r="I10" s="55"/>
      <c r="J10" s="55"/>
      <c r="K10" s="293" t="str">
        <f>'Space-Time Smackdown'!K16</f>
        <v>Dialga ex</v>
      </c>
      <c r="L10" s="288">
        <f t="shared" si="6"/>
        <v>0</v>
      </c>
      <c r="M10" s="289">
        <f t="shared" si="5"/>
        <v>0</v>
      </c>
      <c r="N10" s="297"/>
      <c r="O10" s="7"/>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c r="BP10" s="55"/>
      <c r="BQ10" s="55"/>
      <c r="BR10" s="55"/>
      <c r="BS10" s="55"/>
      <c r="BT10" s="55"/>
      <c r="BU10" s="55"/>
      <c r="BV10" s="55"/>
      <c r="BW10" s="55"/>
    </row>
    <row r="11">
      <c r="A11" s="285">
        <v>9.0</v>
      </c>
      <c r="B11" s="274"/>
      <c r="C11" s="275"/>
      <c r="D11" s="276"/>
      <c r="E11" s="286">
        <v>0.0</v>
      </c>
      <c r="F11" s="278" t="str">
        <f t="shared" si="1"/>
        <v/>
      </c>
      <c r="G11" s="279" t="str">
        <f t="shared" si="2"/>
        <v/>
      </c>
      <c r="H11" s="280" t="str">
        <f t="shared" si="3"/>
        <v/>
      </c>
      <c r="I11" s="55"/>
      <c r="J11" s="55"/>
      <c r="K11" s="298" t="s">
        <v>1029</v>
      </c>
      <c r="L11" s="288">
        <f>SUMIFS($G$3:$G$22, $H$3:$H$22, RegularFormula!D2, $C$3:$C$22, "Space-Time Smackdown")</f>
        <v>0</v>
      </c>
      <c r="M11" s="289">
        <f t="shared" si="5"/>
        <v>0</v>
      </c>
      <c r="N11" s="297"/>
      <c r="O11" s="7"/>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c r="BP11" s="55"/>
      <c r="BQ11" s="55"/>
      <c r="BR11" s="55"/>
      <c r="BS11" s="55"/>
      <c r="BT11" s="55"/>
      <c r="BU11" s="55"/>
      <c r="BV11" s="55"/>
      <c r="BW11" s="55"/>
    </row>
    <row r="12">
      <c r="A12" s="285">
        <v>10.0</v>
      </c>
      <c r="B12" s="274"/>
      <c r="C12" s="275"/>
      <c r="D12" s="276"/>
      <c r="E12" s="286">
        <v>0.0</v>
      </c>
      <c r="F12" s="278" t="str">
        <f t="shared" si="1"/>
        <v/>
      </c>
      <c r="G12" s="279" t="str">
        <f t="shared" si="2"/>
        <v/>
      </c>
      <c r="H12" s="280" t="str">
        <f t="shared" si="3"/>
        <v/>
      </c>
      <c r="I12" s="55"/>
      <c r="J12" s="55"/>
      <c r="K12" s="293" t="str">
        <f>'Triumphant Light'!K15</f>
        <v>Arceus</v>
      </c>
      <c r="L12" s="288">
        <f t="shared" ref="L12:L14" si="7">SUMIF($H$3:$H$22,K12,$G$3:$G$22)</f>
        <v>0</v>
      </c>
      <c r="M12" s="289">
        <f t="shared" si="5"/>
        <v>0</v>
      </c>
      <c r="N12" s="297"/>
      <c r="O12" s="7"/>
      <c r="P12" s="55"/>
      <c r="Q12" s="55"/>
      <c r="R12" s="55"/>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c r="BM12" s="55"/>
      <c r="BN12" s="55"/>
      <c r="BO12" s="55"/>
      <c r="BP12" s="55"/>
      <c r="BQ12" s="55"/>
      <c r="BR12" s="55"/>
      <c r="BS12" s="55"/>
      <c r="BT12" s="55"/>
      <c r="BU12" s="55"/>
      <c r="BV12" s="55"/>
      <c r="BW12" s="55"/>
    </row>
    <row r="13">
      <c r="A13" s="285">
        <v>11.0</v>
      </c>
      <c r="B13" s="274"/>
      <c r="C13" s="275"/>
      <c r="D13" s="276"/>
      <c r="E13" s="286">
        <v>0.0</v>
      </c>
      <c r="F13" s="278" t="str">
        <f t="shared" si="1"/>
        <v/>
      </c>
      <c r="G13" s="279" t="str">
        <f t="shared" si="2"/>
        <v/>
      </c>
      <c r="H13" s="280" t="str">
        <f t="shared" si="3"/>
        <v/>
      </c>
      <c r="I13" s="55"/>
      <c r="J13" s="55"/>
      <c r="K13" s="293" t="str">
        <f>'Shining Revelry'!K17</f>
        <v>Lucario ex</v>
      </c>
      <c r="L13" s="288">
        <f t="shared" si="7"/>
        <v>0</v>
      </c>
      <c r="M13" s="289">
        <f t="shared" si="5"/>
        <v>0</v>
      </c>
      <c r="N13" s="297"/>
      <c r="O13" s="7"/>
      <c r="P13" s="55"/>
      <c r="Q13" s="55"/>
      <c r="R13" s="5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c r="BM13" s="55"/>
      <c r="BN13" s="55"/>
      <c r="BO13" s="55"/>
      <c r="BP13" s="55"/>
      <c r="BQ13" s="55"/>
      <c r="BR13" s="55"/>
      <c r="BS13" s="55"/>
      <c r="BT13" s="55"/>
      <c r="BU13" s="55"/>
      <c r="BV13" s="55"/>
      <c r="BW13" s="55"/>
    </row>
    <row r="14">
      <c r="A14" s="285">
        <v>12.0</v>
      </c>
      <c r="B14" s="274"/>
      <c r="C14" s="275"/>
      <c r="D14" s="276"/>
      <c r="E14" s="286">
        <v>0.0</v>
      </c>
      <c r="F14" s="278" t="str">
        <f t="shared" si="1"/>
        <v/>
      </c>
      <c r="G14" s="279" t="str">
        <f t="shared" si="2"/>
        <v/>
      </c>
      <c r="H14" s="280" t="str">
        <f t="shared" si="3"/>
        <v/>
      </c>
      <c r="I14" s="55"/>
      <c r="J14" s="55"/>
      <c r="K14" s="287" t="s">
        <v>1030</v>
      </c>
      <c r="L14" s="288">
        <f t="shared" si="7"/>
        <v>0</v>
      </c>
      <c r="M14" s="289">
        <f t="shared" si="5"/>
        <v>0</v>
      </c>
      <c r="N14" s="297"/>
      <c r="O14" s="7"/>
      <c r="P14" s="55"/>
      <c r="Q14" s="55"/>
      <c r="R14" s="55"/>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c r="BG14" s="55"/>
      <c r="BH14" s="55"/>
      <c r="BI14" s="55"/>
      <c r="BJ14" s="55"/>
      <c r="BK14" s="55"/>
      <c r="BL14" s="55"/>
      <c r="BM14" s="55"/>
      <c r="BN14" s="55"/>
      <c r="BO14" s="55"/>
      <c r="BP14" s="55"/>
      <c r="BQ14" s="55"/>
      <c r="BR14" s="55"/>
      <c r="BS14" s="55"/>
      <c r="BT14" s="55"/>
      <c r="BU14" s="55"/>
      <c r="BV14" s="55"/>
      <c r="BW14" s="55"/>
    </row>
    <row r="15">
      <c r="A15" s="285">
        <v>13.0</v>
      </c>
      <c r="B15" s="274"/>
      <c r="C15" s="275"/>
      <c r="D15" s="276"/>
      <c r="E15" s="286">
        <v>0.0</v>
      </c>
      <c r="F15" s="278" t="str">
        <f t="shared" si="1"/>
        <v/>
      </c>
      <c r="G15" s="279" t="str">
        <f t="shared" si="2"/>
        <v/>
      </c>
      <c r="H15" s="280" t="str">
        <f t="shared" si="3"/>
        <v/>
      </c>
      <c r="I15" s="55"/>
      <c r="J15" s="55"/>
      <c r="K15" s="299" t="s">
        <v>101</v>
      </c>
      <c r="L15" s="300" t="str">
        <f t="array" ref="L15">XLOOKUP(N4,M4:M16,K4:K16,"")</f>
        <v>Mewtwo</v>
      </c>
      <c r="M15" s="127"/>
      <c r="N15" s="127"/>
      <c r="O15" s="296"/>
      <c r="P15" s="55"/>
      <c r="Q15" s="55"/>
      <c r="R15" s="5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c r="BI15" s="55"/>
      <c r="BJ15" s="55"/>
      <c r="BK15" s="55"/>
      <c r="BL15" s="55"/>
      <c r="BM15" s="55"/>
      <c r="BN15" s="55"/>
      <c r="BO15" s="55"/>
      <c r="BP15" s="55"/>
      <c r="BQ15" s="55"/>
      <c r="BR15" s="55"/>
      <c r="BS15" s="55"/>
      <c r="BT15" s="55"/>
      <c r="BU15" s="55"/>
      <c r="BV15" s="55"/>
      <c r="BW15" s="55"/>
    </row>
    <row r="16">
      <c r="A16" s="285">
        <v>14.0</v>
      </c>
      <c r="B16" s="274"/>
      <c r="C16" s="275"/>
      <c r="D16" s="276"/>
      <c r="E16" s="286">
        <v>0.0</v>
      </c>
      <c r="F16" s="278" t="str">
        <f t="shared" si="1"/>
        <v/>
      </c>
      <c r="G16" s="301" t="str">
        <f t="shared" si="2"/>
        <v/>
      </c>
      <c r="H16" s="280" t="str">
        <f t="shared" si="3"/>
        <v/>
      </c>
      <c r="I16" s="55"/>
      <c r="J16" s="55"/>
      <c r="K16" s="302"/>
      <c r="L16" s="303"/>
      <c r="M16" s="9"/>
      <c r="N16" s="9"/>
      <c r="O16" s="10"/>
      <c r="P16" s="55"/>
      <c r="Q16" s="55"/>
      <c r="R16" s="5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55"/>
      <c r="BN16" s="55"/>
      <c r="BO16" s="55"/>
      <c r="BP16" s="55"/>
      <c r="BQ16" s="55"/>
      <c r="BR16" s="55"/>
      <c r="BS16" s="55"/>
      <c r="BT16" s="55"/>
      <c r="BU16" s="55"/>
      <c r="BV16" s="55"/>
      <c r="BW16" s="55"/>
    </row>
    <row r="17">
      <c r="A17" s="285">
        <v>15.0</v>
      </c>
      <c r="B17" s="274"/>
      <c r="C17" s="275"/>
      <c r="D17" s="276"/>
      <c r="E17" s="286">
        <v>0.0</v>
      </c>
      <c r="F17" s="278" t="str">
        <f t="shared" si="1"/>
        <v/>
      </c>
      <c r="G17" s="301" t="str">
        <f t="shared" si="2"/>
        <v/>
      </c>
      <c r="H17" s="280" t="str">
        <f t="shared" si="3"/>
        <v/>
      </c>
      <c r="I17" s="55"/>
      <c r="J17" s="55"/>
      <c r="P17" s="55"/>
      <c r="Q17" s="55"/>
      <c r="R17" s="55"/>
      <c r="S17" s="5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5"/>
      <c r="BT17" s="55"/>
      <c r="BU17" s="55"/>
      <c r="BV17" s="55"/>
      <c r="BW17" s="55"/>
    </row>
    <row r="18">
      <c r="A18" s="285">
        <v>16.0</v>
      </c>
      <c r="B18" s="274"/>
      <c r="C18" s="275"/>
      <c r="D18" s="276"/>
      <c r="E18" s="286">
        <v>0.0</v>
      </c>
      <c r="F18" s="278" t="str">
        <f t="shared" si="1"/>
        <v/>
      </c>
      <c r="G18" s="301" t="str">
        <f t="shared" si="2"/>
        <v/>
      </c>
      <c r="H18" s="280" t="str">
        <f t="shared" si="3"/>
        <v/>
      </c>
      <c r="I18" s="55"/>
      <c r="J18" s="55"/>
      <c r="P18" s="55"/>
      <c r="Q18" s="55"/>
      <c r="R18" s="55"/>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c r="BM18" s="55"/>
      <c r="BN18" s="55"/>
      <c r="BO18" s="55"/>
      <c r="BP18" s="55"/>
      <c r="BQ18" s="55"/>
      <c r="BR18" s="55"/>
      <c r="BS18" s="55"/>
      <c r="BT18" s="55"/>
      <c r="BU18" s="55"/>
      <c r="BV18" s="55"/>
      <c r="BW18" s="55"/>
    </row>
    <row r="19">
      <c r="A19" s="285">
        <v>17.0</v>
      </c>
      <c r="B19" s="274"/>
      <c r="C19" s="275"/>
      <c r="D19" s="276"/>
      <c r="E19" s="286">
        <v>0.0</v>
      </c>
      <c r="F19" s="278" t="str">
        <f t="shared" si="1"/>
        <v/>
      </c>
      <c r="G19" s="301" t="str">
        <f t="shared" si="2"/>
        <v/>
      </c>
      <c r="H19" s="280" t="str">
        <f t="shared" si="3"/>
        <v/>
      </c>
      <c r="I19" s="55"/>
      <c r="J19" s="55"/>
      <c r="K19" s="55"/>
      <c r="L19" s="55"/>
      <c r="M19" s="55"/>
      <c r="N19" s="55"/>
      <c r="O19" s="55"/>
      <c r="P19" s="55"/>
      <c r="Q19" s="55"/>
      <c r="R19" s="5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c r="BQ19" s="55"/>
      <c r="BR19" s="55"/>
      <c r="BS19" s="55"/>
      <c r="BT19" s="55"/>
      <c r="BU19" s="55"/>
      <c r="BV19" s="55"/>
      <c r="BW19" s="55"/>
    </row>
    <row r="20">
      <c r="A20" s="285">
        <v>18.0</v>
      </c>
      <c r="B20" s="274"/>
      <c r="C20" s="275"/>
      <c r="D20" s="276"/>
      <c r="E20" s="286">
        <v>0.0</v>
      </c>
      <c r="F20" s="278" t="str">
        <f t="shared" si="1"/>
        <v/>
      </c>
      <c r="G20" s="301" t="str">
        <f t="shared" si="2"/>
        <v/>
      </c>
      <c r="H20" s="280" t="str">
        <f t="shared" si="3"/>
        <v/>
      </c>
      <c r="I20" s="55"/>
      <c r="J20" s="55"/>
      <c r="K20" s="55"/>
      <c r="L20" s="55"/>
      <c r="M20" s="55"/>
      <c r="N20" s="55"/>
      <c r="O20" s="55"/>
      <c r="P20" s="55"/>
      <c r="Q20" s="55"/>
      <c r="R20" s="55"/>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c r="BQ20" s="55"/>
      <c r="BR20" s="55"/>
      <c r="BS20" s="55"/>
      <c r="BT20" s="55"/>
      <c r="BU20" s="55"/>
      <c r="BV20" s="55"/>
      <c r="BW20" s="55"/>
    </row>
    <row r="21">
      <c r="A21" s="285">
        <v>19.0</v>
      </c>
      <c r="B21" s="274"/>
      <c r="C21" s="275"/>
      <c r="D21" s="276"/>
      <c r="E21" s="286">
        <v>0.0</v>
      </c>
      <c r="F21" s="278" t="str">
        <f t="shared" si="1"/>
        <v/>
      </c>
      <c r="G21" s="301" t="str">
        <f t="shared" si="2"/>
        <v/>
      </c>
      <c r="H21" s="280" t="str">
        <f t="shared" si="3"/>
        <v/>
      </c>
      <c r="I21" s="55"/>
      <c r="J21" s="55"/>
      <c r="K21" s="55"/>
      <c r="L21" s="55"/>
      <c r="M21" s="55"/>
      <c r="N21" s="55"/>
      <c r="O21" s="55"/>
      <c r="P21" s="55"/>
      <c r="Q21" s="55"/>
      <c r="R21" s="5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55"/>
      <c r="BN21" s="55"/>
      <c r="BO21" s="55"/>
      <c r="BP21" s="55"/>
      <c r="BQ21" s="55"/>
      <c r="BR21" s="55"/>
      <c r="BS21" s="55"/>
      <c r="BT21" s="55"/>
      <c r="BU21" s="55"/>
      <c r="BV21" s="55"/>
      <c r="BW21" s="55"/>
    </row>
    <row r="22">
      <c r="A22" s="304">
        <v>20.0</v>
      </c>
      <c r="B22" s="305"/>
      <c r="C22" s="306"/>
      <c r="D22" s="307"/>
      <c r="E22" s="308">
        <v>0.0</v>
      </c>
      <c r="F22" s="309" t="str">
        <f t="shared" si="1"/>
        <v/>
      </c>
      <c r="G22" s="310" t="str">
        <f t="shared" si="2"/>
        <v/>
      </c>
      <c r="H22" s="311" t="str">
        <f t="shared" si="3"/>
        <v/>
      </c>
      <c r="I22" s="55"/>
      <c r="J22" s="55"/>
      <c r="K22" s="55"/>
      <c r="L22" s="55"/>
      <c r="M22" s="55"/>
      <c r="N22" s="55"/>
      <c r="O22" s="55"/>
      <c r="P22" s="55"/>
      <c r="Q22" s="55"/>
      <c r="R22" s="55"/>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55"/>
      <c r="BN22" s="55"/>
      <c r="BO22" s="55"/>
      <c r="BP22" s="55"/>
      <c r="BQ22" s="55"/>
      <c r="BR22" s="55"/>
      <c r="BS22" s="55"/>
      <c r="BT22" s="55"/>
      <c r="BU22" s="55"/>
      <c r="BV22" s="55"/>
      <c r="BW22" s="55"/>
    </row>
    <row r="23">
      <c r="A23" s="55"/>
      <c r="B23" s="312"/>
      <c r="C23" s="55"/>
      <c r="D23" s="313" t="s">
        <v>1031</v>
      </c>
      <c r="E23" s="314">
        <f>SUM(E3:E22)</f>
        <v>0</v>
      </c>
      <c r="F23" s="55"/>
      <c r="G23" s="55"/>
      <c r="H23" s="55"/>
      <c r="I23" s="55"/>
      <c r="J23" s="55"/>
      <c r="K23" s="55"/>
      <c r="L23" s="55"/>
      <c r="M23" s="55"/>
      <c r="N23" s="55"/>
      <c r="O23" s="55"/>
      <c r="P23" s="55"/>
      <c r="Q23" s="55"/>
      <c r="R23" s="55"/>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c r="BM23" s="55"/>
      <c r="BN23" s="55"/>
      <c r="BO23" s="55"/>
      <c r="BP23" s="55"/>
      <c r="BQ23" s="55"/>
      <c r="BR23" s="55"/>
      <c r="BS23" s="55"/>
      <c r="BT23" s="55"/>
      <c r="BU23" s="55"/>
      <c r="BV23" s="55"/>
      <c r="BW23" s="55"/>
    </row>
  </sheetData>
  <mergeCells count="11">
    <mergeCell ref="N8:O8"/>
    <mergeCell ref="N9:O14"/>
    <mergeCell ref="K15:K16"/>
    <mergeCell ref="L15:O16"/>
    <mergeCell ref="B1:H1"/>
    <mergeCell ref="K1:O2"/>
    <mergeCell ref="N3:O3"/>
    <mergeCell ref="N4:O4"/>
    <mergeCell ref="N5:O5"/>
    <mergeCell ref="N6:O6"/>
    <mergeCell ref="N7:O7"/>
  </mergeCells>
  <conditionalFormatting sqref="E23">
    <cfRule type="cellIs" dxfId="25" priority="1" operator="greaterThan">
      <formula>20</formula>
    </cfRule>
  </conditionalFormatting>
  <dataValidations>
    <dataValidation type="list" allowBlank="1" sqref="D16">
      <formula1>BC:BC</formula1>
    </dataValidation>
    <dataValidation type="list" allowBlank="1" sqref="D20">
      <formula1>BO:BO</formula1>
    </dataValidation>
    <dataValidation type="list" allowBlank="1" sqref="C3:C22">
      <formula1>Packs</formula1>
    </dataValidation>
    <dataValidation type="list" allowBlank="1" sqref="D9">
      <formula1>AH:AH</formula1>
    </dataValidation>
    <dataValidation type="list" allowBlank="1" sqref="D17">
      <formula1>BF:BF</formula1>
    </dataValidation>
    <dataValidation type="list" allowBlank="1" sqref="D19">
      <formula1>BL:BL</formula1>
    </dataValidation>
    <dataValidation type="list" allowBlank="1" sqref="D14">
      <formula1>AW:AW</formula1>
    </dataValidation>
    <dataValidation type="list" allowBlank="1" sqref="D21">
      <formula1>BR:BR</formula1>
    </dataValidation>
    <dataValidation type="list" allowBlank="1" sqref="D11">
      <formula1>AN:AN</formula1>
    </dataValidation>
    <dataValidation type="list" allowBlank="1" sqref="D15">
      <formula1>AZ:AZ</formula1>
    </dataValidation>
    <dataValidation type="list" allowBlank="1" sqref="D18">
      <formula1>BI:BI</formula1>
    </dataValidation>
    <dataValidation type="list" allowBlank="1" sqref="D4">
      <formula1>S:S</formula1>
    </dataValidation>
    <dataValidation type="list" allowBlank="1" sqref="D8">
      <formula1>AE:AE</formula1>
    </dataValidation>
    <dataValidation type="list" allowBlank="1" sqref="D22">
      <formula1>BU:BU</formula1>
    </dataValidation>
    <dataValidation type="list" allowBlank="1" sqref="D12">
      <formula1>AQ:AQ</formula1>
    </dataValidation>
    <dataValidation type="list" allowBlank="1" sqref="D5">
      <formula1>V:V</formula1>
    </dataValidation>
    <dataValidation type="list" allowBlank="1" sqref="D3">
      <formula1>P:P</formula1>
    </dataValidation>
    <dataValidation type="list" allowBlank="1" sqref="D10">
      <formula1>AK:AK</formula1>
    </dataValidation>
    <dataValidation type="list" allowBlank="1" sqref="D7">
      <formula1>AB:AB</formula1>
    </dataValidation>
    <dataValidation type="list" allowBlank="1" sqref="D6">
      <formula1>Y:Y</formula1>
    </dataValidation>
    <dataValidation type="list" allowBlank="1" sqref="D13">
      <formula1>AT:AT</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2" max="2" width="13.63"/>
    <col customWidth="1" min="3" max="3" width="15.63"/>
    <col customWidth="1" min="4" max="4" width="25.0"/>
  </cols>
  <sheetData>
    <row r="1">
      <c r="A1" s="315" t="s">
        <v>1032</v>
      </c>
      <c r="B1" s="316" t="s">
        <v>1033</v>
      </c>
      <c r="C1" s="317" t="s">
        <v>1034</v>
      </c>
      <c r="D1" s="317" t="s">
        <v>1035</v>
      </c>
      <c r="E1" s="317" t="s">
        <v>1036</v>
      </c>
      <c r="F1" s="317" t="s">
        <v>57</v>
      </c>
    </row>
    <row r="2">
      <c r="A2" s="318" t="s">
        <v>1037</v>
      </c>
      <c r="B2" s="319"/>
      <c r="C2" s="320"/>
      <c r="D2" s="321" t="s">
        <v>1038</v>
      </c>
      <c r="E2" s="320"/>
      <c r="F2" s="320"/>
    </row>
    <row r="3">
      <c r="A3" s="322" t="s">
        <v>1039</v>
      </c>
      <c r="B3" s="319"/>
      <c r="C3" s="320"/>
      <c r="D3" s="321" t="s">
        <v>1040</v>
      </c>
      <c r="E3" s="320"/>
      <c r="F3" s="320"/>
    </row>
    <row r="4">
      <c r="A4" s="318" t="s">
        <v>1041</v>
      </c>
      <c r="B4" s="319"/>
      <c r="C4" s="320"/>
      <c r="D4" s="321" t="s">
        <v>1042</v>
      </c>
      <c r="E4" s="320"/>
      <c r="F4" s="320"/>
    </row>
    <row r="5">
      <c r="A5" s="318" t="s">
        <v>1043</v>
      </c>
      <c r="B5" s="319"/>
      <c r="C5" s="320"/>
      <c r="D5" s="321" t="s">
        <v>1044</v>
      </c>
      <c r="E5" s="320"/>
      <c r="F5" s="320"/>
    </row>
    <row r="6">
      <c r="A6" s="318" t="s">
        <v>1045</v>
      </c>
      <c r="B6" s="319"/>
      <c r="C6" s="320"/>
      <c r="D6" s="321" t="s">
        <v>1030</v>
      </c>
      <c r="E6" s="320"/>
      <c r="F6" s="320"/>
    </row>
    <row r="7">
      <c r="A7" s="318" t="s">
        <v>1046</v>
      </c>
      <c r="B7" s="319"/>
      <c r="C7" s="320"/>
      <c r="D7" s="321" t="s">
        <v>1047</v>
      </c>
      <c r="E7" s="320"/>
      <c r="F7" s="320"/>
    </row>
    <row r="8">
      <c r="A8" s="318" t="s">
        <v>1048</v>
      </c>
      <c r="B8" s="319"/>
      <c r="C8" s="320"/>
      <c r="D8" s="321" t="s">
        <v>1049</v>
      </c>
      <c r="E8" s="320"/>
      <c r="F8" s="320"/>
    </row>
    <row r="9">
      <c r="A9" s="318" t="s">
        <v>1050</v>
      </c>
      <c r="B9" s="319"/>
      <c r="C9" s="320"/>
      <c r="D9" s="321" t="s">
        <v>1051</v>
      </c>
      <c r="E9" s="320"/>
      <c r="F9" s="320"/>
    </row>
    <row r="10">
      <c r="A10" s="318" t="s">
        <v>67</v>
      </c>
      <c r="B10" s="319" t="s">
        <v>245</v>
      </c>
      <c r="C10" s="320"/>
      <c r="D10" s="323" t="s">
        <v>1052</v>
      </c>
      <c r="E10" s="320"/>
      <c r="F10" s="323" t="s">
        <v>71</v>
      </c>
    </row>
    <row r="11">
      <c r="A11" s="322" t="s">
        <v>70</v>
      </c>
      <c r="B11" s="319" t="s">
        <v>245</v>
      </c>
      <c r="C11" s="320"/>
      <c r="D11" s="323" t="s">
        <v>1053</v>
      </c>
      <c r="E11" s="320"/>
      <c r="F11" s="323" t="s">
        <v>73</v>
      </c>
    </row>
    <row r="12">
      <c r="A12" s="318" t="s">
        <v>72</v>
      </c>
      <c r="B12" s="319" t="s">
        <v>245</v>
      </c>
      <c r="C12" s="320"/>
      <c r="D12" s="323" t="s">
        <v>1054</v>
      </c>
      <c r="E12" s="320"/>
      <c r="F12" s="323" t="s">
        <v>75</v>
      </c>
    </row>
    <row r="13">
      <c r="A13" s="322" t="s">
        <v>74</v>
      </c>
      <c r="B13" s="319" t="s">
        <v>245</v>
      </c>
      <c r="C13" s="320"/>
      <c r="D13" s="321" t="s">
        <v>1054</v>
      </c>
      <c r="E13" s="321" t="s">
        <v>1055</v>
      </c>
      <c r="F13" s="323" t="s">
        <v>77</v>
      </c>
    </row>
    <row r="14">
      <c r="A14" s="318" t="s">
        <v>76</v>
      </c>
      <c r="B14" s="319" t="s">
        <v>206</v>
      </c>
      <c r="C14" s="320"/>
      <c r="D14" s="323" t="s">
        <v>1056</v>
      </c>
      <c r="E14" s="320"/>
      <c r="F14" s="323" t="s">
        <v>71</v>
      </c>
    </row>
    <row r="15">
      <c r="A15" s="322" t="s">
        <v>78</v>
      </c>
      <c r="B15" s="319" t="s">
        <v>206</v>
      </c>
      <c r="C15" s="320"/>
      <c r="D15" s="323" t="s">
        <v>1057</v>
      </c>
      <c r="E15" s="320"/>
      <c r="F15" s="323" t="s">
        <v>71</v>
      </c>
    </row>
    <row r="16">
      <c r="A16" s="318" t="s">
        <v>80</v>
      </c>
      <c r="B16" s="319" t="s">
        <v>206</v>
      </c>
      <c r="C16" s="320"/>
      <c r="D16" s="323" t="s">
        <v>1058</v>
      </c>
      <c r="E16" s="320"/>
      <c r="F16" s="323" t="s">
        <v>75</v>
      </c>
    </row>
    <row r="17">
      <c r="A17" s="322" t="s">
        <v>82</v>
      </c>
      <c r="B17" s="319" t="s">
        <v>245</v>
      </c>
      <c r="C17" s="320"/>
      <c r="D17" s="323" t="s">
        <v>1059</v>
      </c>
      <c r="E17" s="320"/>
      <c r="F17" s="323" t="s">
        <v>71</v>
      </c>
    </row>
    <row r="18">
      <c r="A18" s="318" t="s">
        <v>84</v>
      </c>
      <c r="B18" s="319" t="s">
        <v>245</v>
      </c>
      <c r="C18" s="320"/>
      <c r="D18" s="323" t="s">
        <v>1060</v>
      </c>
      <c r="E18" s="320"/>
      <c r="F18" s="323" t="s">
        <v>71</v>
      </c>
    </row>
    <row r="19">
      <c r="A19" s="322" t="s">
        <v>86</v>
      </c>
      <c r="B19" s="319" t="s">
        <v>245</v>
      </c>
      <c r="C19" s="320"/>
      <c r="D19" s="323" t="s">
        <v>1061</v>
      </c>
      <c r="E19" s="320"/>
      <c r="F19" s="323" t="s">
        <v>75</v>
      </c>
    </row>
    <row r="20">
      <c r="A20" s="318" t="s">
        <v>89</v>
      </c>
      <c r="B20" s="319" t="s">
        <v>126</v>
      </c>
      <c r="C20" s="320"/>
      <c r="D20" s="323" t="s">
        <v>1062</v>
      </c>
      <c r="E20" s="320"/>
      <c r="F20" s="323" t="s">
        <v>71</v>
      </c>
    </row>
    <row r="21">
      <c r="A21" s="322" t="s">
        <v>90</v>
      </c>
      <c r="B21" s="319" t="s">
        <v>126</v>
      </c>
      <c r="C21" s="320"/>
      <c r="D21" s="323" t="s">
        <v>1063</v>
      </c>
      <c r="E21" s="320"/>
      <c r="F21" s="323" t="s">
        <v>73</v>
      </c>
    </row>
    <row r="22">
      <c r="A22" s="318" t="s">
        <v>95</v>
      </c>
      <c r="B22" s="319" t="s">
        <v>126</v>
      </c>
      <c r="C22" s="320"/>
      <c r="D22" s="323" t="s">
        <v>1064</v>
      </c>
      <c r="E22" s="320"/>
      <c r="F22" s="323" t="s">
        <v>75</v>
      </c>
    </row>
    <row r="23">
      <c r="A23" s="322" t="s">
        <v>97</v>
      </c>
      <c r="B23" s="319" t="s">
        <v>206</v>
      </c>
      <c r="C23" s="320"/>
      <c r="D23" s="323" t="s">
        <v>1065</v>
      </c>
      <c r="E23" s="320"/>
      <c r="F23" s="323" t="s">
        <v>71</v>
      </c>
    </row>
    <row r="24">
      <c r="A24" s="318" t="s">
        <v>98</v>
      </c>
      <c r="B24" s="319" t="s">
        <v>206</v>
      </c>
      <c r="C24" s="320"/>
      <c r="D24" s="323" t="s">
        <v>1066</v>
      </c>
      <c r="E24" s="320"/>
      <c r="F24" s="323" t="s">
        <v>73</v>
      </c>
    </row>
    <row r="25">
      <c r="A25" s="322" t="s">
        <v>99</v>
      </c>
      <c r="B25" s="319" t="s">
        <v>245</v>
      </c>
      <c r="C25" s="320"/>
      <c r="D25" s="323" t="s">
        <v>1067</v>
      </c>
      <c r="E25" s="320"/>
      <c r="F25" s="323" t="s">
        <v>71</v>
      </c>
    </row>
    <row r="26">
      <c r="A26" s="318" t="s">
        <v>100</v>
      </c>
      <c r="B26" s="319" t="s">
        <v>245</v>
      </c>
      <c r="C26" s="320"/>
      <c r="D26" s="323" t="s">
        <v>1068</v>
      </c>
      <c r="E26" s="320"/>
      <c r="F26" s="323" t="s">
        <v>73</v>
      </c>
    </row>
    <row r="27">
      <c r="A27" s="322" t="s">
        <v>102</v>
      </c>
      <c r="B27" s="319" t="s">
        <v>126</v>
      </c>
      <c r="C27" s="320"/>
      <c r="D27" s="323" t="s">
        <v>1069</v>
      </c>
      <c r="E27" s="320"/>
      <c r="F27" s="323" t="s">
        <v>71</v>
      </c>
    </row>
    <row r="28">
      <c r="A28" s="318" t="s">
        <v>103</v>
      </c>
      <c r="B28" s="319" t="s">
        <v>126</v>
      </c>
      <c r="C28" s="320"/>
      <c r="D28" s="323" t="s">
        <v>1070</v>
      </c>
      <c r="E28" s="320"/>
      <c r="F28" s="323" t="s">
        <v>73</v>
      </c>
    </row>
    <row r="29">
      <c r="A29" s="322" t="s">
        <v>106</v>
      </c>
      <c r="B29" s="319" t="s">
        <v>126</v>
      </c>
      <c r="C29" s="320"/>
      <c r="D29" s="323" t="s">
        <v>1071</v>
      </c>
      <c r="E29" s="320"/>
      <c r="F29" s="323" t="s">
        <v>75</v>
      </c>
    </row>
    <row r="30">
      <c r="A30" s="318" t="s">
        <v>107</v>
      </c>
      <c r="B30" s="319" t="s">
        <v>126</v>
      </c>
      <c r="C30" s="320"/>
      <c r="D30" s="323" t="s">
        <v>1072</v>
      </c>
      <c r="E30" s="320"/>
      <c r="F30" s="323" t="s">
        <v>71</v>
      </c>
    </row>
    <row r="31">
      <c r="A31" s="322" t="s">
        <v>108</v>
      </c>
      <c r="B31" s="319" t="s">
        <v>126</v>
      </c>
      <c r="C31" s="320"/>
      <c r="D31" s="323" t="s">
        <v>1073</v>
      </c>
      <c r="E31" s="320"/>
      <c r="F31" s="323" t="s">
        <v>75</v>
      </c>
    </row>
    <row r="32">
      <c r="A32" s="318" t="s">
        <v>109</v>
      </c>
      <c r="B32" s="319" t="s">
        <v>126</v>
      </c>
      <c r="C32" s="320"/>
      <c r="D32" s="321" t="s">
        <v>1073</v>
      </c>
      <c r="E32" s="321" t="s">
        <v>1055</v>
      </c>
      <c r="F32" s="323" t="s">
        <v>77</v>
      </c>
    </row>
    <row r="33">
      <c r="A33" s="322" t="s">
        <v>110</v>
      </c>
      <c r="B33" s="319" t="s">
        <v>126</v>
      </c>
      <c r="C33" s="320"/>
      <c r="D33" s="323" t="s">
        <v>1074</v>
      </c>
      <c r="E33" s="320"/>
      <c r="F33" s="323" t="s">
        <v>71</v>
      </c>
    </row>
    <row r="34">
      <c r="A34" s="318" t="s">
        <v>111</v>
      </c>
      <c r="B34" s="319" t="s">
        <v>245</v>
      </c>
      <c r="C34" s="320"/>
      <c r="D34" s="323" t="s">
        <v>1075</v>
      </c>
      <c r="E34" s="320"/>
      <c r="F34" s="323" t="s">
        <v>71</v>
      </c>
    </row>
    <row r="35">
      <c r="A35" s="322" t="s">
        <v>114</v>
      </c>
      <c r="B35" s="319" t="s">
        <v>1039</v>
      </c>
      <c r="C35" s="320"/>
      <c r="D35" s="323" t="s">
        <v>1076</v>
      </c>
      <c r="E35" s="320"/>
      <c r="F35" s="323" t="s">
        <v>73</v>
      </c>
    </row>
    <row r="36">
      <c r="A36" s="318" t="s">
        <v>117</v>
      </c>
      <c r="B36" s="319" t="s">
        <v>1039</v>
      </c>
      <c r="C36" s="320"/>
      <c r="D36" s="323" t="s">
        <v>1077</v>
      </c>
      <c r="E36" s="320"/>
      <c r="F36" s="323" t="s">
        <v>71</v>
      </c>
    </row>
    <row r="37">
      <c r="A37" s="322" t="s">
        <v>119</v>
      </c>
      <c r="B37" s="319" t="s">
        <v>1039</v>
      </c>
      <c r="C37" s="320"/>
      <c r="D37" s="323" t="s">
        <v>1078</v>
      </c>
      <c r="E37" s="320"/>
      <c r="F37" s="323" t="s">
        <v>73</v>
      </c>
    </row>
    <row r="38">
      <c r="A38" s="318" t="s">
        <v>120</v>
      </c>
      <c r="B38" s="319" t="s">
        <v>1039</v>
      </c>
      <c r="C38" s="320"/>
      <c r="D38" s="323" t="s">
        <v>1079</v>
      </c>
      <c r="E38" s="320"/>
      <c r="F38" s="323" t="s">
        <v>71</v>
      </c>
    </row>
    <row r="39">
      <c r="A39" s="322" t="s">
        <v>121</v>
      </c>
      <c r="B39" s="319" t="s">
        <v>1039</v>
      </c>
      <c r="C39" s="320"/>
      <c r="D39" s="323" t="s">
        <v>1080</v>
      </c>
      <c r="E39" s="320"/>
      <c r="F39" s="323" t="s">
        <v>73</v>
      </c>
    </row>
    <row r="40">
      <c r="A40" s="318" t="s">
        <v>122</v>
      </c>
      <c r="B40" s="319" t="s">
        <v>126</v>
      </c>
      <c r="C40" s="320"/>
      <c r="D40" s="323" t="s">
        <v>1081</v>
      </c>
      <c r="E40" s="320"/>
      <c r="F40" s="323" t="s">
        <v>71</v>
      </c>
    </row>
    <row r="41">
      <c r="A41" s="322" t="s">
        <v>123</v>
      </c>
      <c r="B41" s="319" t="s">
        <v>126</v>
      </c>
      <c r="C41" s="320"/>
      <c r="D41" s="323" t="s">
        <v>1082</v>
      </c>
      <c r="E41" s="320"/>
      <c r="F41" s="323" t="s">
        <v>71</v>
      </c>
    </row>
    <row r="42">
      <c r="A42" s="318" t="s">
        <v>124</v>
      </c>
      <c r="B42" s="319" t="s">
        <v>126</v>
      </c>
      <c r="C42" s="320"/>
      <c r="D42" s="323" t="s">
        <v>1083</v>
      </c>
      <c r="E42" s="320"/>
      <c r="F42" s="323" t="s">
        <v>71</v>
      </c>
    </row>
    <row r="43">
      <c r="A43" s="322" t="s">
        <v>125</v>
      </c>
      <c r="B43" s="319" t="s">
        <v>126</v>
      </c>
      <c r="C43" s="320"/>
      <c r="D43" s="323" t="s">
        <v>1084</v>
      </c>
      <c r="E43" s="320"/>
      <c r="F43" s="323" t="s">
        <v>73</v>
      </c>
    </row>
    <row r="44">
      <c r="A44" s="318" t="s">
        <v>126</v>
      </c>
      <c r="B44" s="319" t="s">
        <v>126</v>
      </c>
      <c r="C44" s="320"/>
      <c r="D44" s="323" t="s">
        <v>25</v>
      </c>
      <c r="E44" s="320"/>
      <c r="F44" s="323" t="s">
        <v>75</v>
      </c>
    </row>
    <row r="45">
      <c r="A45" s="322" t="s">
        <v>129</v>
      </c>
      <c r="B45" s="319" t="s">
        <v>126</v>
      </c>
      <c r="C45" s="320"/>
      <c r="D45" s="321" t="s">
        <v>25</v>
      </c>
      <c r="E45" s="321" t="s">
        <v>1055</v>
      </c>
      <c r="F45" s="323" t="s">
        <v>77</v>
      </c>
    </row>
    <row r="46">
      <c r="A46" s="318" t="s">
        <v>130</v>
      </c>
      <c r="B46" s="319" t="s">
        <v>126</v>
      </c>
      <c r="C46" s="320"/>
      <c r="D46" s="323" t="s">
        <v>1085</v>
      </c>
      <c r="E46" s="320"/>
      <c r="F46" s="323" t="s">
        <v>71</v>
      </c>
    </row>
    <row r="47">
      <c r="A47" s="322" t="s">
        <v>131</v>
      </c>
      <c r="B47" s="319" t="s">
        <v>126</v>
      </c>
      <c r="C47" s="320"/>
      <c r="D47" s="323" t="s">
        <v>1086</v>
      </c>
      <c r="E47" s="320"/>
      <c r="F47" s="323" t="s">
        <v>73</v>
      </c>
    </row>
    <row r="48">
      <c r="A48" s="318" t="s">
        <v>132</v>
      </c>
      <c r="B48" s="319" t="s">
        <v>206</v>
      </c>
      <c r="C48" s="320"/>
      <c r="D48" s="323" t="s">
        <v>1087</v>
      </c>
      <c r="E48" s="320"/>
      <c r="F48" s="323" t="s">
        <v>71</v>
      </c>
    </row>
    <row r="49">
      <c r="A49" s="322" t="s">
        <v>133</v>
      </c>
      <c r="B49" s="319" t="s">
        <v>206</v>
      </c>
      <c r="C49" s="320"/>
      <c r="D49" s="323" t="s">
        <v>1088</v>
      </c>
      <c r="E49" s="320"/>
      <c r="F49" s="323" t="s">
        <v>75</v>
      </c>
    </row>
    <row r="50">
      <c r="A50" s="318" t="s">
        <v>135</v>
      </c>
      <c r="B50" s="319" t="s">
        <v>206</v>
      </c>
      <c r="C50" s="320"/>
      <c r="D50" s="321" t="s">
        <v>1088</v>
      </c>
      <c r="E50" s="321" t="s">
        <v>1055</v>
      </c>
      <c r="F50" s="323" t="s">
        <v>77</v>
      </c>
    </row>
    <row r="51">
      <c r="A51" s="322" t="s">
        <v>136</v>
      </c>
      <c r="B51" s="319" t="s">
        <v>1039</v>
      </c>
      <c r="C51" s="320"/>
      <c r="D51" s="323" t="s">
        <v>1089</v>
      </c>
      <c r="E51" s="320"/>
      <c r="F51" s="323" t="s">
        <v>71</v>
      </c>
    </row>
    <row r="52">
      <c r="A52" s="318" t="s">
        <v>139</v>
      </c>
      <c r="B52" s="319" t="s">
        <v>1039</v>
      </c>
      <c r="C52" s="320"/>
      <c r="D52" s="323" t="s">
        <v>1090</v>
      </c>
      <c r="E52" s="321"/>
      <c r="F52" s="323" t="s">
        <v>73</v>
      </c>
    </row>
    <row r="53">
      <c r="A53" s="322" t="s">
        <v>141</v>
      </c>
      <c r="B53" s="319" t="s">
        <v>126</v>
      </c>
      <c r="C53" s="320"/>
      <c r="D53" s="323" t="s">
        <v>1091</v>
      </c>
      <c r="E53" s="320"/>
      <c r="F53" s="323" t="s">
        <v>71</v>
      </c>
    </row>
    <row r="54">
      <c r="A54" s="318" t="s">
        <v>142</v>
      </c>
      <c r="B54" s="319" t="s">
        <v>126</v>
      </c>
      <c r="C54" s="320"/>
      <c r="D54" s="323" t="s">
        <v>1092</v>
      </c>
      <c r="E54" s="320"/>
      <c r="F54" s="323" t="s">
        <v>75</v>
      </c>
    </row>
    <row r="55">
      <c r="A55" s="322" t="s">
        <v>143</v>
      </c>
      <c r="B55" s="319" t="s">
        <v>126</v>
      </c>
      <c r="C55" s="320"/>
      <c r="D55" s="323" t="s">
        <v>1093</v>
      </c>
      <c r="E55" s="320"/>
      <c r="F55" s="323" t="s">
        <v>75</v>
      </c>
    </row>
    <row r="56">
      <c r="A56" s="318" t="s">
        <v>146</v>
      </c>
      <c r="B56" s="319" t="s">
        <v>126</v>
      </c>
      <c r="C56" s="320"/>
      <c r="D56" s="321" t="s">
        <v>1093</v>
      </c>
      <c r="E56" s="321" t="s">
        <v>1055</v>
      </c>
      <c r="F56" s="323" t="s">
        <v>77</v>
      </c>
    </row>
    <row r="57">
      <c r="A57" s="322" t="s">
        <v>147</v>
      </c>
      <c r="B57" s="319" t="s">
        <v>1039</v>
      </c>
      <c r="C57" s="320"/>
      <c r="D57" s="323" t="s">
        <v>1094</v>
      </c>
      <c r="E57" s="320"/>
      <c r="F57" s="323" t="s">
        <v>71</v>
      </c>
    </row>
    <row r="58">
      <c r="A58" s="318" t="s">
        <v>149</v>
      </c>
      <c r="B58" s="319" t="s">
        <v>245</v>
      </c>
      <c r="C58" s="320"/>
      <c r="D58" s="323" t="s">
        <v>1095</v>
      </c>
      <c r="E58" s="320"/>
      <c r="F58" s="323" t="s">
        <v>71</v>
      </c>
    </row>
    <row r="59">
      <c r="A59" s="322" t="s">
        <v>150</v>
      </c>
      <c r="B59" s="319" t="s">
        <v>245</v>
      </c>
      <c r="C59" s="320"/>
      <c r="D59" s="323" t="s">
        <v>1096</v>
      </c>
      <c r="E59" s="320"/>
      <c r="F59" s="323" t="s">
        <v>71</v>
      </c>
    </row>
    <row r="60">
      <c r="A60" s="318" t="s">
        <v>151</v>
      </c>
      <c r="B60" s="319" t="s">
        <v>1039</v>
      </c>
      <c r="C60" s="320"/>
      <c r="D60" s="323" t="s">
        <v>1097</v>
      </c>
      <c r="E60" s="320"/>
      <c r="F60" s="323" t="s">
        <v>71</v>
      </c>
    </row>
    <row r="61">
      <c r="A61" s="322" t="s">
        <v>152</v>
      </c>
      <c r="B61" s="319" t="s">
        <v>1039</v>
      </c>
      <c r="C61" s="320"/>
      <c r="D61" s="323" t="s">
        <v>1098</v>
      </c>
      <c r="E61" s="320"/>
      <c r="F61" s="323" t="s">
        <v>73</v>
      </c>
    </row>
    <row r="62">
      <c r="A62" s="318" t="s">
        <v>153</v>
      </c>
      <c r="B62" s="319" t="s">
        <v>206</v>
      </c>
      <c r="C62" s="320"/>
      <c r="D62" s="323" t="s">
        <v>1099</v>
      </c>
      <c r="E62" s="320"/>
      <c r="F62" s="323" t="s">
        <v>71</v>
      </c>
    </row>
    <row r="63">
      <c r="A63" s="322" t="s">
        <v>154</v>
      </c>
      <c r="B63" s="319" t="s">
        <v>206</v>
      </c>
      <c r="C63" s="320"/>
      <c r="D63" s="323" t="s">
        <v>1100</v>
      </c>
      <c r="E63" s="320"/>
      <c r="F63" s="323" t="s">
        <v>73</v>
      </c>
    </row>
    <row r="64">
      <c r="A64" s="318" t="s">
        <v>155</v>
      </c>
      <c r="B64" s="319" t="s">
        <v>206</v>
      </c>
      <c r="C64" s="320"/>
      <c r="D64" s="323" t="s">
        <v>1101</v>
      </c>
      <c r="E64" s="320"/>
      <c r="F64" s="323" t="s">
        <v>75</v>
      </c>
    </row>
    <row r="65">
      <c r="A65" s="322" t="s">
        <v>156</v>
      </c>
      <c r="B65" s="319" t="s">
        <v>206</v>
      </c>
      <c r="C65" s="320"/>
      <c r="D65" s="321" t="s">
        <v>1101</v>
      </c>
      <c r="E65" s="321" t="s">
        <v>1055</v>
      </c>
      <c r="F65" s="323" t="s">
        <v>77</v>
      </c>
    </row>
    <row r="66">
      <c r="A66" s="318" t="s">
        <v>159</v>
      </c>
      <c r="B66" s="319" t="s">
        <v>1039</v>
      </c>
      <c r="C66" s="320"/>
      <c r="D66" s="323" t="s">
        <v>1102</v>
      </c>
      <c r="E66" s="320"/>
      <c r="F66" s="323" t="s">
        <v>71</v>
      </c>
    </row>
    <row r="67">
      <c r="A67" s="322" t="s">
        <v>160</v>
      </c>
      <c r="B67" s="319" t="s">
        <v>1039</v>
      </c>
      <c r="C67" s="320"/>
      <c r="D67" s="323" t="s">
        <v>1103</v>
      </c>
      <c r="E67" s="320"/>
      <c r="F67" s="323" t="s">
        <v>73</v>
      </c>
    </row>
    <row r="68">
      <c r="A68" s="318" t="s">
        <v>161</v>
      </c>
      <c r="B68" s="319" t="s">
        <v>126</v>
      </c>
      <c r="C68" s="320"/>
      <c r="D68" s="323" t="s">
        <v>1104</v>
      </c>
      <c r="E68" s="320"/>
      <c r="F68" s="323" t="s">
        <v>71</v>
      </c>
    </row>
    <row r="69">
      <c r="A69" s="322" t="s">
        <v>162</v>
      </c>
      <c r="B69" s="319" t="s">
        <v>126</v>
      </c>
      <c r="C69" s="320"/>
      <c r="D69" s="323" t="s">
        <v>1105</v>
      </c>
      <c r="E69" s="320"/>
      <c r="F69" s="323" t="s">
        <v>73</v>
      </c>
    </row>
    <row r="70">
      <c r="A70" s="318" t="s">
        <v>163</v>
      </c>
      <c r="B70" s="319" t="s">
        <v>126</v>
      </c>
      <c r="C70" s="320"/>
      <c r="D70" s="323" t="s">
        <v>1106</v>
      </c>
      <c r="E70" s="320"/>
      <c r="F70" s="323" t="s">
        <v>75</v>
      </c>
    </row>
    <row r="71">
      <c r="A71" s="322" t="s">
        <v>164</v>
      </c>
      <c r="B71" s="319" t="s">
        <v>245</v>
      </c>
      <c r="C71" s="320"/>
      <c r="D71" s="323" t="s">
        <v>1107</v>
      </c>
      <c r="E71" s="320"/>
      <c r="F71" s="323" t="s">
        <v>71</v>
      </c>
    </row>
    <row r="72">
      <c r="A72" s="318" t="s">
        <v>165</v>
      </c>
      <c r="B72" s="319" t="s">
        <v>245</v>
      </c>
      <c r="C72" s="320"/>
      <c r="D72" s="323" t="s">
        <v>1108</v>
      </c>
      <c r="E72" s="320"/>
      <c r="F72" s="323" t="s">
        <v>73</v>
      </c>
    </row>
    <row r="73">
      <c r="A73" s="322" t="s">
        <v>168</v>
      </c>
      <c r="B73" s="319" t="s">
        <v>206</v>
      </c>
      <c r="C73" s="320"/>
      <c r="D73" s="323" t="s">
        <v>1109</v>
      </c>
      <c r="E73" s="320"/>
      <c r="F73" s="323" t="s">
        <v>71</v>
      </c>
    </row>
    <row r="74">
      <c r="A74" s="318" t="s">
        <v>170</v>
      </c>
      <c r="B74" s="319" t="s">
        <v>206</v>
      </c>
      <c r="C74" s="320"/>
      <c r="D74" s="323" t="s">
        <v>1110</v>
      </c>
      <c r="E74" s="320"/>
      <c r="F74" s="323" t="s">
        <v>73</v>
      </c>
    </row>
    <row r="75">
      <c r="A75" s="322" t="s">
        <v>171</v>
      </c>
      <c r="B75" s="319" t="s">
        <v>245</v>
      </c>
      <c r="C75" s="320"/>
      <c r="D75" s="323" t="s">
        <v>1111</v>
      </c>
      <c r="E75" s="320"/>
      <c r="F75" s="323" t="s">
        <v>71</v>
      </c>
    </row>
    <row r="76">
      <c r="A76" s="318" t="s">
        <v>172</v>
      </c>
      <c r="B76" s="319" t="s">
        <v>245</v>
      </c>
      <c r="C76" s="320"/>
      <c r="D76" s="323" t="s">
        <v>1112</v>
      </c>
      <c r="E76" s="320"/>
      <c r="F76" s="323" t="s">
        <v>73</v>
      </c>
    </row>
    <row r="77">
      <c r="A77" s="322" t="s">
        <v>174</v>
      </c>
      <c r="B77" s="319" t="s">
        <v>245</v>
      </c>
      <c r="C77" s="320"/>
      <c r="D77" s="323" t="s">
        <v>1113</v>
      </c>
      <c r="E77" s="320"/>
      <c r="F77" s="323" t="s">
        <v>71</v>
      </c>
    </row>
    <row r="78">
      <c r="A78" s="318" t="s">
        <v>175</v>
      </c>
      <c r="B78" s="319" t="s">
        <v>245</v>
      </c>
      <c r="C78" s="320"/>
      <c r="D78" s="323" t="s">
        <v>1114</v>
      </c>
      <c r="E78" s="320"/>
      <c r="F78" s="323" t="s">
        <v>73</v>
      </c>
    </row>
    <row r="79">
      <c r="A79" s="322" t="s">
        <v>177</v>
      </c>
      <c r="B79" s="319" t="s">
        <v>206</v>
      </c>
      <c r="C79" s="320"/>
      <c r="D79" s="323" t="s">
        <v>1115</v>
      </c>
      <c r="E79" s="320"/>
      <c r="F79" s="323" t="s">
        <v>71</v>
      </c>
    </row>
    <row r="80">
      <c r="A80" s="318" t="s">
        <v>178</v>
      </c>
      <c r="B80" s="319" t="s">
        <v>206</v>
      </c>
      <c r="C80" s="320"/>
      <c r="D80" s="323" t="s">
        <v>1116</v>
      </c>
      <c r="E80" s="320"/>
      <c r="F80" s="323" t="s">
        <v>73</v>
      </c>
    </row>
    <row r="81">
      <c r="A81" s="322" t="s">
        <v>179</v>
      </c>
      <c r="B81" s="319" t="s">
        <v>206</v>
      </c>
      <c r="C81" s="320"/>
      <c r="D81" s="323" t="s">
        <v>1117</v>
      </c>
      <c r="E81" s="320"/>
      <c r="F81" s="323" t="s">
        <v>71</v>
      </c>
    </row>
    <row r="82">
      <c r="A82" s="318" t="s">
        <v>180</v>
      </c>
      <c r="B82" s="319" t="s">
        <v>206</v>
      </c>
      <c r="C82" s="320"/>
      <c r="D82" s="323" t="s">
        <v>1118</v>
      </c>
      <c r="E82" s="320"/>
      <c r="F82" s="323" t="s">
        <v>71</v>
      </c>
    </row>
    <row r="83">
      <c r="A83" s="322" t="s">
        <v>181</v>
      </c>
      <c r="B83" s="319" t="s">
        <v>126</v>
      </c>
      <c r="C83" s="320"/>
      <c r="D83" s="323" t="s">
        <v>1119</v>
      </c>
      <c r="E83" s="320"/>
      <c r="F83" s="323" t="s">
        <v>71</v>
      </c>
    </row>
    <row r="84">
      <c r="A84" s="318" t="s">
        <v>182</v>
      </c>
      <c r="B84" s="319" t="s">
        <v>126</v>
      </c>
      <c r="C84" s="320"/>
      <c r="D84" s="323" t="s">
        <v>1120</v>
      </c>
      <c r="E84" s="320"/>
      <c r="F84" s="323" t="s">
        <v>73</v>
      </c>
    </row>
    <row r="85">
      <c r="A85" s="322" t="s">
        <v>184</v>
      </c>
      <c r="B85" s="319" t="s">
        <v>126</v>
      </c>
      <c r="C85" s="320"/>
      <c r="D85" s="321" t="s">
        <v>1120</v>
      </c>
      <c r="E85" s="321" t="s">
        <v>1055</v>
      </c>
      <c r="F85" s="323" t="s">
        <v>77</v>
      </c>
    </row>
    <row r="86">
      <c r="A86" s="318" t="s">
        <v>185</v>
      </c>
      <c r="B86" s="319" t="s">
        <v>206</v>
      </c>
      <c r="C86" s="320"/>
      <c r="D86" s="323" t="s">
        <v>1121</v>
      </c>
      <c r="E86" s="320"/>
      <c r="F86" s="323" t="s">
        <v>71</v>
      </c>
    </row>
    <row r="87">
      <c r="A87" s="322" t="s">
        <v>186</v>
      </c>
      <c r="B87" s="319" t="s">
        <v>206</v>
      </c>
      <c r="C87" s="320"/>
      <c r="D87" s="323" t="s">
        <v>1122</v>
      </c>
      <c r="E87" s="320"/>
      <c r="F87" s="323" t="s">
        <v>75</v>
      </c>
    </row>
    <row r="88">
      <c r="A88" s="318" t="s">
        <v>187</v>
      </c>
      <c r="B88" s="319" t="s">
        <v>126</v>
      </c>
      <c r="C88" s="320"/>
      <c r="D88" s="323" t="s">
        <v>1123</v>
      </c>
      <c r="E88" s="320"/>
      <c r="F88" s="323" t="s">
        <v>75</v>
      </c>
    </row>
    <row r="89">
      <c r="A89" s="322" t="s">
        <v>189</v>
      </c>
      <c r="B89" s="319" t="s">
        <v>245</v>
      </c>
      <c r="C89" s="320"/>
      <c r="D89" s="323" t="s">
        <v>1124</v>
      </c>
      <c r="E89" s="320"/>
      <c r="F89" s="323" t="s">
        <v>75</v>
      </c>
    </row>
    <row r="90">
      <c r="A90" s="318" t="s">
        <v>190</v>
      </c>
      <c r="B90" s="319" t="s">
        <v>206</v>
      </c>
      <c r="C90" s="320"/>
      <c r="D90" s="323" t="s">
        <v>1125</v>
      </c>
      <c r="E90" s="320"/>
      <c r="F90" s="323" t="s">
        <v>73</v>
      </c>
    </row>
    <row r="91">
      <c r="A91" s="322" t="s">
        <v>192</v>
      </c>
      <c r="B91" s="319" t="s">
        <v>206</v>
      </c>
      <c r="C91" s="320"/>
      <c r="D91" s="323" t="s">
        <v>1126</v>
      </c>
      <c r="E91" s="320"/>
      <c r="F91" s="323" t="s">
        <v>75</v>
      </c>
    </row>
    <row r="92">
      <c r="A92" s="318" t="s">
        <v>193</v>
      </c>
      <c r="B92" s="319" t="s">
        <v>245</v>
      </c>
      <c r="C92" s="320"/>
      <c r="D92" s="323" t="s">
        <v>1127</v>
      </c>
      <c r="E92" s="320"/>
      <c r="F92" s="323" t="s">
        <v>75</v>
      </c>
    </row>
    <row r="93">
      <c r="A93" s="322" t="s">
        <v>194</v>
      </c>
      <c r="B93" s="319" t="s">
        <v>245</v>
      </c>
      <c r="C93" s="320"/>
      <c r="D93" s="321" t="s">
        <v>1127</v>
      </c>
      <c r="E93" s="321" t="s">
        <v>1055</v>
      </c>
      <c r="F93" s="323" t="s">
        <v>77</v>
      </c>
    </row>
    <row r="94">
      <c r="A94" s="318" t="s">
        <v>195</v>
      </c>
      <c r="B94" s="319" t="s">
        <v>126</v>
      </c>
      <c r="C94" s="320"/>
      <c r="D94" s="323" t="s">
        <v>1128</v>
      </c>
      <c r="E94" s="320"/>
      <c r="F94" s="323" t="s">
        <v>71</v>
      </c>
    </row>
    <row r="95">
      <c r="A95" s="322" t="s">
        <v>196</v>
      </c>
      <c r="B95" s="319" t="s">
        <v>126</v>
      </c>
      <c r="C95" s="320"/>
      <c r="D95" s="323" t="s">
        <v>1129</v>
      </c>
      <c r="E95" s="320"/>
      <c r="F95" s="323" t="s">
        <v>73</v>
      </c>
    </row>
    <row r="96">
      <c r="A96" s="318" t="s">
        <v>197</v>
      </c>
      <c r="B96" s="319" t="s">
        <v>126</v>
      </c>
      <c r="C96" s="320"/>
      <c r="D96" s="323" t="s">
        <v>1130</v>
      </c>
      <c r="E96" s="320"/>
      <c r="F96" s="323" t="s">
        <v>71</v>
      </c>
    </row>
    <row r="97">
      <c r="A97" s="322" t="s">
        <v>198</v>
      </c>
      <c r="B97" s="319" t="s">
        <v>126</v>
      </c>
      <c r="C97" s="320"/>
      <c r="D97" s="323" t="s">
        <v>1131</v>
      </c>
      <c r="E97" s="320"/>
      <c r="F97" s="323" t="s">
        <v>73</v>
      </c>
    </row>
    <row r="98">
      <c r="A98" s="318" t="s">
        <v>200</v>
      </c>
      <c r="B98" s="319" t="s">
        <v>126</v>
      </c>
      <c r="C98" s="320"/>
      <c r="D98" s="323" t="s">
        <v>1132</v>
      </c>
      <c r="E98" s="320"/>
      <c r="F98" s="323" t="s">
        <v>75</v>
      </c>
    </row>
    <row r="99">
      <c r="A99" s="322" t="s">
        <v>201</v>
      </c>
      <c r="B99" s="319" t="s">
        <v>126</v>
      </c>
      <c r="C99" s="320"/>
      <c r="D99" s="323" t="s">
        <v>1133</v>
      </c>
      <c r="E99" s="320"/>
      <c r="F99" s="323" t="s">
        <v>71</v>
      </c>
    </row>
    <row r="100">
      <c r="A100" s="318" t="s">
        <v>203</v>
      </c>
      <c r="B100" s="319" t="s">
        <v>1039</v>
      </c>
      <c r="C100" s="320"/>
      <c r="D100" s="323" t="s">
        <v>1134</v>
      </c>
      <c r="E100" s="320"/>
      <c r="F100" s="323" t="s">
        <v>73</v>
      </c>
    </row>
    <row r="101">
      <c r="A101" s="322" t="s">
        <v>204</v>
      </c>
      <c r="B101" s="319" t="s">
        <v>1039</v>
      </c>
      <c r="C101" s="320"/>
      <c r="D101" s="323" t="s">
        <v>1135</v>
      </c>
      <c r="E101" s="320"/>
      <c r="F101" s="323" t="s">
        <v>71</v>
      </c>
    </row>
    <row r="102">
      <c r="A102" s="318" t="s">
        <v>205</v>
      </c>
      <c r="B102" s="319" t="s">
        <v>1039</v>
      </c>
      <c r="C102" s="320"/>
      <c r="D102" s="323" t="s">
        <v>1136</v>
      </c>
      <c r="E102" s="320"/>
      <c r="F102" s="323" t="s">
        <v>73</v>
      </c>
    </row>
    <row r="103">
      <c r="A103" s="322" t="s">
        <v>206</v>
      </c>
      <c r="B103" s="319" t="s">
        <v>206</v>
      </c>
      <c r="C103" s="320"/>
      <c r="D103" s="323" t="s">
        <v>1137</v>
      </c>
      <c r="E103" s="320"/>
      <c r="F103" s="323" t="s">
        <v>71</v>
      </c>
    </row>
    <row r="104">
      <c r="A104" s="318" t="s">
        <v>207</v>
      </c>
      <c r="B104" s="319" t="s">
        <v>206</v>
      </c>
      <c r="C104" s="320"/>
      <c r="D104" s="323" t="s">
        <v>1138</v>
      </c>
      <c r="E104" s="320"/>
      <c r="F104" s="323" t="s">
        <v>75</v>
      </c>
    </row>
    <row r="105">
      <c r="A105" s="322" t="s">
        <v>208</v>
      </c>
      <c r="B105" s="319" t="s">
        <v>206</v>
      </c>
      <c r="C105" s="320"/>
      <c r="D105" s="321" t="s">
        <v>1137</v>
      </c>
      <c r="E105" s="321" t="s">
        <v>1055</v>
      </c>
      <c r="F105" s="323" t="s">
        <v>77</v>
      </c>
    </row>
    <row r="106">
      <c r="A106" s="318" t="s">
        <v>210</v>
      </c>
      <c r="B106" s="319" t="s">
        <v>206</v>
      </c>
      <c r="C106" s="320"/>
      <c r="D106" s="323" t="s">
        <v>1139</v>
      </c>
      <c r="E106" s="320"/>
      <c r="F106" s="323" t="s">
        <v>71</v>
      </c>
    </row>
    <row r="107">
      <c r="A107" s="322" t="s">
        <v>211</v>
      </c>
      <c r="B107" s="319" t="s">
        <v>206</v>
      </c>
      <c r="C107" s="320"/>
      <c r="D107" s="323" t="s">
        <v>1140</v>
      </c>
      <c r="E107" s="320"/>
      <c r="F107" s="323" t="s">
        <v>75</v>
      </c>
    </row>
    <row r="108">
      <c r="A108" s="318" t="s">
        <v>212</v>
      </c>
      <c r="B108" s="319" t="s">
        <v>206</v>
      </c>
      <c r="C108" s="320"/>
      <c r="D108" s="323" t="s">
        <v>1141</v>
      </c>
      <c r="E108" s="320"/>
      <c r="F108" s="323" t="s">
        <v>71</v>
      </c>
    </row>
    <row r="109">
      <c r="A109" s="322" t="s">
        <v>213</v>
      </c>
      <c r="B109" s="319" t="s">
        <v>206</v>
      </c>
      <c r="C109" s="320"/>
      <c r="D109" s="323" t="s">
        <v>1142</v>
      </c>
      <c r="E109" s="320"/>
      <c r="F109" s="323" t="s">
        <v>73</v>
      </c>
    </row>
    <row r="110">
      <c r="A110" s="318" t="s">
        <v>214</v>
      </c>
      <c r="B110" s="319" t="s">
        <v>206</v>
      </c>
      <c r="C110" s="320"/>
      <c r="D110" s="323" t="s">
        <v>1143</v>
      </c>
      <c r="E110" s="320"/>
      <c r="F110" s="323" t="s">
        <v>71</v>
      </c>
    </row>
    <row r="111">
      <c r="A111" s="322" t="s">
        <v>215</v>
      </c>
      <c r="B111" s="319" t="s">
        <v>206</v>
      </c>
      <c r="C111" s="320"/>
      <c r="D111" s="323" t="s">
        <v>1144</v>
      </c>
      <c r="E111" s="320"/>
      <c r="F111" s="323" t="s">
        <v>75</v>
      </c>
    </row>
    <row r="112">
      <c r="A112" s="318" t="s">
        <v>216</v>
      </c>
      <c r="B112" s="319" t="s">
        <v>206</v>
      </c>
      <c r="C112" s="320"/>
      <c r="D112" s="323" t="s">
        <v>1145</v>
      </c>
      <c r="E112" s="320"/>
      <c r="F112" s="323" t="s">
        <v>75</v>
      </c>
    </row>
    <row r="113">
      <c r="A113" s="322" t="s">
        <v>217</v>
      </c>
      <c r="B113" s="319" t="s">
        <v>206</v>
      </c>
      <c r="C113" s="320"/>
      <c r="D113" s="321" t="s">
        <v>1145</v>
      </c>
      <c r="E113" s="321" t="s">
        <v>1055</v>
      </c>
      <c r="F113" s="323" t="s">
        <v>77</v>
      </c>
    </row>
    <row r="114">
      <c r="A114" s="318" t="s">
        <v>218</v>
      </c>
      <c r="B114" s="319" t="s">
        <v>1039</v>
      </c>
      <c r="C114" s="320"/>
      <c r="D114" s="323" t="s">
        <v>1146</v>
      </c>
      <c r="E114" s="320"/>
      <c r="F114" s="323" t="s">
        <v>71</v>
      </c>
    </row>
    <row r="115">
      <c r="A115" s="322" t="s">
        <v>219</v>
      </c>
      <c r="B115" s="319" t="s">
        <v>1039</v>
      </c>
      <c r="C115" s="320"/>
      <c r="D115" s="323" t="s">
        <v>1147</v>
      </c>
      <c r="E115" s="320"/>
      <c r="F115" s="323" t="s">
        <v>73</v>
      </c>
    </row>
    <row r="116">
      <c r="A116" s="318" t="s">
        <v>221</v>
      </c>
      <c r="B116" s="319" t="s">
        <v>245</v>
      </c>
      <c r="C116" s="320"/>
      <c r="D116" s="323" t="s">
        <v>1148</v>
      </c>
      <c r="E116" s="320"/>
      <c r="F116" s="323" t="s">
        <v>71</v>
      </c>
    </row>
    <row r="117">
      <c r="A117" s="322" t="s">
        <v>222</v>
      </c>
      <c r="B117" s="319" t="s">
        <v>245</v>
      </c>
      <c r="C117" s="320"/>
      <c r="D117" s="323" t="s">
        <v>1149</v>
      </c>
      <c r="E117" s="320"/>
      <c r="F117" s="323" t="s">
        <v>73</v>
      </c>
    </row>
    <row r="118">
      <c r="A118" s="318" t="s">
        <v>223</v>
      </c>
      <c r="B118" s="319" t="s">
        <v>245</v>
      </c>
      <c r="C118" s="320"/>
      <c r="D118" s="323" t="s">
        <v>1150</v>
      </c>
      <c r="E118" s="320"/>
      <c r="F118" s="323" t="s">
        <v>75</v>
      </c>
    </row>
    <row r="119">
      <c r="A119" s="322" t="s">
        <v>224</v>
      </c>
      <c r="B119" s="319" t="s">
        <v>1039</v>
      </c>
      <c r="C119" s="320"/>
      <c r="D119" s="323" t="s">
        <v>1151</v>
      </c>
      <c r="E119" s="320"/>
      <c r="F119" s="323" t="s">
        <v>71</v>
      </c>
    </row>
    <row r="120">
      <c r="A120" s="318" t="s">
        <v>225</v>
      </c>
      <c r="B120" s="319" t="s">
        <v>1039</v>
      </c>
      <c r="C120" s="320"/>
      <c r="D120" s="323" t="s">
        <v>1152</v>
      </c>
      <c r="E120" s="320"/>
      <c r="F120" s="323" t="s">
        <v>71</v>
      </c>
    </row>
    <row r="121">
      <c r="A121" s="322" t="s">
        <v>226</v>
      </c>
      <c r="B121" s="319" t="s">
        <v>1039</v>
      </c>
      <c r="C121" s="320"/>
      <c r="D121" s="323" t="s">
        <v>1153</v>
      </c>
      <c r="E121" s="320"/>
      <c r="F121" s="323" t="s">
        <v>73</v>
      </c>
    </row>
    <row r="122">
      <c r="A122" s="318" t="s">
        <v>227</v>
      </c>
      <c r="B122" s="319" t="s">
        <v>206</v>
      </c>
      <c r="C122" s="320"/>
      <c r="D122" s="323" t="s">
        <v>1154</v>
      </c>
      <c r="E122" s="320"/>
      <c r="F122" s="323" t="s">
        <v>71</v>
      </c>
    </row>
    <row r="123">
      <c r="A123" s="322" t="s">
        <v>228</v>
      </c>
      <c r="B123" s="319" t="s">
        <v>206</v>
      </c>
      <c r="C123" s="320"/>
      <c r="D123" s="323" t="s">
        <v>1155</v>
      </c>
      <c r="E123" s="320"/>
      <c r="F123" s="323" t="s">
        <v>73</v>
      </c>
    </row>
    <row r="124">
      <c r="A124" s="318" t="s">
        <v>229</v>
      </c>
      <c r="B124" s="319" t="s">
        <v>126</v>
      </c>
      <c r="C124" s="320"/>
      <c r="D124" s="323" t="s">
        <v>1156</v>
      </c>
      <c r="E124" s="320"/>
      <c r="F124" s="323" t="s">
        <v>71</v>
      </c>
    </row>
    <row r="125">
      <c r="A125" s="322" t="s">
        <v>230</v>
      </c>
      <c r="B125" s="319" t="s">
        <v>126</v>
      </c>
      <c r="C125" s="320"/>
      <c r="D125" s="323" t="s">
        <v>1157</v>
      </c>
      <c r="E125" s="320"/>
      <c r="F125" s="323" t="s">
        <v>73</v>
      </c>
    </row>
    <row r="126">
      <c r="A126" s="318" t="s">
        <v>231</v>
      </c>
      <c r="B126" s="319" t="s">
        <v>126</v>
      </c>
      <c r="C126" s="320"/>
      <c r="D126" s="323" t="s">
        <v>1158</v>
      </c>
      <c r="E126" s="320"/>
      <c r="F126" s="323" t="s">
        <v>75</v>
      </c>
    </row>
    <row r="127">
      <c r="A127" s="322" t="s">
        <v>232</v>
      </c>
      <c r="B127" s="319" t="s">
        <v>1039</v>
      </c>
      <c r="C127" s="320"/>
      <c r="D127" s="323" t="s">
        <v>1159</v>
      </c>
      <c r="E127" s="320"/>
      <c r="F127" s="323" t="s">
        <v>71</v>
      </c>
    </row>
    <row r="128">
      <c r="A128" s="318" t="s">
        <v>234</v>
      </c>
      <c r="B128" s="319" t="s">
        <v>1039</v>
      </c>
      <c r="C128" s="320"/>
      <c r="D128" s="323" t="s">
        <v>1160</v>
      </c>
      <c r="E128" s="320"/>
      <c r="F128" s="323" t="s">
        <v>73</v>
      </c>
    </row>
    <row r="129">
      <c r="A129" s="322" t="s">
        <v>235</v>
      </c>
      <c r="B129" s="319" t="s">
        <v>245</v>
      </c>
      <c r="C129" s="320"/>
      <c r="D129" s="323" t="s">
        <v>1161</v>
      </c>
      <c r="E129" s="320"/>
      <c r="F129" s="323" t="s">
        <v>71</v>
      </c>
    </row>
    <row r="130">
      <c r="A130" s="318" t="s">
        <v>236</v>
      </c>
      <c r="B130" s="319" t="s">
        <v>245</v>
      </c>
      <c r="C130" s="320"/>
      <c r="D130" s="323" t="s">
        <v>1162</v>
      </c>
      <c r="E130" s="320"/>
      <c r="F130" s="323" t="s">
        <v>73</v>
      </c>
    </row>
    <row r="131">
      <c r="A131" s="322" t="s">
        <v>237</v>
      </c>
      <c r="B131" s="319" t="s">
        <v>245</v>
      </c>
      <c r="C131" s="320"/>
      <c r="D131" s="323" t="s">
        <v>1163</v>
      </c>
      <c r="E131" s="320"/>
      <c r="F131" s="323" t="s">
        <v>75</v>
      </c>
    </row>
    <row r="132">
      <c r="A132" s="318" t="s">
        <v>238</v>
      </c>
      <c r="B132" s="319" t="s">
        <v>245</v>
      </c>
      <c r="C132" s="320"/>
      <c r="D132" s="321" t="s">
        <v>1163</v>
      </c>
      <c r="E132" s="321" t="s">
        <v>1055</v>
      </c>
      <c r="F132" s="323" t="s">
        <v>77</v>
      </c>
    </row>
    <row r="133">
      <c r="A133" s="322" t="s">
        <v>239</v>
      </c>
      <c r="B133" s="319" t="s">
        <v>206</v>
      </c>
      <c r="C133" s="320"/>
      <c r="D133" s="323" t="s">
        <v>1164</v>
      </c>
      <c r="E133" s="320"/>
      <c r="F133" s="323" t="s">
        <v>71</v>
      </c>
    </row>
    <row r="134">
      <c r="A134" s="318" t="s">
        <v>241</v>
      </c>
      <c r="B134" s="319" t="s">
        <v>206</v>
      </c>
      <c r="C134" s="320"/>
      <c r="D134" s="323" t="s">
        <v>1165</v>
      </c>
      <c r="E134" s="320"/>
      <c r="F134" s="323" t="s">
        <v>75</v>
      </c>
    </row>
    <row r="135">
      <c r="A135" s="322" t="s">
        <v>242</v>
      </c>
      <c r="B135" s="319" t="s">
        <v>245</v>
      </c>
      <c r="C135" s="320"/>
      <c r="D135" s="323" t="s">
        <v>1166</v>
      </c>
      <c r="E135" s="320"/>
      <c r="F135" s="323" t="s">
        <v>73</v>
      </c>
    </row>
    <row r="136">
      <c r="A136" s="318" t="s">
        <v>244</v>
      </c>
      <c r="B136" s="319" t="s">
        <v>245</v>
      </c>
      <c r="C136" s="320"/>
      <c r="D136" s="323" t="s">
        <v>1167</v>
      </c>
      <c r="E136" s="320"/>
      <c r="F136" s="323" t="s">
        <v>71</v>
      </c>
    </row>
    <row r="137">
      <c r="A137" s="322" t="s">
        <v>245</v>
      </c>
      <c r="B137" s="319" t="s">
        <v>245</v>
      </c>
      <c r="C137" s="320"/>
      <c r="D137" s="323" t="s">
        <v>1168</v>
      </c>
      <c r="E137" s="320"/>
      <c r="F137" s="323" t="s">
        <v>75</v>
      </c>
    </row>
    <row r="138">
      <c r="A138" s="318" t="s">
        <v>246</v>
      </c>
      <c r="B138" s="319" t="s">
        <v>245</v>
      </c>
      <c r="C138" s="320"/>
      <c r="D138" s="321" t="s">
        <v>1168</v>
      </c>
      <c r="E138" s="321" t="s">
        <v>1055</v>
      </c>
      <c r="F138" s="323" t="s">
        <v>77</v>
      </c>
    </row>
    <row r="139">
      <c r="A139" s="322" t="s">
        <v>247</v>
      </c>
      <c r="B139" s="319" t="s">
        <v>245</v>
      </c>
      <c r="C139" s="320"/>
      <c r="D139" s="323" t="s">
        <v>1169</v>
      </c>
      <c r="E139" s="320"/>
      <c r="F139" s="323" t="s">
        <v>71</v>
      </c>
    </row>
    <row r="140">
      <c r="A140" s="318" t="s">
        <v>248</v>
      </c>
      <c r="B140" s="319" t="s">
        <v>245</v>
      </c>
      <c r="C140" s="320"/>
      <c r="D140" s="323" t="s">
        <v>1170</v>
      </c>
      <c r="E140" s="320"/>
      <c r="F140" s="323" t="s">
        <v>73</v>
      </c>
    </row>
    <row r="141">
      <c r="A141" s="322" t="s">
        <v>249</v>
      </c>
      <c r="B141" s="319" t="s">
        <v>245</v>
      </c>
      <c r="C141" s="320"/>
      <c r="D141" s="323" t="s">
        <v>1171</v>
      </c>
      <c r="E141" s="320"/>
      <c r="F141" s="323" t="s">
        <v>75</v>
      </c>
    </row>
    <row r="142">
      <c r="A142" s="318" t="s">
        <v>250</v>
      </c>
      <c r="B142" s="319" t="s">
        <v>1039</v>
      </c>
      <c r="C142" s="320"/>
      <c r="D142" s="323" t="s">
        <v>1172</v>
      </c>
      <c r="E142" s="320"/>
      <c r="F142" s="323" t="s">
        <v>71</v>
      </c>
    </row>
    <row r="143">
      <c r="A143" s="322" t="s">
        <v>251</v>
      </c>
      <c r="B143" s="319" t="s">
        <v>1039</v>
      </c>
      <c r="C143" s="320"/>
      <c r="D143" s="323" t="s">
        <v>1173</v>
      </c>
      <c r="E143" s="320"/>
      <c r="F143" s="323" t="s">
        <v>71</v>
      </c>
    </row>
    <row r="144">
      <c r="A144" s="318" t="s">
        <v>252</v>
      </c>
      <c r="B144" s="319" t="s">
        <v>1039</v>
      </c>
      <c r="C144" s="320"/>
      <c r="D144" s="323" t="s">
        <v>1174</v>
      </c>
      <c r="E144" s="320"/>
      <c r="F144" s="323" t="s">
        <v>71</v>
      </c>
    </row>
    <row r="145">
      <c r="A145" s="322" t="s">
        <v>253</v>
      </c>
      <c r="B145" s="319" t="s">
        <v>1039</v>
      </c>
      <c r="C145" s="320"/>
      <c r="D145" s="323" t="s">
        <v>1175</v>
      </c>
      <c r="E145" s="320"/>
      <c r="F145" s="323" t="s">
        <v>73</v>
      </c>
    </row>
    <row r="146">
      <c r="A146" s="318" t="s">
        <v>254</v>
      </c>
      <c r="B146" s="319" t="s">
        <v>1039</v>
      </c>
      <c r="C146" s="320"/>
      <c r="D146" s="323" t="s">
        <v>1176</v>
      </c>
      <c r="E146" s="320"/>
      <c r="F146" s="323" t="s">
        <v>71</v>
      </c>
    </row>
    <row r="147">
      <c r="A147" s="322" t="s">
        <v>256</v>
      </c>
      <c r="B147" s="319" t="s">
        <v>1039</v>
      </c>
      <c r="C147" s="320"/>
      <c r="D147" s="323" t="s">
        <v>1177</v>
      </c>
      <c r="E147" s="320"/>
      <c r="F147" s="323" t="s">
        <v>73</v>
      </c>
    </row>
    <row r="148">
      <c r="A148" s="318" t="s">
        <v>257</v>
      </c>
      <c r="B148" s="319" t="s">
        <v>206</v>
      </c>
      <c r="C148" s="320"/>
      <c r="D148" s="323" t="s">
        <v>1178</v>
      </c>
      <c r="E148" s="320"/>
      <c r="F148" s="323" t="s">
        <v>71</v>
      </c>
    </row>
    <row r="149">
      <c r="A149" s="322" t="s">
        <v>258</v>
      </c>
      <c r="B149" s="319" t="s">
        <v>206</v>
      </c>
      <c r="C149" s="320"/>
      <c r="D149" s="323" t="s">
        <v>1179</v>
      </c>
      <c r="E149" s="320"/>
      <c r="F149" s="323" t="s">
        <v>73</v>
      </c>
    </row>
    <row r="150">
      <c r="A150" s="318" t="s">
        <v>259</v>
      </c>
      <c r="B150" s="319" t="s">
        <v>126</v>
      </c>
      <c r="C150" s="320"/>
      <c r="D150" s="323" t="s">
        <v>1180</v>
      </c>
      <c r="E150" s="320"/>
      <c r="F150" s="323" t="s">
        <v>71</v>
      </c>
    </row>
    <row r="151">
      <c r="A151" s="322" t="s">
        <v>260</v>
      </c>
      <c r="B151" s="319" t="s">
        <v>126</v>
      </c>
      <c r="C151" s="320"/>
      <c r="D151" s="323" t="s">
        <v>1181</v>
      </c>
      <c r="E151" s="320"/>
      <c r="F151" s="323" t="s">
        <v>73</v>
      </c>
    </row>
    <row r="152">
      <c r="A152" s="318" t="s">
        <v>261</v>
      </c>
      <c r="B152" s="319" t="s">
        <v>126</v>
      </c>
      <c r="C152" s="320"/>
      <c r="D152" s="323" t="s">
        <v>1182</v>
      </c>
      <c r="E152" s="320"/>
      <c r="F152" s="323" t="s">
        <v>71</v>
      </c>
    </row>
    <row r="153">
      <c r="A153" s="322" t="s">
        <v>262</v>
      </c>
      <c r="B153" s="319" t="s">
        <v>126</v>
      </c>
      <c r="C153" s="320"/>
      <c r="D153" s="323" t="s">
        <v>1183</v>
      </c>
      <c r="E153" s="320"/>
      <c r="F153" s="323" t="s">
        <v>73</v>
      </c>
    </row>
    <row r="154">
      <c r="A154" s="318" t="s">
        <v>263</v>
      </c>
      <c r="B154" s="319" t="s">
        <v>126</v>
      </c>
      <c r="C154" s="320"/>
      <c r="D154" s="323" t="s">
        <v>1184</v>
      </c>
      <c r="E154" s="320"/>
      <c r="F154" s="323" t="s">
        <v>75</v>
      </c>
    </row>
    <row r="155">
      <c r="A155" s="322" t="s">
        <v>264</v>
      </c>
      <c r="B155" s="319" t="s">
        <v>126</v>
      </c>
      <c r="C155" s="320"/>
      <c r="D155" s="321" t="s">
        <v>1184</v>
      </c>
      <c r="E155" s="321" t="s">
        <v>1055</v>
      </c>
      <c r="F155" s="323" t="s">
        <v>77</v>
      </c>
    </row>
    <row r="156">
      <c r="A156" s="318" t="s">
        <v>265</v>
      </c>
      <c r="B156" s="319" t="s">
        <v>206</v>
      </c>
      <c r="C156" s="320"/>
      <c r="D156" s="323" t="s">
        <v>1185</v>
      </c>
      <c r="E156" s="320"/>
      <c r="F156" s="323" t="s">
        <v>71</v>
      </c>
    </row>
    <row r="157">
      <c r="A157" s="322" t="s">
        <v>266</v>
      </c>
      <c r="B157" s="319" t="s">
        <v>206</v>
      </c>
      <c r="C157" s="320"/>
      <c r="D157" s="323" t="s">
        <v>1186</v>
      </c>
      <c r="E157" s="320"/>
      <c r="F157" s="323" t="s">
        <v>73</v>
      </c>
    </row>
    <row r="158">
      <c r="A158" s="318" t="s">
        <v>267</v>
      </c>
      <c r="B158" s="319" t="s">
        <v>206</v>
      </c>
      <c r="C158" s="320"/>
      <c r="D158" s="323" t="s">
        <v>1187</v>
      </c>
      <c r="E158" s="320"/>
      <c r="F158" s="323" t="s">
        <v>75</v>
      </c>
    </row>
    <row r="159">
      <c r="A159" s="322" t="s">
        <v>268</v>
      </c>
      <c r="B159" s="319" t="s">
        <v>206</v>
      </c>
      <c r="C159" s="320"/>
      <c r="D159" s="323" t="s">
        <v>1188</v>
      </c>
      <c r="E159" s="320"/>
      <c r="F159" s="323" t="s">
        <v>73</v>
      </c>
    </row>
    <row r="160">
      <c r="A160" s="318" t="s">
        <v>269</v>
      </c>
      <c r="B160" s="319" t="s">
        <v>245</v>
      </c>
      <c r="C160" s="320"/>
      <c r="D160" s="323" t="s">
        <v>1189</v>
      </c>
      <c r="E160" s="320"/>
      <c r="F160" s="323" t="s">
        <v>71</v>
      </c>
    </row>
    <row r="161">
      <c r="A161" s="322" t="s">
        <v>270</v>
      </c>
      <c r="B161" s="319" t="s">
        <v>245</v>
      </c>
      <c r="C161" s="320"/>
      <c r="D161" s="323" t="s">
        <v>1190</v>
      </c>
      <c r="E161" s="320"/>
      <c r="F161" s="323" t="s">
        <v>73</v>
      </c>
    </row>
    <row r="162">
      <c r="A162" s="318" t="s">
        <v>271</v>
      </c>
      <c r="B162" s="319" t="s">
        <v>245</v>
      </c>
      <c r="C162" s="320"/>
      <c r="D162" s="321" t="s">
        <v>1190</v>
      </c>
      <c r="E162" s="321" t="s">
        <v>1055</v>
      </c>
      <c r="F162" s="323" t="s">
        <v>77</v>
      </c>
    </row>
    <row r="163">
      <c r="A163" s="322" t="s">
        <v>272</v>
      </c>
      <c r="B163" s="319" t="s">
        <v>245</v>
      </c>
      <c r="C163" s="320"/>
      <c r="D163" s="323" t="s">
        <v>1191</v>
      </c>
      <c r="E163" s="320"/>
      <c r="F163" s="323" t="s">
        <v>71</v>
      </c>
    </row>
    <row r="164">
      <c r="A164" s="318" t="s">
        <v>273</v>
      </c>
      <c r="B164" s="319" t="s">
        <v>126</v>
      </c>
      <c r="C164" s="320"/>
      <c r="D164" s="323" t="s">
        <v>1192</v>
      </c>
      <c r="E164" s="320"/>
      <c r="F164" s="323" t="s">
        <v>71</v>
      </c>
    </row>
    <row r="165">
      <c r="A165" s="322" t="s">
        <v>274</v>
      </c>
      <c r="B165" s="319" t="s">
        <v>245</v>
      </c>
      <c r="C165" s="320"/>
      <c r="D165" s="323" t="s">
        <v>1193</v>
      </c>
      <c r="E165" s="320"/>
      <c r="F165" s="323" t="s">
        <v>71</v>
      </c>
    </row>
    <row r="166">
      <c r="A166" s="318" t="s">
        <v>275</v>
      </c>
      <c r="B166" s="319" t="s">
        <v>245</v>
      </c>
      <c r="C166" s="320"/>
      <c r="D166" s="323" t="s">
        <v>1194</v>
      </c>
      <c r="E166" s="320"/>
      <c r="F166" s="323" t="s">
        <v>73</v>
      </c>
    </row>
    <row r="167">
      <c r="A167" s="322" t="s">
        <v>276</v>
      </c>
      <c r="B167" s="319" t="s">
        <v>126</v>
      </c>
      <c r="C167" s="320"/>
      <c r="D167" s="323" t="s">
        <v>1195</v>
      </c>
      <c r="E167" s="320"/>
      <c r="F167" s="323" t="s">
        <v>73</v>
      </c>
    </row>
    <row r="168">
      <c r="A168" s="318" t="s">
        <v>277</v>
      </c>
      <c r="B168" s="319" t="s">
        <v>126</v>
      </c>
      <c r="C168" s="320"/>
      <c r="D168" s="323" t="s">
        <v>1196</v>
      </c>
      <c r="E168" s="320"/>
      <c r="F168" s="323" t="s">
        <v>75</v>
      </c>
    </row>
    <row r="169">
      <c r="A169" s="322" t="s">
        <v>278</v>
      </c>
      <c r="B169" s="319" t="s">
        <v>206</v>
      </c>
      <c r="C169" s="320"/>
      <c r="D169" s="323" t="s">
        <v>1197</v>
      </c>
      <c r="E169" s="320"/>
      <c r="F169" s="323" t="s">
        <v>71</v>
      </c>
    </row>
    <row r="170">
      <c r="A170" s="318" t="s">
        <v>279</v>
      </c>
      <c r="B170" s="319" t="s">
        <v>206</v>
      </c>
      <c r="C170" s="320"/>
      <c r="D170" s="323" t="s">
        <v>1198</v>
      </c>
      <c r="E170" s="320"/>
      <c r="F170" s="323" t="s">
        <v>73</v>
      </c>
    </row>
    <row r="171">
      <c r="A171" s="322" t="s">
        <v>280</v>
      </c>
      <c r="B171" s="319" t="s">
        <v>1039</v>
      </c>
      <c r="C171" s="320"/>
      <c r="D171" s="323" t="s">
        <v>1199</v>
      </c>
      <c r="E171" s="320"/>
      <c r="F171" s="323" t="s">
        <v>71</v>
      </c>
    </row>
    <row r="172">
      <c r="A172" s="318" t="s">
        <v>281</v>
      </c>
      <c r="B172" s="319" t="s">
        <v>1039</v>
      </c>
      <c r="C172" s="320"/>
      <c r="D172" s="323" t="s">
        <v>1200</v>
      </c>
      <c r="E172" s="320"/>
      <c r="F172" s="323" t="s">
        <v>73</v>
      </c>
    </row>
    <row r="173">
      <c r="A173" s="322" t="s">
        <v>282</v>
      </c>
      <c r="B173" s="319" t="s">
        <v>1039</v>
      </c>
      <c r="C173" s="320"/>
      <c r="D173" s="323" t="s">
        <v>1201</v>
      </c>
      <c r="E173" s="320"/>
      <c r="F173" s="323" t="s">
        <v>71</v>
      </c>
    </row>
    <row r="174">
      <c r="A174" s="318" t="s">
        <v>283</v>
      </c>
      <c r="B174" s="319" t="s">
        <v>1039</v>
      </c>
      <c r="C174" s="320"/>
      <c r="D174" s="323" t="s">
        <v>1202</v>
      </c>
      <c r="E174" s="320"/>
      <c r="F174" s="323" t="s">
        <v>73</v>
      </c>
    </row>
    <row r="175">
      <c r="A175" s="322" t="s">
        <v>284</v>
      </c>
      <c r="B175" s="319" t="s">
        <v>206</v>
      </c>
      <c r="C175" s="320"/>
      <c r="D175" s="323" t="s">
        <v>1203</v>
      </c>
      <c r="E175" s="320"/>
      <c r="F175" s="323" t="s">
        <v>71</v>
      </c>
    </row>
    <row r="176">
      <c r="A176" s="318" t="s">
        <v>285</v>
      </c>
      <c r="B176" s="319" t="s">
        <v>206</v>
      </c>
      <c r="C176" s="320"/>
      <c r="D176" s="323" t="s">
        <v>1204</v>
      </c>
      <c r="E176" s="320"/>
      <c r="F176" s="323" t="s">
        <v>73</v>
      </c>
    </row>
    <row r="177">
      <c r="A177" s="322" t="s">
        <v>286</v>
      </c>
      <c r="B177" s="319" t="s">
        <v>206</v>
      </c>
      <c r="C177" s="320"/>
      <c r="D177" s="323" t="s">
        <v>1205</v>
      </c>
      <c r="E177" s="320"/>
      <c r="F177" s="323" t="s">
        <v>75</v>
      </c>
    </row>
    <row r="178">
      <c r="A178" s="318" t="s">
        <v>287</v>
      </c>
      <c r="B178" s="319" t="s">
        <v>206</v>
      </c>
      <c r="C178" s="320"/>
      <c r="D178" s="323" t="s">
        <v>1206</v>
      </c>
      <c r="E178" s="320"/>
      <c r="F178" s="323" t="s">
        <v>71</v>
      </c>
    </row>
    <row r="179">
      <c r="A179" s="322" t="s">
        <v>288</v>
      </c>
      <c r="B179" s="319" t="s">
        <v>206</v>
      </c>
      <c r="C179" s="320"/>
      <c r="D179" s="323" t="s">
        <v>1207</v>
      </c>
      <c r="E179" s="320"/>
      <c r="F179" s="323" t="s">
        <v>73</v>
      </c>
    </row>
    <row r="180">
      <c r="A180" s="318" t="s">
        <v>289</v>
      </c>
      <c r="B180" s="319" t="s">
        <v>206</v>
      </c>
      <c r="C180" s="320"/>
      <c r="D180" s="323" t="s">
        <v>1208</v>
      </c>
      <c r="E180" s="320"/>
      <c r="F180" s="323" t="s">
        <v>75</v>
      </c>
    </row>
    <row r="181">
      <c r="A181" s="322" t="s">
        <v>290</v>
      </c>
      <c r="B181" s="319" t="s">
        <v>245</v>
      </c>
      <c r="C181" s="320"/>
      <c r="D181" s="323" t="s">
        <v>1209</v>
      </c>
      <c r="E181" s="320"/>
      <c r="F181" s="323" t="s">
        <v>71</v>
      </c>
    </row>
    <row r="182">
      <c r="A182" s="318" t="s">
        <v>291</v>
      </c>
      <c r="B182" s="319" t="s">
        <v>245</v>
      </c>
      <c r="C182" s="320"/>
      <c r="D182" s="323" t="s">
        <v>1210</v>
      </c>
      <c r="E182" s="320"/>
      <c r="F182" s="323" t="s">
        <v>73</v>
      </c>
    </row>
    <row r="183">
      <c r="A183" s="322" t="s">
        <v>292</v>
      </c>
      <c r="B183" s="319" t="s">
        <v>245</v>
      </c>
      <c r="C183" s="320"/>
      <c r="D183" s="323" t="s">
        <v>1211</v>
      </c>
      <c r="E183" s="320"/>
      <c r="F183" s="323" t="s">
        <v>71</v>
      </c>
    </row>
    <row r="184">
      <c r="A184" s="318" t="s">
        <v>293</v>
      </c>
      <c r="B184" s="319" t="s">
        <v>245</v>
      </c>
      <c r="C184" s="320"/>
      <c r="D184" s="323" t="s">
        <v>1212</v>
      </c>
      <c r="E184" s="320"/>
      <c r="F184" s="323" t="s">
        <v>75</v>
      </c>
    </row>
    <row r="185">
      <c r="A185" s="322" t="s">
        <v>294</v>
      </c>
      <c r="B185" s="319" t="s">
        <v>245</v>
      </c>
      <c r="C185" s="320"/>
      <c r="D185" s="323" t="s">
        <v>1213</v>
      </c>
      <c r="E185" s="320"/>
      <c r="F185" s="323" t="s">
        <v>71</v>
      </c>
    </row>
    <row r="186">
      <c r="A186" s="318" t="s">
        <v>295</v>
      </c>
      <c r="B186" s="319" t="s">
        <v>245</v>
      </c>
      <c r="C186" s="320"/>
      <c r="D186" s="323" t="s">
        <v>1214</v>
      </c>
      <c r="E186" s="320"/>
      <c r="F186" s="323" t="s">
        <v>75</v>
      </c>
    </row>
    <row r="187">
      <c r="A187" s="322" t="s">
        <v>296</v>
      </c>
      <c r="B187" s="319" t="s">
        <v>126</v>
      </c>
      <c r="C187" s="320"/>
      <c r="D187" s="323" t="s">
        <v>1215</v>
      </c>
      <c r="E187" s="320"/>
      <c r="F187" s="323" t="s">
        <v>71</v>
      </c>
    </row>
    <row r="188">
      <c r="A188" s="318" t="s">
        <v>297</v>
      </c>
      <c r="B188" s="319" t="s">
        <v>1039</v>
      </c>
      <c r="C188" s="320"/>
      <c r="D188" s="323" t="s">
        <v>1216</v>
      </c>
      <c r="E188" s="320"/>
      <c r="F188" s="323" t="s">
        <v>71</v>
      </c>
    </row>
    <row r="189">
      <c r="A189" s="322" t="s">
        <v>298</v>
      </c>
      <c r="B189" s="319" t="s">
        <v>1039</v>
      </c>
      <c r="C189" s="320"/>
      <c r="D189" s="323" t="s">
        <v>1217</v>
      </c>
      <c r="E189" s="320"/>
      <c r="F189" s="323" t="s">
        <v>73</v>
      </c>
    </row>
    <row r="190">
      <c r="A190" s="318" t="s">
        <v>299</v>
      </c>
      <c r="B190" s="319" t="s">
        <v>126</v>
      </c>
      <c r="C190" s="320"/>
      <c r="D190" s="323" t="s">
        <v>1218</v>
      </c>
      <c r="E190" s="320"/>
      <c r="F190" s="323" t="s">
        <v>71</v>
      </c>
    </row>
    <row r="191">
      <c r="A191" s="322" t="s">
        <v>300</v>
      </c>
      <c r="B191" s="319" t="s">
        <v>126</v>
      </c>
      <c r="C191" s="320"/>
      <c r="D191" s="323" t="s">
        <v>1219</v>
      </c>
      <c r="E191" s="320"/>
      <c r="F191" s="323" t="s">
        <v>75</v>
      </c>
    </row>
    <row r="192">
      <c r="A192" s="318" t="s">
        <v>301</v>
      </c>
      <c r="B192" s="319" t="s">
        <v>245</v>
      </c>
      <c r="C192" s="320"/>
      <c r="D192" s="323" t="s">
        <v>1220</v>
      </c>
      <c r="E192" s="320"/>
      <c r="F192" s="323" t="s">
        <v>71</v>
      </c>
    </row>
    <row r="193">
      <c r="A193" s="322" t="s">
        <v>302</v>
      </c>
      <c r="B193" s="319" t="s">
        <v>245</v>
      </c>
      <c r="C193" s="320"/>
      <c r="D193" s="323" t="s">
        <v>1221</v>
      </c>
      <c r="E193" s="320"/>
      <c r="F193" s="323" t="s">
        <v>73</v>
      </c>
    </row>
    <row r="194">
      <c r="A194" s="318" t="s">
        <v>303</v>
      </c>
      <c r="B194" s="319" t="s">
        <v>245</v>
      </c>
      <c r="C194" s="320"/>
      <c r="D194" s="323" t="s">
        <v>1222</v>
      </c>
      <c r="E194" s="320"/>
      <c r="F194" s="323" t="s">
        <v>75</v>
      </c>
    </row>
    <row r="195">
      <c r="A195" s="322" t="s">
        <v>304</v>
      </c>
      <c r="B195" s="319" t="s">
        <v>245</v>
      </c>
      <c r="C195" s="320"/>
      <c r="D195" s="323" t="s">
        <v>1223</v>
      </c>
      <c r="E195" s="320"/>
      <c r="F195" s="323" t="s">
        <v>71</v>
      </c>
    </row>
    <row r="196">
      <c r="A196" s="318" t="s">
        <v>305</v>
      </c>
      <c r="B196" s="319" t="s">
        <v>245</v>
      </c>
      <c r="C196" s="320"/>
      <c r="D196" s="323" t="s">
        <v>1224</v>
      </c>
      <c r="E196" s="320"/>
      <c r="F196" s="323" t="s">
        <v>71</v>
      </c>
    </row>
    <row r="197">
      <c r="A197" s="322" t="s">
        <v>306</v>
      </c>
      <c r="B197" s="319" t="s">
        <v>245</v>
      </c>
      <c r="C197" s="320"/>
      <c r="D197" s="323" t="s">
        <v>1225</v>
      </c>
      <c r="E197" s="320"/>
      <c r="F197" s="323" t="s">
        <v>75</v>
      </c>
    </row>
    <row r="198">
      <c r="A198" s="318" t="s">
        <v>307</v>
      </c>
      <c r="B198" s="319" t="s">
        <v>1039</v>
      </c>
      <c r="C198" s="320"/>
      <c r="D198" s="323" t="s">
        <v>1226</v>
      </c>
      <c r="E198" s="320"/>
      <c r="F198" s="323" t="s">
        <v>71</v>
      </c>
    </row>
    <row r="199">
      <c r="A199" s="322" t="s">
        <v>308</v>
      </c>
      <c r="B199" s="319" t="s">
        <v>1039</v>
      </c>
      <c r="C199" s="320"/>
      <c r="D199" s="323" t="s">
        <v>1227</v>
      </c>
      <c r="E199" s="320"/>
      <c r="F199" s="323" t="s">
        <v>71</v>
      </c>
    </row>
    <row r="200">
      <c r="A200" s="318" t="s">
        <v>309</v>
      </c>
      <c r="B200" s="319" t="s">
        <v>126</v>
      </c>
      <c r="C200" s="320"/>
      <c r="D200" s="323" t="s">
        <v>1228</v>
      </c>
      <c r="E200" s="320"/>
      <c r="F200" s="323" t="s">
        <v>71</v>
      </c>
    </row>
    <row r="201">
      <c r="A201" s="322" t="s">
        <v>310</v>
      </c>
      <c r="B201" s="319" t="s">
        <v>126</v>
      </c>
      <c r="C201" s="320"/>
      <c r="D201" s="323" t="s">
        <v>1229</v>
      </c>
      <c r="E201" s="320"/>
      <c r="F201" s="323" t="s">
        <v>71</v>
      </c>
    </row>
    <row r="202">
      <c r="A202" s="318" t="s">
        <v>311</v>
      </c>
      <c r="B202" s="319" t="s">
        <v>206</v>
      </c>
      <c r="C202" s="320"/>
      <c r="D202" s="323" t="s">
        <v>1230</v>
      </c>
      <c r="E202" s="320"/>
      <c r="F202" s="323" t="s">
        <v>71</v>
      </c>
    </row>
    <row r="203">
      <c r="A203" s="322" t="s">
        <v>312</v>
      </c>
      <c r="B203" s="319" t="s">
        <v>206</v>
      </c>
      <c r="C203" s="320"/>
      <c r="D203" s="323" t="s">
        <v>1231</v>
      </c>
      <c r="E203" s="320"/>
      <c r="F203" s="323" t="s">
        <v>71</v>
      </c>
    </row>
    <row r="204">
      <c r="A204" s="318" t="s">
        <v>313</v>
      </c>
      <c r="B204" s="319" t="s">
        <v>206</v>
      </c>
      <c r="C204" s="320"/>
      <c r="D204" s="321" t="s">
        <v>1231</v>
      </c>
      <c r="E204" s="321" t="s">
        <v>1055</v>
      </c>
      <c r="F204" s="323" t="s">
        <v>77</v>
      </c>
    </row>
    <row r="205">
      <c r="A205" s="322" t="s">
        <v>314</v>
      </c>
      <c r="B205" s="319" t="s">
        <v>126</v>
      </c>
      <c r="C205" s="320"/>
      <c r="D205" s="323" t="s">
        <v>1232</v>
      </c>
      <c r="E205" s="320"/>
      <c r="F205" s="323" t="s">
        <v>71</v>
      </c>
    </row>
    <row r="206">
      <c r="A206" s="318" t="s">
        <v>315</v>
      </c>
      <c r="B206" s="319" t="s">
        <v>126</v>
      </c>
      <c r="C206" s="320"/>
      <c r="D206" s="323" t="s">
        <v>1233</v>
      </c>
      <c r="E206" s="320"/>
      <c r="F206" s="323" t="s">
        <v>73</v>
      </c>
    </row>
    <row r="207">
      <c r="A207" s="322" t="s">
        <v>316</v>
      </c>
      <c r="B207" s="319" t="s">
        <v>1039</v>
      </c>
      <c r="C207" s="320"/>
      <c r="D207" s="323" t="s">
        <v>1234</v>
      </c>
      <c r="E207" s="320"/>
      <c r="F207" s="323" t="s">
        <v>71</v>
      </c>
    </row>
    <row r="208">
      <c r="A208" s="318" t="s">
        <v>317</v>
      </c>
      <c r="B208" s="319" t="s">
        <v>1039</v>
      </c>
      <c r="C208" s="320"/>
      <c r="D208" s="323" t="s">
        <v>1235</v>
      </c>
      <c r="E208" s="320"/>
      <c r="F208" s="323" t="s">
        <v>71</v>
      </c>
    </row>
    <row r="209">
      <c r="A209" s="322" t="s">
        <v>318</v>
      </c>
      <c r="B209" s="319" t="s">
        <v>1039</v>
      </c>
      <c r="C209" s="320"/>
      <c r="D209" s="323" t="s">
        <v>1236</v>
      </c>
      <c r="E209" s="320"/>
      <c r="F209" s="323" t="s">
        <v>73</v>
      </c>
    </row>
    <row r="210">
      <c r="A210" s="318" t="s">
        <v>319</v>
      </c>
      <c r="B210" s="319" t="s">
        <v>245</v>
      </c>
      <c r="C210" s="320"/>
      <c r="D210" s="323" t="s">
        <v>1237</v>
      </c>
      <c r="E210" s="320"/>
      <c r="F210" s="323" t="s">
        <v>73</v>
      </c>
    </row>
    <row r="211">
      <c r="A211" s="322" t="s">
        <v>320</v>
      </c>
      <c r="B211" s="319" t="s">
        <v>206</v>
      </c>
      <c r="C211" s="320"/>
      <c r="D211" s="323" t="s">
        <v>1238</v>
      </c>
      <c r="E211" s="320"/>
      <c r="F211" s="323" t="s">
        <v>73</v>
      </c>
    </row>
    <row r="212">
      <c r="A212" s="318" t="s">
        <v>321</v>
      </c>
      <c r="B212" s="319" t="s">
        <v>126</v>
      </c>
      <c r="C212" s="320"/>
      <c r="D212" s="323" t="s">
        <v>1239</v>
      </c>
      <c r="E212" s="320"/>
      <c r="F212" s="323" t="s">
        <v>75</v>
      </c>
    </row>
    <row r="213">
      <c r="A213" s="322" t="s">
        <v>322</v>
      </c>
      <c r="B213" s="319" t="s">
        <v>126</v>
      </c>
      <c r="C213" s="320"/>
      <c r="D213" s="323" t="s">
        <v>1240</v>
      </c>
      <c r="E213" s="320"/>
      <c r="F213" s="323" t="s">
        <v>73</v>
      </c>
    </row>
    <row r="214">
      <c r="A214" s="318" t="s">
        <v>323</v>
      </c>
      <c r="B214" s="319" t="s">
        <v>245</v>
      </c>
      <c r="C214" s="320"/>
      <c r="D214" s="323" t="s">
        <v>1241</v>
      </c>
      <c r="E214" s="320"/>
      <c r="F214" s="323" t="s">
        <v>75</v>
      </c>
    </row>
    <row r="215">
      <c r="A215" s="322" t="s">
        <v>324</v>
      </c>
      <c r="B215" s="319" t="s">
        <v>126</v>
      </c>
      <c r="C215" s="320"/>
      <c r="D215" s="323" t="s">
        <v>1242</v>
      </c>
      <c r="E215" s="320"/>
      <c r="F215" s="323" t="s">
        <v>71</v>
      </c>
    </row>
    <row r="216">
      <c r="A216" s="318" t="s">
        <v>325</v>
      </c>
      <c r="B216" s="319" t="s">
        <v>245</v>
      </c>
      <c r="C216" s="320"/>
      <c r="D216" s="323" t="s">
        <v>1242</v>
      </c>
      <c r="E216" s="320"/>
      <c r="F216" s="323" t="s">
        <v>71</v>
      </c>
    </row>
    <row r="217">
      <c r="A217" s="322" t="s">
        <v>326</v>
      </c>
      <c r="B217" s="319" t="s">
        <v>206</v>
      </c>
      <c r="C217" s="320"/>
      <c r="D217" s="323" t="s">
        <v>1242</v>
      </c>
      <c r="E217" s="320"/>
      <c r="F217" s="323" t="s">
        <v>71</v>
      </c>
    </row>
    <row r="218">
      <c r="A218" s="318" t="s">
        <v>327</v>
      </c>
      <c r="B218" s="319" t="s">
        <v>245</v>
      </c>
      <c r="C218" s="320"/>
      <c r="D218" s="323" t="s">
        <v>1243</v>
      </c>
      <c r="E218" s="320"/>
      <c r="F218" s="323" t="s">
        <v>73</v>
      </c>
    </row>
    <row r="219">
      <c r="A219" s="322" t="s">
        <v>328</v>
      </c>
      <c r="B219" s="319" t="s">
        <v>245</v>
      </c>
      <c r="C219" s="320"/>
      <c r="D219" s="323" t="s">
        <v>1244</v>
      </c>
      <c r="E219" s="320"/>
      <c r="F219" s="323" t="s">
        <v>75</v>
      </c>
    </row>
    <row r="220">
      <c r="A220" s="318" t="s">
        <v>329</v>
      </c>
      <c r="B220" s="319" t="s">
        <v>206</v>
      </c>
      <c r="C220" s="320"/>
      <c r="D220" s="323" t="s">
        <v>1245</v>
      </c>
      <c r="E220" s="320"/>
      <c r="F220" s="323" t="s">
        <v>75</v>
      </c>
    </row>
    <row r="221">
      <c r="A221" s="322" t="s">
        <v>330</v>
      </c>
      <c r="B221" s="319" t="s">
        <v>1039</v>
      </c>
      <c r="C221" s="320"/>
      <c r="D221" s="323" t="s">
        <v>1246</v>
      </c>
      <c r="E221" s="320"/>
      <c r="F221" s="323" t="s">
        <v>71</v>
      </c>
    </row>
    <row r="222">
      <c r="A222" s="318" t="s">
        <v>331</v>
      </c>
      <c r="B222" s="319" t="s">
        <v>1039</v>
      </c>
      <c r="C222" s="320"/>
      <c r="D222" s="323" t="s">
        <v>1247</v>
      </c>
      <c r="E222" s="320"/>
      <c r="F222" s="323" t="s">
        <v>73</v>
      </c>
    </row>
    <row r="223">
      <c r="A223" s="322" t="s">
        <v>332</v>
      </c>
      <c r="B223" s="319" t="s">
        <v>1039</v>
      </c>
      <c r="C223" s="320"/>
      <c r="D223" s="323" t="s">
        <v>1248</v>
      </c>
      <c r="E223" s="320"/>
      <c r="F223" s="323" t="s">
        <v>71</v>
      </c>
    </row>
    <row r="224">
      <c r="A224" s="318" t="s">
        <v>333</v>
      </c>
      <c r="B224" s="319" t="s">
        <v>1039</v>
      </c>
      <c r="C224" s="320"/>
      <c r="D224" s="323" t="s">
        <v>1249</v>
      </c>
      <c r="E224" s="320"/>
      <c r="F224" s="323" t="s">
        <v>71</v>
      </c>
    </row>
    <row r="225">
      <c r="A225" s="322" t="s">
        <v>334</v>
      </c>
      <c r="B225" s="319" t="s">
        <v>206</v>
      </c>
      <c r="C225" s="320"/>
      <c r="D225" s="323" t="s">
        <v>1250</v>
      </c>
      <c r="E225" s="320"/>
      <c r="F225" s="323" t="s">
        <v>71</v>
      </c>
    </row>
    <row r="226">
      <c r="A226" s="318" t="s">
        <v>335</v>
      </c>
      <c r="B226" s="319" t="s">
        <v>126</v>
      </c>
      <c r="C226" s="320"/>
      <c r="D226" s="323" t="s">
        <v>1251</v>
      </c>
      <c r="E226" s="320"/>
      <c r="F226" s="323" t="s">
        <v>71</v>
      </c>
    </row>
    <row r="227">
      <c r="A227" s="322" t="s">
        <v>336</v>
      </c>
      <c r="B227" s="319" t="s">
        <v>245</v>
      </c>
      <c r="C227" s="320"/>
      <c r="D227" s="323" t="s">
        <v>1252</v>
      </c>
      <c r="E227" s="320"/>
      <c r="F227" s="323" t="s">
        <v>71</v>
      </c>
    </row>
    <row r="228">
      <c r="A228" s="318" t="s">
        <v>337</v>
      </c>
      <c r="B228" s="319" t="s">
        <v>126</v>
      </c>
      <c r="C228" s="320"/>
      <c r="D228" s="323" t="s">
        <v>1253</v>
      </c>
      <c r="E228" s="320"/>
      <c r="F228" s="323" t="s">
        <v>73</v>
      </c>
    </row>
    <row r="229">
      <c r="A229" s="322" t="s">
        <v>338</v>
      </c>
      <c r="B229" s="319" t="s">
        <v>206</v>
      </c>
      <c r="C229" s="320"/>
      <c r="D229" s="323" t="s">
        <v>1254</v>
      </c>
      <c r="E229" s="320"/>
      <c r="F229" s="323" t="s">
        <v>73</v>
      </c>
    </row>
    <row r="230">
      <c r="A230" s="318" t="s">
        <v>339</v>
      </c>
      <c r="B230" s="319" t="s">
        <v>126</v>
      </c>
      <c r="C230" s="320"/>
      <c r="D230" s="323" t="s">
        <v>1255</v>
      </c>
      <c r="E230" s="320"/>
      <c r="F230" s="323" t="s">
        <v>73</v>
      </c>
    </row>
    <row r="231">
      <c r="A231" s="322" t="s">
        <v>340</v>
      </c>
      <c r="B231" s="319" t="s">
        <v>245</v>
      </c>
      <c r="C231" s="320"/>
      <c r="D231" s="323" t="s">
        <v>1256</v>
      </c>
      <c r="E231" s="320"/>
      <c r="F231" s="323" t="s">
        <v>73</v>
      </c>
    </row>
    <row r="232">
      <c r="A232" s="318" t="s">
        <v>341</v>
      </c>
      <c r="B232" s="319" t="s">
        <v>245</v>
      </c>
      <c r="C232" s="320"/>
      <c r="D232" s="323" t="s">
        <v>1257</v>
      </c>
      <c r="E232" s="320"/>
      <c r="F232" s="323" t="s">
        <v>73</v>
      </c>
    </row>
    <row r="233">
      <c r="A233" s="322" t="s">
        <v>342</v>
      </c>
      <c r="B233" s="319" t="s">
        <v>206</v>
      </c>
      <c r="C233" s="320"/>
      <c r="D233" s="323" t="s">
        <v>1258</v>
      </c>
      <c r="E233" s="320"/>
      <c r="F233" s="323" t="s">
        <v>73</v>
      </c>
    </row>
    <row r="234">
      <c r="A234" s="318" t="s">
        <v>343</v>
      </c>
      <c r="B234" s="319" t="s">
        <v>126</v>
      </c>
      <c r="C234" s="320"/>
      <c r="D234" s="323" t="s">
        <v>1259</v>
      </c>
      <c r="E234" s="320"/>
      <c r="F234" s="323" t="s">
        <v>73</v>
      </c>
    </row>
    <row r="235">
      <c r="A235" s="322" t="s">
        <v>344</v>
      </c>
      <c r="B235" s="319" t="s">
        <v>206</v>
      </c>
      <c r="C235" s="320"/>
      <c r="D235" s="323" t="s">
        <v>1260</v>
      </c>
      <c r="E235" s="320"/>
      <c r="F235" s="323" t="s">
        <v>73</v>
      </c>
    </row>
    <row r="236">
      <c r="A236" s="318" t="s">
        <v>345</v>
      </c>
      <c r="B236" s="319" t="s">
        <v>245</v>
      </c>
      <c r="C236" s="320"/>
      <c r="D236" s="323" t="s">
        <v>1052</v>
      </c>
      <c r="E236" s="320"/>
      <c r="F236" s="323" t="s">
        <v>79</v>
      </c>
    </row>
    <row r="237">
      <c r="A237" s="322" t="s">
        <v>346</v>
      </c>
      <c r="B237" s="319" t="s">
        <v>126</v>
      </c>
      <c r="C237" s="320"/>
      <c r="D237" s="323" t="s">
        <v>1063</v>
      </c>
      <c r="E237" s="320"/>
      <c r="F237" s="323" t="s">
        <v>79</v>
      </c>
    </row>
    <row r="238">
      <c r="A238" s="318" t="s">
        <v>347</v>
      </c>
      <c r="B238" s="319" t="s">
        <v>126</v>
      </c>
      <c r="C238" s="320"/>
      <c r="D238" s="323" t="s">
        <v>1076</v>
      </c>
      <c r="E238" s="320"/>
      <c r="F238" s="323" t="s">
        <v>79</v>
      </c>
    </row>
    <row r="239">
      <c r="A239" s="322" t="s">
        <v>348</v>
      </c>
      <c r="B239" s="319" t="s">
        <v>126</v>
      </c>
      <c r="C239" s="320"/>
      <c r="D239" s="323" t="s">
        <v>1083</v>
      </c>
      <c r="E239" s="320"/>
      <c r="F239" s="323" t="s">
        <v>79</v>
      </c>
    </row>
    <row r="240">
      <c r="A240" s="318" t="s">
        <v>349</v>
      </c>
      <c r="B240" s="319" t="s">
        <v>126</v>
      </c>
      <c r="C240" s="320"/>
      <c r="D240" s="323" t="s">
        <v>1090</v>
      </c>
      <c r="E240" s="320"/>
      <c r="F240" s="323" t="s">
        <v>79</v>
      </c>
    </row>
    <row r="241">
      <c r="A241" s="322" t="s">
        <v>350</v>
      </c>
      <c r="B241" s="319" t="s">
        <v>206</v>
      </c>
      <c r="C241" s="320"/>
      <c r="D241" s="323" t="s">
        <v>1099</v>
      </c>
      <c r="E241" s="320"/>
      <c r="F241" s="323" t="s">
        <v>79</v>
      </c>
    </row>
    <row r="242">
      <c r="A242" s="318" t="s">
        <v>351</v>
      </c>
      <c r="B242" s="319" t="s">
        <v>206</v>
      </c>
      <c r="C242" s="320"/>
      <c r="D242" s="323" t="s">
        <v>1122</v>
      </c>
      <c r="E242" s="320"/>
      <c r="F242" s="323" t="s">
        <v>79</v>
      </c>
    </row>
    <row r="243">
      <c r="A243" s="322" t="s">
        <v>352</v>
      </c>
      <c r="B243" s="319" t="s">
        <v>126</v>
      </c>
      <c r="C243" s="320"/>
      <c r="D243" s="323" t="s">
        <v>1123</v>
      </c>
      <c r="E243" s="320"/>
      <c r="F243" s="323" t="s">
        <v>79</v>
      </c>
    </row>
    <row r="244">
      <c r="A244" s="318" t="s">
        <v>353</v>
      </c>
      <c r="B244" s="319" t="s">
        <v>206</v>
      </c>
      <c r="C244" s="320"/>
      <c r="D244" s="323" t="s">
        <v>1142</v>
      </c>
      <c r="E244" s="320"/>
      <c r="F244" s="323" t="s">
        <v>79</v>
      </c>
    </row>
    <row r="245">
      <c r="A245" s="322" t="s">
        <v>354</v>
      </c>
      <c r="B245" s="319" t="s">
        <v>126</v>
      </c>
      <c r="C245" s="320"/>
      <c r="D245" s="323" t="s">
        <v>1158</v>
      </c>
      <c r="E245" s="320"/>
      <c r="F245" s="323" t="s">
        <v>79</v>
      </c>
    </row>
    <row r="246">
      <c r="A246" s="318" t="s">
        <v>355</v>
      </c>
      <c r="B246" s="319" t="s">
        <v>126</v>
      </c>
      <c r="C246" s="320"/>
      <c r="D246" s="323" t="s">
        <v>1159</v>
      </c>
      <c r="E246" s="320"/>
      <c r="F246" s="323" t="s">
        <v>79</v>
      </c>
    </row>
    <row r="247">
      <c r="A247" s="322" t="s">
        <v>356</v>
      </c>
      <c r="B247" s="319" t="s">
        <v>206</v>
      </c>
      <c r="C247" s="320"/>
      <c r="D247" s="323" t="s">
        <v>1178</v>
      </c>
      <c r="E247" s="320"/>
      <c r="F247" s="323" t="s">
        <v>79</v>
      </c>
    </row>
    <row r="248">
      <c r="A248" s="318" t="s">
        <v>357</v>
      </c>
      <c r="B248" s="319" t="s">
        <v>245</v>
      </c>
      <c r="C248" s="320"/>
      <c r="D248" s="323" t="s">
        <v>1189</v>
      </c>
      <c r="E248" s="320"/>
      <c r="F248" s="323" t="s">
        <v>79</v>
      </c>
    </row>
    <row r="249">
      <c r="A249" s="322" t="s">
        <v>358</v>
      </c>
      <c r="B249" s="319" t="s">
        <v>206</v>
      </c>
      <c r="C249" s="320"/>
      <c r="D249" s="323" t="s">
        <v>1205</v>
      </c>
      <c r="E249" s="320"/>
      <c r="F249" s="323" t="s">
        <v>79</v>
      </c>
    </row>
    <row r="250">
      <c r="A250" s="318" t="s">
        <v>359</v>
      </c>
      <c r="B250" s="319" t="s">
        <v>206</v>
      </c>
      <c r="C250" s="320"/>
      <c r="D250" s="323" t="s">
        <v>1208</v>
      </c>
      <c r="E250" s="320"/>
      <c r="F250" s="323" t="s">
        <v>79</v>
      </c>
    </row>
    <row r="251">
      <c r="A251" s="322" t="s">
        <v>360</v>
      </c>
      <c r="B251" s="319" t="s">
        <v>245</v>
      </c>
      <c r="C251" s="320"/>
      <c r="D251" s="323" t="s">
        <v>1210</v>
      </c>
      <c r="E251" s="320"/>
      <c r="F251" s="323" t="s">
        <v>79</v>
      </c>
    </row>
    <row r="252">
      <c r="A252" s="318" t="s">
        <v>361</v>
      </c>
      <c r="B252" s="319" t="s">
        <v>245</v>
      </c>
      <c r="C252" s="320"/>
      <c r="D252" s="323" t="s">
        <v>1214</v>
      </c>
      <c r="E252" s="320"/>
      <c r="F252" s="323" t="s">
        <v>79</v>
      </c>
    </row>
    <row r="253">
      <c r="A253" s="322" t="s">
        <v>362</v>
      </c>
      <c r="B253" s="319" t="s">
        <v>245</v>
      </c>
      <c r="C253" s="320"/>
      <c r="D253" s="323" t="s">
        <v>1222</v>
      </c>
      <c r="E253" s="320"/>
      <c r="F253" s="323" t="s">
        <v>79</v>
      </c>
    </row>
    <row r="254">
      <c r="A254" s="318" t="s">
        <v>363</v>
      </c>
      <c r="B254" s="319" t="s">
        <v>245</v>
      </c>
      <c r="C254" s="320"/>
      <c r="D254" s="323" t="s">
        <v>1225</v>
      </c>
      <c r="E254" s="320"/>
      <c r="F254" s="323" t="s">
        <v>79</v>
      </c>
    </row>
    <row r="255">
      <c r="A255" s="322" t="s">
        <v>364</v>
      </c>
      <c r="B255" s="319" t="s">
        <v>126</v>
      </c>
      <c r="C255" s="320"/>
      <c r="D255" s="323" t="s">
        <v>1232</v>
      </c>
      <c r="E255" s="320"/>
      <c r="F255" s="323" t="s">
        <v>79</v>
      </c>
    </row>
    <row r="256">
      <c r="A256" s="318" t="s">
        <v>365</v>
      </c>
      <c r="B256" s="319" t="s">
        <v>245</v>
      </c>
      <c r="C256" s="320"/>
      <c r="D256" s="323" t="s">
        <v>1241</v>
      </c>
      <c r="E256" s="320"/>
      <c r="F256" s="323" t="s">
        <v>79</v>
      </c>
    </row>
    <row r="257">
      <c r="A257" s="322" t="s">
        <v>366</v>
      </c>
      <c r="B257" s="319" t="s">
        <v>206</v>
      </c>
      <c r="C257" s="320"/>
      <c r="D257" s="323" t="s">
        <v>1242</v>
      </c>
      <c r="E257" s="320"/>
      <c r="F257" s="323" t="s">
        <v>79</v>
      </c>
    </row>
    <row r="258">
      <c r="A258" s="318" t="s">
        <v>367</v>
      </c>
      <c r="B258" s="319" t="s">
        <v>245</v>
      </c>
      <c r="C258" s="320"/>
      <c r="D258" s="323" t="s">
        <v>1243</v>
      </c>
      <c r="E258" s="320"/>
      <c r="F258" s="323" t="s">
        <v>79</v>
      </c>
    </row>
    <row r="259">
      <c r="A259" s="322" t="s">
        <v>368</v>
      </c>
      <c r="B259" s="319" t="s">
        <v>206</v>
      </c>
      <c r="C259" s="320"/>
      <c r="D259" s="323" t="s">
        <v>1245</v>
      </c>
      <c r="E259" s="320"/>
      <c r="F259" s="323" t="s">
        <v>79</v>
      </c>
    </row>
    <row r="260">
      <c r="A260" s="318" t="s">
        <v>369</v>
      </c>
      <c r="B260" s="319" t="s">
        <v>245</v>
      </c>
      <c r="C260" s="320"/>
      <c r="D260" s="321" t="s">
        <v>1054</v>
      </c>
      <c r="E260" s="321" t="s">
        <v>1055</v>
      </c>
      <c r="F260" s="323" t="s">
        <v>81</v>
      </c>
    </row>
    <row r="261">
      <c r="A261" s="322" t="s">
        <v>370</v>
      </c>
      <c r="B261" s="319" t="s">
        <v>126</v>
      </c>
      <c r="C261" s="320"/>
      <c r="D261" s="321" t="s">
        <v>1073</v>
      </c>
      <c r="E261" s="321" t="s">
        <v>1055</v>
      </c>
      <c r="F261" s="323" t="s">
        <v>81</v>
      </c>
    </row>
    <row r="262">
      <c r="A262" s="318" t="s">
        <v>371</v>
      </c>
      <c r="B262" s="319" t="s">
        <v>126</v>
      </c>
      <c r="C262" s="320"/>
      <c r="D262" s="321" t="s">
        <v>25</v>
      </c>
      <c r="E262" s="321" t="s">
        <v>1055</v>
      </c>
      <c r="F262" s="323" t="s">
        <v>81</v>
      </c>
    </row>
    <row r="263">
      <c r="A263" s="322" t="s">
        <v>374</v>
      </c>
      <c r="B263" s="319" t="s">
        <v>206</v>
      </c>
      <c r="C263" s="320"/>
      <c r="D263" s="321" t="s">
        <v>1088</v>
      </c>
      <c r="E263" s="321" t="s">
        <v>1055</v>
      </c>
      <c r="F263" s="323" t="s">
        <v>81</v>
      </c>
    </row>
    <row r="264">
      <c r="A264" s="318" t="s">
        <v>375</v>
      </c>
      <c r="B264" s="319" t="s">
        <v>126</v>
      </c>
      <c r="C264" s="320"/>
      <c r="D264" s="321" t="s">
        <v>1093</v>
      </c>
      <c r="E264" s="321" t="s">
        <v>1055</v>
      </c>
      <c r="F264" s="323" t="s">
        <v>81</v>
      </c>
    </row>
    <row r="265">
      <c r="A265" s="322" t="s">
        <v>376</v>
      </c>
      <c r="B265" s="319" t="s">
        <v>206</v>
      </c>
      <c r="C265" s="320"/>
      <c r="D265" s="321" t="s">
        <v>1101</v>
      </c>
      <c r="E265" s="321" t="s">
        <v>1055</v>
      </c>
      <c r="F265" s="323" t="s">
        <v>81</v>
      </c>
    </row>
    <row r="266">
      <c r="A266" s="318" t="s">
        <v>377</v>
      </c>
      <c r="B266" s="319" t="s">
        <v>126</v>
      </c>
      <c r="C266" s="320"/>
      <c r="D266" s="321" t="s">
        <v>1120</v>
      </c>
      <c r="E266" s="321" t="s">
        <v>1055</v>
      </c>
      <c r="F266" s="323" t="s">
        <v>81</v>
      </c>
    </row>
    <row r="267">
      <c r="A267" s="322" t="s">
        <v>380</v>
      </c>
      <c r="B267" s="319" t="s">
        <v>245</v>
      </c>
      <c r="C267" s="320"/>
      <c r="D267" s="321" t="s">
        <v>1127</v>
      </c>
      <c r="E267" s="321" t="s">
        <v>1055</v>
      </c>
      <c r="F267" s="323" t="s">
        <v>81</v>
      </c>
    </row>
    <row r="268">
      <c r="A268" s="318" t="s">
        <v>382</v>
      </c>
      <c r="B268" s="319" t="s">
        <v>206</v>
      </c>
      <c r="C268" s="320"/>
      <c r="D268" s="321" t="s">
        <v>1137</v>
      </c>
      <c r="E268" s="321" t="s">
        <v>1055</v>
      </c>
      <c r="F268" s="323" t="s">
        <v>81</v>
      </c>
    </row>
    <row r="269">
      <c r="A269" s="322" t="s">
        <v>384</v>
      </c>
      <c r="B269" s="319" t="s">
        <v>206</v>
      </c>
      <c r="C269" s="320"/>
      <c r="D269" s="321" t="s">
        <v>1145</v>
      </c>
      <c r="E269" s="321" t="s">
        <v>1055</v>
      </c>
      <c r="F269" s="323" t="s">
        <v>81</v>
      </c>
    </row>
    <row r="270">
      <c r="A270" s="318" t="s">
        <v>386</v>
      </c>
      <c r="B270" s="319" t="s">
        <v>245</v>
      </c>
      <c r="C270" s="320"/>
      <c r="D270" s="321" t="s">
        <v>1163</v>
      </c>
      <c r="E270" s="321" t="s">
        <v>1055</v>
      </c>
      <c r="F270" s="323" t="s">
        <v>81</v>
      </c>
    </row>
    <row r="271">
      <c r="A271" s="322" t="s">
        <v>388</v>
      </c>
      <c r="B271" s="319" t="s">
        <v>245</v>
      </c>
      <c r="C271" s="320"/>
      <c r="D271" s="321" t="s">
        <v>1168</v>
      </c>
      <c r="E271" s="321" t="s">
        <v>1055</v>
      </c>
      <c r="F271" s="323" t="s">
        <v>81</v>
      </c>
    </row>
    <row r="272">
      <c r="A272" s="318" t="s">
        <v>390</v>
      </c>
      <c r="B272" s="319" t="s">
        <v>126</v>
      </c>
      <c r="C272" s="320"/>
      <c r="D272" s="321" t="s">
        <v>1184</v>
      </c>
      <c r="E272" s="321" t="s">
        <v>1055</v>
      </c>
      <c r="F272" s="323" t="s">
        <v>81</v>
      </c>
    </row>
    <row r="273">
      <c r="A273" s="322" t="s">
        <v>392</v>
      </c>
      <c r="B273" s="319" t="s">
        <v>245</v>
      </c>
      <c r="C273" s="320"/>
      <c r="D273" s="321" t="s">
        <v>1190</v>
      </c>
      <c r="E273" s="321" t="s">
        <v>1055</v>
      </c>
      <c r="F273" s="323" t="s">
        <v>81</v>
      </c>
    </row>
    <row r="274">
      <c r="A274" s="318" t="s">
        <v>394</v>
      </c>
      <c r="B274" s="319" t="s">
        <v>206</v>
      </c>
      <c r="C274" s="320"/>
      <c r="D274" s="321" t="s">
        <v>1231</v>
      </c>
      <c r="E274" s="321" t="s">
        <v>1055</v>
      </c>
      <c r="F274" s="323" t="s">
        <v>81</v>
      </c>
    </row>
    <row r="275">
      <c r="A275" s="322" t="s">
        <v>396</v>
      </c>
      <c r="B275" s="319" t="s">
        <v>126</v>
      </c>
      <c r="C275" s="320"/>
      <c r="D275" s="323" t="s">
        <v>1253</v>
      </c>
      <c r="E275" s="320"/>
      <c r="F275" s="323" t="s">
        <v>81</v>
      </c>
    </row>
    <row r="276">
      <c r="A276" s="318" t="s">
        <v>398</v>
      </c>
      <c r="B276" s="319" t="s">
        <v>206</v>
      </c>
      <c r="C276" s="320"/>
      <c r="D276" s="323" t="s">
        <v>1254</v>
      </c>
      <c r="E276" s="320"/>
      <c r="F276" s="323" t="s">
        <v>81</v>
      </c>
    </row>
    <row r="277">
      <c r="A277" s="322" t="s">
        <v>400</v>
      </c>
      <c r="B277" s="319" t="s">
        <v>126</v>
      </c>
      <c r="C277" s="320"/>
      <c r="D277" s="323" t="s">
        <v>1255</v>
      </c>
      <c r="E277" s="320"/>
      <c r="F277" s="323" t="s">
        <v>81</v>
      </c>
    </row>
    <row r="278">
      <c r="A278" s="318" t="s">
        <v>402</v>
      </c>
      <c r="B278" s="319" t="s">
        <v>245</v>
      </c>
      <c r="C278" s="320"/>
      <c r="D278" s="323" t="s">
        <v>1256</v>
      </c>
      <c r="E278" s="320"/>
      <c r="F278" s="323" t="s">
        <v>81</v>
      </c>
    </row>
    <row r="279">
      <c r="A279" s="322" t="s">
        <v>404</v>
      </c>
      <c r="B279" s="319" t="s">
        <v>245</v>
      </c>
      <c r="C279" s="320"/>
      <c r="D279" s="323" t="s">
        <v>1257</v>
      </c>
      <c r="E279" s="320"/>
      <c r="F279" s="323" t="s">
        <v>81</v>
      </c>
    </row>
    <row r="280">
      <c r="A280" s="318" t="s">
        <v>406</v>
      </c>
      <c r="B280" s="319" t="s">
        <v>206</v>
      </c>
      <c r="C280" s="320"/>
      <c r="D280" s="323" t="s">
        <v>1258</v>
      </c>
      <c r="E280" s="320"/>
      <c r="F280" s="323" t="s">
        <v>81</v>
      </c>
    </row>
    <row r="281">
      <c r="A281" s="322" t="s">
        <v>408</v>
      </c>
      <c r="B281" s="319" t="s">
        <v>126</v>
      </c>
      <c r="C281" s="320"/>
      <c r="D281" s="323" t="s">
        <v>1259</v>
      </c>
      <c r="E281" s="320"/>
      <c r="F281" s="323" t="s">
        <v>81</v>
      </c>
    </row>
    <row r="282">
      <c r="A282" s="318" t="s">
        <v>410</v>
      </c>
      <c r="B282" s="319" t="s">
        <v>206</v>
      </c>
      <c r="C282" s="320"/>
      <c r="D282" s="323" t="s">
        <v>1260</v>
      </c>
      <c r="E282" s="320"/>
      <c r="F282" s="323" t="s">
        <v>81</v>
      </c>
    </row>
    <row r="283">
      <c r="A283" s="322" t="s">
        <v>412</v>
      </c>
      <c r="B283" s="319" t="s">
        <v>126</v>
      </c>
      <c r="C283" s="320"/>
      <c r="D283" s="321" t="s">
        <v>1093</v>
      </c>
      <c r="E283" s="321" t="s">
        <v>1055</v>
      </c>
      <c r="F283" s="323" t="s">
        <v>81</v>
      </c>
    </row>
    <row r="284">
      <c r="A284" s="318" t="s">
        <v>414</v>
      </c>
      <c r="B284" s="319" t="s">
        <v>245</v>
      </c>
      <c r="C284" s="320"/>
      <c r="D284" s="321" t="s">
        <v>1127</v>
      </c>
      <c r="E284" s="321" t="s">
        <v>1055</v>
      </c>
      <c r="F284" s="323" t="s">
        <v>81</v>
      </c>
    </row>
    <row r="285">
      <c r="A285" s="322" t="s">
        <v>416</v>
      </c>
      <c r="B285" s="319" t="s">
        <v>206</v>
      </c>
      <c r="C285" s="320"/>
      <c r="D285" s="321" t="s">
        <v>1145</v>
      </c>
      <c r="E285" s="321" t="s">
        <v>1055</v>
      </c>
      <c r="F285" s="323" t="s">
        <v>81</v>
      </c>
    </row>
    <row r="286">
      <c r="A286" s="318" t="s">
        <v>418</v>
      </c>
      <c r="B286" s="319" t="s">
        <v>245</v>
      </c>
      <c r="C286" s="320"/>
      <c r="D286" s="321" t="s">
        <v>1163</v>
      </c>
      <c r="E286" s="321" t="s">
        <v>1055</v>
      </c>
      <c r="F286" s="323" t="s">
        <v>81</v>
      </c>
    </row>
    <row r="287">
      <c r="A287" s="322" t="s">
        <v>422</v>
      </c>
      <c r="B287" s="319" t="s">
        <v>126</v>
      </c>
      <c r="C287" s="320"/>
      <c r="D287" s="321" t="s">
        <v>1184</v>
      </c>
      <c r="E287" s="321" t="s">
        <v>1055</v>
      </c>
      <c r="F287" s="323" t="s">
        <v>81</v>
      </c>
    </row>
    <row r="288">
      <c r="A288" s="318" t="s">
        <v>425</v>
      </c>
      <c r="B288" s="319" t="s">
        <v>206</v>
      </c>
      <c r="C288" s="320"/>
      <c r="D288" s="321" t="s">
        <v>1231</v>
      </c>
      <c r="E288" s="321" t="s">
        <v>1055</v>
      </c>
      <c r="F288" s="323" t="s">
        <v>81</v>
      </c>
    </row>
    <row r="289">
      <c r="A289" s="322" t="s">
        <v>428</v>
      </c>
      <c r="B289" s="319" t="s">
        <v>126</v>
      </c>
      <c r="C289" s="320"/>
      <c r="D289" s="321" t="s">
        <v>25</v>
      </c>
      <c r="E289" s="321" t="s">
        <v>1055</v>
      </c>
      <c r="F289" s="323" t="s">
        <v>83</v>
      </c>
    </row>
    <row r="290">
      <c r="A290" s="318" t="s">
        <v>431</v>
      </c>
      <c r="B290" s="319" t="s">
        <v>206</v>
      </c>
      <c r="C290" s="320"/>
      <c r="D290" s="321" t="s">
        <v>1137</v>
      </c>
      <c r="E290" s="321" t="s">
        <v>1055</v>
      </c>
      <c r="F290" s="323" t="s">
        <v>83</v>
      </c>
    </row>
    <row r="291">
      <c r="A291" s="322" t="s">
        <v>434</v>
      </c>
      <c r="B291" s="319" t="s">
        <v>245</v>
      </c>
      <c r="C291" s="320"/>
      <c r="D291" s="321" t="s">
        <v>1168</v>
      </c>
      <c r="E291" s="321" t="s">
        <v>1055</v>
      </c>
      <c r="F291" s="323" t="s">
        <v>83</v>
      </c>
    </row>
    <row r="292">
      <c r="A292" s="318" t="s">
        <v>437</v>
      </c>
      <c r="B292" s="324" t="s">
        <v>1041</v>
      </c>
      <c r="C292" s="320"/>
      <c r="D292" s="323" t="s">
        <v>27</v>
      </c>
      <c r="E292" s="320"/>
      <c r="F292" s="321" t="s">
        <v>83</v>
      </c>
    </row>
    <row r="293">
      <c r="A293" s="322" t="s">
        <v>441</v>
      </c>
      <c r="B293" s="319" t="s">
        <v>1039</v>
      </c>
      <c r="C293" s="320"/>
      <c r="D293" s="321" t="s">
        <v>25</v>
      </c>
      <c r="E293" s="321" t="s">
        <v>1055</v>
      </c>
      <c r="F293" s="323" t="s">
        <v>85</v>
      </c>
    </row>
    <row r="294">
      <c r="A294" s="318" t="s">
        <v>444</v>
      </c>
      <c r="B294" s="319" t="s">
        <v>1039</v>
      </c>
      <c r="C294" s="320"/>
      <c r="D294" s="321" t="s">
        <v>1137</v>
      </c>
      <c r="E294" s="321" t="s">
        <v>1055</v>
      </c>
      <c r="F294" s="323" t="s">
        <v>85</v>
      </c>
    </row>
    <row r="295">
      <c r="A295" s="322" t="s">
        <v>447</v>
      </c>
      <c r="B295" s="319" t="s">
        <v>1039</v>
      </c>
      <c r="C295" s="320"/>
      <c r="D295" s="321" t="s">
        <v>1168</v>
      </c>
      <c r="E295" s="321" t="s">
        <v>1055</v>
      </c>
      <c r="F295" s="320" t="s">
        <v>85</v>
      </c>
    </row>
    <row r="296">
      <c r="A296" s="325" t="s">
        <v>965</v>
      </c>
      <c r="B296" s="324" t="s">
        <v>1045</v>
      </c>
      <c r="C296" s="320"/>
      <c r="D296" s="323" t="s">
        <v>1261</v>
      </c>
      <c r="E296" s="320"/>
      <c r="F296" s="321"/>
    </row>
    <row r="297">
      <c r="A297" s="326" t="s">
        <v>966</v>
      </c>
      <c r="B297" s="324" t="s">
        <v>1045</v>
      </c>
      <c r="C297" s="320"/>
      <c r="D297" s="323" t="s">
        <v>1262</v>
      </c>
      <c r="E297" s="320"/>
      <c r="F297" s="321"/>
    </row>
    <row r="298">
      <c r="A298" s="325" t="s">
        <v>967</v>
      </c>
      <c r="B298" s="324" t="s">
        <v>1045</v>
      </c>
      <c r="C298" s="320"/>
      <c r="D298" s="323" t="s">
        <v>1263</v>
      </c>
      <c r="E298" s="320"/>
      <c r="F298" s="321"/>
    </row>
    <row r="299">
      <c r="A299" s="326" t="s">
        <v>968</v>
      </c>
      <c r="B299" s="324" t="s">
        <v>1045</v>
      </c>
      <c r="C299" s="320"/>
      <c r="D299" s="323" t="s">
        <v>1264</v>
      </c>
      <c r="E299" s="320"/>
      <c r="F299" s="321"/>
    </row>
    <row r="300">
      <c r="A300" s="325" t="s">
        <v>969</v>
      </c>
      <c r="B300" s="324" t="s">
        <v>1045</v>
      </c>
      <c r="C300" s="320"/>
      <c r="D300" s="323" t="s">
        <v>1265</v>
      </c>
      <c r="E300" s="320"/>
      <c r="F300" s="321"/>
    </row>
    <row r="301">
      <c r="A301" s="326" t="s">
        <v>970</v>
      </c>
      <c r="B301" s="324" t="s">
        <v>1045</v>
      </c>
      <c r="C301" s="320"/>
      <c r="D301" s="323" t="s">
        <v>1266</v>
      </c>
      <c r="E301" s="320"/>
      <c r="F301" s="321"/>
    </row>
    <row r="302">
      <c r="A302" s="325" t="s">
        <v>971</v>
      </c>
      <c r="B302" s="324" t="s">
        <v>1045</v>
      </c>
      <c r="C302" s="320"/>
      <c r="D302" s="323" t="s">
        <v>1267</v>
      </c>
      <c r="E302" s="320"/>
      <c r="F302" s="321"/>
    </row>
    <row r="303">
      <c r="A303" s="326" t="s">
        <v>972</v>
      </c>
      <c r="B303" s="324" t="s">
        <v>1050</v>
      </c>
      <c r="C303" s="320"/>
      <c r="D303" s="321" t="s">
        <v>1264</v>
      </c>
      <c r="E303" s="320"/>
      <c r="F303" s="321"/>
    </row>
    <row r="304">
      <c r="A304" s="325" t="s">
        <v>973</v>
      </c>
      <c r="B304" s="324" t="s">
        <v>1045</v>
      </c>
      <c r="C304" s="320"/>
      <c r="D304" s="323" t="s">
        <v>1137</v>
      </c>
      <c r="E304" s="320"/>
      <c r="F304" s="321"/>
    </row>
    <row r="305">
      <c r="A305" s="326" t="s">
        <v>974</v>
      </c>
      <c r="B305" s="324" t="s">
        <v>1043</v>
      </c>
      <c r="C305" s="320"/>
      <c r="D305" s="323" t="s">
        <v>1168</v>
      </c>
      <c r="E305" s="320"/>
      <c r="F305" s="321"/>
    </row>
    <row r="306">
      <c r="A306" s="325" t="s">
        <v>975</v>
      </c>
      <c r="B306" s="324" t="s">
        <v>1046</v>
      </c>
      <c r="C306" s="320"/>
      <c r="D306" s="323" t="s">
        <v>1238</v>
      </c>
      <c r="E306" s="320"/>
      <c r="F306" s="321"/>
    </row>
    <row r="307">
      <c r="A307" s="326" t="s">
        <v>976</v>
      </c>
      <c r="B307" s="324" t="s">
        <v>1046</v>
      </c>
      <c r="C307" s="320"/>
      <c r="D307" s="323" t="s">
        <v>1232</v>
      </c>
      <c r="E307" s="320"/>
      <c r="F307" s="321"/>
    </row>
    <row r="308">
      <c r="A308" s="325" t="s">
        <v>977</v>
      </c>
      <c r="B308" s="324" t="s">
        <v>1048</v>
      </c>
      <c r="C308" s="320"/>
      <c r="D308" s="323" t="s">
        <v>1058</v>
      </c>
      <c r="E308" s="320"/>
      <c r="F308" s="321"/>
    </row>
    <row r="309">
      <c r="A309" s="326" t="s">
        <v>978</v>
      </c>
      <c r="B309" s="324" t="s">
        <v>1048</v>
      </c>
      <c r="C309" s="320"/>
      <c r="D309" s="321" t="s">
        <v>1123</v>
      </c>
      <c r="E309" s="321" t="s">
        <v>1055</v>
      </c>
      <c r="F309" s="321"/>
    </row>
    <row r="310">
      <c r="A310" s="325" t="s">
        <v>979</v>
      </c>
      <c r="B310" s="324" t="s">
        <v>1048</v>
      </c>
      <c r="C310" s="320"/>
      <c r="D310" s="323" t="s">
        <v>1137</v>
      </c>
      <c r="E310" s="320"/>
      <c r="F310" s="321"/>
    </row>
    <row r="311">
      <c r="A311" s="326" t="s">
        <v>980</v>
      </c>
      <c r="B311" s="324" t="s">
        <v>1048</v>
      </c>
      <c r="C311" s="320"/>
      <c r="D311" s="323" t="s">
        <v>1154</v>
      </c>
      <c r="E311" s="320"/>
      <c r="F311" s="321"/>
    </row>
    <row r="312">
      <c r="A312" s="325" t="s">
        <v>981</v>
      </c>
      <c r="B312" s="324" t="s">
        <v>1048</v>
      </c>
      <c r="C312" s="320"/>
      <c r="D312" s="323" t="s">
        <v>1180</v>
      </c>
      <c r="E312" s="320"/>
      <c r="F312" s="321"/>
    </row>
    <row r="313">
      <c r="A313" s="326" t="s">
        <v>982</v>
      </c>
      <c r="B313" s="324" t="s">
        <v>1048</v>
      </c>
      <c r="C313" s="320"/>
      <c r="D313" s="323" t="s">
        <v>1054</v>
      </c>
      <c r="E313" s="320"/>
      <c r="F313" s="321"/>
    </row>
    <row r="314">
      <c r="A314" s="325" t="s">
        <v>983</v>
      </c>
      <c r="B314" s="324" t="s">
        <v>1048</v>
      </c>
      <c r="C314" s="320"/>
      <c r="D314" s="323" t="s">
        <v>1132</v>
      </c>
      <c r="E314" s="320"/>
      <c r="F314" s="321"/>
    </row>
    <row r="315">
      <c r="A315" s="326" t="s">
        <v>984</v>
      </c>
      <c r="B315" s="324" t="s">
        <v>1048</v>
      </c>
      <c r="C315" s="320"/>
      <c r="D315" s="323" t="s">
        <v>1162</v>
      </c>
      <c r="E315" s="320"/>
      <c r="F315" s="321"/>
    </row>
    <row r="316">
      <c r="A316" s="325" t="s">
        <v>985</v>
      </c>
      <c r="B316" s="324" t="s">
        <v>1048</v>
      </c>
      <c r="C316" s="320"/>
      <c r="D316" s="323" t="s">
        <v>1188</v>
      </c>
      <c r="E316" s="320"/>
      <c r="F316" s="321"/>
    </row>
    <row r="317">
      <c r="A317" s="326" t="s">
        <v>986</v>
      </c>
      <c r="B317" s="324" t="s">
        <v>1048</v>
      </c>
      <c r="C317" s="320"/>
      <c r="D317" s="323" t="s">
        <v>1230</v>
      </c>
      <c r="E317" s="320"/>
      <c r="F317" s="321"/>
    </row>
    <row r="318">
      <c r="A318" s="325" t="s">
        <v>987</v>
      </c>
      <c r="B318" s="324" t="s">
        <v>1046</v>
      </c>
      <c r="C318" s="320"/>
      <c r="D318" s="323" t="s">
        <v>1052</v>
      </c>
      <c r="E318" s="320"/>
      <c r="F318" s="321"/>
    </row>
    <row r="319">
      <c r="A319" s="326" t="s">
        <v>988</v>
      </c>
      <c r="B319" s="324" t="s">
        <v>1046</v>
      </c>
      <c r="C319" s="320"/>
      <c r="D319" s="323" t="s">
        <v>1139</v>
      </c>
      <c r="E319" s="320"/>
      <c r="F319" s="321"/>
    </row>
    <row r="320">
      <c r="A320" s="326" t="s">
        <v>989</v>
      </c>
      <c r="B320" s="324" t="s">
        <v>1043</v>
      </c>
      <c r="C320" s="320"/>
      <c r="D320" s="321" t="s">
        <v>1093</v>
      </c>
      <c r="E320" s="321" t="s">
        <v>1055</v>
      </c>
      <c r="F320" s="321"/>
    </row>
    <row r="321">
      <c r="A321" s="326" t="s">
        <v>990</v>
      </c>
      <c r="B321" s="324" t="s">
        <v>1050</v>
      </c>
      <c r="C321" s="320"/>
      <c r="D321" s="321" t="s">
        <v>1137</v>
      </c>
      <c r="E321" s="320"/>
      <c r="F321" s="321"/>
    </row>
    <row r="322">
      <c r="A322" s="326" t="s">
        <v>991</v>
      </c>
      <c r="B322" s="324" t="s">
        <v>1048</v>
      </c>
      <c r="C322" s="320"/>
      <c r="D322" s="321" t="s">
        <v>1268</v>
      </c>
      <c r="E322" s="320"/>
      <c r="F322" s="321"/>
    </row>
    <row r="323">
      <c r="A323" s="326" t="s">
        <v>992</v>
      </c>
      <c r="B323" s="324" t="s">
        <v>1048</v>
      </c>
      <c r="C323" s="320"/>
      <c r="D323" s="321" t="s">
        <v>1269</v>
      </c>
      <c r="E323" s="320"/>
      <c r="F323" s="321"/>
    </row>
    <row r="324">
      <c r="A324" s="326" t="s">
        <v>993</v>
      </c>
      <c r="B324" s="324" t="s">
        <v>1048</v>
      </c>
      <c r="C324" s="320"/>
      <c r="D324" s="321" t="s">
        <v>1101</v>
      </c>
      <c r="E324" s="320"/>
      <c r="F324" s="321"/>
    </row>
    <row r="325">
      <c r="A325" s="326" t="s">
        <v>994</v>
      </c>
      <c r="B325" s="324" t="s">
        <v>1048</v>
      </c>
      <c r="C325" s="320"/>
      <c r="D325" s="321" t="s">
        <v>1242</v>
      </c>
      <c r="E325" s="320"/>
      <c r="F325" s="321"/>
    </row>
    <row r="326">
      <c r="A326" s="326" t="s">
        <v>995</v>
      </c>
      <c r="B326" s="324" t="s">
        <v>1048</v>
      </c>
      <c r="C326" s="320"/>
      <c r="D326" s="321" t="s">
        <v>1247</v>
      </c>
      <c r="E326" s="320"/>
      <c r="F326" s="321"/>
    </row>
    <row r="327">
      <c r="A327" s="326" t="s">
        <v>996</v>
      </c>
      <c r="B327" s="324" t="s">
        <v>1046</v>
      </c>
      <c r="C327" s="320"/>
      <c r="D327" s="321" t="s">
        <v>1083</v>
      </c>
      <c r="E327" s="320"/>
      <c r="F327" s="321"/>
    </row>
    <row r="328">
      <c r="A328" s="326" t="s">
        <v>997</v>
      </c>
      <c r="B328" s="324" t="s">
        <v>1046</v>
      </c>
      <c r="C328" s="320"/>
      <c r="D328" s="321" t="s">
        <v>1099</v>
      </c>
      <c r="E328" s="320"/>
      <c r="F328" s="321"/>
    </row>
    <row r="329">
      <c r="A329" s="326" t="s">
        <v>998</v>
      </c>
      <c r="B329" s="324" t="s">
        <v>1043</v>
      </c>
      <c r="C329" s="320"/>
      <c r="D329" s="321" t="s">
        <v>1270</v>
      </c>
      <c r="E329" s="320"/>
      <c r="F329" s="321"/>
    </row>
    <row r="330">
      <c r="A330" s="326" t="s">
        <v>999</v>
      </c>
      <c r="B330" s="324" t="s">
        <v>1048</v>
      </c>
      <c r="C330" s="320"/>
      <c r="D330" s="321" t="s">
        <v>1271</v>
      </c>
      <c r="E330" s="320"/>
      <c r="F330" s="321"/>
    </row>
    <row r="331">
      <c r="A331" s="326" t="s">
        <v>1000</v>
      </c>
      <c r="B331" s="324" t="s">
        <v>1048</v>
      </c>
      <c r="C331" s="320"/>
      <c r="D331" s="321" t="s">
        <v>1272</v>
      </c>
      <c r="E331" s="320"/>
      <c r="F331" s="321"/>
    </row>
    <row r="332">
      <c r="A332" s="326" t="s">
        <v>1001</v>
      </c>
      <c r="B332" s="324" t="s">
        <v>1048</v>
      </c>
      <c r="C332" s="320"/>
      <c r="D332" s="321" t="s">
        <v>1273</v>
      </c>
      <c r="E332" s="321" t="s">
        <v>1055</v>
      </c>
      <c r="F332" s="321"/>
    </row>
    <row r="333">
      <c r="A333" s="326" t="s">
        <v>1002</v>
      </c>
      <c r="B333" s="324" t="s">
        <v>1048</v>
      </c>
      <c r="C333" s="320"/>
      <c r="D333" s="321" t="s">
        <v>1274</v>
      </c>
      <c r="E333" s="320"/>
      <c r="F333" s="321"/>
    </row>
    <row r="334">
      <c r="A334" s="326" t="s">
        <v>1003</v>
      </c>
      <c r="B334" s="324" t="s">
        <v>1048</v>
      </c>
      <c r="C334" s="320"/>
      <c r="D334" s="321" t="s">
        <v>1275</v>
      </c>
      <c r="E334" s="320"/>
      <c r="F334" s="321"/>
    </row>
    <row r="335">
      <c r="A335" s="326" t="s">
        <v>1004</v>
      </c>
      <c r="B335" s="324" t="s">
        <v>1046</v>
      </c>
      <c r="C335" s="320"/>
      <c r="D335" s="321" t="s">
        <v>1276</v>
      </c>
      <c r="E335" s="320"/>
      <c r="F335" s="321"/>
    </row>
    <row r="336">
      <c r="A336" s="326" t="s">
        <v>1005</v>
      </c>
      <c r="B336" s="324" t="s">
        <v>1046</v>
      </c>
      <c r="C336" s="320"/>
      <c r="D336" s="321" t="s">
        <v>1277</v>
      </c>
      <c r="E336" s="320"/>
      <c r="F336" s="321"/>
    </row>
    <row r="337">
      <c r="A337" s="326" t="s">
        <v>1006</v>
      </c>
      <c r="B337" s="324" t="s">
        <v>1043</v>
      </c>
      <c r="C337" s="320"/>
      <c r="D337" s="321" t="s">
        <v>1278</v>
      </c>
      <c r="E337" s="321" t="s">
        <v>1055</v>
      </c>
      <c r="F337" s="321"/>
    </row>
    <row r="338">
      <c r="A338" s="326" t="s">
        <v>1007</v>
      </c>
      <c r="B338" s="324" t="s">
        <v>1048</v>
      </c>
      <c r="C338" s="320"/>
      <c r="D338" s="321" t="s">
        <v>1279</v>
      </c>
      <c r="E338" s="320"/>
      <c r="F338" s="321"/>
    </row>
    <row r="339">
      <c r="A339" s="326" t="s">
        <v>1008</v>
      </c>
      <c r="B339" s="324" t="s">
        <v>1048</v>
      </c>
      <c r="C339" s="320"/>
      <c r="D339" s="321" t="s">
        <v>1138</v>
      </c>
      <c r="E339" s="320"/>
      <c r="F339" s="321"/>
    </row>
    <row r="340">
      <c r="A340" s="326" t="s">
        <v>1009</v>
      </c>
      <c r="B340" s="324" t="s">
        <v>1048</v>
      </c>
      <c r="C340" s="320"/>
      <c r="D340" s="321" t="s">
        <v>1280</v>
      </c>
      <c r="E340" s="320"/>
      <c r="F340" s="321"/>
    </row>
    <row r="341">
      <c r="A341" s="326" t="s">
        <v>1010</v>
      </c>
      <c r="B341" s="324" t="s">
        <v>1048</v>
      </c>
      <c r="C341" s="320"/>
      <c r="D341" s="321" t="s">
        <v>1281</v>
      </c>
      <c r="E341" s="320"/>
      <c r="F341" s="321"/>
    </row>
    <row r="342">
      <c r="A342" s="326" t="s">
        <v>1011</v>
      </c>
      <c r="B342" s="324" t="s">
        <v>1048</v>
      </c>
      <c r="C342" s="320"/>
      <c r="D342" s="321" t="s">
        <v>1282</v>
      </c>
      <c r="E342" s="320"/>
      <c r="F342" s="321"/>
    </row>
    <row r="343">
      <c r="A343" s="326" t="s">
        <v>1012</v>
      </c>
      <c r="B343" s="324" t="s">
        <v>1046</v>
      </c>
      <c r="C343" s="320"/>
      <c r="D343" s="321" t="s">
        <v>1283</v>
      </c>
      <c r="E343" s="320"/>
      <c r="F343" s="321"/>
    </row>
    <row r="344">
      <c r="A344" s="326" t="s">
        <v>1013</v>
      </c>
      <c r="B344" s="324" t="s">
        <v>1046</v>
      </c>
      <c r="C344" s="320"/>
      <c r="D344" s="321" t="s">
        <v>1245</v>
      </c>
      <c r="E344" s="320"/>
      <c r="F344" s="321"/>
    </row>
    <row r="345">
      <c r="A345" s="218" t="s">
        <v>450</v>
      </c>
      <c r="B345" s="324" t="s">
        <v>22</v>
      </c>
      <c r="C345" s="320"/>
      <c r="D345" s="321" t="s">
        <v>1072</v>
      </c>
      <c r="E345" s="320"/>
      <c r="F345" s="321" t="s">
        <v>71</v>
      </c>
    </row>
    <row r="346">
      <c r="A346" s="218" t="s">
        <v>451</v>
      </c>
      <c r="B346" s="324" t="s">
        <v>22</v>
      </c>
      <c r="C346" s="320"/>
      <c r="D346" s="321" t="s">
        <v>1073</v>
      </c>
      <c r="E346" s="320"/>
      <c r="F346" s="321" t="s">
        <v>73</v>
      </c>
    </row>
    <row r="347">
      <c r="A347" s="218" t="s">
        <v>452</v>
      </c>
      <c r="B347" s="324" t="s">
        <v>22</v>
      </c>
      <c r="C347" s="320"/>
      <c r="D347" s="321" t="s">
        <v>1284</v>
      </c>
      <c r="E347" s="321" t="s">
        <v>1055</v>
      </c>
      <c r="F347" s="321" t="s">
        <v>77</v>
      </c>
    </row>
    <row r="348">
      <c r="A348" s="218" t="s">
        <v>453</v>
      </c>
      <c r="B348" s="324" t="s">
        <v>22</v>
      </c>
      <c r="C348" s="320"/>
      <c r="D348" s="321" t="s">
        <v>1268</v>
      </c>
      <c r="E348" s="320"/>
      <c r="F348" s="321" t="s">
        <v>71</v>
      </c>
    </row>
    <row r="349">
      <c r="A349" s="218" t="s">
        <v>454</v>
      </c>
      <c r="B349" s="324" t="s">
        <v>22</v>
      </c>
      <c r="C349" s="320"/>
      <c r="D349" s="321" t="s">
        <v>1285</v>
      </c>
      <c r="E349" s="320"/>
      <c r="F349" s="321" t="s">
        <v>73</v>
      </c>
    </row>
    <row r="350">
      <c r="A350" s="218" t="s">
        <v>455</v>
      </c>
      <c r="B350" s="324" t="s">
        <v>22</v>
      </c>
      <c r="C350" s="320"/>
      <c r="D350" s="321" t="s">
        <v>1286</v>
      </c>
      <c r="E350" s="320"/>
      <c r="F350" s="321" t="s">
        <v>75</v>
      </c>
    </row>
    <row r="351">
      <c r="A351" s="218" t="s">
        <v>456</v>
      </c>
      <c r="B351" s="324" t="s">
        <v>22</v>
      </c>
      <c r="C351" s="320"/>
      <c r="D351" s="321" t="s">
        <v>1287</v>
      </c>
      <c r="E351" s="320"/>
      <c r="F351" s="321" t="s">
        <v>71</v>
      </c>
    </row>
    <row r="352">
      <c r="A352" s="218" t="s">
        <v>457</v>
      </c>
      <c r="B352" s="324" t="s">
        <v>22</v>
      </c>
      <c r="C352" s="320"/>
      <c r="D352" s="321" t="s">
        <v>1288</v>
      </c>
      <c r="E352" s="320"/>
      <c r="F352" s="321" t="s">
        <v>73</v>
      </c>
    </row>
    <row r="353">
      <c r="A353" s="218" t="s">
        <v>458</v>
      </c>
      <c r="B353" s="324" t="s">
        <v>22</v>
      </c>
      <c r="C353" s="320"/>
      <c r="D353" s="321" t="s">
        <v>1289</v>
      </c>
      <c r="E353" s="320"/>
      <c r="F353" s="321" t="s">
        <v>73</v>
      </c>
    </row>
    <row r="354">
      <c r="A354" s="218" t="s">
        <v>459</v>
      </c>
      <c r="B354" s="324" t="s">
        <v>22</v>
      </c>
      <c r="C354" s="320"/>
      <c r="D354" s="321" t="s">
        <v>1089</v>
      </c>
      <c r="E354" s="320"/>
      <c r="F354" s="321" t="s">
        <v>71</v>
      </c>
    </row>
    <row r="355">
      <c r="A355" s="218" t="s">
        <v>460</v>
      </c>
      <c r="B355" s="324" t="s">
        <v>22</v>
      </c>
      <c r="C355" s="320"/>
      <c r="D355" s="321" t="s">
        <v>1090</v>
      </c>
      <c r="E355" s="320"/>
      <c r="F355" s="321" t="s">
        <v>73</v>
      </c>
    </row>
    <row r="356">
      <c r="A356" s="218" t="s">
        <v>461</v>
      </c>
      <c r="B356" s="324" t="s">
        <v>22</v>
      </c>
      <c r="C356" s="320"/>
      <c r="D356" s="321" t="s">
        <v>1091</v>
      </c>
      <c r="E356" s="320"/>
      <c r="F356" s="321" t="s">
        <v>73</v>
      </c>
    </row>
    <row r="357">
      <c r="A357" s="218" t="s">
        <v>462</v>
      </c>
      <c r="B357" s="324" t="s">
        <v>22</v>
      </c>
      <c r="C357" s="320"/>
      <c r="D357" s="321" t="s">
        <v>1290</v>
      </c>
      <c r="E357" s="320"/>
      <c r="F357" s="321" t="s">
        <v>71</v>
      </c>
    </row>
    <row r="358">
      <c r="A358" s="218" t="s">
        <v>463</v>
      </c>
      <c r="B358" s="324" t="s">
        <v>22</v>
      </c>
      <c r="C358" s="320"/>
      <c r="D358" s="321" t="s">
        <v>1269</v>
      </c>
      <c r="E358" s="320"/>
      <c r="F358" s="321" t="s">
        <v>75</v>
      </c>
    </row>
    <row r="359">
      <c r="A359" s="218" t="s">
        <v>464</v>
      </c>
      <c r="B359" s="324" t="s">
        <v>22</v>
      </c>
      <c r="C359" s="320"/>
      <c r="D359" s="321" t="s">
        <v>1095</v>
      </c>
      <c r="E359" s="320"/>
      <c r="F359" s="321" t="s">
        <v>71</v>
      </c>
    </row>
    <row r="360">
      <c r="A360" s="218" t="s">
        <v>465</v>
      </c>
      <c r="B360" s="324" t="s">
        <v>22</v>
      </c>
      <c r="C360" s="320"/>
      <c r="D360" s="321" t="s">
        <v>1096</v>
      </c>
      <c r="E360" s="320"/>
      <c r="F360" s="321" t="s">
        <v>71</v>
      </c>
    </row>
    <row r="361">
      <c r="A361" s="218" t="s">
        <v>466</v>
      </c>
      <c r="B361" s="324" t="s">
        <v>22</v>
      </c>
      <c r="C361" s="320"/>
      <c r="D361" s="321" t="s">
        <v>1121</v>
      </c>
      <c r="E361" s="320"/>
      <c r="F361" s="321" t="s">
        <v>71</v>
      </c>
    </row>
    <row r="362">
      <c r="A362" s="218" t="s">
        <v>467</v>
      </c>
      <c r="B362" s="324" t="s">
        <v>22</v>
      </c>
      <c r="C362" s="320"/>
      <c r="D362" s="321" t="s">
        <v>1122</v>
      </c>
      <c r="E362" s="321" t="s">
        <v>1055</v>
      </c>
      <c r="F362" s="321" t="s">
        <v>77</v>
      </c>
    </row>
    <row r="363">
      <c r="A363" s="218" t="s">
        <v>468</v>
      </c>
      <c r="B363" s="324" t="s">
        <v>22</v>
      </c>
      <c r="C363" s="320"/>
      <c r="D363" s="321" t="s">
        <v>1124</v>
      </c>
      <c r="E363" s="320"/>
      <c r="F363" s="321" t="s">
        <v>75</v>
      </c>
    </row>
    <row r="364">
      <c r="A364" s="218" t="s">
        <v>469</v>
      </c>
      <c r="B364" s="324" t="s">
        <v>22</v>
      </c>
      <c r="C364" s="320"/>
      <c r="D364" s="321" t="s">
        <v>1291</v>
      </c>
      <c r="E364" s="320"/>
      <c r="F364" s="321" t="s">
        <v>71</v>
      </c>
    </row>
    <row r="365">
      <c r="A365" s="218" t="s">
        <v>470</v>
      </c>
      <c r="B365" s="324" t="s">
        <v>22</v>
      </c>
      <c r="C365" s="320"/>
      <c r="D365" s="321" t="s">
        <v>1292</v>
      </c>
      <c r="E365" s="320"/>
      <c r="F365" s="321" t="s">
        <v>73</v>
      </c>
    </row>
    <row r="366">
      <c r="A366" s="218" t="s">
        <v>471</v>
      </c>
      <c r="B366" s="324" t="s">
        <v>22</v>
      </c>
      <c r="C366" s="320"/>
      <c r="D366" s="321" t="s">
        <v>1293</v>
      </c>
      <c r="E366" s="320"/>
      <c r="F366" s="321" t="s">
        <v>71</v>
      </c>
    </row>
    <row r="367">
      <c r="A367" s="218" t="s">
        <v>472</v>
      </c>
      <c r="B367" s="324" t="s">
        <v>22</v>
      </c>
      <c r="C367" s="320"/>
      <c r="D367" s="321" t="s">
        <v>1294</v>
      </c>
      <c r="E367" s="320"/>
      <c r="F367" s="321" t="s">
        <v>73</v>
      </c>
    </row>
    <row r="368">
      <c r="A368" s="218" t="s">
        <v>473</v>
      </c>
      <c r="B368" s="324" t="s">
        <v>22</v>
      </c>
      <c r="C368" s="320"/>
      <c r="D368" s="321" t="s">
        <v>1295</v>
      </c>
      <c r="E368" s="320"/>
      <c r="F368" s="321" t="s">
        <v>71</v>
      </c>
    </row>
    <row r="369">
      <c r="A369" s="218" t="s">
        <v>474</v>
      </c>
      <c r="B369" s="324" t="s">
        <v>22</v>
      </c>
      <c r="C369" s="320"/>
      <c r="D369" s="321" t="s">
        <v>1137</v>
      </c>
      <c r="E369" s="320"/>
      <c r="F369" s="321" t="s">
        <v>71</v>
      </c>
    </row>
    <row r="370">
      <c r="A370" s="218" t="s">
        <v>476</v>
      </c>
      <c r="B370" s="324" t="s">
        <v>22</v>
      </c>
      <c r="C370" s="320"/>
      <c r="D370" s="321" t="s">
        <v>1138</v>
      </c>
      <c r="E370" s="320"/>
      <c r="F370" s="321" t="s">
        <v>75</v>
      </c>
    </row>
    <row r="371">
      <c r="A371" s="218" t="s">
        <v>477</v>
      </c>
      <c r="B371" s="324" t="s">
        <v>22</v>
      </c>
      <c r="C371" s="320"/>
      <c r="D371" s="321" t="s">
        <v>1143</v>
      </c>
      <c r="E371" s="320"/>
      <c r="F371" s="321" t="s">
        <v>73</v>
      </c>
    </row>
    <row r="372">
      <c r="A372" s="218" t="s">
        <v>478</v>
      </c>
      <c r="B372" s="324" t="s">
        <v>22</v>
      </c>
      <c r="C372" s="320"/>
      <c r="D372" s="321" t="s">
        <v>1296</v>
      </c>
      <c r="E372" s="320"/>
      <c r="F372" s="321" t="s">
        <v>71</v>
      </c>
    </row>
    <row r="373">
      <c r="A373" s="218" t="s">
        <v>479</v>
      </c>
      <c r="B373" s="324" t="s">
        <v>22</v>
      </c>
      <c r="C373" s="320"/>
      <c r="D373" s="321" t="s">
        <v>1297</v>
      </c>
      <c r="E373" s="320"/>
      <c r="F373" s="321" t="s">
        <v>73</v>
      </c>
    </row>
    <row r="374">
      <c r="A374" s="218" t="s">
        <v>480</v>
      </c>
      <c r="B374" s="324" t="s">
        <v>22</v>
      </c>
      <c r="C374" s="320"/>
      <c r="D374" s="321" t="s">
        <v>1298</v>
      </c>
      <c r="E374" s="320"/>
      <c r="F374" s="321" t="s">
        <v>71</v>
      </c>
    </row>
    <row r="375">
      <c r="A375" s="218" t="s">
        <v>22</v>
      </c>
      <c r="B375" s="324" t="s">
        <v>22</v>
      </c>
      <c r="C375" s="320"/>
      <c r="D375" s="321" t="s">
        <v>27</v>
      </c>
      <c r="E375" s="320"/>
      <c r="F375" s="321" t="s">
        <v>75</v>
      </c>
    </row>
    <row r="376">
      <c r="A376" s="218" t="s">
        <v>481</v>
      </c>
      <c r="B376" s="324" t="s">
        <v>22</v>
      </c>
      <c r="C376" s="320"/>
      <c r="D376" s="321" t="s">
        <v>27</v>
      </c>
      <c r="E376" s="321" t="s">
        <v>1055</v>
      </c>
      <c r="F376" s="321" t="s">
        <v>77</v>
      </c>
    </row>
    <row r="377">
      <c r="A377" s="218" t="s">
        <v>482</v>
      </c>
      <c r="B377" s="324" t="s">
        <v>22</v>
      </c>
      <c r="C377" s="320"/>
      <c r="D377" s="321" t="s">
        <v>1299</v>
      </c>
      <c r="E377" s="320"/>
      <c r="F377" s="321" t="s">
        <v>73</v>
      </c>
    </row>
    <row r="378">
      <c r="A378" s="218" t="s">
        <v>483</v>
      </c>
      <c r="B378" s="324" t="s">
        <v>22</v>
      </c>
      <c r="C378" s="320"/>
      <c r="D378" s="321" t="s">
        <v>1300</v>
      </c>
      <c r="E378" s="320"/>
      <c r="F378" s="321" t="s">
        <v>71</v>
      </c>
    </row>
    <row r="379">
      <c r="A379" s="218" t="s">
        <v>484</v>
      </c>
      <c r="B379" s="324" t="s">
        <v>22</v>
      </c>
      <c r="C379" s="320"/>
      <c r="D379" s="321" t="s">
        <v>1301</v>
      </c>
      <c r="E379" s="320"/>
      <c r="F379" s="321" t="s">
        <v>73</v>
      </c>
    </row>
    <row r="380">
      <c r="A380" s="218" t="s">
        <v>485</v>
      </c>
      <c r="B380" s="324" t="s">
        <v>22</v>
      </c>
      <c r="C380" s="320"/>
      <c r="D380" s="321" t="s">
        <v>1302</v>
      </c>
      <c r="E380" s="320"/>
      <c r="F380" s="321" t="s">
        <v>71</v>
      </c>
    </row>
    <row r="381">
      <c r="A381" s="218" t="s">
        <v>486</v>
      </c>
      <c r="B381" s="324" t="s">
        <v>22</v>
      </c>
      <c r="C381" s="320"/>
      <c r="D381" s="321" t="s">
        <v>1303</v>
      </c>
      <c r="E381" s="320"/>
      <c r="F381" s="321" t="s">
        <v>71</v>
      </c>
    </row>
    <row r="382">
      <c r="A382" s="218" t="s">
        <v>487</v>
      </c>
      <c r="B382" s="324" t="s">
        <v>22</v>
      </c>
      <c r="C382" s="320"/>
      <c r="D382" s="321" t="s">
        <v>1304</v>
      </c>
      <c r="E382" s="320"/>
      <c r="F382" s="321" t="s">
        <v>73</v>
      </c>
    </row>
    <row r="383">
      <c r="A383" s="218" t="s">
        <v>488</v>
      </c>
      <c r="B383" s="324" t="s">
        <v>22</v>
      </c>
      <c r="C383" s="320"/>
      <c r="D383" s="321" t="s">
        <v>1305</v>
      </c>
      <c r="E383" s="320"/>
      <c r="F383" s="321" t="s">
        <v>71</v>
      </c>
    </row>
    <row r="384">
      <c r="A384" s="218" t="s">
        <v>489</v>
      </c>
      <c r="B384" s="324" t="s">
        <v>22</v>
      </c>
      <c r="C384" s="320"/>
      <c r="D384" s="321" t="s">
        <v>1306</v>
      </c>
      <c r="E384" s="320"/>
      <c r="F384" s="321" t="s">
        <v>71</v>
      </c>
    </row>
    <row r="385">
      <c r="A385" s="218" t="s">
        <v>490</v>
      </c>
      <c r="B385" s="324" t="s">
        <v>22</v>
      </c>
      <c r="C385" s="320"/>
      <c r="D385" s="321" t="s">
        <v>1180</v>
      </c>
      <c r="E385" s="320"/>
      <c r="F385" s="321" t="s">
        <v>71</v>
      </c>
    </row>
    <row r="386">
      <c r="A386" s="218" t="s">
        <v>491</v>
      </c>
      <c r="B386" s="324" t="s">
        <v>22</v>
      </c>
      <c r="C386" s="320"/>
      <c r="D386" s="321" t="s">
        <v>1181</v>
      </c>
      <c r="E386" s="320"/>
      <c r="F386" s="321" t="s">
        <v>71</v>
      </c>
    </row>
    <row r="387">
      <c r="A387" s="218" t="s">
        <v>492</v>
      </c>
      <c r="B387" s="324" t="s">
        <v>22</v>
      </c>
      <c r="C387" s="320"/>
      <c r="D387" s="321" t="s">
        <v>1185</v>
      </c>
      <c r="E387" s="320"/>
      <c r="F387" s="321" t="s">
        <v>71</v>
      </c>
    </row>
    <row r="388">
      <c r="A388" s="218" t="s">
        <v>493</v>
      </c>
      <c r="B388" s="324" t="s">
        <v>22</v>
      </c>
      <c r="C388" s="320"/>
      <c r="D388" s="321" t="s">
        <v>1186</v>
      </c>
      <c r="E388" s="320"/>
      <c r="F388" s="321" t="s">
        <v>73</v>
      </c>
    </row>
    <row r="389">
      <c r="A389" s="218" t="s">
        <v>494</v>
      </c>
      <c r="B389" s="324" t="s">
        <v>22</v>
      </c>
      <c r="C389" s="320"/>
      <c r="D389" s="321" t="s">
        <v>1187</v>
      </c>
      <c r="E389" s="320"/>
      <c r="F389" s="321" t="s">
        <v>75</v>
      </c>
    </row>
    <row r="390">
      <c r="A390" s="218" t="s">
        <v>495</v>
      </c>
      <c r="B390" s="324" t="s">
        <v>22</v>
      </c>
      <c r="C390" s="320"/>
      <c r="D390" s="321" t="s">
        <v>1244</v>
      </c>
      <c r="E390" s="321" t="s">
        <v>1055</v>
      </c>
      <c r="F390" s="321" t="s">
        <v>77</v>
      </c>
    </row>
    <row r="391">
      <c r="A391" s="218" t="s">
        <v>496</v>
      </c>
      <c r="B391" s="324" t="s">
        <v>22</v>
      </c>
      <c r="C391" s="320"/>
      <c r="D391" s="321" t="s">
        <v>1307</v>
      </c>
      <c r="E391" s="320"/>
      <c r="F391" s="321" t="s">
        <v>75</v>
      </c>
    </row>
    <row r="392">
      <c r="A392" s="218" t="s">
        <v>497</v>
      </c>
      <c r="B392" s="324" t="s">
        <v>22</v>
      </c>
      <c r="C392" s="320"/>
      <c r="D392" s="321" t="s">
        <v>1308</v>
      </c>
      <c r="E392" s="320"/>
      <c r="F392" s="321" t="s">
        <v>73</v>
      </c>
    </row>
    <row r="393">
      <c r="A393" s="218" t="s">
        <v>498</v>
      </c>
      <c r="B393" s="324" t="s">
        <v>22</v>
      </c>
      <c r="C393" s="320"/>
      <c r="D393" s="321" t="s">
        <v>1213</v>
      </c>
      <c r="E393" s="320"/>
      <c r="F393" s="321" t="s">
        <v>71</v>
      </c>
    </row>
    <row r="394">
      <c r="A394" s="218" t="s">
        <v>499</v>
      </c>
      <c r="B394" s="324" t="s">
        <v>22</v>
      </c>
      <c r="C394" s="320"/>
      <c r="D394" s="321" t="s">
        <v>1214</v>
      </c>
      <c r="E394" s="320"/>
      <c r="F394" s="321" t="s">
        <v>73</v>
      </c>
    </row>
    <row r="395">
      <c r="A395" s="218" t="s">
        <v>500</v>
      </c>
      <c r="B395" s="324" t="s">
        <v>22</v>
      </c>
      <c r="C395" s="320"/>
      <c r="D395" s="321" t="s">
        <v>1309</v>
      </c>
      <c r="E395" s="320"/>
      <c r="F395" s="321" t="s">
        <v>71</v>
      </c>
    </row>
    <row r="396">
      <c r="A396" s="218" t="s">
        <v>501</v>
      </c>
      <c r="B396" s="324" t="s">
        <v>22</v>
      </c>
      <c r="C396" s="320"/>
      <c r="D396" s="321" t="s">
        <v>1310</v>
      </c>
      <c r="E396" s="320"/>
      <c r="F396" s="321" t="s">
        <v>71</v>
      </c>
    </row>
    <row r="397">
      <c r="A397" s="218" t="s">
        <v>502</v>
      </c>
      <c r="B397" s="324" t="s">
        <v>22</v>
      </c>
      <c r="C397" s="320"/>
      <c r="D397" s="321" t="s">
        <v>1311</v>
      </c>
      <c r="E397" s="320"/>
      <c r="F397" s="321" t="s">
        <v>71</v>
      </c>
    </row>
    <row r="398">
      <c r="A398" s="218" t="s">
        <v>503</v>
      </c>
      <c r="B398" s="324" t="s">
        <v>22</v>
      </c>
      <c r="C398" s="320"/>
      <c r="D398" s="321" t="s">
        <v>1312</v>
      </c>
      <c r="E398" s="320"/>
      <c r="F398" s="321" t="s">
        <v>71</v>
      </c>
    </row>
    <row r="399">
      <c r="A399" s="218" t="s">
        <v>504</v>
      </c>
      <c r="B399" s="324" t="s">
        <v>22</v>
      </c>
      <c r="C399" s="320"/>
      <c r="D399" s="321" t="s">
        <v>1313</v>
      </c>
      <c r="E399" s="320"/>
      <c r="F399" s="321" t="s">
        <v>73</v>
      </c>
    </row>
    <row r="400">
      <c r="A400" s="218" t="s">
        <v>505</v>
      </c>
      <c r="B400" s="324" t="s">
        <v>22</v>
      </c>
      <c r="C400" s="320"/>
      <c r="D400" s="321" t="s">
        <v>1314</v>
      </c>
      <c r="E400" s="320"/>
      <c r="F400" s="321" t="s">
        <v>73</v>
      </c>
    </row>
    <row r="401">
      <c r="A401" s="218" t="s">
        <v>506</v>
      </c>
      <c r="B401" s="324" t="s">
        <v>22</v>
      </c>
      <c r="C401" s="320"/>
      <c r="D401" s="321" t="s">
        <v>1223</v>
      </c>
      <c r="E401" s="320"/>
      <c r="F401" s="321" t="s">
        <v>71</v>
      </c>
    </row>
    <row r="402">
      <c r="A402" s="218" t="s">
        <v>507</v>
      </c>
      <c r="B402" s="324" t="s">
        <v>22</v>
      </c>
      <c r="C402" s="320"/>
      <c r="D402" s="321" t="s">
        <v>1224</v>
      </c>
      <c r="E402" s="320"/>
      <c r="F402" s="321" t="s">
        <v>71</v>
      </c>
    </row>
    <row r="403">
      <c r="A403" s="218" t="s">
        <v>508</v>
      </c>
      <c r="B403" s="324" t="s">
        <v>22</v>
      </c>
      <c r="C403" s="320"/>
      <c r="D403" s="321" t="s">
        <v>1225</v>
      </c>
      <c r="E403" s="321" t="s">
        <v>1055</v>
      </c>
      <c r="F403" s="321" t="s">
        <v>77</v>
      </c>
    </row>
    <row r="404">
      <c r="A404" s="218" t="s">
        <v>509</v>
      </c>
      <c r="B404" s="324" t="s">
        <v>22</v>
      </c>
      <c r="C404" s="320"/>
      <c r="D404" s="321" t="s">
        <v>1240</v>
      </c>
      <c r="E404" s="320"/>
      <c r="F404" s="321" t="s">
        <v>75</v>
      </c>
    </row>
    <row r="405">
      <c r="A405" s="218" t="s">
        <v>510</v>
      </c>
      <c r="B405" s="324" t="s">
        <v>22</v>
      </c>
      <c r="C405" s="320"/>
      <c r="D405" s="321" t="s">
        <v>1242</v>
      </c>
      <c r="E405" s="320"/>
      <c r="F405" s="321" t="s">
        <v>71</v>
      </c>
    </row>
    <row r="406">
      <c r="A406" s="218" t="s">
        <v>511</v>
      </c>
      <c r="B406" s="324" t="s">
        <v>22</v>
      </c>
      <c r="C406" s="320"/>
      <c r="D406" s="321" t="s">
        <v>1315</v>
      </c>
      <c r="E406" s="320"/>
      <c r="F406" s="321" t="s">
        <v>71</v>
      </c>
    </row>
    <row r="407">
      <c r="A407" s="218" t="s">
        <v>512</v>
      </c>
      <c r="B407" s="324" t="s">
        <v>22</v>
      </c>
      <c r="C407" s="320"/>
      <c r="D407" s="321" t="s">
        <v>1252</v>
      </c>
      <c r="E407" s="320"/>
      <c r="F407" s="321" t="s">
        <v>71</v>
      </c>
    </row>
    <row r="408">
      <c r="A408" s="218" t="s">
        <v>513</v>
      </c>
      <c r="B408" s="324" t="s">
        <v>22</v>
      </c>
      <c r="C408" s="320"/>
      <c r="D408" s="321" t="s">
        <v>1316</v>
      </c>
      <c r="E408" s="320"/>
      <c r="F408" s="321" t="s">
        <v>73</v>
      </c>
    </row>
    <row r="409">
      <c r="A409" s="218" t="s">
        <v>514</v>
      </c>
      <c r="B409" s="324" t="s">
        <v>22</v>
      </c>
      <c r="C409" s="320"/>
      <c r="D409" s="321" t="s">
        <v>1317</v>
      </c>
      <c r="E409" s="320"/>
      <c r="F409" s="321" t="s">
        <v>73</v>
      </c>
    </row>
    <row r="410">
      <c r="A410" s="218" t="s">
        <v>515</v>
      </c>
      <c r="B410" s="324" t="s">
        <v>22</v>
      </c>
      <c r="C410" s="320"/>
      <c r="D410" s="321" t="s">
        <v>1318</v>
      </c>
      <c r="E410" s="320"/>
      <c r="F410" s="321" t="s">
        <v>73</v>
      </c>
    </row>
    <row r="411">
      <c r="A411" s="218" t="s">
        <v>516</v>
      </c>
      <c r="B411" s="324" t="s">
        <v>22</v>
      </c>
      <c r="C411" s="320"/>
      <c r="D411" s="321" t="s">
        <v>1319</v>
      </c>
      <c r="E411" s="320"/>
      <c r="F411" s="321" t="s">
        <v>73</v>
      </c>
    </row>
    <row r="412">
      <c r="A412" s="218" t="s">
        <v>517</v>
      </c>
      <c r="B412" s="324" t="s">
        <v>22</v>
      </c>
      <c r="C412" s="320"/>
      <c r="D412" s="321" t="s">
        <v>1320</v>
      </c>
      <c r="E412" s="320"/>
      <c r="F412" s="321" t="s">
        <v>73</v>
      </c>
    </row>
    <row r="413">
      <c r="A413" s="218" t="s">
        <v>518</v>
      </c>
      <c r="B413" s="324" t="s">
        <v>22</v>
      </c>
      <c r="C413" s="320"/>
      <c r="D413" s="321" t="s">
        <v>1073</v>
      </c>
      <c r="E413" s="320"/>
      <c r="F413" s="321" t="s">
        <v>79</v>
      </c>
    </row>
    <row r="414">
      <c r="A414" s="218" t="s">
        <v>519</v>
      </c>
      <c r="B414" s="324" t="s">
        <v>22</v>
      </c>
      <c r="C414" s="320"/>
      <c r="D414" s="321" t="s">
        <v>1286</v>
      </c>
      <c r="E414" s="320"/>
      <c r="F414" s="321" t="s">
        <v>79</v>
      </c>
    </row>
    <row r="415">
      <c r="A415" s="218" t="s">
        <v>520</v>
      </c>
      <c r="B415" s="324" t="s">
        <v>22</v>
      </c>
      <c r="C415" s="320"/>
      <c r="D415" s="321" t="s">
        <v>1095</v>
      </c>
      <c r="E415" s="320"/>
      <c r="F415" s="321" t="s">
        <v>79</v>
      </c>
    </row>
    <row r="416">
      <c r="A416" s="218" t="s">
        <v>521</v>
      </c>
      <c r="B416" s="324" t="s">
        <v>22</v>
      </c>
      <c r="C416" s="320"/>
      <c r="D416" s="321" t="s">
        <v>1124</v>
      </c>
      <c r="E416" s="320"/>
      <c r="F416" s="321" t="s">
        <v>79</v>
      </c>
    </row>
    <row r="417">
      <c r="A417" s="218" t="s">
        <v>522</v>
      </c>
      <c r="B417" s="324" t="s">
        <v>22</v>
      </c>
      <c r="C417" s="320"/>
      <c r="D417" s="321" t="s">
        <v>1298</v>
      </c>
      <c r="E417" s="320"/>
      <c r="F417" s="321" t="s">
        <v>79</v>
      </c>
    </row>
    <row r="418">
      <c r="A418" s="218" t="s">
        <v>523</v>
      </c>
      <c r="B418" s="324" t="s">
        <v>22</v>
      </c>
      <c r="C418" s="320"/>
      <c r="D418" s="321" t="s">
        <v>1307</v>
      </c>
      <c r="E418" s="320"/>
      <c r="F418" s="321" t="s">
        <v>79</v>
      </c>
    </row>
    <row r="419">
      <c r="A419" s="218" t="s">
        <v>524</v>
      </c>
      <c r="B419" s="324" t="s">
        <v>22</v>
      </c>
      <c r="C419" s="320"/>
      <c r="D419" s="321" t="s">
        <v>1284</v>
      </c>
      <c r="E419" s="321" t="s">
        <v>1055</v>
      </c>
      <c r="F419" s="321" t="s">
        <v>81</v>
      </c>
    </row>
    <row r="420">
      <c r="A420" s="218" t="s">
        <v>525</v>
      </c>
      <c r="B420" s="324" t="s">
        <v>22</v>
      </c>
      <c r="C420" s="320"/>
      <c r="D420" s="321" t="s">
        <v>1122</v>
      </c>
      <c r="E420" s="321" t="s">
        <v>1055</v>
      </c>
      <c r="F420" s="321" t="s">
        <v>81</v>
      </c>
    </row>
    <row r="421">
      <c r="A421" s="218" t="s">
        <v>526</v>
      </c>
      <c r="B421" s="324" t="s">
        <v>22</v>
      </c>
      <c r="C421" s="320"/>
      <c r="D421" s="321" t="s">
        <v>27</v>
      </c>
      <c r="E421" s="321" t="s">
        <v>1055</v>
      </c>
      <c r="F421" s="321" t="s">
        <v>81</v>
      </c>
    </row>
    <row r="422">
      <c r="A422" s="218" t="s">
        <v>527</v>
      </c>
      <c r="B422" s="324" t="s">
        <v>22</v>
      </c>
      <c r="C422" s="320"/>
      <c r="D422" s="321" t="s">
        <v>1244</v>
      </c>
      <c r="E422" s="321" t="s">
        <v>1055</v>
      </c>
      <c r="F422" s="321" t="s">
        <v>81</v>
      </c>
    </row>
    <row r="423">
      <c r="A423" s="218" t="s">
        <v>528</v>
      </c>
      <c r="B423" s="324" t="s">
        <v>22</v>
      </c>
      <c r="C423" s="320"/>
      <c r="D423" s="321" t="s">
        <v>1225</v>
      </c>
      <c r="E423" s="321" t="s">
        <v>1055</v>
      </c>
      <c r="F423" s="321" t="s">
        <v>81</v>
      </c>
    </row>
    <row r="424">
      <c r="A424" s="218" t="s">
        <v>529</v>
      </c>
      <c r="B424" s="324" t="s">
        <v>22</v>
      </c>
      <c r="C424" s="320"/>
      <c r="D424" s="321" t="s">
        <v>1318</v>
      </c>
      <c r="E424" s="320"/>
      <c r="F424" s="321" t="s">
        <v>81</v>
      </c>
    </row>
    <row r="425">
      <c r="A425" s="218" t="s">
        <v>530</v>
      </c>
      <c r="B425" s="324" t="s">
        <v>22</v>
      </c>
      <c r="C425" s="320"/>
      <c r="D425" s="321" t="s">
        <v>1319</v>
      </c>
      <c r="E425" s="320"/>
      <c r="F425" s="321" t="s">
        <v>81</v>
      </c>
    </row>
    <row r="426">
      <c r="A426" s="218" t="s">
        <v>531</v>
      </c>
      <c r="B426" s="324" t="s">
        <v>22</v>
      </c>
      <c r="C426" s="320"/>
      <c r="D426" s="321" t="s">
        <v>1320</v>
      </c>
      <c r="E426" s="320"/>
      <c r="F426" s="321" t="s">
        <v>81</v>
      </c>
    </row>
    <row r="427">
      <c r="A427" s="218" t="s">
        <v>532</v>
      </c>
      <c r="B427" s="324" t="s">
        <v>22</v>
      </c>
      <c r="C427" s="320"/>
      <c r="D427" s="321" t="s">
        <v>27</v>
      </c>
      <c r="E427" s="321" t="s">
        <v>1055</v>
      </c>
      <c r="F427" s="321" t="s">
        <v>81</v>
      </c>
    </row>
    <row r="428">
      <c r="A428" s="218" t="s">
        <v>533</v>
      </c>
      <c r="B428" s="324" t="s">
        <v>22</v>
      </c>
      <c r="C428" s="320"/>
      <c r="D428" s="321" t="s">
        <v>1244</v>
      </c>
      <c r="E428" s="321" t="s">
        <v>1055</v>
      </c>
      <c r="F428" s="321" t="s">
        <v>81</v>
      </c>
    </row>
    <row r="429">
      <c r="A429" s="218" t="s">
        <v>534</v>
      </c>
      <c r="B429" s="324" t="s">
        <v>22</v>
      </c>
      <c r="C429" s="320"/>
      <c r="D429" s="321" t="s">
        <v>1284</v>
      </c>
      <c r="E429" s="321" t="s">
        <v>1055</v>
      </c>
      <c r="F429" s="321" t="s">
        <v>83</v>
      </c>
    </row>
    <row r="430">
      <c r="A430" s="218" t="s">
        <v>535</v>
      </c>
      <c r="B430" s="324" t="s">
        <v>22</v>
      </c>
      <c r="C430" s="320"/>
      <c r="D430" s="321" t="s">
        <v>27</v>
      </c>
      <c r="E430" s="321" t="s">
        <v>1055</v>
      </c>
      <c r="F430" s="321" t="s">
        <v>85</v>
      </c>
    </row>
    <row r="431">
      <c r="A431" s="218" t="s">
        <v>536</v>
      </c>
      <c r="B431" s="327" t="s">
        <v>1039</v>
      </c>
      <c r="C431" s="320"/>
      <c r="D431" s="321" t="s">
        <v>1062</v>
      </c>
      <c r="E431" s="320"/>
      <c r="F431" s="321" t="s">
        <v>71</v>
      </c>
    </row>
    <row r="432">
      <c r="A432" s="218" t="s">
        <v>538</v>
      </c>
      <c r="B432" s="327" t="s">
        <v>1039</v>
      </c>
      <c r="C432" s="320"/>
      <c r="D432" s="321" t="s">
        <v>1063</v>
      </c>
      <c r="E432" s="320"/>
      <c r="F432" s="321" t="s">
        <v>71</v>
      </c>
    </row>
    <row r="433">
      <c r="A433" s="218" t="s">
        <v>539</v>
      </c>
      <c r="B433" s="327" t="s">
        <v>1039</v>
      </c>
      <c r="C433" s="320"/>
      <c r="D433" s="321" t="s">
        <v>1321</v>
      </c>
      <c r="E433" s="320"/>
      <c r="F433" s="321" t="s">
        <v>73</v>
      </c>
    </row>
    <row r="434">
      <c r="A434" s="218" t="s">
        <v>540</v>
      </c>
      <c r="B434" s="327" t="s">
        <v>667</v>
      </c>
      <c r="C434" s="320"/>
      <c r="D434" s="321" t="s">
        <v>1074</v>
      </c>
      <c r="E434" s="320"/>
      <c r="F434" s="321" t="s">
        <v>71</v>
      </c>
    </row>
    <row r="435">
      <c r="A435" s="218" t="s">
        <v>541</v>
      </c>
      <c r="B435" s="327" t="s">
        <v>667</v>
      </c>
      <c r="C435" s="320"/>
      <c r="D435" s="321" t="s">
        <v>1322</v>
      </c>
      <c r="E435" s="320"/>
      <c r="F435" s="321" t="s">
        <v>73</v>
      </c>
    </row>
    <row r="436">
      <c r="A436" s="218" t="s">
        <v>542</v>
      </c>
      <c r="B436" s="327" t="s">
        <v>667</v>
      </c>
      <c r="C436" s="320"/>
      <c r="D436" s="321" t="s">
        <v>1323</v>
      </c>
      <c r="E436" s="320"/>
      <c r="F436" s="321" t="s">
        <v>71</v>
      </c>
    </row>
    <row r="437">
      <c r="A437" s="218" t="s">
        <v>543</v>
      </c>
      <c r="B437" s="327" t="s">
        <v>667</v>
      </c>
      <c r="C437" s="320"/>
      <c r="D437" s="321" t="s">
        <v>1324</v>
      </c>
      <c r="E437" s="321" t="s">
        <v>1055</v>
      </c>
      <c r="F437" s="321" t="s">
        <v>77</v>
      </c>
    </row>
    <row r="438">
      <c r="A438" s="218" t="s">
        <v>544</v>
      </c>
      <c r="B438" s="327" t="s">
        <v>1039</v>
      </c>
      <c r="C438" s="320"/>
      <c r="D438" s="321" t="s">
        <v>1325</v>
      </c>
      <c r="E438" s="320"/>
      <c r="F438" s="321" t="s">
        <v>71</v>
      </c>
    </row>
    <row r="439">
      <c r="A439" s="218" t="s">
        <v>545</v>
      </c>
      <c r="B439" s="327" t="s">
        <v>1039</v>
      </c>
      <c r="C439" s="320"/>
      <c r="D439" s="321" t="s">
        <v>1326</v>
      </c>
      <c r="E439" s="320"/>
      <c r="F439" s="321" t="s">
        <v>73</v>
      </c>
    </row>
    <row r="440">
      <c r="A440" s="218" t="s">
        <v>546</v>
      </c>
      <c r="B440" s="327" t="s">
        <v>590</v>
      </c>
      <c r="C440" s="320"/>
      <c r="D440" s="321" t="s">
        <v>1271</v>
      </c>
      <c r="E440" s="320"/>
      <c r="F440" s="321" t="s">
        <v>71</v>
      </c>
    </row>
    <row r="441">
      <c r="A441" s="218" t="s">
        <v>548</v>
      </c>
      <c r="B441" s="327" t="s">
        <v>590</v>
      </c>
      <c r="C441" s="320"/>
      <c r="D441" s="321" t="s">
        <v>1327</v>
      </c>
      <c r="E441" s="320"/>
      <c r="F441" s="321" t="s">
        <v>73</v>
      </c>
    </row>
    <row r="442">
      <c r="A442" s="218" t="s">
        <v>549</v>
      </c>
      <c r="B442" s="327" t="s">
        <v>590</v>
      </c>
      <c r="C442" s="320"/>
      <c r="D442" s="321" t="s">
        <v>1328</v>
      </c>
      <c r="E442" s="320"/>
      <c r="F442" s="321" t="s">
        <v>75</v>
      </c>
    </row>
    <row r="443">
      <c r="A443" s="218" t="s">
        <v>550</v>
      </c>
      <c r="B443" s="327" t="s">
        <v>590</v>
      </c>
      <c r="C443" s="320"/>
      <c r="D443" s="321" t="s">
        <v>1329</v>
      </c>
      <c r="E443" s="320"/>
      <c r="F443" s="321" t="s">
        <v>71</v>
      </c>
    </row>
    <row r="444">
      <c r="A444" s="218" t="s">
        <v>551</v>
      </c>
      <c r="B444" s="327" t="s">
        <v>590</v>
      </c>
      <c r="C444" s="320"/>
      <c r="D444" s="321" t="s">
        <v>1330</v>
      </c>
      <c r="E444" s="320"/>
      <c r="F444" s="321" t="s">
        <v>71</v>
      </c>
    </row>
    <row r="445">
      <c r="A445" s="218" t="s">
        <v>552</v>
      </c>
      <c r="B445" s="327" t="s">
        <v>1039</v>
      </c>
      <c r="C445" s="320"/>
      <c r="D445" s="321" t="s">
        <v>1331</v>
      </c>
      <c r="E445" s="320"/>
      <c r="F445" s="321" t="s">
        <v>71</v>
      </c>
    </row>
    <row r="446">
      <c r="A446" s="218" t="s">
        <v>553</v>
      </c>
      <c r="B446" s="327" t="s">
        <v>1039</v>
      </c>
      <c r="C446" s="320"/>
      <c r="D446" s="321" t="s">
        <v>1332</v>
      </c>
      <c r="E446" s="320"/>
      <c r="F446" s="321" t="s">
        <v>71</v>
      </c>
    </row>
    <row r="447">
      <c r="A447" s="218" t="s">
        <v>554</v>
      </c>
      <c r="B447" s="327" t="s">
        <v>667</v>
      </c>
      <c r="C447" s="320"/>
      <c r="D447" s="321" t="s">
        <v>1333</v>
      </c>
      <c r="E447" s="320"/>
      <c r="F447" s="321" t="s">
        <v>71</v>
      </c>
    </row>
    <row r="448">
      <c r="A448" s="218" t="s">
        <v>555</v>
      </c>
      <c r="B448" s="327" t="s">
        <v>667</v>
      </c>
      <c r="C448" s="320"/>
      <c r="D448" s="321" t="s">
        <v>1334</v>
      </c>
      <c r="E448" s="320"/>
      <c r="F448" s="321" t="s">
        <v>73</v>
      </c>
    </row>
    <row r="449">
      <c r="A449" s="218" t="s">
        <v>557</v>
      </c>
      <c r="B449" s="327" t="s">
        <v>590</v>
      </c>
      <c r="C449" s="320"/>
      <c r="D449" s="321" t="s">
        <v>1335</v>
      </c>
      <c r="E449" s="320"/>
      <c r="F449" s="321" t="s">
        <v>73</v>
      </c>
    </row>
    <row r="450">
      <c r="A450" s="218" t="s">
        <v>558</v>
      </c>
      <c r="B450" s="327" t="s">
        <v>667</v>
      </c>
      <c r="C450" s="320"/>
      <c r="D450" s="321" t="s">
        <v>1336</v>
      </c>
      <c r="E450" s="320"/>
      <c r="F450" s="321" t="s">
        <v>75</v>
      </c>
    </row>
    <row r="451">
      <c r="A451" s="218" t="s">
        <v>559</v>
      </c>
      <c r="B451" s="327" t="s">
        <v>1039</v>
      </c>
      <c r="C451" s="320"/>
      <c r="D451" s="321" t="s">
        <v>1337</v>
      </c>
      <c r="E451" s="320"/>
      <c r="F451" s="321" t="s">
        <v>71</v>
      </c>
    </row>
    <row r="452">
      <c r="A452" s="218" t="s">
        <v>560</v>
      </c>
      <c r="B452" s="327" t="s">
        <v>667</v>
      </c>
      <c r="C452" s="320"/>
      <c r="D452" s="321" t="s">
        <v>1338</v>
      </c>
      <c r="E452" s="320"/>
      <c r="F452" s="321" t="s">
        <v>75</v>
      </c>
    </row>
    <row r="453">
      <c r="A453" s="218" t="s">
        <v>561</v>
      </c>
      <c r="B453" s="327" t="s">
        <v>590</v>
      </c>
      <c r="C453" s="320"/>
      <c r="D453" s="321" t="s">
        <v>1091</v>
      </c>
      <c r="E453" s="320"/>
      <c r="F453" s="321" t="s">
        <v>71</v>
      </c>
    </row>
    <row r="454">
      <c r="A454" s="218" t="s">
        <v>562</v>
      </c>
      <c r="B454" s="327" t="s">
        <v>590</v>
      </c>
      <c r="C454" s="320"/>
      <c r="D454" s="321" t="s">
        <v>1339</v>
      </c>
      <c r="E454" s="320"/>
      <c r="F454" s="321" t="s">
        <v>75</v>
      </c>
    </row>
    <row r="455">
      <c r="A455" s="218" t="s">
        <v>563</v>
      </c>
      <c r="B455" s="327" t="s">
        <v>1039</v>
      </c>
      <c r="C455" s="320"/>
      <c r="D455" s="321" t="s">
        <v>1340</v>
      </c>
      <c r="E455" s="320"/>
      <c r="F455" s="321" t="s">
        <v>71</v>
      </c>
    </row>
    <row r="456">
      <c r="A456" s="218" t="s">
        <v>565</v>
      </c>
      <c r="B456" s="327" t="s">
        <v>1039</v>
      </c>
      <c r="C456" s="320"/>
      <c r="D456" s="321" t="s">
        <v>1341</v>
      </c>
      <c r="E456" s="320"/>
      <c r="F456" s="321" t="s">
        <v>73</v>
      </c>
    </row>
    <row r="457">
      <c r="A457" s="218" t="s">
        <v>567</v>
      </c>
      <c r="B457" s="327" t="s">
        <v>590</v>
      </c>
      <c r="C457" s="320"/>
      <c r="D457" s="321" t="s">
        <v>1276</v>
      </c>
      <c r="E457" s="320"/>
      <c r="F457" s="321" t="s">
        <v>71</v>
      </c>
    </row>
    <row r="458">
      <c r="A458" s="218" t="s">
        <v>568</v>
      </c>
      <c r="B458" s="327" t="s">
        <v>590</v>
      </c>
      <c r="C458" s="320"/>
      <c r="D458" s="321" t="s">
        <v>1342</v>
      </c>
      <c r="E458" s="320"/>
      <c r="F458" s="321" t="s">
        <v>73</v>
      </c>
    </row>
    <row r="459">
      <c r="A459" s="218" t="s">
        <v>569</v>
      </c>
      <c r="B459" s="327" t="s">
        <v>590</v>
      </c>
      <c r="C459" s="320"/>
      <c r="D459" s="321" t="s">
        <v>1343</v>
      </c>
      <c r="E459" s="321" t="s">
        <v>1055</v>
      </c>
      <c r="F459" s="321" t="s">
        <v>77</v>
      </c>
    </row>
    <row r="460">
      <c r="A460" s="218" t="s">
        <v>570</v>
      </c>
      <c r="B460" s="327" t="s">
        <v>1039</v>
      </c>
      <c r="C460" s="320"/>
      <c r="D460" s="321" t="s">
        <v>1344</v>
      </c>
      <c r="E460" s="321"/>
      <c r="F460" s="321" t="s">
        <v>71</v>
      </c>
    </row>
    <row r="461">
      <c r="A461" s="218" t="s">
        <v>571</v>
      </c>
      <c r="B461" s="327" t="s">
        <v>667</v>
      </c>
      <c r="C461" s="320"/>
      <c r="D461" s="321" t="s">
        <v>1345</v>
      </c>
      <c r="E461" s="320"/>
      <c r="F461" s="321" t="s">
        <v>71</v>
      </c>
    </row>
    <row r="462">
      <c r="A462" s="218" t="s">
        <v>572</v>
      </c>
      <c r="B462" s="327" t="s">
        <v>667</v>
      </c>
      <c r="C462" s="320"/>
      <c r="D462" s="321" t="s">
        <v>1346</v>
      </c>
      <c r="E462" s="320"/>
      <c r="F462" s="321" t="s">
        <v>73</v>
      </c>
    </row>
    <row r="463">
      <c r="A463" s="218" t="s">
        <v>573</v>
      </c>
      <c r="B463" s="327" t="s">
        <v>667</v>
      </c>
      <c r="C463" s="320"/>
      <c r="D463" s="321" t="s">
        <v>1347</v>
      </c>
      <c r="E463" s="320"/>
      <c r="F463" s="321" t="s">
        <v>75</v>
      </c>
    </row>
    <row r="464">
      <c r="A464" s="218" t="s">
        <v>575</v>
      </c>
      <c r="B464" s="327" t="s">
        <v>590</v>
      </c>
      <c r="C464" s="320"/>
      <c r="D464" s="321" t="s">
        <v>1348</v>
      </c>
      <c r="E464" s="320"/>
      <c r="F464" s="321" t="s">
        <v>73</v>
      </c>
    </row>
    <row r="465">
      <c r="A465" s="218" t="s">
        <v>576</v>
      </c>
      <c r="B465" s="327" t="s">
        <v>590</v>
      </c>
      <c r="C465" s="320"/>
      <c r="D465" s="321" t="s">
        <v>1270</v>
      </c>
      <c r="E465" s="320"/>
      <c r="F465" s="321" t="s">
        <v>71</v>
      </c>
    </row>
    <row r="466">
      <c r="A466" s="218" t="s">
        <v>577</v>
      </c>
      <c r="B466" s="327" t="s">
        <v>590</v>
      </c>
      <c r="C466" s="320"/>
      <c r="D466" s="321" t="s">
        <v>1349</v>
      </c>
      <c r="E466" s="320"/>
      <c r="F466" s="321" t="s">
        <v>73</v>
      </c>
    </row>
    <row r="467">
      <c r="A467" s="218" t="s">
        <v>578</v>
      </c>
      <c r="B467" s="327" t="s">
        <v>590</v>
      </c>
      <c r="C467" s="320"/>
      <c r="D467" s="321" t="s">
        <v>1350</v>
      </c>
      <c r="E467" s="320"/>
      <c r="F467" s="321" t="s">
        <v>75</v>
      </c>
    </row>
    <row r="468">
      <c r="A468" s="218" t="s">
        <v>579</v>
      </c>
      <c r="B468" s="327" t="s">
        <v>1039</v>
      </c>
      <c r="C468" s="320"/>
      <c r="D468" s="321" t="s">
        <v>1351</v>
      </c>
      <c r="E468" s="320"/>
      <c r="F468" s="321" t="s">
        <v>71</v>
      </c>
    </row>
    <row r="469">
      <c r="A469" s="218" t="s">
        <v>580</v>
      </c>
      <c r="B469" s="327" t="s">
        <v>1039</v>
      </c>
      <c r="C469" s="320"/>
      <c r="D469" s="321" t="s">
        <v>1352</v>
      </c>
      <c r="E469" s="320"/>
      <c r="F469" s="321" t="s">
        <v>73</v>
      </c>
    </row>
    <row r="470">
      <c r="A470" s="218" t="s">
        <v>581</v>
      </c>
      <c r="B470" s="327" t="s">
        <v>590</v>
      </c>
      <c r="C470" s="320"/>
      <c r="D470" s="321" t="s">
        <v>1353</v>
      </c>
      <c r="E470" s="320"/>
      <c r="F470" s="321" t="s">
        <v>71</v>
      </c>
    </row>
    <row r="471">
      <c r="A471" s="218" t="s">
        <v>582</v>
      </c>
      <c r="B471" s="327" t="s">
        <v>590</v>
      </c>
      <c r="C471" s="320"/>
      <c r="D471" s="321" t="s">
        <v>1354</v>
      </c>
      <c r="E471" s="320"/>
      <c r="F471" s="321" t="s">
        <v>73</v>
      </c>
    </row>
    <row r="472">
      <c r="A472" s="218" t="s">
        <v>583</v>
      </c>
      <c r="B472" s="327" t="s">
        <v>1039</v>
      </c>
      <c r="C472" s="320"/>
      <c r="D472" s="321" t="s">
        <v>1291</v>
      </c>
      <c r="E472" s="320"/>
      <c r="F472" s="321" t="s">
        <v>71</v>
      </c>
    </row>
    <row r="473">
      <c r="A473" s="218" t="s">
        <v>584</v>
      </c>
      <c r="B473" s="327" t="s">
        <v>1039</v>
      </c>
      <c r="C473" s="320"/>
      <c r="D473" s="321" t="s">
        <v>1292</v>
      </c>
      <c r="E473" s="320"/>
      <c r="F473" s="321" t="s">
        <v>73</v>
      </c>
    </row>
    <row r="474">
      <c r="A474" s="218" t="s">
        <v>585</v>
      </c>
      <c r="B474" s="327" t="s">
        <v>1039</v>
      </c>
      <c r="C474" s="320"/>
      <c r="D474" s="321" t="s">
        <v>1355</v>
      </c>
      <c r="E474" s="320"/>
      <c r="F474" s="321" t="s">
        <v>71</v>
      </c>
    </row>
    <row r="475">
      <c r="A475" s="218" t="s">
        <v>586</v>
      </c>
      <c r="B475" s="327" t="s">
        <v>1039</v>
      </c>
      <c r="C475" s="320"/>
      <c r="D475" s="321" t="s">
        <v>1356</v>
      </c>
      <c r="E475" s="320"/>
      <c r="F475" s="321" t="s">
        <v>73</v>
      </c>
    </row>
    <row r="476">
      <c r="A476" s="218" t="s">
        <v>587</v>
      </c>
      <c r="B476" s="327" t="s">
        <v>590</v>
      </c>
      <c r="C476" s="320"/>
      <c r="D476" s="321" t="s">
        <v>1357</v>
      </c>
      <c r="E476" s="320"/>
      <c r="F476" s="321" t="s">
        <v>75</v>
      </c>
    </row>
    <row r="477">
      <c r="A477" s="218" t="s">
        <v>588</v>
      </c>
      <c r="B477" s="327" t="s">
        <v>1039</v>
      </c>
      <c r="C477" s="320"/>
      <c r="D477" s="321" t="s">
        <v>1358</v>
      </c>
      <c r="E477" s="320"/>
      <c r="F477" s="321" t="s">
        <v>71</v>
      </c>
    </row>
    <row r="478">
      <c r="A478" s="218" t="s">
        <v>589</v>
      </c>
      <c r="B478" s="327" t="s">
        <v>1039</v>
      </c>
      <c r="C478" s="320"/>
      <c r="D478" s="321" t="s">
        <v>1359</v>
      </c>
      <c r="E478" s="320"/>
      <c r="F478" s="321" t="s">
        <v>71</v>
      </c>
    </row>
    <row r="479">
      <c r="A479" s="218" t="s">
        <v>590</v>
      </c>
      <c r="B479" s="327" t="s">
        <v>590</v>
      </c>
      <c r="C479" s="320"/>
      <c r="D479" s="321" t="s">
        <v>1360</v>
      </c>
      <c r="E479" s="321" t="s">
        <v>1055</v>
      </c>
      <c r="F479" s="321" t="s">
        <v>77</v>
      </c>
    </row>
    <row r="480">
      <c r="A480" s="218" t="s">
        <v>591</v>
      </c>
      <c r="B480" s="327" t="s">
        <v>590</v>
      </c>
      <c r="C480" s="320"/>
      <c r="D480" s="321" t="s">
        <v>1283</v>
      </c>
      <c r="E480" s="320"/>
      <c r="F480" s="321" t="s">
        <v>73</v>
      </c>
    </row>
    <row r="481">
      <c r="A481" s="218" t="s">
        <v>592</v>
      </c>
      <c r="B481" s="327" t="s">
        <v>1039</v>
      </c>
      <c r="C481" s="320"/>
      <c r="D481" s="321" t="s">
        <v>1139</v>
      </c>
      <c r="E481" s="320"/>
      <c r="F481" s="321" t="s">
        <v>71</v>
      </c>
    </row>
    <row r="482">
      <c r="A482" s="218" t="s">
        <v>594</v>
      </c>
      <c r="B482" s="327" t="s">
        <v>1039</v>
      </c>
      <c r="C482" s="320"/>
      <c r="D482" s="321" t="s">
        <v>1140</v>
      </c>
      <c r="E482" s="320"/>
      <c r="F482" s="321" t="s">
        <v>73</v>
      </c>
    </row>
    <row r="483">
      <c r="A483" s="218" t="s">
        <v>595</v>
      </c>
      <c r="B483" s="327" t="s">
        <v>1039</v>
      </c>
      <c r="C483" s="320"/>
      <c r="D483" s="321" t="s">
        <v>1361</v>
      </c>
      <c r="E483" s="320"/>
      <c r="F483" s="321" t="s">
        <v>75</v>
      </c>
    </row>
    <row r="484">
      <c r="A484" s="218" t="s">
        <v>596</v>
      </c>
      <c r="B484" s="327" t="s">
        <v>1039</v>
      </c>
      <c r="C484" s="320"/>
      <c r="D484" s="321" t="s">
        <v>1141</v>
      </c>
      <c r="E484" s="320"/>
      <c r="F484" s="321" t="s">
        <v>71</v>
      </c>
    </row>
    <row r="485">
      <c r="A485" s="218" t="s">
        <v>597</v>
      </c>
      <c r="B485" s="327" t="s">
        <v>1039</v>
      </c>
      <c r="C485" s="320"/>
      <c r="D485" s="321" t="s">
        <v>1142</v>
      </c>
      <c r="E485" s="320"/>
      <c r="F485" s="321" t="s">
        <v>73</v>
      </c>
    </row>
    <row r="486">
      <c r="A486" s="218" t="s">
        <v>598</v>
      </c>
      <c r="B486" s="327" t="s">
        <v>667</v>
      </c>
      <c r="C486" s="320"/>
      <c r="D486" s="321" t="s">
        <v>1143</v>
      </c>
      <c r="E486" s="320"/>
      <c r="F486" s="321" t="s">
        <v>71</v>
      </c>
    </row>
    <row r="487">
      <c r="A487" s="218" t="s">
        <v>599</v>
      </c>
      <c r="B487" s="327" t="s">
        <v>667</v>
      </c>
      <c r="C487" s="320"/>
      <c r="D487" s="321" t="s">
        <v>1272</v>
      </c>
      <c r="E487" s="320"/>
      <c r="F487" s="321" t="s">
        <v>75</v>
      </c>
    </row>
    <row r="488">
      <c r="A488" s="218" t="s">
        <v>600</v>
      </c>
      <c r="B488" s="327" t="s">
        <v>667</v>
      </c>
      <c r="C488" s="320"/>
      <c r="D488" s="321" t="s">
        <v>1362</v>
      </c>
      <c r="E488" s="320"/>
      <c r="F488" s="321" t="s">
        <v>71</v>
      </c>
    </row>
    <row r="489">
      <c r="A489" s="218" t="s">
        <v>601</v>
      </c>
      <c r="B489" s="327" t="s">
        <v>667</v>
      </c>
      <c r="C489" s="320"/>
      <c r="D489" s="321" t="s">
        <v>1363</v>
      </c>
      <c r="E489" s="320"/>
      <c r="F489" s="321" t="s">
        <v>73</v>
      </c>
    </row>
    <row r="490">
      <c r="A490" s="218" t="s">
        <v>602</v>
      </c>
      <c r="B490" s="327" t="s">
        <v>667</v>
      </c>
      <c r="C490" s="320"/>
      <c r="D490" s="321" t="s">
        <v>1364</v>
      </c>
      <c r="E490" s="320"/>
      <c r="F490" s="321" t="s">
        <v>75</v>
      </c>
    </row>
    <row r="491">
      <c r="A491" s="218" t="s">
        <v>603</v>
      </c>
      <c r="B491" s="327" t="s">
        <v>667</v>
      </c>
      <c r="C491" s="320"/>
      <c r="D491" s="321" t="s">
        <v>1365</v>
      </c>
      <c r="E491" s="321" t="s">
        <v>1055</v>
      </c>
      <c r="F491" s="321" t="s">
        <v>77</v>
      </c>
    </row>
    <row r="492">
      <c r="A492" s="218" t="s">
        <v>604</v>
      </c>
      <c r="B492" s="327" t="s">
        <v>590</v>
      </c>
      <c r="C492" s="320"/>
      <c r="D492" s="321" t="s">
        <v>1366</v>
      </c>
      <c r="E492" s="320"/>
      <c r="F492" s="321" t="s">
        <v>71</v>
      </c>
    </row>
    <row r="493">
      <c r="A493" s="218" t="s">
        <v>605</v>
      </c>
      <c r="B493" s="327" t="s">
        <v>1039</v>
      </c>
      <c r="C493" s="320"/>
      <c r="D493" s="321" t="s">
        <v>1277</v>
      </c>
      <c r="E493" s="320"/>
      <c r="F493" s="321" t="s">
        <v>71</v>
      </c>
    </row>
    <row r="494">
      <c r="A494" s="218" t="s">
        <v>606</v>
      </c>
      <c r="B494" s="327" t="s">
        <v>1039</v>
      </c>
      <c r="C494" s="320"/>
      <c r="D494" s="321" t="s">
        <v>1367</v>
      </c>
      <c r="E494" s="320"/>
      <c r="F494" s="321" t="s">
        <v>73</v>
      </c>
    </row>
    <row r="495">
      <c r="A495" s="218" t="s">
        <v>607</v>
      </c>
      <c r="B495" s="327" t="s">
        <v>1039</v>
      </c>
      <c r="C495" s="320"/>
      <c r="D495" s="321" t="s">
        <v>1368</v>
      </c>
      <c r="E495" s="320"/>
      <c r="F495" s="321" t="s">
        <v>75</v>
      </c>
    </row>
    <row r="496">
      <c r="A496" s="218" t="s">
        <v>608</v>
      </c>
      <c r="B496" s="327" t="s">
        <v>590</v>
      </c>
      <c r="C496" s="320"/>
      <c r="D496" s="321" t="s">
        <v>1274</v>
      </c>
      <c r="E496" s="320"/>
      <c r="F496" s="321" t="s">
        <v>71</v>
      </c>
    </row>
    <row r="497">
      <c r="A497" s="218" t="s">
        <v>610</v>
      </c>
      <c r="B497" s="327" t="s">
        <v>590</v>
      </c>
      <c r="C497" s="320"/>
      <c r="D497" s="321" t="s">
        <v>1369</v>
      </c>
      <c r="E497" s="321" t="s">
        <v>1055</v>
      </c>
      <c r="F497" s="321" t="s">
        <v>77</v>
      </c>
    </row>
    <row r="498">
      <c r="A498" s="218" t="s">
        <v>611</v>
      </c>
      <c r="B498" s="327" t="s">
        <v>667</v>
      </c>
      <c r="C498" s="320"/>
      <c r="D498" s="321" t="s">
        <v>1169</v>
      </c>
      <c r="E498" s="320"/>
      <c r="F498" s="321" t="s">
        <v>71</v>
      </c>
    </row>
    <row r="499">
      <c r="A499" s="218" t="s">
        <v>612</v>
      </c>
      <c r="B499" s="327" t="s">
        <v>667</v>
      </c>
      <c r="C499" s="320"/>
      <c r="D499" s="321" t="s">
        <v>1170</v>
      </c>
      <c r="E499" s="320"/>
      <c r="F499" s="321" t="s">
        <v>71</v>
      </c>
    </row>
    <row r="500">
      <c r="A500" s="218" t="s">
        <v>613</v>
      </c>
      <c r="B500" s="327" t="s">
        <v>667</v>
      </c>
      <c r="C500" s="320"/>
      <c r="D500" s="321" t="s">
        <v>1370</v>
      </c>
      <c r="E500" s="320"/>
      <c r="F500" s="321" t="s">
        <v>71</v>
      </c>
    </row>
    <row r="501">
      <c r="A501" s="218" t="s">
        <v>614</v>
      </c>
      <c r="B501" s="327" t="s">
        <v>667</v>
      </c>
      <c r="C501" s="320"/>
      <c r="D501" s="321" t="s">
        <v>1371</v>
      </c>
      <c r="E501" s="320"/>
      <c r="F501" s="321" t="s">
        <v>73</v>
      </c>
    </row>
    <row r="502">
      <c r="A502" s="218" t="s">
        <v>615</v>
      </c>
      <c r="B502" s="327" t="s">
        <v>667</v>
      </c>
      <c r="C502" s="320"/>
      <c r="D502" s="321" t="s">
        <v>1372</v>
      </c>
      <c r="E502" s="320"/>
      <c r="F502" s="321" t="s">
        <v>75</v>
      </c>
    </row>
    <row r="503">
      <c r="A503" s="218" t="s">
        <v>617</v>
      </c>
      <c r="B503" s="327" t="s">
        <v>667</v>
      </c>
      <c r="C503" s="320"/>
      <c r="D503" s="321" t="s">
        <v>1373</v>
      </c>
      <c r="E503" s="320"/>
      <c r="F503" s="321" t="s">
        <v>71</v>
      </c>
    </row>
    <row r="504">
      <c r="A504" s="218" t="s">
        <v>618</v>
      </c>
      <c r="B504" s="327" t="s">
        <v>667</v>
      </c>
      <c r="C504" s="320"/>
      <c r="D504" s="321" t="s">
        <v>1374</v>
      </c>
      <c r="E504" s="320"/>
      <c r="F504" s="321" t="s">
        <v>73</v>
      </c>
    </row>
    <row r="505">
      <c r="A505" s="218" t="s">
        <v>619</v>
      </c>
      <c r="B505" s="327" t="s">
        <v>1039</v>
      </c>
      <c r="C505" s="320"/>
      <c r="D505" s="321" t="s">
        <v>1375</v>
      </c>
      <c r="E505" s="320"/>
      <c r="F505" s="321" t="s">
        <v>73</v>
      </c>
    </row>
    <row r="506">
      <c r="A506" s="218" t="s">
        <v>620</v>
      </c>
      <c r="B506" s="327" t="s">
        <v>1039</v>
      </c>
      <c r="C506" s="320"/>
      <c r="D506" s="321" t="s">
        <v>1376</v>
      </c>
      <c r="E506" s="320"/>
      <c r="F506" s="321" t="s">
        <v>75</v>
      </c>
    </row>
    <row r="507">
      <c r="A507" s="218" t="s">
        <v>621</v>
      </c>
      <c r="B507" s="327" t="s">
        <v>1039</v>
      </c>
      <c r="C507" s="320"/>
      <c r="D507" s="321" t="s">
        <v>1377</v>
      </c>
      <c r="E507" s="320"/>
      <c r="F507" s="321" t="s">
        <v>73</v>
      </c>
    </row>
    <row r="508">
      <c r="A508" s="218" t="s">
        <v>622</v>
      </c>
      <c r="B508" s="327" t="s">
        <v>590</v>
      </c>
      <c r="C508" s="320"/>
      <c r="D508" s="321" t="s">
        <v>1378</v>
      </c>
      <c r="E508" s="320"/>
      <c r="F508" s="321" t="s">
        <v>75</v>
      </c>
    </row>
    <row r="509">
      <c r="A509" s="218" t="s">
        <v>623</v>
      </c>
      <c r="B509" s="327" t="s">
        <v>590</v>
      </c>
      <c r="C509" s="320"/>
      <c r="D509" s="321" t="s">
        <v>1273</v>
      </c>
      <c r="E509" s="320"/>
      <c r="F509" s="321" t="s">
        <v>75</v>
      </c>
    </row>
    <row r="510">
      <c r="A510" s="218" t="s">
        <v>624</v>
      </c>
      <c r="B510" s="327" t="s">
        <v>590</v>
      </c>
      <c r="C510" s="320"/>
      <c r="D510" s="321" t="s">
        <v>1193</v>
      </c>
      <c r="E510" s="320"/>
      <c r="F510" s="321" t="s">
        <v>71</v>
      </c>
    </row>
    <row r="511">
      <c r="A511" s="218" t="s">
        <v>625</v>
      </c>
      <c r="B511" s="327" t="s">
        <v>590</v>
      </c>
      <c r="C511" s="320"/>
      <c r="D511" s="321" t="s">
        <v>1194</v>
      </c>
      <c r="E511" s="320"/>
      <c r="F511" s="321" t="s">
        <v>73</v>
      </c>
    </row>
    <row r="512">
      <c r="A512" s="218" t="s">
        <v>626</v>
      </c>
      <c r="B512" s="327" t="s">
        <v>590</v>
      </c>
      <c r="C512" s="320"/>
      <c r="D512" s="321" t="s">
        <v>1379</v>
      </c>
      <c r="E512" s="320"/>
      <c r="F512" s="321" t="s">
        <v>75</v>
      </c>
    </row>
    <row r="513">
      <c r="A513" s="218" t="s">
        <v>628</v>
      </c>
      <c r="B513" s="327" t="s">
        <v>667</v>
      </c>
      <c r="C513" s="320"/>
      <c r="D513" s="321" t="s">
        <v>1380</v>
      </c>
      <c r="E513" s="320"/>
      <c r="F513" s="321" t="s">
        <v>71</v>
      </c>
    </row>
    <row r="514">
      <c r="A514" s="218" t="s">
        <v>629</v>
      </c>
      <c r="B514" s="327" t="s">
        <v>667</v>
      </c>
      <c r="C514" s="320"/>
      <c r="D514" s="321" t="s">
        <v>1381</v>
      </c>
      <c r="E514" s="320"/>
      <c r="F514" s="321" t="s">
        <v>73</v>
      </c>
    </row>
    <row r="515">
      <c r="A515" s="218" t="s">
        <v>630</v>
      </c>
      <c r="B515" s="327" t="s">
        <v>667</v>
      </c>
      <c r="C515" s="320"/>
      <c r="D515" s="321" t="s">
        <v>1382</v>
      </c>
      <c r="E515" s="320"/>
      <c r="F515" s="321" t="s">
        <v>71</v>
      </c>
    </row>
    <row r="516">
      <c r="A516" s="218" t="s">
        <v>631</v>
      </c>
      <c r="B516" s="327" t="s">
        <v>1039</v>
      </c>
      <c r="C516" s="320"/>
      <c r="D516" s="321" t="s">
        <v>1280</v>
      </c>
      <c r="E516" s="320"/>
      <c r="F516" s="321" t="s">
        <v>71</v>
      </c>
    </row>
    <row r="517">
      <c r="A517" s="218" t="s">
        <v>632</v>
      </c>
      <c r="B517" s="327" t="s">
        <v>1039</v>
      </c>
      <c r="C517" s="320"/>
      <c r="D517" s="321" t="s">
        <v>1383</v>
      </c>
      <c r="E517" s="320"/>
      <c r="F517" s="321" t="s">
        <v>73</v>
      </c>
    </row>
    <row r="518">
      <c r="A518" s="218" t="s">
        <v>633</v>
      </c>
      <c r="B518" s="327" t="s">
        <v>667</v>
      </c>
      <c r="C518" s="320"/>
      <c r="D518" s="321" t="s">
        <v>1384</v>
      </c>
      <c r="E518" s="320"/>
      <c r="F518" s="321" t="s">
        <v>73</v>
      </c>
    </row>
    <row r="519">
      <c r="A519" s="218" t="s">
        <v>634</v>
      </c>
      <c r="B519" s="327" t="s">
        <v>667</v>
      </c>
      <c r="C519" s="320"/>
      <c r="D519" s="321" t="s">
        <v>1385</v>
      </c>
      <c r="E519" s="320"/>
      <c r="F519" s="321" t="s">
        <v>75</v>
      </c>
    </row>
    <row r="520">
      <c r="A520" s="218" t="s">
        <v>635</v>
      </c>
      <c r="B520" s="327" t="s">
        <v>667</v>
      </c>
      <c r="C520" s="320"/>
      <c r="D520" s="321" t="s">
        <v>1332</v>
      </c>
      <c r="E520" s="320"/>
      <c r="F520" s="321" t="s">
        <v>71</v>
      </c>
    </row>
    <row r="521">
      <c r="A521" s="218" t="s">
        <v>636</v>
      </c>
      <c r="B521" s="327" t="s">
        <v>667</v>
      </c>
      <c r="C521" s="320"/>
      <c r="D521" s="321" t="s">
        <v>1386</v>
      </c>
      <c r="E521" s="320"/>
      <c r="F521" s="321" t="s">
        <v>71</v>
      </c>
    </row>
    <row r="522">
      <c r="A522" s="218" t="s">
        <v>637</v>
      </c>
      <c r="B522" s="327" t="s">
        <v>667</v>
      </c>
      <c r="C522" s="320"/>
      <c r="D522" s="321" t="s">
        <v>1387</v>
      </c>
      <c r="E522" s="320"/>
      <c r="F522" s="321" t="s">
        <v>75</v>
      </c>
    </row>
    <row r="523">
      <c r="A523" s="218" t="s">
        <v>638</v>
      </c>
      <c r="B523" s="327" t="s">
        <v>590</v>
      </c>
      <c r="C523" s="320"/>
      <c r="D523" s="321" t="s">
        <v>1388</v>
      </c>
      <c r="E523" s="320"/>
      <c r="F523" s="321" t="s">
        <v>71</v>
      </c>
    </row>
    <row r="524">
      <c r="A524" s="218" t="s">
        <v>639</v>
      </c>
      <c r="B524" s="327" t="s">
        <v>590</v>
      </c>
      <c r="C524" s="320"/>
      <c r="D524" s="321" t="s">
        <v>1389</v>
      </c>
      <c r="E524" s="320"/>
      <c r="F524" s="321" t="s">
        <v>73</v>
      </c>
    </row>
    <row r="525">
      <c r="A525" s="218" t="s">
        <v>641</v>
      </c>
      <c r="B525" s="327" t="s">
        <v>667</v>
      </c>
      <c r="C525" s="320"/>
      <c r="D525" s="321" t="s">
        <v>1390</v>
      </c>
      <c r="E525" s="321" t="s">
        <v>1055</v>
      </c>
      <c r="F525" s="321" t="s">
        <v>77</v>
      </c>
    </row>
    <row r="526">
      <c r="A526" s="218" t="s">
        <v>642</v>
      </c>
      <c r="B526" s="327" t="s">
        <v>667</v>
      </c>
      <c r="C526" s="320"/>
      <c r="D526" s="321" t="s">
        <v>1391</v>
      </c>
      <c r="E526" s="320"/>
      <c r="F526" s="321" t="s">
        <v>71</v>
      </c>
    </row>
    <row r="527">
      <c r="A527" s="218" t="s">
        <v>643</v>
      </c>
      <c r="B527" s="327" t="s">
        <v>667</v>
      </c>
      <c r="C527" s="320"/>
      <c r="D527" s="321" t="s">
        <v>1392</v>
      </c>
      <c r="E527" s="320"/>
      <c r="F527" s="321" t="s">
        <v>73</v>
      </c>
    </row>
    <row r="528">
      <c r="A528" s="218" t="s">
        <v>644</v>
      </c>
      <c r="B528" s="327" t="s">
        <v>590</v>
      </c>
      <c r="C528" s="320"/>
      <c r="D528" s="321" t="s">
        <v>1393</v>
      </c>
      <c r="E528" s="320"/>
      <c r="F528" s="321" t="s">
        <v>71</v>
      </c>
    </row>
    <row r="529">
      <c r="A529" s="218" t="s">
        <v>645</v>
      </c>
      <c r="B529" s="327" t="s">
        <v>590</v>
      </c>
      <c r="C529" s="320"/>
      <c r="D529" s="321" t="s">
        <v>1394</v>
      </c>
      <c r="E529" s="321" t="s">
        <v>1055</v>
      </c>
      <c r="F529" s="321" t="s">
        <v>77</v>
      </c>
    </row>
    <row r="530">
      <c r="A530" s="218" t="s">
        <v>646</v>
      </c>
      <c r="B530" s="327" t="s">
        <v>1039</v>
      </c>
      <c r="C530" s="320"/>
      <c r="D530" s="321" t="s">
        <v>1395</v>
      </c>
      <c r="E530" s="320"/>
      <c r="F530" s="321" t="s">
        <v>71</v>
      </c>
    </row>
    <row r="531">
      <c r="A531" s="218" t="s">
        <v>647</v>
      </c>
      <c r="B531" s="327" t="s">
        <v>1039</v>
      </c>
      <c r="C531" s="320"/>
      <c r="D531" s="321" t="s">
        <v>1396</v>
      </c>
      <c r="E531" s="320"/>
      <c r="F531" s="321" t="s">
        <v>73</v>
      </c>
    </row>
    <row r="532">
      <c r="A532" s="218" t="s">
        <v>648</v>
      </c>
      <c r="B532" s="327" t="s">
        <v>667</v>
      </c>
      <c r="C532" s="320"/>
      <c r="D532" s="321" t="s">
        <v>1397</v>
      </c>
      <c r="E532" s="320"/>
      <c r="F532" s="321" t="s">
        <v>71</v>
      </c>
    </row>
    <row r="533">
      <c r="A533" s="218" t="s">
        <v>650</v>
      </c>
      <c r="B533" s="327" t="s">
        <v>667</v>
      </c>
      <c r="C533" s="320"/>
      <c r="D533" s="321" t="s">
        <v>1398</v>
      </c>
      <c r="E533" s="320"/>
      <c r="F533" s="321" t="s">
        <v>73</v>
      </c>
    </row>
    <row r="534">
      <c r="A534" s="218" t="s">
        <v>651</v>
      </c>
      <c r="B534" s="327" t="s">
        <v>590</v>
      </c>
      <c r="C534" s="320"/>
      <c r="D534" s="321" t="s">
        <v>1399</v>
      </c>
      <c r="E534" s="320"/>
      <c r="F534" s="321" t="s">
        <v>73</v>
      </c>
    </row>
    <row r="535">
      <c r="A535" s="218" t="s">
        <v>652</v>
      </c>
      <c r="B535" s="327" t="s">
        <v>1039</v>
      </c>
      <c r="C535" s="320"/>
      <c r="D535" s="321" t="s">
        <v>1400</v>
      </c>
      <c r="E535" s="320"/>
      <c r="F535" s="321" t="s">
        <v>71</v>
      </c>
    </row>
    <row r="536">
      <c r="A536" s="218" t="s">
        <v>653</v>
      </c>
      <c r="B536" s="327" t="s">
        <v>1039</v>
      </c>
      <c r="C536" s="320"/>
      <c r="D536" s="321" t="s">
        <v>1401</v>
      </c>
      <c r="E536" s="320"/>
      <c r="F536" s="321" t="s">
        <v>73</v>
      </c>
    </row>
    <row r="537">
      <c r="A537" s="218" t="s">
        <v>654</v>
      </c>
      <c r="B537" s="327" t="s">
        <v>667</v>
      </c>
      <c r="C537" s="320"/>
      <c r="D537" s="321" t="s">
        <v>1402</v>
      </c>
      <c r="E537" s="320"/>
      <c r="F537" s="321" t="s">
        <v>71</v>
      </c>
    </row>
    <row r="538">
      <c r="A538" s="218" t="s">
        <v>655</v>
      </c>
      <c r="B538" s="327" t="s">
        <v>667</v>
      </c>
      <c r="C538" s="320"/>
      <c r="D538" s="321" t="s">
        <v>1403</v>
      </c>
      <c r="E538" s="320"/>
      <c r="F538" s="321" t="s">
        <v>73</v>
      </c>
    </row>
    <row r="539">
      <c r="A539" s="218" t="s">
        <v>656</v>
      </c>
      <c r="B539" s="327" t="s">
        <v>667</v>
      </c>
      <c r="C539" s="320"/>
      <c r="D539" s="321" t="s">
        <v>1278</v>
      </c>
      <c r="E539" s="320"/>
      <c r="F539" s="321" t="s">
        <v>75</v>
      </c>
    </row>
    <row r="540">
      <c r="A540" s="218" t="s">
        <v>657</v>
      </c>
      <c r="B540" s="327" t="s">
        <v>667</v>
      </c>
      <c r="C540" s="320"/>
      <c r="D540" s="321" t="s">
        <v>1278</v>
      </c>
      <c r="E540" s="321" t="s">
        <v>1055</v>
      </c>
      <c r="F540" s="321" t="s">
        <v>77</v>
      </c>
    </row>
    <row r="541">
      <c r="A541" s="218" t="s">
        <v>658</v>
      </c>
      <c r="B541" s="327" t="s">
        <v>1039</v>
      </c>
      <c r="C541" s="320"/>
      <c r="D541" s="321" t="s">
        <v>1275</v>
      </c>
      <c r="E541" s="320"/>
      <c r="F541" s="321" t="s">
        <v>73</v>
      </c>
    </row>
    <row r="542">
      <c r="A542" s="218" t="s">
        <v>659</v>
      </c>
      <c r="B542" s="324" t="s">
        <v>667</v>
      </c>
      <c r="C542" s="320"/>
      <c r="D542" s="321" t="s">
        <v>1404</v>
      </c>
      <c r="E542" s="320"/>
      <c r="F542" s="321" t="s">
        <v>73</v>
      </c>
    </row>
    <row r="543">
      <c r="A543" s="218" t="s">
        <v>660</v>
      </c>
      <c r="B543" s="327" t="s">
        <v>590</v>
      </c>
      <c r="C543" s="320"/>
      <c r="D543" s="321" t="s">
        <v>1405</v>
      </c>
      <c r="E543" s="320"/>
      <c r="F543" s="321" t="s">
        <v>73</v>
      </c>
    </row>
    <row r="544">
      <c r="A544" s="218" t="s">
        <v>662</v>
      </c>
      <c r="B544" s="327" t="s">
        <v>590</v>
      </c>
      <c r="C544" s="320"/>
      <c r="D544" s="321" t="s">
        <v>1406</v>
      </c>
      <c r="E544" s="320"/>
      <c r="F544" s="321" t="s">
        <v>75</v>
      </c>
    </row>
    <row r="545">
      <c r="A545" s="218" t="s">
        <v>663</v>
      </c>
      <c r="B545" s="327" t="s">
        <v>590</v>
      </c>
      <c r="C545" s="320"/>
      <c r="D545" s="321" t="s">
        <v>1332</v>
      </c>
      <c r="E545" s="320"/>
      <c r="F545" s="321" t="s">
        <v>71</v>
      </c>
    </row>
    <row r="546">
      <c r="A546" s="218" t="s">
        <v>664</v>
      </c>
      <c r="B546" s="327" t="s">
        <v>667</v>
      </c>
      <c r="C546" s="320"/>
      <c r="D546" s="321" t="s">
        <v>1407</v>
      </c>
      <c r="E546" s="320"/>
      <c r="F546" s="321" t="s">
        <v>71</v>
      </c>
    </row>
    <row r="547">
      <c r="A547" s="218" t="s">
        <v>665</v>
      </c>
      <c r="B547" s="327" t="s">
        <v>667</v>
      </c>
      <c r="C547" s="320"/>
      <c r="D547" s="321" t="s">
        <v>1408</v>
      </c>
      <c r="E547" s="320"/>
      <c r="F547" s="321" t="s">
        <v>73</v>
      </c>
    </row>
    <row r="548">
      <c r="A548" s="218" t="s">
        <v>666</v>
      </c>
      <c r="B548" s="327" t="s">
        <v>1039</v>
      </c>
      <c r="C548" s="320"/>
      <c r="D548" s="321" t="s">
        <v>1409</v>
      </c>
      <c r="E548" s="320"/>
      <c r="F548" s="321" t="s">
        <v>73</v>
      </c>
    </row>
    <row r="549">
      <c r="A549" s="218" t="s">
        <v>667</v>
      </c>
      <c r="B549" s="327" t="s">
        <v>667</v>
      </c>
      <c r="C549" s="320"/>
      <c r="D549" s="321" t="s">
        <v>1410</v>
      </c>
      <c r="E549" s="321" t="s">
        <v>1055</v>
      </c>
      <c r="F549" s="321" t="s">
        <v>77</v>
      </c>
    </row>
    <row r="550">
      <c r="A550" s="218" t="s">
        <v>668</v>
      </c>
      <c r="B550" s="327" t="s">
        <v>667</v>
      </c>
      <c r="C550" s="320"/>
      <c r="D550" s="321" t="s">
        <v>1411</v>
      </c>
      <c r="E550" s="320"/>
      <c r="F550" s="321" t="s">
        <v>75</v>
      </c>
    </row>
    <row r="551">
      <c r="A551" s="218" t="s">
        <v>669</v>
      </c>
      <c r="B551" s="327" t="s">
        <v>590</v>
      </c>
      <c r="C551" s="320"/>
      <c r="D551" s="321" t="s">
        <v>1281</v>
      </c>
      <c r="E551" s="320"/>
      <c r="F551" s="321" t="s">
        <v>71</v>
      </c>
    </row>
    <row r="552">
      <c r="A552" s="218" t="s">
        <v>670</v>
      </c>
      <c r="B552" s="327" t="s">
        <v>590</v>
      </c>
      <c r="C552" s="320"/>
      <c r="D552" s="321" t="s">
        <v>1412</v>
      </c>
      <c r="E552" s="320"/>
      <c r="F552" s="321" t="s">
        <v>73</v>
      </c>
    </row>
    <row r="553">
      <c r="A553" s="218" t="s">
        <v>671</v>
      </c>
      <c r="B553" s="327" t="s">
        <v>590</v>
      </c>
      <c r="C553" s="320"/>
      <c r="D553" s="321" t="s">
        <v>1413</v>
      </c>
      <c r="E553" s="320"/>
      <c r="F553" s="321" t="s">
        <v>75</v>
      </c>
    </row>
    <row r="554">
      <c r="A554" s="218" t="s">
        <v>672</v>
      </c>
      <c r="B554" s="327" t="s">
        <v>590</v>
      </c>
      <c r="C554" s="320"/>
      <c r="D554" s="321" t="s">
        <v>1237</v>
      </c>
      <c r="E554" s="320"/>
      <c r="F554" s="321" t="s">
        <v>71</v>
      </c>
    </row>
    <row r="555">
      <c r="A555" s="218" t="s">
        <v>673</v>
      </c>
      <c r="B555" s="327" t="s">
        <v>590</v>
      </c>
      <c r="C555" s="320"/>
      <c r="D555" s="321" t="s">
        <v>1414</v>
      </c>
      <c r="E555" s="321" t="s">
        <v>1055</v>
      </c>
      <c r="F555" s="321" t="s">
        <v>77</v>
      </c>
    </row>
    <row r="556">
      <c r="A556" s="218" t="s">
        <v>674</v>
      </c>
      <c r="B556" s="327" t="s">
        <v>1039</v>
      </c>
      <c r="C556" s="320"/>
      <c r="D556" s="321" t="s">
        <v>1242</v>
      </c>
      <c r="E556" s="320"/>
      <c r="F556" s="321" t="s">
        <v>71</v>
      </c>
    </row>
    <row r="557">
      <c r="A557" s="218" t="s">
        <v>675</v>
      </c>
      <c r="B557" s="327" t="s">
        <v>590</v>
      </c>
      <c r="C557" s="320"/>
      <c r="D557" s="321" t="s">
        <v>1243</v>
      </c>
      <c r="E557" s="320"/>
      <c r="F557" s="321" t="s">
        <v>71</v>
      </c>
    </row>
    <row r="558">
      <c r="A558" s="218" t="s">
        <v>676</v>
      </c>
      <c r="B558" s="327" t="s">
        <v>590</v>
      </c>
      <c r="C558" s="320"/>
      <c r="D558" s="321" t="s">
        <v>1415</v>
      </c>
      <c r="E558" s="320"/>
      <c r="F558" s="321" t="s">
        <v>73</v>
      </c>
    </row>
    <row r="559">
      <c r="A559" s="218" t="s">
        <v>677</v>
      </c>
      <c r="B559" s="327" t="s">
        <v>590</v>
      </c>
      <c r="C559" s="320"/>
      <c r="D559" s="321" t="s">
        <v>1416</v>
      </c>
      <c r="E559" s="320"/>
      <c r="F559" s="321" t="s">
        <v>75</v>
      </c>
    </row>
    <row r="560">
      <c r="A560" s="218" t="s">
        <v>678</v>
      </c>
      <c r="B560" s="327" t="s">
        <v>1039</v>
      </c>
      <c r="C560" s="320"/>
      <c r="D560" s="321" t="s">
        <v>1417</v>
      </c>
      <c r="E560" s="320"/>
      <c r="F560" s="321" t="s">
        <v>71</v>
      </c>
    </row>
    <row r="561">
      <c r="A561" s="218" t="s">
        <v>679</v>
      </c>
      <c r="B561" s="327" t="s">
        <v>1039</v>
      </c>
      <c r="C561" s="320"/>
      <c r="D561" s="321" t="s">
        <v>1418</v>
      </c>
      <c r="E561" s="320"/>
      <c r="F561" s="321" t="s">
        <v>71</v>
      </c>
    </row>
    <row r="562">
      <c r="A562" s="218" t="s">
        <v>680</v>
      </c>
      <c r="B562" s="327" t="s">
        <v>590</v>
      </c>
      <c r="C562" s="320"/>
      <c r="D562" s="321" t="s">
        <v>1419</v>
      </c>
      <c r="E562" s="320"/>
      <c r="F562" s="321" t="s">
        <v>71</v>
      </c>
    </row>
    <row r="563">
      <c r="A563" s="218" t="s">
        <v>681</v>
      </c>
      <c r="B563" s="327" t="s">
        <v>590</v>
      </c>
      <c r="C563" s="320"/>
      <c r="D563" s="321" t="s">
        <v>1420</v>
      </c>
      <c r="E563" s="320"/>
      <c r="F563" s="321" t="s">
        <v>71</v>
      </c>
    </row>
    <row r="564">
      <c r="A564" s="218" t="s">
        <v>682</v>
      </c>
      <c r="B564" s="327" t="s">
        <v>590</v>
      </c>
      <c r="C564" s="320"/>
      <c r="D564" s="321" t="s">
        <v>1282</v>
      </c>
      <c r="E564" s="320"/>
      <c r="F564" s="321" t="s">
        <v>73</v>
      </c>
    </row>
    <row r="565">
      <c r="A565" s="218" t="s">
        <v>683</v>
      </c>
      <c r="B565" s="327" t="s">
        <v>667</v>
      </c>
      <c r="C565" s="320"/>
      <c r="D565" s="321" t="s">
        <v>1421</v>
      </c>
      <c r="E565" s="320"/>
      <c r="F565" s="321" t="s">
        <v>71</v>
      </c>
    </row>
    <row r="566">
      <c r="A566" s="218" t="s">
        <v>684</v>
      </c>
      <c r="B566" s="327" t="s">
        <v>667</v>
      </c>
      <c r="C566" s="320"/>
      <c r="D566" s="321" t="s">
        <v>1422</v>
      </c>
      <c r="E566" s="320"/>
      <c r="F566" s="321" t="s">
        <v>71</v>
      </c>
    </row>
    <row r="567">
      <c r="A567" s="218" t="s">
        <v>685</v>
      </c>
      <c r="B567" s="327" t="s">
        <v>667</v>
      </c>
      <c r="C567" s="320"/>
      <c r="D567" s="321" t="s">
        <v>1423</v>
      </c>
      <c r="E567" s="320"/>
      <c r="F567" s="321" t="s">
        <v>71</v>
      </c>
    </row>
    <row r="568">
      <c r="A568" s="218" t="s">
        <v>686</v>
      </c>
      <c r="B568" s="327" t="s">
        <v>667</v>
      </c>
      <c r="C568" s="320"/>
      <c r="D568" s="321" t="s">
        <v>1424</v>
      </c>
      <c r="E568" s="320"/>
      <c r="F568" s="321" t="s">
        <v>71</v>
      </c>
    </row>
    <row r="569">
      <c r="A569" s="218" t="s">
        <v>687</v>
      </c>
      <c r="B569" s="327" t="s">
        <v>590</v>
      </c>
      <c r="C569" s="320"/>
      <c r="D569" s="321" t="s">
        <v>1425</v>
      </c>
      <c r="E569" s="320"/>
      <c r="F569" s="321" t="s">
        <v>71</v>
      </c>
    </row>
    <row r="570">
      <c r="A570" s="218" t="s">
        <v>688</v>
      </c>
      <c r="B570" s="327" t="s">
        <v>590</v>
      </c>
      <c r="C570" s="320"/>
      <c r="D570" s="321" t="s">
        <v>1426</v>
      </c>
      <c r="E570" s="320"/>
      <c r="F570" s="321" t="s">
        <v>73</v>
      </c>
    </row>
    <row r="571">
      <c r="A571" s="218" t="s">
        <v>689</v>
      </c>
      <c r="B571" s="327" t="s">
        <v>590</v>
      </c>
      <c r="C571" s="320"/>
      <c r="D571" s="321" t="s">
        <v>1315</v>
      </c>
      <c r="E571" s="320"/>
      <c r="F571" s="321" t="s">
        <v>71</v>
      </c>
    </row>
    <row r="572">
      <c r="A572" s="218" t="s">
        <v>690</v>
      </c>
      <c r="B572" s="327" t="s">
        <v>1039</v>
      </c>
      <c r="C572" s="320"/>
      <c r="D572" s="321" t="s">
        <v>1427</v>
      </c>
      <c r="E572" s="320"/>
      <c r="F572" s="321" t="s">
        <v>71</v>
      </c>
    </row>
    <row r="573">
      <c r="A573" s="218" t="s">
        <v>691</v>
      </c>
      <c r="B573" s="327" t="s">
        <v>1039</v>
      </c>
      <c r="C573" s="320"/>
      <c r="D573" s="321" t="s">
        <v>1428</v>
      </c>
      <c r="E573" s="320"/>
      <c r="F573" s="321" t="s">
        <v>75</v>
      </c>
    </row>
    <row r="574">
      <c r="A574" s="218" t="s">
        <v>692</v>
      </c>
      <c r="B574" s="327" t="s">
        <v>667</v>
      </c>
      <c r="C574" s="320"/>
      <c r="D574" s="321" t="s">
        <v>1429</v>
      </c>
      <c r="E574" s="320"/>
      <c r="F574" s="321" t="s">
        <v>71</v>
      </c>
    </row>
    <row r="575">
      <c r="A575" s="218" t="s">
        <v>693</v>
      </c>
      <c r="B575" s="327" t="s">
        <v>590</v>
      </c>
      <c r="C575" s="320"/>
      <c r="D575" s="321" t="s">
        <v>1430</v>
      </c>
      <c r="E575" s="320"/>
      <c r="F575" s="321" t="s">
        <v>71</v>
      </c>
    </row>
    <row r="576">
      <c r="A576" s="218" t="s">
        <v>694</v>
      </c>
      <c r="B576" s="327" t="s">
        <v>667</v>
      </c>
      <c r="C576" s="320"/>
      <c r="D576" s="321" t="s">
        <v>1431</v>
      </c>
      <c r="E576" s="320"/>
      <c r="F576" s="321" t="s">
        <v>73</v>
      </c>
    </row>
    <row r="577">
      <c r="A577" s="218" t="s">
        <v>695</v>
      </c>
      <c r="B577" s="327" t="s">
        <v>667</v>
      </c>
      <c r="C577" s="320"/>
      <c r="D577" s="321" t="s">
        <v>1432</v>
      </c>
      <c r="E577" s="320"/>
      <c r="F577" s="321" t="s">
        <v>73</v>
      </c>
    </row>
    <row r="578">
      <c r="A578" s="218" t="s">
        <v>696</v>
      </c>
      <c r="B578" s="327" t="s">
        <v>590</v>
      </c>
      <c r="C578" s="320"/>
      <c r="D578" s="321" t="s">
        <v>1433</v>
      </c>
      <c r="E578" s="320"/>
      <c r="F578" s="321" t="s">
        <v>73</v>
      </c>
    </row>
    <row r="579">
      <c r="A579" s="218" t="s">
        <v>697</v>
      </c>
      <c r="B579" s="327" t="s">
        <v>590</v>
      </c>
      <c r="C579" s="320"/>
      <c r="D579" s="321" t="s">
        <v>1434</v>
      </c>
      <c r="E579" s="320"/>
      <c r="F579" s="321" t="s">
        <v>73</v>
      </c>
    </row>
    <row r="580">
      <c r="A580" s="218" t="s">
        <v>698</v>
      </c>
      <c r="B580" s="327" t="s">
        <v>590</v>
      </c>
      <c r="C580" s="320"/>
      <c r="D580" s="321" t="s">
        <v>1435</v>
      </c>
      <c r="E580" s="320"/>
      <c r="F580" s="321" t="s">
        <v>73</v>
      </c>
    </row>
    <row r="581">
      <c r="A581" s="218" t="s">
        <v>699</v>
      </c>
      <c r="B581" s="327" t="s">
        <v>667</v>
      </c>
      <c r="C581" s="320"/>
      <c r="D581" s="321" t="s">
        <v>1436</v>
      </c>
      <c r="E581" s="320"/>
      <c r="F581" s="321" t="s">
        <v>73</v>
      </c>
    </row>
    <row r="582">
      <c r="A582" s="218" t="s">
        <v>700</v>
      </c>
      <c r="B582" s="327" t="s">
        <v>590</v>
      </c>
      <c r="C582" s="320"/>
      <c r="D582" s="321" t="s">
        <v>1437</v>
      </c>
      <c r="E582" s="320"/>
      <c r="F582" s="321" t="s">
        <v>73</v>
      </c>
    </row>
    <row r="583">
      <c r="A583" s="218" t="s">
        <v>701</v>
      </c>
      <c r="B583" s="327" t="s">
        <v>667</v>
      </c>
      <c r="C583" s="320"/>
      <c r="D583" s="321" t="s">
        <v>1438</v>
      </c>
      <c r="E583" s="320"/>
      <c r="F583" s="321" t="s">
        <v>73</v>
      </c>
    </row>
    <row r="584">
      <c r="A584" s="218" t="s">
        <v>702</v>
      </c>
      <c r="B584" s="327" t="s">
        <v>667</v>
      </c>
      <c r="C584" s="320"/>
      <c r="D584" s="321" t="s">
        <v>1439</v>
      </c>
      <c r="E584" s="320"/>
      <c r="F584" s="321" t="s">
        <v>73</v>
      </c>
    </row>
    <row r="585">
      <c r="A585" s="218" t="s">
        <v>703</v>
      </c>
      <c r="B585" s="327" t="s">
        <v>590</v>
      </c>
      <c r="C585" s="320"/>
      <c r="D585" s="321" t="s">
        <v>1440</v>
      </c>
      <c r="E585" s="320"/>
      <c r="F585" s="321" t="s">
        <v>73</v>
      </c>
    </row>
    <row r="586">
      <c r="A586" s="218" t="s">
        <v>704</v>
      </c>
      <c r="B586" s="327" t="s">
        <v>667</v>
      </c>
      <c r="C586" s="320"/>
      <c r="D586" s="321" t="s">
        <v>1322</v>
      </c>
      <c r="E586" s="320"/>
      <c r="F586" s="321" t="s">
        <v>79</v>
      </c>
    </row>
    <row r="587">
      <c r="A587" s="218" t="s">
        <v>705</v>
      </c>
      <c r="B587" s="327" t="s">
        <v>667</v>
      </c>
      <c r="C587" s="320"/>
      <c r="D587" s="321" t="s">
        <v>1333</v>
      </c>
      <c r="E587" s="320"/>
      <c r="F587" s="321" t="s">
        <v>79</v>
      </c>
    </row>
    <row r="588">
      <c r="A588" s="218" t="s">
        <v>706</v>
      </c>
      <c r="B588" s="327" t="s">
        <v>590</v>
      </c>
      <c r="C588" s="320"/>
      <c r="D588" s="321" t="s">
        <v>1335</v>
      </c>
      <c r="E588" s="320"/>
      <c r="F588" s="321" t="s">
        <v>79</v>
      </c>
    </row>
    <row r="589">
      <c r="A589" s="218" t="s">
        <v>707</v>
      </c>
      <c r="B589" s="327" t="s">
        <v>667</v>
      </c>
      <c r="C589" s="320"/>
      <c r="D589" s="321" t="s">
        <v>1338</v>
      </c>
      <c r="E589" s="320"/>
      <c r="F589" s="321" t="s">
        <v>79</v>
      </c>
    </row>
    <row r="590">
      <c r="A590" s="218" t="s">
        <v>708</v>
      </c>
      <c r="B590" s="327" t="s">
        <v>667</v>
      </c>
      <c r="C590" s="320"/>
      <c r="D590" s="321" t="s">
        <v>1347</v>
      </c>
      <c r="E590" s="320"/>
      <c r="F590" s="321" t="s">
        <v>79</v>
      </c>
    </row>
    <row r="591">
      <c r="A591" s="218" t="s">
        <v>709</v>
      </c>
      <c r="B591" s="327" t="s">
        <v>590</v>
      </c>
      <c r="C591" s="320"/>
      <c r="D591" s="321" t="s">
        <v>1354</v>
      </c>
      <c r="E591" s="320"/>
      <c r="F591" s="321" t="s">
        <v>79</v>
      </c>
    </row>
    <row r="592">
      <c r="A592" s="218" t="s">
        <v>710</v>
      </c>
      <c r="B592" s="327" t="s">
        <v>590</v>
      </c>
      <c r="C592" s="320"/>
      <c r="D592" s="321" t="s">
        <v>1283</v>
      </c>
      <c r="E592" s="320"/>
      <c r="F592" s="321" t="s">
        <v>79</v>
      </c>
    </row>
    <row r="593">
      <c r="A593" s="218" t="s">
        <v>711</v>
      </c>
      <c r="B593" s="327" t="s">
        <v>667</v>
      </c>
      <c r="C593" s="320"/>
      <c r="D593" s="321" t="s">
        <v>1362</v>
      </c>
      <c r="E593" s="320"/>
      <c r="F593" s="321" t="s">
        <v>79</v>
      </c>
    </row>
    <row r="594">
      <c r="A594" s="218" t="s">
        <v>712</v>
      </c>
      <c r="B594" s="327" t="s">
        <v>590</v>
      </c>
      <c r="C594" s="320"/>
      <c r="D594" s="321" t="s">
        <v>1366</v>
      </c>
      <c r="E594" s="320"/>
      <c r="F594" s="321" t="s">
        <v>79</v>
      </c>
    </row>
    <row r="595">
      <c r="A595" s="218" t="s">
        <v>713</v>
      </c>
      <c r="B595" s="327" t="s">
        <v>667</v>
      </c>
      <c r="C595" s="320"/>
      <c r="D595" s="321" t="s">
        <v>1373</v>
      </c>
      <c r="E595" s="320"/>
      <c r="F595" s="321" t="s">
        <v>79</v>
      </c>
    </row>
    <row r="596">
      <c r="A596" s="218" t="s">
        <v>714</v>
      </c>
      <c r="B596" s="327" t="s">
        <v>667</v>
      </c>
      <c r="C596" s="320"/>
      <c r="D596" s="321" t="s">
        <v>1376</v>
      </c>
      <c r="E596" s="320"/>
      <c r="F596" s="321" t="s">
        <v>79</v>
      </c>
    </row>
    <row r="597">
      <c r="A597" s="218" t="s">
        <v>715</v>
      </c>
      <c r="B597" s="327" t="s">
        <v>590</v>
      </c>
      <c r="C597" s="320"/>
      <c r="D597" s="321" t="s">
        <v>1378</v>
      </c>
      <c r="E597" s="320"/>
      <c r="F597" s="321" t="s">
        <v>79</v>
      </c>
    </row>
    <row r="598">
      <c r="A598" s="218" t="s">
        <v>716</v>
      </c>
      <c r="B598" s="327" t="s">
        <v>590</v>
      </c>
      <c r="C598" s="320"/>
      <c r="D598" s="321" t="s">
        <v>1273</v>
      </c>
      <c r="E598" s="320"/>
      <c r="F598" s="321" t="s">
        <v>79</v>
      </c>
    </row>
    <row r="599">
      <c r="A599" s="218" t="s">
        <v>717</v>
      </c>
      <c r="B599" s="327" t="s">
        <v>590</v>
      </c>
      <c r="C599" s="320"/>
      <c r="D599" s="321" t="s">
        <v>1379</v>
      </c>
      <c r="E599" s="320"/>
      <c r="F599" s="321" t="s">
        <v>79</v>
      </c>
    </row>
    <row r="600">
      <c r="A600" s="218" t="s">
        <v>718</v>
      </c>
      <c r="B600" s="327" t="s">
        <v>667</v>
      </c>
      <c r="C600" s="320"/>
      <c r="D600" s="321" t="s">
        <v>1387</v>
      </c>
      <c r="E600" s="320"/>
      <c r="F600" s="321" t="s">
        <v>79</v>
      </c>
    </row>
    <row r="601">
      <c r="A601" s="218" t="s">
        <v>719</v>
      </c>
      <c r="B601" s="327" t="s">
        <v>590</v>
      </c>
      <c r="C601" s="320"/>
      <c r="D601" s="321" t="s">
        <v>1388</v>
      </c>
      <c r="E601" s="320"/>
      <c r="F601" s="321" t="s">
        <v>79</v>
      </c>
    </row>
    <row r="602">
      <c r="A602" s="218" t="s">
        <v>720</v>
      </c>
      <c r="B602" s="327" t="s">
        <v>590</v>
      </c>
      <c r="C602" s="320"/>
      <c r="D602" s="321" t="s">
        <v>1399</v>
      </c>
      <c r="E602" s="320"/>
      <c r="F602" s="321" t="s">
        <v>79</v>
      </c>
    </row>
    <row r="603">
      <c r="A603" s="218" t="s">
        <v>721</v>
      </c>
      <c r="B603" s="327" t="s">
        <v>667</v>
      </c>
      <c r="C603" s="320"/>
      <c r="D603" s="321" t="s">
        <v>1402</v>
      </c>
      <c r="E603" s="320"/>
      <c r="F603" s="321" t="s">
        <v>79</v>
      </c>
    </row>
    <row r="604">
      <c r="A604" s="218" t="s">
        <v>722</v>
      </c>
      <c r="B604" s="327" t="s">
        <v>667</v>
      </c>
      <c r="C604" s="320"/>
      <c r="D604" s="321" t="s">
        <v>1411</v>
      </c>
      <c r="E604" s="320"/>
      <c r="F604" s="321" t="s">
        <v>79</v>
      </c>
    </row>
    <row r="605">
      <c r="A605" s="218" t="s">
        <v>723</v>
      </c>
      <c r="B605" s="327" t="s">
        <v>590</v>
      </c>
      <c r="C605" s="320"/>
      <c r="D605" s="321" t="s">
        <v>1413</v>
      </c>
      <c r="E605" s="320"/>
      <c r="F605" s="321" t="s">
        <v>79</v>
      </c>
    </row>
    <row r="606">
      <c r="A606" s="218" t="s">
        <v>724</v>
      </c>
      <c r="B606" s="327" t="s">
        <v>590</v>
      </c>
      <c r="C606" s="320"/>
      <c r="D606" s="321" t="s">
        <v>1282</v>
      </c>
      <c r="E606" s="320"/>
      <c r="F606" s="321" t="s">
        <v>79</v>
      </c>
    </row>
    <row r="607">
      <c r="A607" s="218" t="s">
        <v>725</v>
      </c>
      <c r="B607" s="327" t="s">
        <v>667</v>
      </c>
      <c r="C607" s="320"/>
      <c r="D607" s="321" t="s">
        <v>1421</v>
      </c>
      <c r="E607" s="320"/>
      <c r="F607" s="321" t="s">
        <v>79</v>
      </c>
    </row>
    <row r="608">
      <c r="A608" s="218" t="s">
        <v>726</v>
      </c>
      <c r="B608" s="327" t="s">
        <v>590</v>
      </c>
      <c r="C608" s="320"/>
      <c r="D608" s="321" t="s">
        <v>1425</v>
      </c>
      <c r="E608" s="320"/>
      <c r="F608" s="321" t="s">
        <v>79</v>
      </c>
    </row>
    <row r="609">
      <c r="A609" s="218" t="s">
        <v>727</v>
      </c>
      <c r="B609" s="327" t="s">
        <v>667</v>
      </c>
      <c r="C609" s="320"/>
      <c r="D609" s="321" t="s">
        <v>1428</v>
      </c>
      <c r="E609" s="320"/>
      <c r="F609" s="321" t="s">
        <v>79</v>
      </c>
    </row>
    <row r="610">
      <c r="A610" s="218" t="s">
        <v>728</v>
      </c>
      <c r="B610" s="327" t="s">
        <v>667</v>
      </c>
      <c r="C610" s="320"/>
      <c r="D610" s="321" t="s">
        <v>1324</v>
      </c>
      <c r="E610" s="321" t="s">
        <v>1055</v>
      </c>
      <c r="F610" s="321" t="s">
        <v>81</v>
      </c>
    </row>
    <row r="611">
      <c r="A611" s="218" t="s">
        <v>729</v>
      </c>
      <c r="B611" s="327" t="s">
        <v>590</v>
      </c>
      <c r="C611" s="320"/>
      <c r="D611" s="321" t="s">
        <v>1343</v>
      </c>
      <c r="E611" s="321" t="s">
        <v>1055</v>
      </c>
      <c r="F611" s="321" t="s">
        <v>81</v>
      </c>
    </row>
    <row r="612">
      <c r="A612" s="218" t="s">
        <v>730</v>
      </c>
      <c r="B612" s="327" t="s">
        <v>590</v>
      </c>
      <c r="C612" s="320"/>
      <c r="D612" s="321" t="s">
        <v>1360</v>
      </c>
      <c r="E612" s="321" t="s">
        <v>1055</v>
      </c>
      <c r="F612" s="321" t="s">
        <v>81</v>
      </c>
    </row>
    <row r="613">
      <c r="A613" s="218" t="s">
        <v>731</v>
      </c>
      <c r="B613" s="327" t="s">
        <v>667</v>
      </c>
      <c r="C613" s="320"/>
      <c r="D613" s="321" t="s">
        <v>1365</v>
      </c>
      <c r="E613" s="321" t="s">
        <v>1055</v>
      </c>
      <c r="F613" s="321" t="s">
        <v>81</v>
      </c>
    </row>
    <row r="614">
      <c r="A614" s="218" t="s">
        <v>732</v>
      </c>
      <c r="B614" s="327" t="s">
        <v>590</v>
      </c>
      <c r="C614" s="320"/>
      <c r="D614" s="321" t="s">
        <v>1369</v>
      </c>
      <c r="E614" s="321" t="s">
        <v>1055</v>
      </c>
      <c r="F614" s="321" t="s">
        <v>81</v>
      </c>
    </row>
    <row r="615">
      <c r="A615" s="218" t="s">
        <v>733</v>
      </c>
      <c r="B615" s="327" t="s">
        <v>667</v>
      </c>
      <c r="C615" s="320"/>
      <c r="D615" s="321" t="s">
        <v>1390</v>
      </c>
      <c r="E615" s="321" t="s">
        <v>1055</v>
      </c>
      <c r="F615" s="321" t="s">
        <v>81</v>
      </c>
    </row>
    <row r="616">
      <c r="A616" s="218" t="s">
        <v>734</v>
      </c>
      <c r="B616" s="327" t="s">
        <v>590</v>
      </c>
      <c r="C616" s="320"/>
      <c r="D616" s="321" t="s">
        <v>1394</v>
      </c>
      <c r="E616" s="321" t="s">
        <v>1055</v>
      </c>
      <c r="F616" s="321" t="s">
        <v>81</v>
      </c>
    </row>
    <row r="617">
      <c r="A617" s="218" t="s">
        <v>735</v>
      </c>
      <c r="B617" s="327" t="s">
        <v>667</v>
      </c>
      <c r="C617" s="320"/>
      <c r="D617" s="321" t="s">
        <v>1278</v>
      </c>
      <c r="E617" s="321" t="s">
        <v>1055</v>
      </c>
      <c r="F617" s="321" t="s">
        <v>81</v>
      </c>
    </row>
    <row r="618">
      <c r="A618" s="218" t="s">
        <v>736</v>
      </c>
      <c r="B618" s="327" t="s">
        <v>667</v>
      </c>
      <c r="C618" s="320"/>
      <c r="D618" s="321" t="s">
        <v>1410</v>
      </c>
      <c r="E618" s="321" t="s">
        <v>1055</v>
      </c>
      <c r="F618" s="321" t="s">
        <v>81</v>
      </c>
    </row>
    <row r="619">
      <c r="A619" s="218" t="s">
        <v>737</v>
      </c>
      <c r="B619" s="327" t="s">
        <v>590</v>
      </c>
      <c r="C619" s="320"/>
      <c r="D619" s="321" t="s">
        <v>1414</v>
      </c>
      <c r="E619" s="321" t="s">
        <v>1055</v>
      </c>
      <c r="F619" s="321" t="s">
        <v>81</v>
      </c>
    </row>
    <row r="620">
      <c r="A620" s="218" t="s">
        <v>738</v>
      </c>
      <c r="B620" s="327" t="s">
        <v>590</v>
      </c>
      <c r="C620" s="320"/>
      <c r="D620" s="321" t="s">
        <v>1435</v>
      </c>
      <c r="E620" s="320"/>
      <c r="F620" s="321" t="s">
        <v>81</v>
      </c>
    </row>
    <row r="621">
      <c r="A621" s="218" t="s">
        <v>739</v>
      </c>
      <c r="B621" s="327" t="s">
        <v>667</v>
      </c>
      <c r="C621" s="320"/>
      <c r="D621" s="321" t="s">
        <v>1436</v>
      </c>
      <c r="E621" s="320"/>
      <c r="F621" s="321" t="s">
        <v>81</v>
      </c>
    </row>
    <row r="622">
      <c r="A622" s="218" t="s">
        <v>740</v>
      </c>
      <c r="B622" s="327" t="s">
        <v>590</v>
      </c>
      <c r="C622" s="320"/>
      <c r="D622" s="321" t="s">
        <v>1437</v>
      </c>
      <c r="E622" s="320"/>
      <c r="F622" s="321" t="s">
        <v>81</v>
      </c>
    </row>
    <row r="623">
      <c r="A623" s="218" t="s">
        <v>741</v>
      </c>
      <c r="B623" s="327" t="s">
        <v>667</v>
      </c>
      <c r="C623" s="320"/>
      <c r="D623" s="321" t="s">
        <v>1438</v>
      </c>
      <c r="E623" s="320"/>
      <c r="F623" s="321" t="s">
        <v>81</v>
      </c>
    </row>
    <row r="624">
      <c r="A624" s="218" t="s">
        <v>742</v>
      </c>
      <c r="B624" s="327" t="s">
        <v>667</v>
      </c>
      <c r="C624" s="320"/>
      <c r="D624" s="321" t="s">
        <v>1439</v>
      </c>
      <c r="E624" s="320"/>
      <c r="F624" s="321" t="s">
        <v>81</v>
      </c>
    </row>
    <row r="625">
      <c r="A625" s="218" t="s">
        <v>743</v>
      </c>
      <c r="B625" s="327" t="s">
        <v>590</v>
      </c>
      <c r="C625" s="320"/>
      <c r="D625" s="321" t="s">
        <v>1440</v>
      </c>
      <c r="E625" s="320"/>
      <c r="F625" s="321" t="s">
        <v>81</v>
      </c>
    </row>
    <row r="626">
      <c r="A626" s="218" t="s">
        <v>744</v>
      </c>
      <c r="B626" s="327" t="s">
        <v>667</v>
      </c>
      <c r="C626" s="320"/>
      <c r="D626" s="321" t="s">
        <v>1324</v>
      </c>
      <c r="E626" s="321" t="s">
        <v>1055</v>
      </c>
      <c r="F626" s="321" t="s">
        <v>81</v>
      </c>
    </row>
    <row r="627">
      <c r="A627" s="218" t="s">
        <v>745</v>
      </c>
      <c r="B627" s="327" t="s">
        <v>590</v>
      </c>
      <c r="C627" s="320"/>
      <c r="D627" s="321" t="s">
        <v>1343</v>
      </c>
      <c r="E627" s="321" t="s">
        <v>1055</v>
      </c>
      <c r="F627" s="321" t="s">
        <v>81</v>
      </c>
    </row>
    <row r="628">
      <c r="A628" s="218" t="s">
        <v>746</v>
      </c>
      <c r="B628" s="327" t="s">
        <v>667</v>
      </c>
      <c r="C628" s="320"/>
      <c r="D628" s="321" t="s">
        <v>1365</v>
      </c>
      <c r="E628" s="321" t="s">
        <v>1055</v>
      </c>
      <c r="F628" s="321" t="s">
        <v>81</v>
      </c>
    </row>
    <row r="629">
      <c r="A629" s="218" t="s">
        <v>747</v>
      </c>
      <c r="B629" s="327" t="s">
        <v>590</v>
      </c>
      <c r="C629" s="320"/>
      <c r="D629" s="321" t="s">
        <v>1369</v>
      </c>
      <c r="E629" s="321" t="s">
        <v>1055</v>
      </c>
      <c r="F629" s="321" t="s">
        <v>81</v>
      </c>
    </row>
    <row r="630">
      <c r="A630" s="218" t="s">
        <v>748</v>
      </c>
      <c r="B630" s="327" t="s">
        <v>667</v>
      </c>
      <c r="C630" s="320"/>
      <c r="D630" s="321" t="s">
        <v>1390</v>
      </c>
      <c r="E630" s="321" t="s">
        <v>1055</v>
      </c>
      <c r="F630" s="321" t="s">
        <v>81</v>
      </c>
    </row>
    <row r="631">
      <c r="A631" s="218" t="s">
        <v>749</v>
      </c>
      <c r="B631" s="327" t="s">
        <v>590</v>
      </c>
      <c r="C631" s="320"/>
      <c r="D631" s="321" t="s">
        <v>1394</v>
      </c>
      <c r="E631" s="321" t="s">
        <v>1055</v>
      </c>
      <c r="F631" s="321" t="s">
        <v>81</v>
      </c>
    </row>
    <row r="632">
      <c r="A632" s="218" t="s">
        <v>750</v>
      </c>
      <c r="B632" s="327" t="s">
        <v>667</v>
      </c>
      <c r="C632" s="320"/>
      <c r="D632" s="321" t="s">
        <v>1278</v>
      </c>
      <c r="E632" s="321" t="s">
        <v>1055</v>
      </c>
      <c r="F632" s="321" t="s">
        <v>81</v>
      </c>
    </row>
    <row r="633">
      <c r="A633" s="218" t="s">
        <v>751</v>
      </c>
      <c r="B633" s="327" t="s">
        <v>590</v>
      </c>
      <c r="C633" s="320"/>
      <c r="D633" s="321" t="s">
        <v>1414</v>
      </c>
      <c r="E633" s="321" t="s">
        <v>1055</v>
      </c>
      <c r="F633" s="321" t="s">
        <v>81</v>
      </c>
    </row>
    <row r="634">
      <c r="A634" s="218" t="s">
        <v>752</v>
      </c>
      <c r="B634" s="327" t="s">
        <v>590</v>
      </c>
      <c r="C634" s="320"/>
      <c r="D634" s="321" t="s">
        <v>1360</v>
      </c>
      <c r="E634" s="321" t="s">
        <v>1055</v>
      </c>
      <c r="F634" s="321" t="s">
        <v>83</v>
      </c>
    </row>
    <row r="635">
      <c r="A635" s="218" t="s">
        <v>753</v>
      </c>
      <c r="B635" s="327" t="s">
        <v>667</v>
      </c>
      <c r="C635" s="320"/>
      <c r="D635" s="321" t="s">
        <v>1410</v>
      </c>
      <c r="E635" s="321" t="s">
        <v>1055</v>
      </c>
      <c r="F635" s="321" t="s">
        <v>83</v>
      </c>
    </row>
    <row r="636">
      <c r="A636" s="218" t="s">
        <v>754</v>
      </c>
      <c r="B636" s="324" t="s">
        <v>1039</v>
      </c>
      <c r="C636" s="320"/>
      <c r="D636" s="321" t="s">
        <v>1360</v>
      </c>
      <c r="E636" s="321" t="s">
        <v>1055</v>
      </c>
      <c r="F636" s="321" t="s">
        <v>85</v>
      </c>
    </row>
    <row r="637">
      <c r="A637" s="218" t="s">
        <v>755</v>
      </c>
      <c r="B637" s="324" t="s">
        <v>1039</v>
      </c>
      <c r="C637" s="320"/>
      <c r="D637" s="321" t="s">
        <v>1410</v>
      </c>
      <c r="E637" s="321" t="s">
        <v>1055</v>
      </c>
      <c r="F637" s="321" t="s">
        <v>85</v>
      </c>
    </row>
    <row r="638">
      <c r="A638" s="328" t="s">
        <v>756</v>
      </c>
      <c r="B638" s="324" t="s">
        <v>26</v>
      </c>
      <c r="C638" s="320"/>
      <c r="D638" s="321" t="s">
        <v>1441</v>
      </c>
      <c r="E638" s="320"/>
      <c r="F638" s="321" t="s">
        <v>73</v>
      </c>
    </row>
    <row r="639">
      <c r="A639" s="328" t="s">
        <v>757</v>
      </c>
      <c r="B639" s="324" t="s">
        <v>26</v>
      </c>
      <c r="C639" s="320"/>
      <c r="D639" s="321" t="s">
        <v>1331</v>
      </c>
      <c r="E639" s="320"/>
      <c r="F639" s="321" t="s">
        <v>71</v>
      </c>
    </row>
    <row r="640">
      <c r="A640" s="328" t="s">
        <v>758</v>
      </c>
      <c r="B640" s="324" t="s">
        <v>26</v>
      </c>
      <c r="C640" s="320"/>
      <c r="D640" s="321" t="s">
        <v>1442</v>
      </c>
      <c r="E640" s="320"/>
      <c r="F640" s="321" t="s">
        <v>73</v>
      </c>
    </row>
    <row r="641">
      <c r="A641" s="328" t="s">
        <v>759</v>
      </c>
      <c r="B641" s="324" t="s">
        <v>26</v>
      </c>
      <c r="C641" s="320"/>
      <c r="D641" s="321" t="s">
        <v>1333</v>
      </c>
      <c r="E641" s="320"/>
      <c r="F641" s="321" t="s">
        <v>71</v>
      </c>
    </row>
    <row r="642">
      <c r="A642" s="328" t="s">
        <v>760</v>
      </c>
      <c r="B642" s="324" t="s">
        <v>26</v>
      </c>
      <c r="C642" s="320"/>
      <c r="D642" s="321" t="s">
        <v>1334</v>
      </c>
      <c r="E642" s="320"/>
      <c r="F642" s="321" t="s">
        <v>73</v>
      </c>
    </row>
    <row r="643">
      <c r="A643" s="328" t="s">
        <v>761</v>
      </c>
      <c r="B643" s="324" t="s">
        <v>26</v>
      </c>
      <c r="C643" s="320"/>
      <c r="D643" s="321" t="s">
        <v>1443</v>
      </c>
      <c r="E643" s="320"/>
      <c r="F643" s="321" t="s">
        <v>71</v>
      </c>
    </row>
    <row r="644">
      <c r="A644" s="328" t="s">
        <v>762</v>
      </c>
      <c r="B644" s="324" t="s">
        <v>26</v>
      </c>
      <c r="C644" s="320"/>
      <c r="D644" s="321" t="s">
        <v>1279</v>
      </c>
      <c r="E644" s="320"/>
      <c r="F644" s="321" t="s">
        <v>73</v>
      </c>
    </row>
    <row r="645">
      <c r="A645" s="328" t="s">
        <v>763</v>
      </c>
      <c r="B645" s="324" t="s">
        <v>26</v>
      </c>
      <c r="C645" s="320"/>
      <c r="D645" s="321" t="s">
        <v>1279</v>
      </c>
      <c r="E645" s="320"/>
      <c r="F645" s="321" t="s">
        <v>73</v>
      </c>
    </row>
    <row r="646">
      <c r="A646" s="328" t="s">
        <v>764</v>
      </c>
      <c r="B646" s="324" t="s">
        <v>26</v>
      </c>
      <c r="C646" s="320"/>
      <c r="D646" s="321" t="s">
        <v>1335</v>
      </c>
      <c r="E646" s="320"/>
      <c r="F646" s="321" t="s">
        <v>75</v>
      </c>
    </row>
    <row r="647">
      <c r="A647" s="328" t="s">
        <v>765</v>
      </c>
      <c r="B647" s="324" t="s">
        <v>26</v>
      </c>
      <c r="C647" s="320"/>
      <c r="D647" s="321" t="s">
        <v>1336</v>
      </c>
      <c r="E647" s="321" t="s">
        <v>1055</v>
      </c>
      <c r="F647" s="321" t="s">
        <v>77</v>
      </c>
    </row>
    <row r="648">
      <c r="A648" s="328" t="s">
        <v>766</v>
      </c>
      <c r="B648" s="324" t="s">
        <v>26</v>
      </c>
      <c r="C648" s="320"/>
      <c r="D648" s="321" t="s">
        <v>1444</v>
      </c>
      <c r="E648" s="320"/>
      <c r="F648" s="321" t="s">
        <v>71</v>
      </c>
    </row>
    <row r="649">
      <c r="A649" s="328" t="s">
        <v>767</v>
      </c>
      <c r="B649" s="324" t="s">
        <v>26</v>
      </c>
      <c r="C649" s="320"/>
      <c r="D649" s="321" t="s">
        <v>1445</v>
      </c>
      <c r="E649" s="320"/>
      <c r="F649" s="321" t="s">
        <v>73</v>
      </c>
    </row>
    <row r="650">
      <c r="A650" s="328" t="s">
        <v>768</v>
      </c>
      <c r="B650" s="324" t="s">
        <v>26</v>
      </c>
      <c r="C650" s="320"/>
      <c r="D650" s="321" t="s">
        <v>1411</v>
      </c>
      <c r="E650" s="320"/>
      <c r="F650" s="321" t="s">
        <v>75</v>
      </c>
    </row>
    <row r="651">
      <c r="A651" s="328" t="s">
        <v>769</v>
      </c>
      <c r="B651" s="324" t="s">
        <v>26</v>
      </c>
      <c r="C651" s="320"/>
      <c r="D651" s="321" t="s">
        <v>1446</v>
      </c>
      <c r="E651" s="320"/>
      <c r="F651" s="321" t="s">
        <v>71</v>
      </c>
    </row>
    <row r="652">
      <c r="A652" s="328" t="s">
        <v>770</v>
      </c>
      <c r="B652" s="324" t="s">
        <v>26</v>
      </c>
      <c r="C652" s="320"/>
      <c r="D652" s="321" t="s">
        <v>1447</v>
      </c>
      <c r="E652" s="320"/>
      <c r="F652" s="321" t="s">
        <v>71</v>
      </c>
    </row>
    <row r="653">
      <c r="A653" s="328" t="s">
        <v>771</v>
      </c>
      <c r="B653" s="324" t="s">
        <v>26</v>
      </c>
      <c r="C653" s="320"/>
      <c r="D653" s="321" t="s">
        <v>1448</v>
      </c>
      <c r="E653" s="320"/>
      <c r="F653" s="321" t="s">
        <v>71</v>
      </c>
    </row>
    <row r="654">
      <c r="A654" s="328" t="s">
        <v>772</v>
      </c>
      <c r="B654" s="324" t="s">
        <v>26</v>
      </c>
      <c r="C654" s="320"/>
      <c r="D654" s="321" t="s">
        <v>1449</v>
      </c>
      <c r="E654" s="320"/>
      <c r="F654" s="321" t="s">
        <v>73</v>
      </c>
    </row>
    <row r="655">
      <c r="A655" s="328" t="s">
        <v>773</v>
      </c>
      <c r="B655" s="324" t="s">
        <v>26</v>
      </c>
      <c r="C655" s="320"/>
      <c r="D655" s="321" t="s">
        <v>1450</v>
      </c>
      <c r="E655" s="320"/>
      <c r="F655" s="321" t="s">
        <v>71</v>
      </c>
    </row>
    <row r="656">
      <c r="A656" s="328" t="s">
        <v>774</v>
      </c>
      <c r="B656" s="324" t="s">
        <v>26</v>
      </c>
      <c r="C656" s="320"/>
      <c r="D656" s="321" t="s">
        <v>1451</v>
      </c>
      <c r="E656" s="320"/>
      <c r="F656" s="321" t="s">
        <v>73</v>
      </c>
    </row>
    <row r="657">
      <c r="A657" s="328" t="s">
        <v>775</v>
      </c>
      <c r="B657" s="324" t="s">
        <v>26</v>
      </c>
      <c r="C657" s="320"/>
      <c r="D657" s="321" t="s">
        <v>1355</v>
      </c>
      <c r="E657" s="320"/>
      <c r="F657" s="321" t="s">
        <v>71</v>
      </c>
    </row>
    <row r="658">
      <c r="A658" s="328" t="s">
        <v>776</v>
      </c>
      <c r="B658" s="324" t="s">
        <v>26</v>
      </c>
      <c r="C658" s="320"/>
      <c r="D658" s="321" t="s">
        <v>1356</v>
      </c>
      <c r="E658" s="320"/>
      <c r="F658" s="321" t="s">
        <v>75</v>
      </c>
    </row>
    <row r="659">
      <c r="A659" s="328" t="s">
        <v>777</v>
      </c>
      <c r="B659" s="324" t="s">
        <v>26</v>
      </c>
      <c r="C659" s="320"/>
      <c r="D659" s="321" t="s">
        <v>1357</v>
      </c>
      <c r="E659" s="321" t="s">
        <v>1055</v>
      </c>
      <c r="F659" s="321" t="s">
        <v>77</v>
      </c>
    </row>
    <row r="660">
      <c r="A660" s="328" t="s">
        <v>778</v>
      </c>
      <c r="B660" s="324" t="s">
        <v>26</v>
      </c>
      <c r="C660" s="321" t="s">
        <v>1452</v>
      </c>
      <c r="D660" s="321" t="s">
        <v>1360</v>
      </c>
      <c r="E660" s="320"/>
      <c r="F660" s="321" t="s">
        <v>75</v>
      </c>
    </row>
    <row r="661">
      <c r="A661" s="328" t="s">
        <v>779</v>
      </c>
      <c r="B661" s="324" t="s">
        <v>26</v>
      </c>
      <c r="C661" s="320"/>
      <c r="D661" s="321" t="s">
        <v>1453</v>
      </c>
      <c r="E661" s="320"/>
      <c r="F661" s="321" t="s">
        <v>73</v>
      </c>
    </row>
    <row r="662">
      <c r="A662" s="328" t="s">
        <v>780</v>
      </c>
      <c r="B662" s="324" t="s">
        <v>26</v>
      </c>
      <c r="C662" s="320"/>
      <c r="D662" s="321" t="s">
        <v>1137</v>
      </c>
      <c r="E662" s="320"/>
      <c r="F662" s="321" t="s">
        <v>71</v>
      </c>
    </row>
    <row r="663">
      <c r="A663" s="328" t="s">
        <v>782</v>
      </c>
      <c r="B663" s="324" t="s">
        <v>26</v>
      </c>
      <c r="C663" s="320"/>
      <c r="D663" s="321" t="s">
        <v>1138</v>
      </c>
      <c r="E663" s="320"/>
      <c r="F663" s="321" t="s">
        <v>75</v>
      </c>
    </row>
    <row r="664">
      <c r="A664" s="328" t="s">
        <v>783</v>
      </c>
      <c r="B664" s="324" t="s">
        <v>26</v>
      </c>
      <c r="C664" s="320"/>
      <c r="D664" s="321" t="s">
        <v>1454</v>
      </c>
      <c r="E664" s="320"/>
      <c r="F664" s="321" t="s">
        <v>71</v>
      </c>
    </row>
    <row r="665">
      <c r="A665" s="328" t="s">
        <v>784</v>
      </c>
      <c r="B665" s="324" t="s">
        <v>26</v>
      </c>
      <c r="C665" s="320"/>
      <c r="D665" s="321" t="s">
        <v>1455</v>
      </c>
      <c r="E665" s="320"/>
      <c r="F665" s="321" t="s">
        <v>73</v>
      </c>
    </row>
    <row r="666">
      <c r="A666" s="328" t="s">
        <v>785</v>
      </c>
      <c r="B666" s="324" t="s">
        <v>26</v>
      </c>
      <c r="C666" s="320"/>
      <c r="D666" s="321" t="s">
        <v>1154</v>
      </c>
      <c r="E666" s="320"/>
      <c r="F666" s="321" t="s">
        <v>71</v>
      </c>
    </row>
    <row r="667">
      <c r="A667" s="328" t="s">
        <v>786</v>
      </c>
      <c r="B667" s="324" t="s">
        <v>26</v>
      </c>
      <c r="C667" s="320"/>
      <c r="D667" s="321" t="s">
        <v>1155</v>
      </c>
      <c r="E667" s="320"/>
      <c r="F667" s="321" t="s">
        <v>73</v>
      </c>
    </row>
    <row r="668">
      <c r="A668" s="328" t="s">
        <v>787</v>
      </c>
      <c r="B668" s="324" t="s">
        <v>26</v>
      </c>
      <c r="C668" s="320"/>
      <c r="D668" s="321" t="s">
        <v>1161</v>
      </c>
      <c r="E668" s="320"/>
      <c r="F668" s="321" t="s">
        <v>71</v>
      </c>
    </row>
    <row r="669">
      <c r="A669" s="328" t="s">
        <v>788</v>
      </c>
      <c r="B669" s="324" t="s">
        <v>26</v>
      </c>
      <c r="C669" s="320"/>
      <c r="D669" s="321" t="s">
        <v>1162</v>
      </c>
      <c r="E669" s="320"/>
      <c r="F669" s="321" t="s">
        <v>71</v>
      </c>
    </row>
    <row r="670">
      <c r="A670" s="328" t="s">
        <v>789</v>
      </c>
      <c r="B670" s="324" t="s">
        <v>26</v>
      </c>
      <c r="C670" s="320"/>
      <c r="D670" s="321" t="s">
        <v>1163</v>
      </c>
      <c r="E670" s="320"/>
      <c r="F670" s="321" t="s">
        <v>73</v>
      </c>
    </row>
    <row r="671">
      <c r="A671" s="328" t="s">
        <v>790</v>
      </c>
      <c r="B671" s="324" t="s">
        <v>26</v>
      </c>
      <c r="C671" s="320"/>
      <c r="D671" s="321" t="s">
        <v>1456</v>
      </c>
      <c r="E671" s="320"/>
      <c r="F671" s="321" t="s">
        <v>73</v>
      </c>
    </row>
    <row r="672">
      <c r="A672" s="328" t="s">
        <v>791</v>
      </c>
      <c r="B672" s="324" t="s">
        <v>26</v>
      </c>
      <c r="C672" s="320"/>
      <c r="D672" s="321" t="s">
        <v>1366</v>
      </c>
      <c r="E672" s="320"/>
      <c r="F672" s="321" t="s">
        <v>75</v>
      </c>
    </row>
    <row r="673">
      <c r="A673" s="328" t="s">
        <v>792</v>
      </c>
      <c r="B673" s="324" t="s">
        <v>26</v>
      </c>
      <c r="C673" s="320"/>
      <c r="D673" s="321" t="s">
        <v>1457</v>
      </c>
      <c r="E673" s="320"/>
      <c r="F673" s="321" t="s">
        <v>73</v>
      </c>
    </row>
    <row r="674">
      <c r="A674" s="328" t="s">
        <v>793</v>
      </c>
      <c r="B674" s="324" t="s">
        <v>26</v>
      </c>
      <c r="C674" s="320"/>
      <c r="D674" s="321" t="s">
        <v>1458</v>
      </c>
      <c r="E674" s="320"/>
      <c r="F674" s="321" t="s">
        <v>71</v>
      </c>
    </row>
    <row r="675">
      <c r="A675" s="328" t="s">
        <v>794</v>
      </c>
      <c r="B675" s="324" t="s">
        <v>26</v>
      </c>
      <c r="C675" s="320"/>
      <c r="D675" s="321" t="s">
        <v>1459</v>
      </c>
      <c r="E675" s="320"/>
      <c r="F675" s="321" t="s">
        <v>73</v>
      </c>
    </row>
    <row r="676">
      <c r="A676" s="328" t="s">
        <v>795</v>
      </c>
      <c r="B676" s="324" t="s">
        <v>26</v>
      </c>
      <c r="C676" s="320"/>
      <c r="D676" s="321" t="s">
        <v>1460</v>
      </c>
      <c r="E676" s="320"/>
      <c r="F676" s="321" t="s">
        <v>71</v>
      </c>
    </row>
    <row r="677">
      <c r="A677" s="328" t="s">
        <v>796</v>
      </c>
      <c r="B677" s="324" t="s">
        <v>26</v>
      </c>
      <c r="C677" s="320"/>
      <c r="D677" s="321" t="s">
        <v>1461</v>
      </c>
      <c r="E677" s="320"/>
      <c r="F677" s="321" t="s">
        <v>73</v>
      </c>
    </row>
    <row r="678">
      <c r="A678" s="328" t="s">
        <v>797</v>
      </c>
      <c r="B678" s="324" t="s">
        <v>26</v>
      </c>
      <c r="C678" s="320"/>
      <c r="D678" s="321" t="s">
        <v>1462</v>
      </c>
      <c r="E678" s="320"/>
      <c r="F678" s="321" t="s">
        <v>75</v>
      </c>
    </row>
    <row r="679">
      <c r="A679" s="328" t="s">
        <v>798</v>
      </c>
      <c r="B679" s="324" t="s">
        <v>26</v>
      </c>
      <c r="C679" s="320"/>
      <c r="D679" s="321" t="s">
        <v>1280</v>
      </c>
      <c r="E679" s="320"/>
      <c r="F679" s="321" t="s">
        <v>71</v>
      </c>
    </row>
    <row r="680">
      <c r="A680" s="328" t="s">
        <v>799</v>
      </c>
      <c r="B680" s="324" t="s">
        <v>26</v>
      </c>
      <c r="C680" s="320"/>
      <c r="D680" s="321" t="s">
        <v>1463</v>
      </c>
      <c r="E680" s="320"/>
      <c r="F680" s="321" t="s">
        <v>71</v>
      </c>
    </row>
    <row r="681">
      <c r="A681" s="328" t="s">
        <v>800</v>
      </c>
      <c r="B681" s="324" t="s">
        <v>26</v>
      </c>
      <c r="C681" s="320"/>
      <c r="D681" s="321" t="s">
        <v>1464</v>
      </c>
      <c r="E681" s="320"/>
      <c r="F681" s="321" t="s">
        <v>73</v>
      </c>
    </row>
    <row r="682">
      <c r="A682" s="328" t="s">
        <v>801</v>
      </c>
      <c r="B682" s="324" t="s">
        <v>26</v>
      </c>
      <c r="C682" s="320"/>
      <c r="D682" s="321" t="s">
        <v>1281</v>
      </c>
      <c r="E682" s="320"/>
      <c r="F682" s="321" t="s">
        <v>71</v>
      </c>
    </row>
    <row r="683">
      <c r="A683" s="328" t="s">
        <v>802</v>
      </c>
      <c r="B683" s="324" t="s">
        <v>26</v>
      </c>
      <c r="C683" s="320"/>
      <c r="D683" s="321" t="s">
        <v>1412</v>
      </c>
      <c r="E683" s="320"/>
      <c r="F683" s="321" t="s">
        <v>71</v>
      </c>
    </row>
    <row r="684">
      <c r="A684" s="328" t="s">
        <v>803</v>
      </c>
      <c r="B684" s="324" t="s">
        <v>26</v>
      </c>
      <c r="C684" s="320"/>
      <c r="D684" s="321" t="s">
        <v>1413</v>
      </c>
      <c r="E684" s="321" t="s">
        <v>1055</v>
      </c>
      <c r="F684" s="321" t="s">
        <v>77</v>
      </c>
    </row>
    <row r="685">
      <c r="A685" s="328" t="s">
        <v>804</v>
      </c>
      <c r="B685" s="324" t="s">
        <v>26</v>
      </c>
      <c r="C685" s="320"/>
      <c r="D685" s="321" t="s">
        <v>1209</v>
      </c>
      <c r="E685" s="320"/>
      <c r="F685" s="321" t="s">
        <v>71</v>
      </c>
    </row>
    <row r="686">
      <c r="A686" s="328" t="s">
        <v>805</v>
      </c>
      <c r="B686" s="324" t="s">
        <v>26</v>
      </c>
      <c r="C686" s="320"/>
      <c r="D686" s="321" t="s">
        <v>1210</v>
      </c>
      <c r="E686" s="320"/>
      <c r="F686" s="321" t="s">
        <v>71</v>
      </c>
    </row>
    <row r="687">
      <c r="A687" s="328" t="s">
        <v>806</v>
      </c>
      <c r="B687" s="324" t="s">
        <v>26</v>
      </c>
      <c r="C687" s="320"/>
      <c r="D687" s="321" t="s">
        <v>1465</v>
      </c>
      <c r="E687" s="320"/>
      <c r="F687" s="321" t="s">
        <v>75</v>
      </c>
    </row>
    <row r="688">
      <c r="A688" s="328" t="s">
        <v>807</v>
      </c>
      <c r="B688" s="324" t="s">
        <v>26</v>
      </c>
      <c r="C688" s="320"/>
      <c r="D688" s="321" t="s">
        <v>1402</v>
      </c>
      <c r="E688" s="320"/>
      <c r="F688" s="321" t="s">
        <v>71</v>
      </c>
    </row>
    <row r="689">
      <c r="A689" s="328" t="s">
        <v>808</v>
      </c>
      <c r="B689" s="324" t="s">
        <v>26</v>
      </c>
      <c r="C689" s="320"/>
      <c r="D689" s="321" t="s">
        <v>1403</v>
      </c>
      <c r="E689" s="320"/>
      <c r="F689" s="321" t="s">
        <v>73</v>
      </c>
    </row>
    <row r="690">
      <c r="A690" s="328" t="s">
        <v>809</v>
      </c>
      <c r="B690" s="324" t="s">
        <v>26</v>
      </c>
      <c r="C690" s="320"/>
      <c r="D690" s="321" t="s">
        <v>1139</v>
      </c>
      <c r="E690" s="320"/>
      <c r="F690" s="321" t="s">
        <v>71</v>
      </c>
    </row>
    <row r="691">
      <c r="A691" s="328" t="s">
        <v>810</v>
      </c>
      <c r="B691" s="324" t="s">
        <v>26</v>
      </c>
      <c r="C691" s="320"/>
      <c r="D691" s="321" t="s">
        <v>1140</v>
      </c>
      <c r="E691" s="320"/>
      <c r="F691" s="321" t="s">
        <v>71</v>
      </c>
    </row>
    <row r="692">
      <c r="A692" s="328" t="s">
        <v>811</v>
      </c>
      <c r="B692" s="324" t="s">
        <v>26</v>
      </c>
      <c r="C692" s="320"/>
      <c r="D692" s="321" t="s">
        <v>1361</v>
      </c>
      <c r="E692" s="320"/>
      <c r="F692" s="321" t="s">
        <v>75</v>
      </c>
    </row>
    <row r="693">
      <c r="A693" s="328" t="s">
        <v>812</v>
      </c>
      <c r="B693" s="324" t="s">
        <v>26</v>
      </c>
      <c r="C693" s="320"/>
      <c r="D693" s="321" t="s">
        <v>1215</v>
      </c>
      <c r="E693" s="320"/>
      <c r="F693" s="321" t="s">
        <v>71</v>
      </c>
    </row>
    <row r="694">
      <c r="A694" s="328" t="s">
        <v>813</v>
      </c>
      <c r="B694" s="324" t="s">
        <v>26</v>
      </c>
      <c r="C694" s="320"/>
      <c r="D694" s="321" t="s">
        <v>1409</v>
      </c>
      <c r="E694" s="321" t="s">
        <v>1055</v>
      </c>
      <c r="F694" s="321" t="s">
        <v>77</v>
      </c>
    </row>
    <row r="695">
      <c r="A695" s="328" t="s">
        <v>814</v>
      </c>
      <c r="B695" s="324" t="s">
        <v>26</v>
      </c>
      <c r="C695" s="320"/>
      <c r="D695" s="321" t="s">
        <v>1407</v>
      </c>
      <c r="E695" s="320"/>
      <c r="F695" s="321" t="s">
        <v>71</v>
      </c>
    </row>
    <row r="696">
      <c r="A696" s="328" t="s">
        <v>815</v>
      </c>
      <c r="B696" s="324" t="s">
        <v>26</v>
      </c>
      <c r="C696" s="320"/>
      <c r="D696" s="321" t="s">
        <v>1408</v>
      </c>
      <c r="E696" s="320"/>
      <c r="F696" s="321" t="s">
        <v>73</v>
      </c>
    </row>
    <row r="697">
      <c r="A697" s="328" t="s">
        <v>816</v>
      </c>
      <c r="B697" s="324" t="s">
        <v>26</v>
      </c>
      <c r="C697" s="321" t="s">
        <v>1452</v>
      </c>
      <c r="D697" s="321" t="s">
        <v>1410</v>
      </c>
      <c r="E697" s="320"/>
      <c r="F697" s="321" t="s">
        <v>75</v>
      </c>
    </row>
    <row r="698">
      <c r="A698" s="328" t="s">
        <v>817</v>
      </c>
      <c r="B698" s="324" t="s">
        <v>26</v>
      </c>
      <c r="C698" s="320"/>
      <c r="D698" s="321" t="s">
        <v>1378</v>
      </c>
      <c r="E698" s="320"/>
      <c r="F698" s="321" t="s">
        <v>75</v>
      </c>
    </row>
    <row r="699">
      <c r="A699" s="328" t="s">
        <v>818</v>
      </c>
      <c r="B699" s="324" t="s">
        <v>26</v>
      </c>
      <c r="C699" s="320"/>
      <c r="D699" s="321" t="s">
        <v>1242</v>
      </c>
      <c r="E699" s="320"/>
      <c r="F699" s="321" t="s">
        <v>71</v>
      </c>
    </row>
    <row r="700">
      <c r="A700" s="328" t="s">
        <v>819</v>
      </c>
      <c r="B700" s="324" t="s">
        <v>26</v>
      </c>
      <c r="C700" s="320"/>
      <c r="D700" s="321" t="s">
        <v>1245</v>
      </c>
      <c r="E700" s="320"/>
      <c r="F700" s="321" t="s">
        <v>73</v>
      </c>
    </row>
    <row r="701">
      <c r="A701" s="328" t="s">
        <v>820</v>
      </c>
      <c r="B701" s="324" t="s">
        <v>26</v>
      </c>
      <c r="C701" s="320"/>
      <c r="D701" s="321" t="s">
        <v>1466</v>
      </c>
      <c r="E701" s="320"/>
      <c r="F701" s="321" t="s">
        <v>71</v>
      </c>
    </row>
    <row r="702">
      <c r="A702" s="328" t="s">
        <v>821</v>
      </c>
      <c r="B702" s="324" t="s">
        <v>26</v>
      </c>
      <c r="C702" s="320"/>
      <c r="D702" s="321" t="s">
        <v>1467</v>
      </c>
      <c r="E702" s="320"/>
      <c r="F702" s="321" t="s">
        <v>73</v>
      </c>
    </row>
    <row r="703">
      <c r="A703" s="328" t="s">
        <v>822</v>
      </c>
      <c r="B703" s="324" t="s">
        <v>26</v>
      </c>
      <c r="C703" s="320"/>
      <c r="D703" s="321" t="s">
        <v>1419</v>
      </c>
      <c r="E703" s="320"/>
      <c r="F703" s="321" t="s">
        <v>71</v>
      </c>
    </row>
    <row r="704">
      <c r="A704" s="328" t="s">
        <v>823</v>
      </c>
      <c r="B704" s="324" t="s">
        <v>26</v>
      </c>
      <c r="C704" s="320"/>
      <c r="D704" s="321" t="s">
        <v>1420</v>
      </c>
      <c r="E704" s="320"/>
      <c r="F704" s="321" t="s">
        <v>71</v>
      </c>
    </row>
    <row r="705">
      <c r="A705" s="328" t="s">
        <v>824</v>
      </c>
      <c r="B705" s="324" t="s">
        <v>26</v>
      </c>
      <c r="C705" s="320"/>
      <c r="D705" s="321" t="s">
        <v>1282</v>
      </c>
      <c r="E705" s="320"/>
      <c r="F705" s="321" t="s">
        <v>73</v>
      </c>
    </row>
    <row r="706">
      <c r="A706" s="328" t="s">
        <v>825</v>
      </c>
      <c r="B706" s="324" t="s">
        <v>26</v>
      </c>
      <c r="C706" s="320"/>
      <c r="D706" s="321" t="s">
        <v>1338</v>
      </c>
      <c r="E706" s="320"/>
      <c r="F706" s="321" t="s">
        <v>75</v>
      </c>
    </row>
    <row r="707">
      <c r="A707" s="328" t="s">
        <v>26</v>
      </c>
      <c r="B707" s="324" t="s">
        <v>26</v>
      </c>
      <c r="C707" s="320"/>
      <c r="D707" s="321" t="s">
        <v>20</v>
      </c>
      <c r="E707" s="320"/>
      <c r="F707" s="321" t="s">
        <v>75</v>
      </c>
    </row>
    <row r="708">
      <c r="A708" s="328" t="s">
        <v>826</v>
      </c>
      <c r="B708" s="324" t="s">
        <v>26</v>
      </c>
      <c r="C708" s="320"/>
      <c r="D708" s="321" t="s">
        <v>20</v>
      </c>
      <c r="E708" s="321" t="s">
        <v>1055</v>
      </c>
      <c r="F708" s="321" t="s">
        <v>77</v>
      </c>
    </row>
    <row r="709">
      <c r="A709" s="328" t="s">
        <v>827</v>
      </c>
      <c r="B709" s="324" t="s">
        <v>26</v>
      </c>
      <c r="C709" s="320"/>
      <c r="D709" s="321" t="s">
        <v>1468</v>
      </c>
      <c r="E709" s="320"/>
      <c r="F709" s="321" t="s">
        <v>73</v>
      </c>
    </row>
    <row r="710">
      <c r="A710" s="328" t="s">
        <v>828</v>
      </c>
      <c r="B710" s="324" t="s">
        <v>26</v>
      </c>
      <c r="C710" s="320"/>
      <c r="D710" s="321" t="s">
        <v>1469</v>
      </c>
      <c r="E710" s="320"/>
      <c r="F710" s="321" t="s">
        <v>73</v>
      </c>
    </row>
    <row r="711">
      <c r="A711" s="328" t="s">
        <v>829</v>
      </c>
      <c r="B711" s="324" t="s">
        <v>26</v>
      </c>
      <c r="C711" s="320"/>
      <c r="D711" s="321" t="s">
        <v>1470</v>
      </c>
      <c r="E711" s="320"/>
      <c r="F711" s="321" t="s">
        <v>73</v>
      </c>
    </row>
    <row r="712">
      <c r="A712" s="328" t="s">
        <v>830</v>
      </c>
      <c r="B712" s="324" t="s">
        <v>26</v>
      </c>
      <c r="C712" s="320"/>
      <c r="D712" s="321" t="s">
        <v>1471</v>
      </c>
      <c r="E712" s="320"/>
      <c r="F712" s="321" t="s">
        <v>73</v>
      </c>
    </row>
    <row r="713">
      <c r="A713" s="328" t="s">
        <v>831</v>
      </c>
      <c r="B713" s="324" t="s">
        <v>26</v>
      </c>
      <c r="C713" s="320"/>
      <c r="D713" s="321" t="s">
        <v>1445</v>
      </c>
      <c r="E713" s="320"/>
      <c r="F713" s="321" t="s">
        <v>79</v>
      </c>
    </row>
    <row r="714">
      <c r="A714" s="328" t="s">
        <v>832</v>
      </c>
      <c r="B714" s="324" t="s">
        <v>26</v>
      </c>
      <c r="C714" s="320"/>
      <c r="D714" s="321" t="s">
        <v>1446</v>
      </c>
      <c r="E714" s="320"/>
      <c r="F714" s="321" t="s">
        <v>79</v>
      </c>
    </row>
    <row r="715">
      <c r="A715" s="328" t="s">
        <v>833</v>
      </c>
      <c r="B715" s="324" t="s">
        <v>26</v>
      </c>
      <c r="C715" s="320"/>
      <c r="D715" s="321" t="s">
        <v>1456</v>
      </c>
      <c r="E715" s="320"/>
      <c r="F715" s="321" t="s">
        <v>79</v>
      </c>
    </row>
    <row r="716">
      <c r="A716" s="328" t="s">
        <v>834</v>
      </c>
      <c r="B716" s="324" t="s">
        <v>26</v>
      </c>
      <c r="C716" s="320"/>
      <c r="D716" s="321" t="s">
        <v>1457</v>
      </c>
      <c r="E716" s="320"/>
      <c r="F716" s="321" t="s">
        <v>79</v>
      </c>
    </row>
    <row r="717">
      <c r="A717" s="328" t="s">
        <v>835</v>
      </c>
      <c r="B717" s="324" t="s">
        <v>26</v>
      </c>
      <c r="C717" s="320"/>
      <c r="D717" s="321" t="s">
        <v>1139</v>
      </c>
      <c r="E717" s="320"/>
      <c r="F717" s="321" t="s">
        <v>79</v>
      </c>
    </row>
    <row r="718">
      <c r="A718" s="328" t="s">
        <v>836</v>
      </c>
      <c r="B718" s="324" t="s">
        <v>26</v>
      </c>
      <c r="C718" s="320"/>
      <c r="D718" s="321" t="s">
        <v>1338</v>
      </c>
      <c r="E718" s="320"/>
      <c r="F718" s="321" t="s">
        <v>79</v>
      </c>
    </row>
    <row r="719">
      <c r="A719" s="328" t="s">
        <v>837</v>
      </c>
      <c r="B719" s="324" t="s">
        <v>26</v>
      </c>
      <c r="C719" s="320"/>
      <c r="D719" s="321" t="s">
        <v>1336</v>
      </c>
      <c r="E719" s="321" t="s">
        <v>1055</v>
      </c>
      <c r="F719" s="321" t="s">
        <v>81</v>
      </c>
    </row>
    <row r="720">
      <c r="A720" s="328" t="s">
        <v>838</v>
      </c>
      <c r="B720" s="324" t="s">
        <v>26</v>
      </c>
      <c r="C720" s="320"/>
      <c r="D720" s="321" t="s">
        <v>1357</v>
      </c>
      <c r="E720" s="321" t="s">
        <v>1055</v>
      </c>
      <c r="F720" s="321" t="s">
        <v>81</v>
      </c>
    </row>
    <row r="721">
      <c r="A721" s="328" t="s">
        <v>839</v>
      </c>
      <c r="B721" s="324" t="s">
        <v>26</v>
      </c>
      <c r="C721" s="320"/>
      <c r="D721" s="321" t="s">
        <v>1413</v>
      </c>
      <c r="E721" s="321" t="s">
        <v>1055</v>
      </c>
      <c r="F721" s="321" t="s">
        <v>81</v>
      </c>
    </row>
    <row r="722">
      <c r="A722" s="328" t="s">
        <v>840</v>
      </c>
      <c r="B722" s="324" t="s">
        <v>26</v>
      </c>
      <c r="C722" s="320"/>
      <c r="D722" s="321" t="s">
        <v>1409</v>
      </c>
      <c r="E722" s="321" t="s">
        <v>1055</v>
      </c>
      <c r="F722" s="321" t="s">
        <v>81</v>
      </c>
    </row>
    <row r="723">
      <c r="A723" s="328" t="s">
        <v>841</v>
      </c>
      <c r="B723" s="324" t="s">
        <v>26</v>
      </c>
      <c r="C723" s="320"/>
      <c r="D723" s="321" t="s">
        <v>20</v>
      </c>
      <c r="E723" s="321" t="s">
        <v>1055</v>
      </c>
      <c r="F723" s="321" t="s">
        <v>81</v>
      </c>
    </row>
    <row r="724">
      <c r="A724" s="328" t="s">
        <v>842</v>
      </c>
      <c r="B724" s="324" t="s">
        <v>26</v>
      </c>
      <c r="C724" s="320"/>
      <c r="D724" s="321" t="s">
        <v>1468</v>
      </c>
      <c r="E724" s="320"/>
      <c r="F724" s="321" t="s">
        <v>81</v>
      </c>
    </row>
    <row r="725">
      <c r="A725" s="328" t="s">
        <v>843</v>
      </c>
      <c r="B725" s="324" t="s">
        <v>26</v>
      </c>
      <c r="C725" s="320"/>
      <c r="D725" s="321" t="s">
        <v>1469</v>
      </c>
      <c r="E725" s="320"/>
      <c r="F725" s="321" t="s">
        <v>81</v>
      </c>
    </row>
    <row r="726">
      <c r="A726" s="328" t="s">
        <v>844</v>
      </c>
      <c r="B726" s="324" t="s">
        <v>26</v>
      </c>
      <c r="C726" s="320"/>
      <c r="D726" s="321" t="s">
        <v>1470</v>
      </c>
      <c r="E726" s="320"/>
      <c r="F726" s="321" t="s">
        <v>81</v>
      </c>
    </row>
    <row r="727">
      <c r="A727" s="328" t="s">
        <v>845</v>
      </c>
      <c r="B727" s="324" t="s">
        <v>26</v>
      </c>
      <c r="C727" s="320"/>
      <c r="D727" s="321" t="s">
        <v>1471</v>
      </c>
      <c r="E727" s="320"/>
      <c r="F727" s="321" t="s">
        <v>81</v>
      </c>
    </row>
    <row r="728">
      <c r="A728" s="328" t="s">
        <v>846</v>
      </c>
      <c r="B728" s="324" t="s">
        <v>26</v>
      </c>
      <c r="C728" s="320"/>
      <c r="D728" s="321" t="s">
        <v>1336</v>
      </c>
      <c r="E728" s="321" t="s">
        <v>1055</v>
      </c>
      <c r="F728" s="321" t="s">
        <v>81</v>
      </c>
    </row>
    <row r="729">
      <c r="A729" s="328" t="s">
        <v>847</v>
      </c>
      <c r="B729" s="324" t="s">
        <v>26</v>
      </c>
      <c r="C729" s="320"/>
      <c r="D729" s="321" t="s">
        <v>1357</v>
      </c>
      <c r="E729" s="321" t="s">
        <v>1055</v>
      </c>
      <c r="F729" s="321" t="s">
        <v>81</v>
      </c>
    </row>
    <row r="730">
      <c r="A730" s="328" t="s">
        <v>848</v>
      </c>
      <c r="B730" s="324" t="s">
        <v>26</v>
      </c>
      <c r="C730" s="320"/>
      <c r="D730" s="321" t="s">
        <v>1413</v>
      </c>
      <c r="E730" s="321" t="s">
        <v>1055</v>
      </c>
      <c r="F730" s="321" t="s">
        <v>81</v>
      </c>
    </row>
    <row r="731">
      <c r="A731" s="328" t="s">
        <v>849</v>
      </c>
      <c r="B731" s="324" t="s">
        <v>26</v>
      </c>
      <c r="C731" s="320"/>
      <c r="D731" s="321" t="s">
        <v>1409</v>
      </c>
      <c r="E731" s="321" t="s">
        <v>1055</v>
      </c>
      <c r="F731" s="321" t="s">
        <v>81</v>
      </c>
    </row>
    <row r="732">
      <c r="A732" s="328" t="s">
        <v>850</v>
      </c>
      <c r="B732" s="324" t="s">
        <v>26</v>
      </c>
      <c r="C732" s="320"/>
      <c r="D732" s="321" t="s">
        <v>20</v>
      </c>
      <c r="E732" s="321" t="s">
        <v>1055</v>
      </c>
      <c r="F732" s="321" t="s">
        <v>83</v>
      </c>
    </row>
    <row r="733">
      <c r="A733" s="328" t="s">
        <v>851</v>
      </c>
      <c r="B733" s="324" t="s">
        <v>26</v>
      </c>
      <c r="C733" s="320"/>
      <c r="D733" s="321" t="s">
        <v>20</v>
      </c>
      <c r="E733" s="321" t="s">
        <v>1055</v>
      </c>
      <c r="F733" s="321" t="s">
        <v>85</v>
      </c>
    </row>
    <row r="734">
      <c r="A734" s="328" t="s">
        <v>852</v>
      </c>
      <c r="B734" s="324" t="s">
        <v>29</v>
      </c>
      <c r="C734" s="320"/>
      <c r="D734" s="321" t="s">
        <v>1059</v>
      </c>
      <c r="E734" s="321"/>
      <c r="F734" s="321" t="s">
        <v>71</v>
      </c>
    </row>
    <row r="735">
      <c r="A735" s="328" t="s">
        <v>853</v>
      </c>
      <c r="B735" s="324" t="s">
        <v>29</v>
      </c>
      <c r="C735" s="320"/>
      <c r="D735" s="321" t="s">
        <v>1060</v>
      </c>
      <c r="E735" s="321"/>
      <c r="F735" s="321" t="s">
        <v>73</v>
      </c>
    </row>
    <row r="736">
      <c r="A736" s="328" t="s">
        <v>854</v>
      </c>
      <c r="B736" s="324" t="s">
        <v>29</v>
      </c>
      <c r="C736" s="320"/>
      <c r="D736" s="321" t="s">
        <v>1061</v>
      </c>
      <c r="E736" s="321" t="s">
        <v>1055</v>
      </c>
      <c r="F736" s="321" t="s">
        <v>77</v>
      </c>
    </row>
    <row r="737">
      <c r="A737" s="328" t="s">
        <v>855</v>
      </c>
      <c r="B737" s="324" t="s">
        <v>29</v>
      </c>
      <c r="C737" s="320"/>
      <c r="D737" s="321" t="s">
        <v>1076</v>
      </c>
      <c r="E737" s="321"/>
      <c r="F737" s="321" t="s">
        <v>71</v>
      </c>
    </row>
    <row r="738">
      <c r="A738" s="328" t="s">
        <v>856</v>
      </c>
      <c r="B738" s="324" t="s">
        <v>29</v>
      </c>
      <c r="C738" s="320"/>
      <c r="D738" s="321" t="s">
        <v>1472</v>
      </c>
      <c r="E738" s="321"/>
      <c r="F738" s="321" t="s">
        <v>71</v>
      </c>
    </row>
    <row r="739">
      <c r="A739" s="328" t="s">
        <v>857</v>
      </c>
      <c r="B739" s="324" t="s">
        <v>29</v>
      </c>
      <c r="C739" s="320"/>
      <c r="D739" s="321" t="s">
        <v>1473</v>
      </c>
      <c r="E739" s="321"/>
      <c r="F739" s="321" t="s">
        <v>73</v>
      </c>
    </row>
    <row r="740">
      <c r="A740" s="328" t="s">
        <v>858</v>
      </c>
      <c r="B740" s="324" t="s">
        <v>29</v>
      </c>
      <c r="C740" s="320"/>
      <c r="D740" s="321" t="s">
        <v>1474</v>
      </c>
      <c r="E740" s="321"/>
      <c r="F740" s="321" t="s">
        <v>75</v>
      </c>
    </row>
    <row r="741">
      <c r="A741" s="328" t="s">
        <v>859</v>
      </c>
      <c r="B741" s="324" t="s">
        <v>29</v>
      </c>
      <c r="C741" s="320"/>
      <c r="D741" s="321" t="s">
        <v>1083</v>
      </c>
      <c r="E741" s="321"/>
      <c r="F741" s="321" t="s">
        <v>71</v>
      </c>
    </row>
    <row r="742">
      <c r="A742" s="328" t="s">
        <v>860</v>
      </c>
      <c r="B742" s="324" t="s">
        <v>29</v>
      </c>
      <c r="C742" s="320"/>
      <c r="D742" s="321" t="s">
        <v>1084</v>
      </c>
      <c r="E742" s="321"/>
      <c r="F742" s="321" t="s">
        <v>73</v>
      </c>
    </row>
    <row r="743">
      <c r="A743" s="328" t="s">
        <v>862</v>
      </c>
      <c r="B743" s="324" t="s">
        <v>29</v>
      </c>
      <c r="C743" s="320"/>
      <c r="D743" s="321" t="s">
        <v>25</v>
      </c>
      <c r="E743" s="321" t="s">
        <v>1055</v>
      </c>
      <c r="F743" s="321" t="s">
        <v>77</v>
      </c>
    </row>
    <row r="744">
      <c r="A744" s="328" t="s">
        <v>864</v>
      </c>
      <c r="B744" s="324" t="s">
        <v>29</v>
      </c>
      <c r="C744" s="320"/>
      <c r="D744" s="321" t="s">
        <v>1091</v>
      </c>
      <c r="E744" s="321"/>
      <c r="F744" s="321" t="s">
        <v>71</v>
      </c>
    </row>
    <row r="745">
      <c r="A745" s="328" t="s">
        <v>865</v>
      </c>
      <c r="B745" s="324" t="s">
        <v>29</v>
      </c>
      <c r="C745" s="320"/>
      <c r="D745" s="321" t="s">
        <v>1339</v>
      </c>
      <c r="E745" s="321"/>
      <c r="F745" s="321" t="s">
        <v>75</v>
      </c>
    </row>
    <row r="746">
      <c r="A746" s="328" t="s">
        <v>866</v>
      </c>
      <c r="B746" s="324" t="s">
        <v>29</v>
      </c>
      <c r="C746" s="321" t="s">
        <v>1475</v>
      </c>
      <c r="D746" s="321" t="s">
        <v>1240</v>
      </c>
      <c r="E746" s="321"/>
      <c r="F746" s="321" t="s">
        <v>73</v>
      </c>
    </row>
    <row r="747">
      <c r="A747" s="328" t="s">
        <v>867</v>
      </c>
      <c r="B747" s="324" t="s">
        <v>29</v>
      </c>
      <c r="C747" s="320"/>
      <c r="D747" s="321" t="s">
        <v>1107</v>
      </c>
      <c r="E747" s="321"/>
      <c r="F747" s="321" t="s">
        <v>71</v>
      </c>
    </row>
    <row r="748">
      <c r="A748" s="328" t="s">
        <v>868</v>
      </c>
      <c r="B748" s="324" t="s">
        <v>29</v>
      </c>
      <c r="C748" s="320"/>
      <c r="D748" s="321" t="s">
        <v>1108</v>
      </c>
      <c r="E748" s="321"/>
      <c r="F748" s="321" t="s">
        <v>73</v>
      </c>
    </row>
    <row r="749">
      <c r="A749" s="328" t="s">
        <v>869</v>
      </c>
      <c r="B749" s="324" t="s">
        <v>29</v>
      </c>
      <c r="C749" s="320"/>
      <c r="D749" s="321" t="s">
        <v>1351</v>
      </c>
      <c r="E749" s="321"/>
      <c r="F749" s="321" t="s">
        <v>71</v>
      </c>
    </row>
    <row r="750">
      <c r="A750" s="328" t="s">
        <v>870</v>
      </c>
      <c r="B750" s="324" t="s">
        <v>29</v>
      </c>
      <c r="C750" s="320"/>
      <c r="D750" s="321" t="s">
        <v>1352</v>
      </c>
      <c r="E750" s="321"/>
      <c r="F750" s="321" t="s">
        <v>73</v>
      </c>
    </row>
    <row r="751">
      <c r="A751" s="328" t="s">
        <v>871</v>
      </c>
      <c r="B751" s="324" t="s">
        <v>29</v>
      </c>
      <c r="C751" s="320"/>
      <c r="D751" s="321" t="s">
        <v>1476</v>
      </c>
      <c r="E751" s="321"/>
      <c r="F751" s="321" t="s">
        <v>71</v>
      </c>
    </row>
    <row r="752">
      <c r="A752" s="328" t="s">
        <v>872</v>
      </c>
      <c r="B752" s="324" t="s">
        <v>29</v>
      </c>
      <c r="C752" s="320"/>
      <c r="D752" s="321" t="s">
        <v>1477</v>
      </c>
      <c r="E752" s="321" t="s">
        <v>1055</v>
      </c>
      <c r="F752" s="321" t="s">
        <v>77</v>
      </c>
    </row>
    <row r="753">
      <c r="A753" s="328" t="s">
        <v>873</v>
      </c>
      <c r="B753" s="324" t="s">
        <v>29</v>
      </c>
      <c r="C753" s="320"/>
      <c r="D753" s="321" t="s">
        <v>1478</v>
      </c>
      <c r="E753" s="321"/>
      <c r="F753" s="321" t="s">
        <v>75</v>
      </c>
    </row>
    <row r="754">
      <c r="A754" s="328" t="s">
        <v>874</v>
      </c>
      <c r="B754" s="324" t="s">
        <v>29</v>
      </c>
      <c r="C754" s="320"/>
      <c r="D754" s="321" t="s">
        <v>1479</v>
      </c>
      <c r="E754" s="321"/>
      <c r="F754" s="321" t="s">
        <v>73</v>
      </c>
    </row>
    <row r="755">
      <c r="A755" s="328" t="s">
        <v>875</v>
      </c>
      <c r="B755" s="324" t="s">
        <v>29</v>
      </c>
      <c r="C755" s="320"/>
      <c r="D755" s="321" t="s">
        <v>1137</v>
      </c>
      <c r="E755" s="321" t="s">
        <v>1055</v>
      </c>
      <c r="F755" s="321" t="s">
        <v>77</v>
      </c>
    </row>
    <row r="756">
      <c r="A756" s="328" t="s">
        <v>876</v>
      </c>
      <c r="B756" s="324" t="s">
        <v>29</v>
      </c>
      <c r="C756" s="320"/>
      <c r="D756" s="321" t="s">
        <v>1141</v>
      </c>
      <c r="E756" s="321"/>
      <c r="F756" s="321" t="s">
        <v>71</v>
      </c>
    </row>
    <row r="757">
      <c r="A757" s="328" t="s">
        <v>877</v>
      </c>
      <c r="B757" s="324" t="s">
        <v>29</v>
      </c>
      <c r="C757" s="320"/>
      <c r="D757" s="321" t="s">
        <v>1142</v>
      </c>
      <c r="E757" s="321"/>
      <c r="F757" s="321" t="s">
        <v>73</v>
      </c>
    </row>
    <row r="758">
      <c r="A758" s="328" t="s">
        <v>878</v>
      </c>
      <c r="B758" s="324" t="s">
        <v>29</v>
      </c>
      <c r="C758" s="320"/>
      <c r="D758" s="321" t="s">
        <v>1365</v>
      </c>
      <c r="E758" s="321"/>
      <c r="F758" s="321" t="s">
        <v>73</v>
      </c>
    </row>
    <row r="759">
      <c r="A759" s="328" t="s">
        <v>879</v>
      </c>
      <c r="B759" s="324" t="s">
        <v>29</v>
      </c>
      <c r="C759" s="320"/>
      <c r="D759" s="321" t="s">
        <v>1480</v>
      </c>
      <c r="E759" s="321"/>
      <c r="F759" s="321" t="s">
        <v>71</v>
      </c>
    </row>
    <row r="760">
      <c r="A760" s="328" t="s">
        <v>880</v>
      </c>
      <c r="B760" s="324" t="s">
        <v>29</v>
      </c>
      <c r="C760" s="320"/>
      <c r="D760" s="321" t="s">
        <v>1481</v>
      </c>
      <c r="E760" s="321"/>
      <c r="F760" s="321" t="s">
        <v>73</v>
      </c>
    </row>
    <row r="761">
      <c r="A761" s="328" t="s">
        <v>881</v>
      </c>
      <c r="B761" s="324" t="s">
        <v>29</v>
      </c>
      <c r="C761" s="320"/>
      <c r="D761" s="321" t="s">
        <v>1482</v>
      </c>
      <c r="E761" s="321"/>
      <c r="F761" s="321" t="s">
        <v>75</v>
      </c>
    </row>
    <row r="762">
      <c r="A762" s="328" t="s">
        <v>883</v>
      </c>
      <c r="B762" s="324" t="s">
        <v>29</v>
      </c>
      <c r="C762" s="320"/>
      <c r="D762" s="321" t="s">
        <v>1156</v>
      </c>
      <c r="E762" s="321"/>
      <c r="F762" s="321" t="s">
        <v>71</v>
      </c>
    </row>
    <row r="763">
      <c r="A763" s="328" t="s">
        <v>884</v>
      </c>
      <c r="B763" s="324" t="s">
        <v>29</v>
      </c>
      <c r="C763" s="320"/>
      <c r="D763" s="321" t="s">
        <v>1157</v>
      </c>
      <c r="E763" s="321"/>
      <c r="F763" s="321" t="s">
        <v>73</v>
      </c>
    </row>
    <row r="764">
      <c r="A764" s="328" t="s">
        <v>885</v>
      </c>
      <c r="B764" s="324" t="s">
        <v>29</v>
      </c>
      <c r="C764" s="320"/>
      <c r="D764" s="321" t="s">
        <v>1158</v>
      </c>
      <c r="E764" s="321"/>
      <c r="F764" s="321" t="s">
        <v>75</v>
      </c>
    </row>
    <row r="765">
      <c r="A765" s="328" t="s">
        <v>886</v>
      </c>
      <c r="B765" s="324" t="s">
        <v>29</v>
      </c>
      <c r="C765" s="320"/>
      <c r="D765" s="321" t="s">
        <v>1166</v>
      </c>
      <c r="E765" s="321"/>
      <c r="F765" s="321" t="s">
        <v>71</v>
      </c>
    </row>
    <row r="766">
      <c r="A766" s="328" t="s">
        <v>887</v>
      </c>
      <c r="B766" s="324" t="s">
        <v>29</v>
      </c>
      <c r="C766" s="320"/>
      <c r="D766" s="321" t="s">
        <v>1373</v>
      </c>
      <c r="E766" s="321"/>
      <c r="F766" s="321" t="s">
        <v>71</v>
      </c>
    </row>
    <row r="767">
      <c r="A767" s="328" t="s">
        <v>888</v>
      </c>
      <c r="B767" s="324" t="s">
        <v>29</v>
      </c>
      <c r="C767" s="320"/>
      <c r="D767" s="321" t="s">
        <v>1374</v>
      </c>
      <c r="E767" s="321"/>
      <c r="F767" s="321" t="s">
        <v>73</v>
      </c>
    </row>
    <row r="768">
      <c r="A768" s="328" t="s">
        <v>889</v>
      </c>
      <c r="B768" s="324" t="s">
        <v>29</v>
      </c>
      <c r="C768" s="320"/>
      <c r="D768" s="321" t="s">
        <v>1378</v>
      </c>
      <c r="E768" s="321" t="s">
        <v>1055</v>
      </c>
      <c r="F768" s="321" t="s">
        <v>77</v>
      </c>
    </row>
    <row r="769">
      <c r="A769" s="328" t="s">
        <v>890</v>
      </c>
      <c r="B769" s="324" t="s">
        <v>29</v>
      </c>
      <c r="C769" s="320"/>
      <c r="D769" s="321" t="s">
        <v>1483</v>
      </c>
      <c r="E769" s="321"/>
      <c r="F769" s="321" t="s">
        <v>71</v>
      </c>
    </row>
    <row r="770">
      <c r="A770" s="328" t="s">
        <v>891</v>
      </c>
      <c r="B770" s="324" t="s">
        <v>29</v>
      </c>
      <c r="C770" s="320"/>
      <c r="D770" s="321" t="s">
        <v>1182</v>
      </c>
      <c r="E770" s="321"/>
      <c r="F770" s="321" t="s">
        <v>71</v>
      </c>
    </row>
    <row r="771">
      <c r="A771" s="328" t="s">
        <v>892</v>
      </c>
      <c r="B771" s="324" t="s">
        <v>29</v>
      </c>
      <c r="C771" s="320"/>
      <c r="D771" s="321" t="s">
        <v>1183</v>
      </c>
      <c r="E771" s="321"/>
      <c r="F771" s="321" t="s">
        <v>71</v>
      </c>
    </row>
    <row r="772">
      <c r="A772" s="328" t="s">
        <v>893</v>
      </c>
      <c r="B772" s="324" t="s">
        <v>29</v>
      </c>
      <c r="C772" s="320"/>
      <c r="D772" s="321" t="s">
        <v>1184</v>
      </c>
      <c r="E772" s="321"/>
      <c r="F772" s="321" t="s">
        <v>75</v>
      </c>
    </row>
    <row r="773">
      <c r="A773" s="328" t="s">
        <v>894</v>
      </c>
      <c r="B773" s="324" t="s">
        <v>29</v>
      </c>
      <c r="C773" s="320"/>
      <c r="D773" s="321" t="s">
        <v>1191</v>
      </c>
      <c r="E773" s="321"/>
      <c r="F773" s="321" t="s">
        <v>71</v>
      </c>
    </row>
    <row r="774">
      <c r="A774" s="328" t="s">
        <v>895</v>
      </c>
      <c r="B774" s="324" t="s">
        <v>29</v>
      </c>
      <c r="C774" s="320"/>
      <c r="D774" s="321" t="s">
        <v>1192</v>
      </c>
      <c r="E774" s="321"/>
      <c r="F774" s="321" t="s">
        <v>71</v>
      </c>
    </row>
    <row r="775">
      <c r="A775" s="328" t="s">
        <v>896</v>
      </c>
      <c r="B775" s="324" t="s">
        <v>29</v>
      </c>
      <c r="C775" s="320"/>
      <c r="D775" s="321" t="s">
        <v>1386</v>
      </c>
      <c r="E775" s="321"/>
      <c r="F775" s="321" t="s">
        <v>71</v>
      </c>
    </row>
    <row r="776">
      <c r="A776" s="328" t="s">
        <v>29</v>
      </c>
      <c r="B776" s="324" t="s">
        <v>29</v>
      </c>
      <c r="C776" s="320"/>
      <c r="D776" s="321" t="s">
        <v>1387</v>
      </c>
      <c r="E776" s="321" t="s">
        <v>1055</v>
      </c>
      <c r="F776" s="321" t="s">
        <v>77</v>
      </c>
    </row>
    <row r="777">
      <c r="A777" s="328" t="s">
        <v>897</v>
      </c>
      <c r="B777" s="324" t="s">
        <v>29</v>
      </c>
      <c r="C777" s="320"/>
      <c r="D777" s="321" t="s">
        <v>1484</v>
      </c>
      <c r="E777" s="321"/>
      <c r="F777" s="321" t="s">
        <v>73</v>
      </c>
    </row>
    <row r="778">
      <c r="A778" s="328" t="s">
        <v>898</v>
      </c>
      <c r="B778" s="324" t="s">
        <v>29</v>
      </c>
      <c r="C778" s="320"/>
      <c r="D778" s="321" t="s">
        <v>1201</v>
      </c>
      <c r="E778" s="321"/>
      <c r="F778" s="321" t="s">
        <v>71</v>
      </c>
    </row>
    <row r="779">
      <c r="A779" s="328" t="s">
        <v>899</v>
      </c>
      <c r="B779" s="324" t="s">
        <v>29</v>
      </c>
      <c r="C779" s="320"/>
      <c r="D779" s="321" t="s">
        <v>1202</v>
      </c>
      <c r="E779" s="321"/>
      <c r="F779" s="321" t="s">
        <v>73</v>
      </c>
    </row>
    <row r="780">
      <c r="A780" s="328" t="s">
        <v>900</v>
      </c>
      <c r="B780" s="324" t="s">
        <v>29</v>
      </c>
      <c r="C780" s="321" t="s">
        <v>1485</v>
      </c>
      <c r="D780" s="321" t="s">
        <v>1486</v>
      </c>
      <c r="E780" s="321"/>
      <c r="F780" s="321" t="s">
        <v>71</v>
      </c>
    </row>
    <row r="781">
      <c r="A781" s="328" t="s">
        <v>901</v>
      </c>
      <c r="B781" s="324" t="s">
        <v>29</v>
      </c>
      <c r="C781" s="321" t="s">
        <v>1485</v>
      </c>
      <c r="D781" s="321" t="s">
        <v>1487</v>
      </c>
      <c r="E781" s="321" t="s">
        <v>1055</v>
      </c>
      <c r="F781" s="321" t="s">
        <v>77</v>
      </c>
    </row>
    <row r="782">
      <c r="A782" s="328" t="s">
        <v>902</v>
      </c>
      <c r="B782" s="324" t="s">
        <v>29</v>
      </c>
      <c r="C782" s="320"/>
      <c r="D782" s="321" t="s">
        <v>1399</v>
      </c>
      <c r="E782" s="321"/>
      <c r="F782" s="321" t="s">
        <v>73</v>
      </c>
    </row>
    <row r="783">
      <c r="A783" s="328" t="s">
        <v>903</v>
      </c>
      <c r="B783" s="324" t="s">
        <v>29</v>
      </c>
      <c r="C783" s="320"/>
      <c r="D783" s="321" t="s">
        <v>1488</v>
      </c>
      <c r="E783" s="321"/>
      <c r="F783" s="321" t="s">
        <v>71</v>
      </c>
    </row>
    <row r="784">
      <c r="A784" s="328" t="s">
        <v>904</v>
      </c>
      <c r="B784" s="324" t="s">
        <v>29</v>
      </c>
      <c r="C784" s="320"/>
      <c r="D784" s="321" t="s">
        <v>1489</v>
      </c>
      <c r="E784" s="321"/>
      <c r="F784" s="321" t="s">
        <v>75</v>
      </c>
    </row>
    <row r="785">
      <c r="A785" s="328" t="s">
        <v>905</v>
      </c>
      <c r="B785" s="324" t="s">
        <v>29</v>
      </c>
      <c r="C785" s="320"/>
      <c r="D785" s="321" t="s">
        <v>1490</v>
      </c>
      <c r="E785" s="321"/>
      <c r="F785" s="321" t="s">
        <v>71</v>
      </c>
    </row>
    <row r="786">
      <c r="A786" s="328" t="s">
        <v>906</v>
      </c>
      <c r="B786" s="324" t="s">
        <v>29</v>
      </c>
      <c r="C786" s="320"/>
      <c r="D786" s="321" t="s">
        <v>1491</v>
      </c>
      <c r="E786" s="321"/>
      <c r="F786" s="321" t="s">
        <v>73</v>
      </c>
    </row>
    <row r="787">
      <c r="A787" s="328" t="s">
        <v>907</v>
      </c>
      <c r="B787" s="324" t="s">
        <v>29</v>
      </c>
      <c r="C787" s="320"/>
      <c r="D787" s="321" t="s">
        <v>1492</v>
      </c>
      <c r="E787" s="321" t="s">
        <v>1055</v>
      </c>
      <c r="F787" s="321" t="s">
        <v>77</v>
      </c>
    </row>
    <row r="788">
      <c r="A788" s="328" t="s">
        <v>908</v>
      </c>
      <c r="B788" s="324" t="s">
        <v>29</v>
      </c>
      <c r="C788" s="320"/>
      <c r="D788" s="321" t="s">
        <v>1493</v>
      </c>
      <c r="E788" s="321"/>
      <c r="F788" s="321" t="s">
        <v>71</v>
      </c>
    </row>
    <row r="789">
      <c r="A789" s="328" t="s">
        <v>909</v>
      </c>
      <c r="B789" s="324" t="s">
        <v>29</v>
      </c>
      <c r="C789" s="320"/>
      <c r="D789" s="321" t="s">
        <v>1494</v>
      </c>
      <c r="E789" s="321"/>
      <c r="F789" s="321" t="s">
        <v>73</v>
      </c>
    </row>
    <row r="790">
      <c r="A790" s="328" t="s">
        <v>910</v>
      </c>
      <c r="B790" s="324" t="s">
        <v>29</v>
      </c>
      <c r="C790" s="320"/>
      <c r="D790" s="321" t="s">
        <v>1495</v>
      </c>
      <c r="E790" s="321"/>
      <c r="F790" s="321" t="s">
        <v>75</v>
      </c>
    </row>
    <row r="791">
      <c r="A791" s="328" t="s">
        <v>911</v>
      </c>
      <c r="B791" s="324" t="s">
        <v>29</v>
      </c>
      <c r="C791" s="320"/>
      <c r="D791" s="321" t="s">
        <v>1226</v>
      </c>
      <c r="E791" s="321"/>
      <c r="F791" s="321" t="s">
        <v>71</v>
      </c>
    </row>
    <row r="792">
      <c r="A792" s="328" t="s">
        <v>912</v>
      </c>
      <c r="B792" s="324" t="s">
        <v>29</v>
      </c>
      <c r="C792" s="320"/>
      <c r="D792" s="321" t="s">
        <v>1227</v>
      </c>
      <c r="E792" s="321"/>
      <c r="F792" s="321" t="s">
        <v>71</v>
      </c>
    </row>
    <row r="793">
      <c r="A793" s="328" t="s">
        <v>913</v>
      </c>
      <c r="B793" s="324" t="s">
        <v>29</v>
      </c>
      <c r="C793" s="320"/>
      <c r="D793" s="321" t="s">
        <v>1230</v>
      </c>
      <c r="E793" s="321"/>
      <c r="F793" s="321" t="s">
        <v>71</v>
      </c>
    </row>
    <row r="794">
      <c r="A794" s="328" t="s">
        <v>914</v>
      </c>
      <c r="B794" s="324" t="s">
        <v>29</v>
      </c>
      <c r="C794" s="320"/>
      <c r="D794" s="321" t="s">
        <v>1231</v>
      </c>
      <c r="E794" s="321"/>
      <c r="F794" s="321" t="s">
        <v>75</v>
      </c>
    </row>
    <row r="795">
      <c r="A795" s="328" t="s">
        <v>915</v>
      </c>
      <c r="B795" s="324" t="s">
        <v>29</v>
      </c>
      <c r="C795" s="320"/>
      <c r="D795" s="321" t="s">
        <v>1237</v>
      </c>
      <c r="E795" s="321"/>
      <c r="F795" s="321" t="s">
        <v>71</v>
      </c>
    </row>
    <row r="796">
      <c r="A796" s="328" t="s">
        <v>916</v>
      </c>
      <c r="B796" s="324" t="s">
        <v>29</v>
      </c>
      <c r="C796" s="320"/>
      <c r="D796" s="321" t="s">
        <v>1414</v>
      </c>
      <c r="E796" s="321"/>
      <c r="F796" s="321" t="s">
        <v>71</v>
      </c>
    </row>
    <row r="797">
      <c r="A797" s="328" t="s">
        <v>917</v>
      </c>
      <c r="B797" s="324" t="s">
        <v>29</v>
      </c>
      <c r="C797" s="320"/>
      <c r="D797" s="321" t="s">
        <v>1421</v>
      </c>
      <c r="E797" s="321"/>
      <c r="F797" s="321" t="s">
        <v>71</v>
      </c>
    </row>
    <row r="798">
      <c r="A798" s="328" t="s">
        <v>918</v>
      </c>
      <c r="B798" s="324" t="s">
        <v>29</v>
      </c>
      <c r="C798" s="320"/>
      <c r="D798" s="321" t="s">
        <v>1422</v>
      </c>
      <c r="E798" s="321" t="s">
        <v>1055</v>
      </c>
      <c r="F798" s="321" t="s">
        <v>77</v>
      </c>
    </row>
    <row r="799">
      <c r="A799" s="328" t="s">
        <v>919</v>
      </c>
      <c r="B799" s="324" t="s">
        <v>29</v>
      </c>
      <c r="C799" s="320"/>
      <c r="D799" s="321" t="s">
        <v>1423</v>
      </c>
      <c r="E799" s="321"/>
      <c r="F799" s="321" t="s">
        <v>71</v>
      </c>
    </row>
    <row r="800">
      <c r="A800" s="328" t="s">
        <v>920</v>
      </c>
      <c r="B800" s="324" t="s">
        <v>29</v>
      </c>
      <c r="C800" s="320"/>
      <c r="D800" s="321" t="s">
        <v>1424</v>
      </c>
      <c r="E800" s="321"/>
      <c r="F800" s="321" t="s">
        <v>71</v>
      </c>
    </row>
    <row r="801">
      <c r="A801" s="328" t="s">
        <v>921</v>
      </c>
      <c r="B801" s="324" t="s">
        <v>29</v>
      </c>
      <c r="C801" s="320"/>
      <c r="D801" s="321" t="s">
        <v>1496</v>
      </c>
      <c r="E801" s="321"/>
      <c r="F801" s="321" t="s">
        <v>73</v>
      </c>
    </row>
    <row r="802">
      <c r="A802" s="328" t="s">
        <v>922</v>
      </c>
      <c r="B802" s="324" t="s">
        <v>29</v>
      </c>
      <c r="C802" s="320"/>
      <c r="D802" s="321" t="s">
        <v>1497</v>
      </c>
      <c r="E802" s="321"/>
      <c r="F802" s="321" t="s">
        <v>73</v>
      </c>
    </row>
    <row r="803">
      <c r="A803" s="328" t="s">
        <v>923</v>
      </c>
      <c r="B803" s="324" t="s">
        <v>29</v>
      </c>
      <c r="C803" s="320"/>
      <c r="D803" s="321" t="s">
        <v>1498</v>
      </c>
      <c r="E803" s="321"/>
      <c r="F803" s="321" t="s">
        <v>73</v>
      </c>
    </row>
    <row r="804">
      <c r="A804" s="328" t="s">
        <v>924</v>
      </c>
      <c r="B804" s="324" t="s">
        <v>29</v>
      </c>
      <c r="C804" s="320"/>
      <c r="D804" s="321" t="s">
        <v>1499</v>
      </c>
      <c r="E804" s="321"/>
      <c r="F804" s="321" t="s">
        <v>73</v>
      </c>
    </row>
    <row r="805">
      <c r="A805" s="328" t="s">
        <v>925</v>
      </c>
      <c r="B805" s="324" t="s">
        <v>29</v>
      </c>
      <c r="C805" s="320"/>
      <c r="D805" s="321" t="s">
        <v>1500</v>
      </c>
      <c r="E805" s="321"/>
      <c r="F805" s="321" t="s">
        <v>73</v>
      </c>
    </row>
    <row r="806">
      <c r="A806" s="328" t="s">
        <v>926</v>
      </c>
      <c r="B806" s="324" t="s">
        <v>29</v>
      </c>
      <c r="C806" s="320"/>
      <c r="D806" s="321" t="s">
        <v>1474</v>
      </c>
      <c r="E806" s="321"/>
      <c r="F806" s="321" t="s">
        <v>79</v>
      </c>
    </row>
    <row r="807">
      <c r="A807" s="328" t="s">
        <v>927</v>
      </c>
      <c r="B807" s="324" t="s">
        <v>29</v>
      </c>
      <c r="C807" s="320"/>
      <c r="D807" s="321" t="s">
        <v>1351</v>
      </c>
      <c r="E807" s="321"/>
      <c r="F807" s="321" t="s">
        <v>79</v>
      </c>
    </row>
    <row r="808">
      <c r="A808" s="328" t="s">
        <v>928</v>
      </c>
      <c r="B808" s="324" t="s">
        <v>29</v>
      </c>
      <c r="C808" s="320"/>
      <c r="D808" s="321" t="s">
        <v>1479</v>
      </c>
      <c r="E808" s="321"/>
      <c r="F808" s="321" t="s">
        <v>79</v>
      </c>
    </row>
    <row r="809">
      <c r="A809" s="328" t="s">
        <v>929</v>
      </c>
      <c r="B809" s="324" t="s">
        <v>29</v>
      </c>
      <c r="C809" s="320"/>
      <c r="D809" s="321" t="s">
        <v>1489</v>
      </c>
      <c r="E809" s="321"/>
      <c r="F809" s="321" t="s">
        <v>79</v>
      </c>
    </row>
    <row r="810">
      <c r="A810" s="328" t="s">
        <v>930</v>
      </c>
      <c r="B810" s="324" t="s">
        <v>29</v>
      </c>
      <c r="C810" s="320"/>
      <c r="D810" s="321" t="s">
        <v>1495</v>
      </c>
      <c r="E810" s="321"/>
      <c r="F810" s="321" t="s">
        <v>79</v>
      </c>
    </row>
    <row r="811">
      <c r="A811" s="328" t="s">
        <v>931</v>
      </c>
      <c r="B811" s="324" t="s">
        <v>29</v>
      </c>
      <c r="C811" s="320"/>
      <c r="D811" s="321" t="s">
        <v>1231</v>
      </c>
      <c r="E811" s="321"/>
      <c r="F811" s="321" t="s">
        <v>79</v>
      </c>
    </row>
    <row r="812">
      <c r="A812" s="328" t="s">
        <v>932</v>
      </c>
      <c r="B812" s="324" t="s">
        <v>29</v>
      </c>
      <c r="C812" s="320"/>
      <c r="D812" s="321" t="s">
        <v>1061</v>
      </c>
      <c r="E812" s="321" t="s">
        <v>1055</v>
      </c>
      <c r="F812" s="321" t="s">
        <v>81</v>
      </c>
    </row>
    <row r="813">
      <c r="A813" s="328" t="s">
        <v>933</v>
      </c>
      <c r="B813" s="324" t="s">
        <v>29</v>
      </c>
      <c r="C813" s="320"/>
      <c r="D813" s="321" t="s">
        <v>25</v>
      </c>
      <c r="E813" s="321" t="s">
        <v>1055</v>
      </c>
      <c r="F813" s="321" t="s">
        <v>81</v>
      </c>
    </row>
    <row r="814">
      <c r="A814" s="328" t="s">
        <v>934</v>
      </c>
      <c r="B814" s="324" t="s">
        <v>29</v>
      </c>
      <c r="C814" s="320"/>
      <c r="D814" s="321" t="s">
        <v>1477</v>
      </c>
      <c r="E814" s="321" t="s">
        <v>1055</v>
      </c>
      <c r="F814" s="321" t="s">
        <v>81</v>
      </c>
    </row>
    <row r="815">
      <c r="A815" s="328" t="s">
        <v>935</v>
      </c>
      <c r="B815" s="324" t="s">
        <v>29</v>
      </c>
      <c r="C815" s="320"/>
      <c r="D815" s="321" t="s">
        <v>1137</v>
      </c>
      <c r="E815" s="321" t="s">
        <v>1055</v>
      </c>
      <c r="F815" s="321" t="s">
        <v>81</v>
      </c>
    </row>
    <row r="816">
      <c r="A816" s="328" t="s">
        <v>936</v>
      </c>
      <c r="B816" s="324" t="s">
        <v>29</v>
      </c>
      <c r="C816" s="320"/>
      <c r="D816" s="321" t="s">
        <v>1378</v>
      </c>
      <c r="E816" s="321" t="s">
        <v>1055</v>
      </c>
      <c r="F816" s="321" t="s">
        <v>81</v>
      </c>
    </row>
    <row r="817">
      <c r="A817" s="328" t="s">
        <v>937</v>
      </c>
      <c r="B817" s="324" t="s">
        <v>29</v>
      </c>
      <c r="C817" s="320"/>
      <c r="D817" s="321" t="s">
        <v>1387</v>
      </c>
      <c r="E817" s="321" t="s">
        <v>1055</v>
      </c>
      <c r="F817" s="321" t="s">
        <v>81</v>
      </c>
    </row>
    <row r="818">
      <c r="A818" s="328" t="s">
        <v>938</v>
      </c>
      <c r="B818" s="324" t="s">
        <v>29</v>
      </c>
      <c r="C818" s="321" t="s">
        <v>1485</v>
      </c>
      <c r="D818" s="321" t="s">
        <v>1487</v>
      </c>
      <c r="E818" s="321" t="s">
        <v>1055</v>
      </c>
      <c r="F818" s="321" t="s">
        <v>81</v>
      </c>
    </row>
    <row r="819">
      <c r="A819" s="328" t="s">
        <v>939</v>
      </c>
      <c r="B819" s="324" t="s">
        <v>29</v>
      </c>
      <c r="C819" s="320"/>
      <c r="D819" s="321" t="s">
        <v>1492</v>
      </c>
      <c r="E819" s="321" t="s">
        <v>1055</v>
      </c>
      <c r="F819" s="321" t="s">
        <v>81</v>
      </c>
    </row>
    <row r="820">
      <c r="A820" s="328" t="s">
        <v>940</v>
      </c>
      <c r="B820" s="324" t="s">
        <v>29</v>
      </c>
      <c r="C820" s="320"/>
      <c r="D820" s="321" t="s">
        <v>1422</v>
      </c>
      <c r="E820" s="321" t="s">
        <v>1055</v>
      </c>
      <c r="F820" s="321" t="s">
        <v>81</v>
      </c>
    </row>
    <row r="821">
      <c r="A821" s="328" t="s">
        <v>941</v>
      </c>
      <c r="B821" s="324" t="s">
        <v>29</v>
      </c>
      <c r="C821" s="320"/>
      <c r="D821" s="321" t="s">
        <v>1497</v>
      </c>
      <c r="E821" s="321"/>
      <c r="F821" s="321" t="s">
        <v>81</v>
      </c>
    </row>
    <row r="822">
      <c r="A822" s="328" t="s">
        <v>942</v>
      </c>
      <c r="B822" s="324" t="s">
        <v>29</v>
      </c>
      <c r="C822" s="320"/>
      <c r="D822" s="321" t="s">
        <v>1501</v>
      </c>
      <c r="E822" s="321"/>
      <c r="F822" s="321" t="s">
        <v>81</v>
      </c>
    </row>
    <row r="823">
      <c r="A823" s="328" t="s">
        <v>943</v>
      </c>
      <c r="B823" s="324" t="s">
        <v>29</v>
      </c>
      <c r="C823" s="320"/>
      <c r="D823" s="321" t="s">
        <v>1499</v>
      </c>
      <c r="E823" s="321"/>
      <c r="F823" s="321" t="s">
        <v>81</v>
      </c>
    </row>
    <row r="824">
      <c r="A824" s="328" t="s">
        <v>944</v>
      </c>
      <c r="B824" s="324" t="s">
        <v>29</v>
      </c>
      <c r="C824" s="320"/>
      <c r="D824" s="321" t="s">
        <v>1500</v>
      </c>
      <c r="E824" s="321"/>
      <c r="F824" s="321" t="s">
        <v>81</v>
      </c>
    </row>
    <row r="825">
      <c r="A825" s="328" t="s">
        <v>945</v>
      </c>
      <c r="B825" s="324" t="s">
        <v>29</v>
      </c>
      <c r="C825" s="321"/>
      <c r="D825" s="321" t="s">
        <v>1137</v>
      </c>
      <c r="E825" s="321" t="s">
        <v>1055</v>
      </c>
      <c r="F825" s="321" t="s">
        <v>81</v>
      </c>
    </row>
    <row r="826">
      <c r="A826" s="328" t="s">
        <v>946</v>
      </c>
      <c r="B826" s="324" t="s">
        <v>29</v>
      </c>
      <c r="C826" s="321" t="s">
        <v>1485</v>
      </c>
      <c r="D826" s="321" t="s">
        <v>1487</v>
      </c>
      <c r="E826" s="321" t="s">
        <v>1055</v>
      </c>
      <c r="F826" s="321" t="s">
        <v>81</v>
      </c>
    </row>
    <row r="827">
      <c r="A827" s="328" t="s">
        <v>947</v>
      </c>
      <c r="B827" s="324" t="s">
        <v>29</v>
      </c>
      <c r="C827" s="320"/>
      <c r="D827" s="321" t="s">
        <v>1492</v>
      </c>
      <c r="E827" s="321" t="s">
        <v>1055</v>
      </c>
      <c r="F827" s="321" t="s">
        <v>81</v>
      </c>
    </row>
    <row r="828">
      <c r="A828" s="328" t="s">
        <v>948</v>
      </c>
      <c r="B828" s="324" t="s">
        <v>29</v>
      </c>
      <c r="C828" s="320"/>
      <c r="D828" s="321" t="s">
        <v>1422</v>
      </c>
      <c r="E828" s="321" t="s">
        <v>1055</v>
      </c>
      <c r="F828" s="321" t="s">
        <v>81</v>
      </c>
    </row>
    <row r="829">
      <c r="A829" s="328" t="s">
        <v>949</v>
      </c>
      <c r="B829" s="324" t="s">
        <v>29</v>
      </c>
      <c r="C829" s="320"/>
      <c r="D829" s="321" t="s">
        <v>1378</v>
      </c>
      <c r="E829" s="321" t="s">
        <v>1055</v>
      </c>
      <c r="F829" s="321" t="s">
        <v>83</v>
      </c>
    </row>
    <row r="830">
      <c r="A830" s="328" t="s">
        <v>950</v>
      </c>
      <c r="B830" s="324" t="s">
        <v>29</v>
      </c>
      <c r="C830" s="320"/>
      <c r="D830" s="321" t="s">
        <v>1059</v>
      </c>
      <c r="E830" s="321"/>
      <c r="F830" s="321" t="s">
        <v>861</v>
      </c>
    </row>
    <row r="831">
      <c r="A831" s="328" t="s">
        <v>951</v>
      </c>
      <c r="B831" s="324" t="s">
        <v>29</v>
      </c>
      <c r="C831" s="320"/>
      <c r="D831" s="321" t="s">
        <v>1060</v>
      </c>
      <c r="E831" s="321"/>
      <c r="F831" s="321" t="s">
        <v>861</v>
      </c>
    </row>
    <row r="832">
      <c r="A832" s="328" t="s">
        <v>952</v>
      </c>
      <c r="B832" s="324" t="s">
        <v>29</v>
      </c>
      <c r="C832" s="320"/>
      <c r="D832" s="321" t="s">
        <v>1083</v>
      </c>
      <c r="E832" s="321"/>
      <c r="F832" s="321" t="s">
        <v>861</v>
      </c>
    </row>
    <row r="833">
      <c r="A833" s="328" t="s">
        <v>953</v>
      </c>
      <c r="B833" s="324" t="s">
        <v>29</v>
      </c>
      <c r="C833" s="320"/>
      <c r="D833" s="321" t="s">
        <v>1084</v>
      </c>
      <c r="E833" s="321"/>
      <c r="F833" s="321" t="s">
        <v>861</v>
      </c>
    </row>
    <row r="834">
      <c r="A834" s="328" t="s">
        <v>954</v>
      </c>
      <c r="B834" s="324" t="s">
        <v>29</v>
      </c>
      <c r="C834" s="320"/>
      <c r="D834" s="321" t="s">
        <v>1476</v>
      </c>
      <c r="E834" s="321"/>
      <c r="F834" s="321" t="s">
        <v>861</v>
      </c>
    </row>
    <row r="835">
      <c r="A835" s="328" t="s">
        <v>955</v>
      </c>
      <c r="B835" s="324" t="s">
        <v>29</v>
      </c>
      <c r="C835" s="320"/>
      <c r="D835" s="321" t="s">
        <v>1478</v>
      </c>
      <c r="E835" s="321"/>
      <c r="F835" s="321" t="s">
        <v>861</v>
      </c>
    </row>
    <row r="836">
      <c r="A836" s="328" t="s">
        <v>956</v>
      </c>
      <c r="B836" s="324" t="s">
        <v>29</v>
      </c>
      <c r="C836" s="320"/>
      <c r="D836" s="321" t="s">
        <v>1365</v>
      </c>
      <c r="E836" s="321"/>
      <c r="F836" s="321" t="s">
        <v>861</v>
      </c>
    </row>
    <row r="837">
      <c r="A837" s="328" t="s">
        <v>957</v>
      </c>
      <c r="B837" s="324" t="s">
        <v>29</v>
      </c>
      <c r="C837" s="320"/>
      <c r="D837" s="321" t="s">
        <v>1386</v>
      </c>
      <c r="E837" s="321"/>
      <c r="F837" s="321" t="s">
        <v>861</v>
      </c>
    </row>
    <row r="838">
      <c r="A838" s="328" t="s">
        <v>958</v>
      </c>
      <c r="B838" s="324" t="s">
        <v>29</v>
      </c>
      <c r="C838" s="320"/>
      <c r="D838" s="321" t="s">
        <v>1493</v>
      </c>
      <c r="E838" s="321"/>
      <c r="F838" s="321" t="s">
        <v>861</v>
      </c>
    </row>
    <row r="839">
      <c r="A839" s="328" t="s">
        <v>959</v>
      </c>
      <c r="B839" s="324" t="s">
        <v>29</v>
      </c>
      <c r="C839" s="320"/>
      <c r="D839" s="321" t="s">
        <v>1494</v>
      </c>
      <c r="E839" s="321"/>
      <c r="F839" s="321" t="s">
        <v>861</v>
      </c>
    </row>
    <row r="840">
      <c r="A840" s="328" t="s">
        <v>960</v>
      </c>
      <c r="B840" s="324" t="s">
        <v>29</v>
      </c>
      <c r="C840" s="320"/>
      <c r="D840" s="321" t="s">
        <v>1061</v>
      </c>
      <c r="E840" s="321" t="s">
        <v>1055</v>
      </c>
      <c r="F840" s="321" t="s">
        <v>863</v>
      </c>
    </row>
    <row r="841">
      <c r="A841" s="328" t="s">
        <v>961</v>
      </c>
      <c r="B841" s="324" t="s">
        <v>29</v>
      </c>
      <c r="C841" s="320"/>
      <c r="D841" s="321" t="s">
        <v>25</v>
      </c>
      <c r="E841" s="321" t="s">
        <v>1055</v>
      </c>
      <c r="F841" s="321" t="s">
        <v>863</v>
      </c>
    </row>
    <row r="842">
      <c r="A842" s="328" t="s">
        <v>962</v>
      </c>
      <c r="B842" s="324" t="s">
        <v>29</v>
      </c>
      <c r="C842" s="320"/>
      <c r="D842" s="321" t="s">
        <v>1477</v>
      </c>
      <c r="E842" s="321" t="s">
        <v>1055</v>
      </c>
      <c r="F842" s="321" t="s">
        <v>863</v>
      </c>
    </row>
    <row r="843">
      <c r="A843" s="328" t="s">
        <v>963</v>
      </c>
      <c r="B843" s="324" t="s">
        <v>29</v>
      </c>
      <c r="C843" s="320"/>
      <c r="D843" s="321" t="s">
        <v>1387</v>
      </c>
      <c r="E843" s="321" t="s">
        <v>1055</v>
      </c>
      <c r="F843" s="321" t="s">
        <v>863</v>
      </c>
    </row>
    <row r="844">
      <c r="A844" s="328" t="s">
        <v>964</v>
      </c>
      <c r="B844" s="324" t="s">
        <v>29</v>
      </c>
      <c r="C844" s="320"/>
      <c r="D844" s="321" t="s">
        <v>1265</v>
      </c>
      <c r="E844" s="321"/>
      <c r="F844" s="321" t="s">
        <v>85</v>
      </c>
    </row>
    <row r="845">
      <c r="A845" s="328"/>
      <c r="B845" s="329"/>
      <c r="C845" s="320"/>
      <c r="D845" s="320"/>
      <c r="E845" s="320"/>
      <c r="F845" s="320"/>
    </row>
    <row r="846">
      <c r="A846" s="326"/>
      <c r="B846" s="330"/>
      <c r="C846" s="320"/>
      <c r="D846" s="320"/>
      <c r="E846" s="320"/>
      <c r="F846" s="320"/>
    </row>
    <row r="847">
      <c r="A847" s="325"/>
      <c r="B847" s="329"/>
      <c r="C847" s="320"/>
      <c r="D847" s="320"/>
      <c r="E847" s="320"/>
      <c r="F847" s="320"/>
    </row>
    <row r="848">
      <c r="A848" s="326"/>
      <c r="B848" s="330"/>
      <c r="C848" s="320"/>
      <c r="D848" s="320"/>
      <c r="E848" s="320"/>
      <c r="F848" s="320"/>
    </row>
    <row r="849">
      <c r="A849" s="325"/>
      <c r="B849" s="329"/>
      <c r="C849" s="320"/>
      <c r="D849" s="320"/>
      <c r="E849" s="320"/>
      <c r="F849" s="320"/>
    </row>
    <row r="850">
      <c r="A850" s="326"/>
      <c r="B850" s="330"/>
      <c r="C850" s="320"/>
      <c r="D850" s="320"/>
      <c r="E850" s="320"/>
      <c r="F850" s="320"/>
    </row>
    <row r="851">
      <c r="A851" s="325"/>
      <c r="B851" s="329"/>
      <c r="C851" s="320"/>
      <c r="D851" s="320"/>
      <c r="E851" s="320"/>
      <c r="F851" s="320"/>
    </row>
    <row r="852">
      <c r="A852" s="326"/>
      <c r="B852" s="330"/>
      <c r="C852" s="320"/>
      <c r="D852" s="320"/>
      <c r="E852" s="320"/>
      <c r="F852" s="320"/>
    </row>
    <row r="853">
      <c r="A853" s="325"/>
      <c r="B853" s="329"/>
      <c r="C853" s="320"/>
      <c r="D853" s="320"/>
      <c r="E853" s="320"/>
      <c r="F853" s="320"/>
    </row>
    <row r="854">
      <c r="A854" s="326"/>
      <c r="B854" s="330"/>
      <c r="C854" s="320"/>
      <c r="D854" s="320"/>
      <c r="E854" s="320"/>
      <c r="F854" s="320"/>
    </row>
    <row r="855">
      <c r="A855" s="325"/>
      <c r="B855" s="329"/>
      <c r="C855" s="320"/>
      <c r="D855" s="320"/>
      <c r="E855" s="320"/>
      <c r="F855" s="320"/>
    </row>
    <row r="856">
      <c r="A856" s="326"/>
      <c r="B856" s="330"/>
      <c r="C856" s="320"/>
      <c r="D856" s="320"/>
      <c r="E856" s="320"/>
      <c r="F856" s="320"/>
    </row>
    <row r="857">
      <c r="A857" s="325"/>
      <c r="B857" s="329"/>
      <c r="C857" s="320"/>
      <c r="D857" s="320"/>
      <c r="E857" s="320"/>
      <c r="F857" s="320"/>
    </row>
    <row r="858">
      <c r="A858" s="326"/>
      <c r="B858" s="330"/>
      <c r="C858" s="320"/>
      <c r="D858" s="320"/>
      <c r="E858" s="320"/>
      <c r="F858" s="320"/>
    </row>
    <row r="859">
      <c r="A859" s="325"/>
      <c r="B859" s="329"/>
      <c r="C859" s="320"/>
      <c r="D859" s="320"/>
      <c r="E859" s="320"/>
      <c r="F859" s="320"/>
    </row>
    <row r="860">
      <c r="A860" s="326"/>
      <c r="B860" s="330"/>
      <c r="C860" s="320"/>
      <c r="D860" s="320"/>
      <c r="E860" s="320"/>
      <c r="F860" s="320"/>
    </row>
    <row r="861">
      <c r="A861" s="325"/>
      <c r="B861" s="329"/>
      <c r="C861" s="320"/>
      <c r="D861" s="320"/>
      <c r="E861" s="320"/>
      <c r="F861" s="320"/>
    </row>
    <row r="862">
      <c r="A862" s="326"/>
      <c r="B862" s="330"/>
      <c r="C862" s="320"/>
      <c r="D862" s="320"/>
      <c r="E862" s="320"/>
      <c r="F862" s="320"/>
    </row>
    <row r="863">
      <c r="A863" s="325"/>
      <c r="B863" s="329"/>
      <c r="C863" s="320"/>
      <c r="D863" s="320"/>
      <c r="E863" s="320"/>
      <c r="F863" s="320"/>
    </row>
    <row r="864">
      <c r="A864" s="326"/>
      <c r="B864" s="330"/>
      <c r="C864" s="320"/>
      <c r="D864" s="320"/>
      <c r="E864" s="320"/>
      <c r="F864" s="320"/>
    </row>
    <row r="865">
      <c r="A865" s="325"/>
      <c r="B865" s="329"/>
      <c r="C865" s="320"/>
      <c r="D865" s="320"/>
      <c r="E865" s="320"/>
      <c r="F865" s="320"/>
    </row>
    <row r="866">
      <c r="A866" s="326"/>
      <c r="B866" s="330"/>
      <c r="C866" s="320"/>
      <c r="D866" s="320"/>
      <c r="E866" s="320"/>
      <c r="F866" s="320"/>
    </row>
    <row r="867">
      <c r="A867" s="325"/>
      <c r="B867" s="329"/>
      <c r="C867" s="320"/>
      <c r="D867" s="320"/>
      <c r="E867" s="320"/>
      <c r="F867" s="320"/>
    </row>
    <row r="868">
      <c r="A868" s="326"/>
      <c r="B868" s="330"/>
      <c r="C868" s="320"/>
      <c r="D868" s="320"/>
      <c r="E868" s="320"/>
      <c r="F868" s="320"/>
    </row>
    <row r="869">
      <c r="A869" s="325"/>
      <c r="B869" s="329"/>
      <c r="C869" s="320"/>
      <c r="D869" s="320"/>
      <c r="E869" s="320"/>
      <c r="F869" s="320"/>
    </row>
    <row r="870">
      <c r="A870" s="326"/>
      <c r="B870" s="330"/>
      <c r="C870" s="320"/>
      <c r="D870" s="320"/>
      <c r="E870" s="320"/>
      <c r="F870" s="320"/>
    </row>
    <row r="871">
      <c r="A871" s="325"/>
      <c r="B871" s="329"/>
      <c r="C871" s="320"/>
      <c r="D871" s="320"/>
      <c r="E871" s="320"/>
      <c r="F871" s="320"/>
    </row>
    <row r="872">
      <c r="A872" s="326"/>
      <c r="B872" s="330"/>
      <c r="C872" s="320"/>
      <c r="D872" s="320"/>
      <c r="E872" s="320"/>
      <c r="F872" s="320"/>
    </row>
    <row r="873">
      <c r="A873" s="325"/>
      <c r="B873" s="329"/>
      <c r="C873" s="320"/>
      <c r="D873" s="320"/>
      <c r="E873" s="320"/>
      <c r="F873" s="320"/>
    </row>
    <row r="874">
      <c r="A874" s="326"/>
      <c r="B874" s="330"/>
      <c r="C874" s="320"/>
      <c r="D874" s="320"/>
      <c r="E874" s="320"/>
      <c r="F874" s="320"/>
    </row>
    <row r="875">
      <c r="A875" s="325"/>
      <c r="B875" s="329"/>
      <c r="C875" s="320"/>
      <c r="D875" s="320"/>
      <c r="E875" s="320"/>
      <c r="F875" s="320"/>
    </row>
    <row r="876">
      <c r="A876" s="326"/>
      <c r="B876" s="330"/>
      <c r="C876" s="320"/>
      <c r="D876" s="320"/>
      <c r="E876" s="320"/>
      <c r="F876" s="320"/>
    </row>
    <row r="877">
      <c r="A877" s="325"/>
      <c r="B877" s="329"/>
      <c r="C877" s="320"/>
      <c r="D877" s="320"/>
      <c r="E877" s="320"/>
      <c r="F877" s="320"/>
    </row>
    <row r="878">
      <c r="A878" s="326"/>
      <c r="B878" s="330"/>
      <c r="C878" s="320"/>
      <c r="D878" s="320"/>
      <c r="E878" s="320"/>
      <c r="F878" s="320"/>
    </row>
    <row r="879">
      <c r="A879" s="325"/>
      <c r="B879" s="329"/>
      <c r="C879" s="320"/>
      <c r="D879" s="320"/>
      <c r="E879" s="320"/>
      <c r="F879" s="320"/>
    </row>
    <row r="880">
      <c r="A880" s="326"/>
      <c r="B880" s="330"/>
      <c r="C880" s="320"/>
      <c r="D880" s="320"/>
      <c r="E880" s="320"/>
      <c r="F880" s="320"/>
    </row>
    <row r="881">
      <c r="A881" s="325"/>
      <c r="B881" s="329"/>
      <c r="C881" s="320"/>
      <c r="D881" s="320"/>
      <c r="E881" s="320"/>
      <c r="F881" s="320"/>
    </row>
    <row r="882">
      <c r="A882" s="326"/>
      <c r="B882" s="330"/>
      <c r="C882" s="320"/>
      <c r="D882" s="320"/>
      <c r="E882" s="320"/>
      <c r="F882" s="320"/>
    </row>
    <row r="883">
      <c r="A883" s="325"/>
      <c r="B883" s="329"/>
      <c r="C883" s="320"/>
      <c r="D883" s="320"/>
      <c r="E883" s="320"/>
      <c r="F883" s="320"/>
    </row>
    <row r="884">
      <c r="A884" s="326"/>
      <c r="B884" s="330"/>
      <c r="C884" s="320"/>
      <c r="D884" s="320"/>
      <c r="E884" s="320"/>
      <c r="F884" s="320"/>
    </row>
    <row r="885">
      <c r="A885" s="325"/>
      <c r="B885" s="329"/>
      <c r="C885" s="320"/>
      <c r="D885" s="320"/>
      <c r="E885" s="320"/>
      <c r="F885" s="320"/>
    </row>
    <row r="886">
      <c r="A886" s="326"/>
      <c r="B886" s="330"/>
      <c r="C886" s="320"/>
      <c r="D886" s="320"/>
      <c r="E886" s="320"/>
      <c r="F886" s="320"/>
    </row>
    <row r="887">
      <c r="A887" s="325"/>
      <c r="B887" s="329"/>
      <c r="C887" s="320"/>
      <c r="D887" s="320"/>
      <c r="E887" s="320"/>
      <c r="F887" s="320"/>
    </row>
    <row r="888">
      <c r="A888" s="326"/>
      <c r="B888" s="330"/>
      <c r="C888" s="320"/>
      <c r="D888" s="320"/>
      <c r="E888" s="320"/>
      <c r="F888" s="320"/>
    </row>
    <row r="889">
      <c r="A889" s="325"/>
      <c r="B889" s="329"/>
      <c r="C889" s="320"/>
      <c r="D889" s="320"/>
      <c r="E889" s="320"/>
      <c r="F889" s="320"/>
    </row>
    <row r="890">
      <c r="A890" s="326"/>
      <c r="B890" s="330"/>
      <c r="C890" s="320"/>
      <c r="D890" s="320"/>
      <c r="E890" s="320"/>
      <c r="F890" s="320"/>
    </row>
    <row r="891">
      <c r="A891" s="325"/>
      <c r="B891" s="329"/>
      <c r="C891" s="320"/>
      <c r="D891" s="320"/>
      <c r="E891" s="320"/>
      <c r="F891" s="320"/>
    </row>
    <row r="892">
      <c r="A892" s="326"/>
      <c r="B892" s="330"/>
      <c r="C892" s="320"/>
      <c r="D892" s="320"/>
      <c r="E892" s="320"/>
      <c r="F892" s="320"/>
    </row>
    <row r="893">
      <c r="A893" s="325"/>
      <c r="B893" s="329"/>
      <c r="C893" s="320"/>
      <c r="D893" s="320"/>
      <c r="E893" s="320"/>
      <c r="F893" s="320"/>
    </row>
    <row r="894">
      <c r="A894" s="326"/>
      <c r="B894" s="330"/>
      <c r="C894" s="320"/>
      <c r="D894" s="320"/>
      <c r="E894" s="320"/>
      <c r="F894" s="320"/>
    </row>
    <row r="895">
      <c r="A895" s="325"/>
      <c r="B895" s="329"/>
      <c r="C895" s="320"/>
      <c r="D895" s="320"/>
      <c r="E895" s="320"/>
      <c r="F895" s="320"/>
    </row>
    <row r="896">
      <c r="A896" s="326"/>
      <c r="B896" s="330"/>
      <c r="C896" s="320"/>
      <c r="D896" s="320"/>
      <c r="E896" s="320"/>
      <c r="F896" s="320"/>
    </row>
    <row r="897">
      <c r="A897" s="325"/>
      <c r="B897" s="329"/>
      <c r="C897" s="320"/>
      <c r="D897" s="320"/>
      <c r="E897" s="320"/>
      <c r="F897" s="320"/>
    </row>
    <row r="898">
      <c r="A898" s="326"/>
      <c r="B898" s="330"/>
      <c r="C898" s="320"/>
      <c r="D898" s="320"/>
      <c r="E898" s="320"/>
      <c r="F898" s="320"/>
    </row>
    <row r="899">
      <c r="A899" s="325"/>
      <c r="B899" s="329"/>
      <c r="C899" s="320"/>
      <c r="D899" s="320"/>
      <c r="E899" s="320"/>
      <c r="F899" s="320"/>
    </row>
    <row r="900">
      <c r="A900" s="326"/>
      <c r="B900" s="330"/>
      <c r="C900" s="320"/>
      <c r="D900" s="320"/>
      <c r="E900" s="320"/>
      <c r="F900" s="320"/>
    </row>
    <row r="901">
      <c r="A901" s="325"/>
      <c r="B901" s="329"/>
      <c r="C901" s="320"/>
      <c r="D901" s="320"/>
      <c r="E901" s="320"/>
      <c r="F901" s="320"/>
    </row>
    <row r="902">
      <c r="A902" s="326"/>
      <c r="B902" s="330"/>
      <c r="C902" s="320"/>
      <c r="D902" s="320"/>
      <c r="E902" s="320"/>
      <c r="F902" s="320"/>
    </row>
    <row r="903">
      <c r="A903" s="325"/>
      <c r="B903" s="329"/>
      <c r="C903" s="320"/>
      <c r="D903" s="320"/>
      <c r="E903" s="320"/>
      <c r="F903" s="320"/>
    </row>
    <row r="904">
      <c r="A904" s="326"/>
      <c r="B904" s="330"/>
      <c r="C904" s="320"/>
      <c r="D904" s="320"/>
      <c r="E904" s="320"/>
      <c r="F904" s="320"/>
    </row>
    <row r="905">
      <c r="A905" s="325"/>
      <c r="B905" s="329"/>
      <c r="C905" s="320"/>
      <c r="D905" s="320"/>
      <c r="E905" s="320"/>
      <c r="F905" s="320"/>
    </row>
    <row r="906">
      <c r="A906" s="326"/>
      <c r="B906" s="330"/>
      <c r="C906" s="320"/>
      <c r="D906" s="320"/>
      <c r="E906" s="320"/>
      <c r="F906" s="320"/>
    </row>
    <row r="907">
      <c r="A907" s="325"/>
      <c r="B907" s="329"/>
      <c r="C907" s="320"/>
      <c r="D907" s="320"/>
      <c r="E907" s="320"/>
      <c r="F907" s="320"/>
    </row>
    <row r="908">
      <c r="A908" s="326"/>
      <c r="B908" s="330"/>
      <c r="C908" s="320"/>
      <c r="D908" s="320"/>
      <c r="E908" s="320"/>
      <c r="F908" s="320"/>
    </row>
    <row r="909">
      <c r="A909" s="325"/>
      <c r="B909" s="329"/>
      <c r="C909" s="320"/>
      <c r="D909" s="320"/>
      <c r="E909" s="320"/>
      <c r="F909" s="320"/>
    </row>
    <row r="910">
      <c r="A910" s="326"/>
      <c r="B910" s="330"/>
      <c r="C910" s="320"/>
      <c r="D910" s="320"/>
      <c r="E910" s="320"/>
      <c r="F910" s="320"/>
    </row>
    <row r="911">
      <c r="A911" s="325"/>
      <c r="B911" s="329"/>
      <c r="C911" s="320"/>
      <c r="D911" s="320"/>
      <c r="E911" s="320"/>
      <c r="F911" s="320"/>
    </row>
    <row r="912">
      <c r="A912" s="326"/>
      <c r="B912" s="330"/>
      <c r="C912" s="320"/>
      <c r="D912" s="320"/>
      <c r="E912" s="320"/>
      <c r="F912" s="320"/>
    </row>
    <row r="913">
      <c r="A913" s="325"/>
      <c r="B913" s="329"/>
      <c r="C913" s="320"/>
      <c r="D913" s="320"/>
      <c r="E913" s="320"/>
      <c r="F913" s="320"/>
    </row>
    <row r="914">
      <c r="A914" s="326"/>
      <c r="B914" s="330"/>
      <c r="C914" s="320"/>
      <c r="D914" s="320"/>
      <c r="E914" s="320"/>
      <c r="F914" s="320"/>
    </row>
    <row r="915">
      <c r="A915" s="325"/>
      <c r="B915" s="329"/>
      <c r="C915" s="320"/>
      <c r="D915" s="320"/>
      <c r="E915" s="320"/>
      <c r="F915" s="320"/>
    </row>
    <row r="916">
      <c r="A916" s="326"/>
      <c r="B916" s="330"/>
      <c r="C916" s="320"/>
      <c r="D916" s="320"/>
      <c r="E916" s="320"/>
      <c r="F916" s="320"/>
    </row>
    <row r="917">
      <c r="A917" s="325"/>
      <c r="B917" s="329"/>
      <c r="C917" s="320"/>
      <c r="D917" s="320"/>
      <c r="E917" s="320"/>
      <c r="F917" s="320"/>
    </row>
    <row r="918">
      <c r="A918" s="326"/>
      <c r="B918" s="330"/>
      <c r="C918" s="320"/>
      <c r="D918" s="320"/>
      <c r="E918" s="320"/>
      <c r="F918" s="320"/>
    </row>
    <row r="919">
      <c r="A919" s="325"/>
      <c r="B919" s="329"/>
      <c r="C919" s="320"/>
      <c r="D919" s="320"/>
      <c r="E919" s="320"/>
      <c r="F919" s="320"/>
    </row>
    <row r="920">
      <c r="A920" s="326"/>
      <c r="B920" s="330"/>
      <c r="C920" s="320"/>
      <c r="D920" s="320"/>
      <c r="E920" s="320"/>
      <c r="F920" s="320"/>
    </row>
    <row r="921">
      <c r="A921" s="325"/>
      <c r="B921" s="329"/>
      <c r="C921" s="320"/>
      <c r="D921" s="320"/>
      <c r="E921" s="320"/>
      <c r="F921" s="320"/>
    </row>
    <row r="922">
      <c r="A922" s="326"/>
      <c r="B922" s="330"/>
      <c r="C922" s="320"/>
      <c r="D922" s="320"/>
      <c r="E922" s="320"/>
      <c r="F922" s="320"/>
    </row>
    <row r="923">
      <c r="A923" s="325"/>
      <c r="B923" s="329"/>
      <c r="C923" s="320"/>
      <c r="D923" s="320"/>
      <c r="E923" s="320"/>
      <c r="F923" s="320"/>
    </row>
    <row r="924">
      <c r="A924" s="326"/>
      <c r="B924" s="330"/>
      <c r="C924" s="320"/>
      <c r="D924" s="320"/>
      <c r="E924" s="320"/>
      <c r="F924" s="320"/>
    </row>
    <row r="925">
      <c r="A925" s="325"/>
      <c r="B925" s="329"/>
      <c r="C925" s="320"/>
      <c r="D925" s="320"/>
      <c r="E925" s="320"/>
      <c r="F925" s="320"/>
    </row>
    <row r="926">
      <c r="A926" s="326"/>
      <c r="B926" s="330"/>
      <c r="C926" s="320"/>
      <c r="D926" s="320"/>
      <c r="E926" s="320"/>
      <c r="F926" s="320"/>
    </row>
    <row r="927">
      <c r="A927" s="325"/>
      <c r="B927" s="329"/>
      <c r="C927" s="320"/>
      <c r="D927" s="320"/>
      <c r="E927" s="320"/>
      <c r="F927" s="320"/>
    </row>
    <row r="928">
      <c r="A928" s="326"/>
      <c r="B928" s="330"/>
      <c r="C928" s="320"/>
      <c r="D928" s="320"/>
      <c r="E928" s="320"/>
      <c r="F928" s="320"/>
    </row>
    <row r="929">
      <c r="A929" s="325"/>
      <c r="B929" s="329"/>
      <c r="C929" s="320"/>
      <c r="D929" s="320"/>
      <c r="E929" s="320"/>
      <c r="F929" s="320"/>
    </row>
    <row r="930">
      <c r="A930" s="326"/>
      <c r="B930" s="330"/>
      <c r="C930" s="320"/>
      <c r="D930" s="320"/>
      <c r="E930" s="320"/>
      <c r="F930" s="320"/>
    </row>
    <row r="931">
      <c r="A931" s="325"/>
      <c r="B931" s="329"/>
      <c r="C931" s="320"/>
      <c r="D931" s="320"/>
      <c r="E931" s="320"/>
      <c r="F931" s="320"/>
    </row>
    <row r="932">
      <c r="A932" s="326"/>
      <c r="B932" s="330"/>
      <c r="C932" s="320"/>
      <c r="D932" s="320"/>
      <c r="E932" s="320"/>
      <c r="F932" s="320"/>
    </row>
    <row r="933">
      <c r="A933" s="325"/>
      <c r="B933" s="329"/>
      <c r="C933" s="320"/>
      <c r="D933" s="320"/>
      <c r="E933" s="320"/>
      <c r="F933" s="320"/>
    </row>
    <row r="934">
      <c r="A934" s="326"/>
      <c r="B934" s="330"/>
      <c r="C934" s="320"/>
      <c r="D934" s="320"/>
      <c r="E934" s="320"/>
      <c r="F934" s="320"/>
    </row>
    <row r="935">
      <c r="A935" s="325"/>
      <c r="B935" s="329"/>
      <c r="C935" s="320"/>
      <c r="D935" s="320"/>
      <c r="E935" s="320"/>
      <c r="F935" s="320"/>
    </row>
    <row r="936">
      <c r="A936" s="326"/>
      <c r="B936" s="330"/>
      <c r="C936" s="320"/>
      <c r="D936" s="320"/>
      <c r="E936" s="320"/>
      <c r="F936" s="320"/>
    </row>
    <row r="937">
      <c r="A937" s="325"/>
      <c r="B937" s="329"/>
      <c r="C937" s="320"/>
      <c r="D937" s="320"/>
      <c r="E937" s="320"/>
      <c r="F937" s="320"/>
    </row>
    <row r="938">
      <c r="A938" s="326"/>
      <c r="B938" s="330"/>
      <c r="C938" s="320"/>
      <c r="D938" s="320"/>
      <c r="E938" s="320"/>
      <c r="F938" s="320"/>
    </row>
    <row r="939">
      <c r="A939" s="325"/>
      <c r="B939" s="329"/>
      <c r="C939" s="320"/>
      <c r="D939" s="320"/>
      <c r="E939" s="320"/>
      <c r="F939" s="320"/>
    </row>
    <row r="940">
      <c r="A940" s="326"/>
      <c r="B940" s="330"/>
      <c r="C940" s="320"/>
      <c r="D940" s="320"/>
      <c r="E940" s="320"/>
      <c r="F940" s="320"/>
    </row>
    <row r="941">
      <c r="A941" s="325"/>
      <c r="B941" s="329"/>
      <c r="C941" s="320"/>
      <c r="D941" s="320"/>
      <c r="E941" s="320"/>
      <c r="F941" s="320"/>
    </row>
    <row r="942">
      <c r="A942" s="326"/>
      <c r="B942" s="330"/>
      <c r="C942" s="320"/>
      <c r="D942" s="320"/>
      <c r="E942" s="320"/>
      <c r="F942" s="320"/>
    </row>
    <row r="943">
      <c r="A943" s="325"/>
      <c r="B943" s="329"/>
      <c r="C943" s="320"/>
      <c r="D943" s="320"/>
      <c r="E943" s="320"/>
      <c r="F943" s="320"/>
    </row>
    <row r="944">
      <c r="A944" s="326"/>
      <c r="B944" s="330"/>
      <c r="C944" s="320"/>
      <c r="D944" s="320"/>
      <c r="E944" s="320"/>
      <c r="F944" s="320"/>
    </row>
    <row r="945">
      <c r="A945" s="325"/>
      <c r="B945" s="329"/>
      <c r="C945" s="320"/>
      <c r="D945" s="320"/>
      <c r="E945" s="320"/>
      <c r="F945" s="320"/>
    </row>
    <row r="946">
      <c r="A946" s="326"/>
      <c r="B946" s="330"/>
      <c r="C946" s="320"/>
      <c r="D946" s="320"/>
      <c r="E946" s="320"/>
      <c r="F946" s="320"/>
    </row>
    <row r="947">
      <c r="A947" s="325"/>
      <c r="B947" s="329"/>
      <c r="C947" s="320"/>
      <c r="D947" s="320"/>
      <c r="E947" s="320"/>
      <c r="F947" s="320"/>
    </row>
    <row r="948">
      <c r="A948" s="326"/>
      <c r="B948" s="330"/>
      <c r="C948" s="320"/>
      <c r="D948" s="320"/>
      <c r="E948" s="320"/>
      <c r="F948" s="320"/>
    </row>
    <row r="949">
      <c r="A949" s="325"/>
      <c r="B949" s="329"/>
      <c r="C949" s="320"/>
      <c r="D949" s="320"/>
      <c r="E949" s="320"/>
      <c r="F949" s="320"/>
    </row>
    <row r="950">
      <c r="A950" s="326"/>
      <c r="B950" s="330"/>
      <c r="C950" s="320"/>
      <c r="D950" s="320"/>
      <c r="E950" s="320"/>
      <c r="F950" s="320"/>
    </row>
    <row r="951">
      <c r="A951" s="325"/>
      <c r="B951" s="329"/>
      <c r="C951" s="320"/>
      <c r="D951" s="320"/>
      <c r="E951" s="320"/>
      <c r="F951" s="320"/>
    </row>
    <row r="952">
      <c r="A952" s="326"/>
      <c r="B952" s="330"/>
      <c r="C952" s="320"/>
      <c r="D952" s="320"/>
      <c r="E952" s="320"/>
      <c r="F952" s="320"/>
    </row>
    <row r="953">
      <c r="A953" s="325"/>
      <c r="B953" s="329"/>
      <c r="C953" s="320"/>
      <c r="D953" s="320"/>
      <c r="E953" s="320"/>
      <c r="F953" s="320"/>
    </row>
    <row r="954">
      <c r="A954" s="326"/>
      <c r="B954" s="330"/>
      <c r="C954" s="320"/>
      <c r="D954" s="320"/>
      <c r="E954" s="320"/>
      <c r="F954" s="320"/>
    </row>
    <row r="955">
      <c r="A955" s="325"/>
      <c r="B955" s="329"/>
      <c r="C955" s="320"/>
      <c r="D955" s="320"/>
      <c r="E955" s="320"/>
      <c r="F955" s="320"/>
    </row>
    <row r="956">
      <c r="A956" s="326"/>
      <c r="B956" s="330"/>
      <c r="C956" s="320"/>
      <c r="D956" s="320"/>
      <c r="E956" s="320"/>
      <c r="F956" s="320"/>
    </row>
    <row r="957">
      <c r="A957" s="325"/>
      <c r="B957" s="329"/>
      <c r="C957" s="320"/>
      <c r="D957" s="320"/>
      <c r="E957" s="320"/>
      <c r="F957" s="320"/>
    </row>
    <row r="958">
      <c r="A958" s="326"/>
      <c r="B958" s="330"/>
      <c r="C958" s="320"/>
      <c r="D958" s="320"/>
      <c r="E958" s="320"/>
      <c r="F958" s="320"/>
    </row>
    <row r="959">
      <c r="A959" s="325"/>
      <c r="B959" s="329"/>
      <c r="C959" s="320"/>
      <c r="D959" s="320"/>
      <c r="E959" s="320"/>
      <c r="F959" s="320"/>
    </row>
    <row r="960">
      <c r="A960" s="326"/>
      <c r="B960" s="330"/>
      <c r="C960" s="320"/>
      <c r="D960" s="320"/>
      <c r="E960" s="320"/>
      <c r="F960" s="320"/>
    </row>
    <row r="961">
      <c r="A961" s="325"/>
      <c r="B961" s="329"/>
      <c r="C961" s="320"/>
      <c r="D961" s="320"/>
      <c r="E961" s="320"/>
      <c r="F961" s="320"/>
    </row>
    <row r="962">
      <c r="A962" s="326"/>
      <c r="B962" s="330"/>
      <c r="C962" s="320"/>
      <c r="D962" s="320"/>
      <c r="E962" s="320"/>
      <c r="F962" s="320"/>
    </row>
    <row r="963">
      <c r="A963" s="325"/>
      <c r="B963" s="329"/>
      <c r="C963" s="320"/>
      <c r="D963" s="320"/>
      <c r="E963" s="320"/>
      <c r="F963" s="320"/>
    </row>
    <row r="964">
      <c r="A964" s="326"/>
      <c r="B964" s="330"/>
      <c r="C964" s="320"/>
      <c r="D964" s="320"/>
      <c r="E964" s="320"/>
      <c r="F964" s="320"/>
    </row>
    <row r="965">
      <c r="A965" s="325"/>
      <c r="B965" s="329"/>
      <c r="C965" s="320"/>
      <c r="D965" s="320"/>
      <c r="E965" s="320"/>
      <c r="F965" s="320"/>
    </row>
    <row r="966">
      <c r="A966" s="326"/>
      <c r="B966" s="330"/>
      <c r="C966" s="320"/>
      <c r="D966" s="320"/>
      <c r="E966" s="320"/>
      <c r="F966" s="320"/>
    </row>
    <row r="967">
      <c r="A967" s="325"/>
      <c r="B967" s="329"/>
      <c r="C967" s="320"/>
      <c r="D967" s="320"/>
      <c r="E967" s="320"/>
      <c r="F967" s="320"/>
    </row>
    <row r="968">
      <c r="A968" s="326"/>
      <c r="B968" s="330"/>
      <c r="C968" s="320"/>
      <c r="D968" s="320"/>
      <c r="E968" s="320"/>
      <c r="F968" s="320"/>
    </row>
    <row r="969">
      <c r="A969" s="325"/>
      <c r="B969" s="329"/>
      <c r="C969" s="320"/>
      <c r="D969" s="320"/>
      <c r="E969" s="320"/>
      <c r="F969" s="320"/>
    </row>
    <row r="970">
      <c r="A970" s="326"/>
      <c r="B970" s="330"/>
      <c r="C970" s="320"/>
      <c r="D970" s="320"/>
      <c r="E970" s="320"/>
      <c r="F970" s="320"/>
    </row>
    <row r="971">
      <c r="A971" s="325"/>
      <c r="B971" s="329"/>
      <c r="C971" s="320"/>
      <c r="D971" s="320"/>
      <c r="E971" s="320"/>
      <c r="F971" s="320"/>
    </row>
    <row r="972">
      <c r="A972" s="326"/>
      <c r="B972" s="330"/>
      <c r="C972" s="320"/>
      <c r="D972" s="320"/>
      <c r="E972" s="320"/>
      <c r="F972" s="320"/>
    </row>
    <row r="973">
      <c r="A973" s="325"/>
      <c r="B973" s="329"/>
      <c r="C973" s="320"/>
      <c r="D973" s="320"/>
      <c r="E973" s="320"/>
      <c r="F973" s="320"/>
    </row>
    <row r="974">
      <c r="A974" s="326"/>
      <c r="B974" s="330"/>
      <c r="C974" s="320"/>
      <c r="D974" s="320"/>
      <c r="E974" s="320"/>
      <c r="F974" s="320"/>
    </row>
    <row r="975">
      <c r="A975" s="325"/>
      <c r="B975" s="329"/>
      <c r="C975" s="320"/>
      <c r="D975" s="320"/>
      <c r="E975" s="320"/>
      <c r="F975" s="320"/>
    </row>
    <row r="976">
      <c r="A976" s="326"/>
      <c r="B976" s="330"/>
      <c r="C976" s="320"/>
      <c r="D976" s="320"/>
      <c r="E976" s="320"/>
      <c r="F976" s="320"/>
    </row>
    <row r="977">
      <c r="A977" s="325"/>
      <c r="B977" s="329"/>
      <c r="C977" s="320"/>
      <c r="D977" s="320"/>
      <c r="E977" s="320"/>
      <c r="F977" s="320"/>
    </row>
    <row r="978">
      <c r="A978" s="326"/>
      <c r="B978" s="330"/>
      <c r="C978" s="320"/>
      <c r="D978" s="320"/>
      <c r="E978" s="320"/>
      <c r="F978" s="320"/>
    </row>
    <row r="979">
      <c r="A979" s="325"/>
      <c r="B979" s="329"/>
      <c r="C979" s="320"/>
      <c r="D979" s="320"/>
      <c r="E979" s="320"/>
      <c r="F979" s="320"/>
    </row>
    <row r="980">
      <c r="A980" s="326"/>
      <c r="B980" s="330"/>
      <c r="C980" s="320"/>
      <c r="D980" s="320"/>
      <c r="E980" s="320"/>
      <c r="F980" s="320"/>
    </row>
    <row r="981">
      <c r="A981" s="325"/>
      <c r="B981" s="329"/>
      <c r="C981" s="320"/>
      <c r="D981" s="320"/>
      <c r="E981" s="320"/>
      <c r="F981" s="320"/>
    </row>
    <row r="982">
      <c r="A982" s="326"/>
      <c r="B982" s="330"/>
      <c r="C982" s="320"/>
      <c r="D982" s="320"/>
      <c r="E982" s="320"/>
      <c r="F982" s="320"/>
    </row>
    <row r="983">
      <c r="A983" s="325"/>
      <c r="B983" s="329"/>
      <c r="C983" s="320"/>
      <c r="D983" s="320"/>
      <c r="E983" s="320"/>
      <c r="F983" s="320"/>
    </row>
    <row r="984">
      <c r="A984" s="326"/>
      <c r="B984" s="330"/>
      <c r="C984" s="320"/>
      <c r="D984" s="320"/>
      <c r="E984" s="320"/>
      <c r="F984" s="320"/>
    </row>
    <row r="985">
      <c r="A985" s="325"/>
      <c r="B985" s="329"/>
      <c r="C985" s="320"/>
      <c r="D985" s="320"/>
      <c r="E985" s="320"/>
      <c r="F985" s="320"/>
    </row>
    <row r="986">
      <c r="A986" s="326"/>
      <c r="B986" s="330"/>
      <c r="C986" s="320"/>
      <c r="D986" s="320"/>
      <c r="E986" s="320"/>
      <c r="F986" s="320"/>
    </row>
    <row r="987">
      <c r="A987" s="325"/>
      <c r="B987" s="329"/>
      <c r="C987" s="320"/>
      <c r="D987" s="320"/>
      <c r="E987" s="320"/>
      <c r="F987" s="320"/>
    </row>
    <row r="988">
      <c r="A988" s="326"/>
      <c r="B988" s="330"/>
      <c r="C988" s="320"/>
      <c r="D988" s="320"/>
      <c r="E988" s="320"/>
      <c r="F988" s="320"/>
    </row>
    <row r="989">
      <c r="A989" s="325"/>
      <c r="B989" s="329"/>
      <c r="C989" s="320"/>
      <c r="D989" s="320"/>
      <c r="E989" s="320"/>
      <c r="F989" s="320"/>
    </row>
    <row r="990">
      <c r="A990" s="326"/>
      <c r="B990" s="330"/>
      <c r="C990" s="320"/>
      <c r="D990" s="320"/>
      <c r="E990" s="320"/>
      <c r="F990" s="320"/>
    </row>
    <row r="991">
      <c r="A991" s="325"/>
      <c r="B991" s="329"/>
      <c r="C991" s="320"/>
      <c r="D991" s="320"/>
      <c r="E991" s="320"/>
      <c r="F991" s="320"/>
    </row>
    <row r="992">
      <c r="A992" s="326"/>
      <c r="B992" s="330"/>
      <c r="C992" s="320"/>
      <c r="D992" s="320"/>
      <c r="E992" s="320"/>
      <c r="F992" s="320"/>
    </row>
    <row r="993">
      <c r="A993" s="325"/>
      <c r="B993" s="329"/>
      <c r="C993" s="320"/>
      <c r="D993" s="320"/>
      <c r="E993" s="320"/>
      <c r="F993" s="320"/>
    </row>
    <row r="994">
      <c r="A994" s="326"/>
      <c r="B994" s="330"/>
      <c r="C994" s="320"/>
      <c r="D994" s="320"/>
      <c r="E994" s="320"/>
      <c r="F994" s="320"/>
    </row>
    <row r="995">
      <c r="A995" s="325"/>
      <c r="B995" s="329"/>
      <c r="C995" s="320"/>
      <c r="D995" s="320"/>
      <c r="E995" s="320"/>
      <c r="F995" s="320"/>
    </row>
    <row r="996">
      <c r="A996" s="326"/>
      <c r="B996" s="330"/>
      <c r="C996" s="320"/>
      <c r="D996" s="320"/>
      <c r="E996" s="320"/>
      <c r="F996" s="320"/>
    </row>
    <row r="997">
      <c r="A997" s="325"/>
      <c r="B997" s="329"/>
      <c r="C997" s="320"/>
      <c r="D997" s="320"/>
      <c r="E997" s="320"/>
      <c r="F997" s="320"/>
    </row>
    <row r="998">
      <c r="A998" s="326"/>
      <c r="B998" s="330"/>
      <c r="C998" s="320"/>
      <c r="D998" s="320"/>
      <c r="E998" s="320"/>
      <c r="F998" s="320"/>
    </row>
    <row r="999">
      <c r="A999" s="325"/>
      <c r="B999" s="329"/>
      <c r="C999" s="320"/>
      <c r="D999" s="320"/>
      <c r="E999" s="320"/>
      <c r="F999" s="320"/>
    </row>
    <row r="1000">
      <c r="A1000" s="326"/>
      <c r="B1000" s="330"/>
      <c r="C1000" s="320"/>
      <c r="D1000" s="320"/>
      <c r="E1000" s="320"/>
      <c r="F1000" s="320"/>
    </row>
    <row r="1001">
      <c r="A1001" s="325"/>
      <c r="B1001" s="329"/>
      <c r="C1001" s="320"/>
      <c r="D1001" s="320"/>
      <c r="E1001" s="320"/>
      <c r="F1001" s="320"/>
    </row>
    <row r="1002">
      <c r="A1002" s="326"/>
      <c r="B1002" s="330"/>
      <c r="C1002" s="320"/>
      <c r="D1002" s="320"/>
      <c r="E1002" s="320"/>
      <c r="F1002" s="320"/>
    </row>
    <row r="1003">
      <c r="A1003" s="325"/>
      <c r="B1003" s="329"/>
      <c r="C1003" s="320"/>
      <c r="D1003" s="320"/>
      <c r="E1003" s="320"/>
      <c r="F1003" s="320"/>
    </row>
    <row r="1004">
      <c r="A1004" s="326"/>
      <c r="B1004" s="330"/>
      <c r="C1004" s="320"/>
      <c r="D1004" s="320"/>
      <c r="E1004" s="320"/>
      <c r="F1004" s="320"/>
    </row>
    <row r="1005">
      <c r="A1005" s="325"/>
      <c r="B1005" s="329"/>
      <c r="C1005" s="320"/>
      <c r="D1005" s="320"/>
      <c r="E1005" s="320"/>
      <c r="F1005" s="320"/>
    </row>
    <row r="1006">
      <c r="A1006" s="326"/>
      <c r="B1006" s="330"/>
      <c r="C1006" s="320"/>
      <c r="D1006" s="320"/>
      <c r="E1006" s="320"/>
      <c r="F1006" s="320"/>
    </row>
    <row r="1007">
      <c r="A1007" s="325"/>
      <c r="B1007" s="329"/>
      <c r="C1007" s="320"/>
      <c r="D1007" s="320"/>
      <c r="E1007" s="320"/>
      <c r="F1007" s="320"/>
    </row>
    <row r="1008">
      <c r="A1008" s="326"/>
      <c r="B1008" s="330"/>
      <c r="C1008" s="320"/>
      <c r="D1008" s="320"/>
      <c r="E1008" s="320"/>
      <c r="F1008" s="320"/>
    </row>
    <row r="1009">
      <c r="A1009" s="325"/>
      <c r="B1009" s="329"/>
      <c r="C1009" s="320"/>
      <c r="D1009" s="320"/>
      <c r="E1009" s="320"/>
      <c r="F1009" s="320"/>
    </row>
    <row r="1010">
      <c r="A1010" s="326"/>
      <c r="B1010" s="330"/>
      <c r="C1010" s="320"/>
      <c r="D1010" s="320"/>
      <c r="E1010" s="320"/>
      <c r="F1010" s="320"/>
    </row>
    <row r="1011">
      <c r="A1011" s="325"/>
      <c r="B1011" s="329"/>
      <c r="C1011" s="320"/>
      <c r="D1011" s="320"/>
      <c r="E1011" s="320"/>
      <c r="F1011" s="320"/>
    </row>
    <row r="1012">
      <c r="A1012" s="326"/>
      <c r="B1012" s="330"/>
      <c r="C1012" s="320"/>
      <c r="D1012" s="320"/>
      <c r="E1012" s="320"/>
      <c r="F1012" s="320"/>
    </row>
    <row r="1013">
      <c r="A1013" s="325"/>
      <c r="B1013" s="329"/>
      <c r="C1013" s="320"/>
      <c r="D1013" s="320"/>
      <c r="E1013" s="320"/>
      <c r="F1013" s="320"/>
    </row>
    <row r="1014">
      <c r="A1014" s="326"/>
      <c r="B1014" s="330"/>
      <c r="C1014" s="320"/>
      <c r="D1014" s="320"/>
      <c r="E1014" s="320"/>
      <c r="F1014" s="320"/>
    </row>
    <row r="1015">
      <c r="A1015" s="325"/>
      <c r="B1015" s="329"/>
      <c r="C1015" s="320"/>
      <c r="D1015" s="320"/>
      <c r="E1015" s="320"/>
      <c r="F1015" s="320"/>
    </row>
    <row r="1016">
      <c r="A1016" s="326"/>
      <c r="B1016" s="330"/>
      <c r="C1016" s="320"/>
      <c r="D1016" s="320"/>
      <c r="E1016" s="320"/>
      <c r="F1016" s="320"/>
    </row>
    <row r="1017">
      <c r="A1017" s="325"/>
      <c r="B1017" s="329"/>
      <c r="C1017" s="320"/>
      <c r="D1017" s="320"/>
      <c r="E1017" s="320"/>
      <c r="F1017" s="320"/>
    </row>
    <row r="1018">
      <c r="A1018" s="326"/>
      <c r="B1018" s="330"/>
      <c r="C1018" s="320"/>
      <c r="D1018" s="320"/>
      <c r="E1018" s="320"/>
      <c r="F1018" s="320"/>
    </row>
    <row r="1019">
      <c r="A1019" s="325"/>
      <c r="B1019" s="329"/>
      <c r="C1019" s="320"/>
      <c r="D1019" s="320"/>
      <c r="E1019" s="320"/>
      <c r="F1019" s="320"/>
    </row>
    <row r="1020">
      <c r="A1020" s="326"/>
      <c r="B1020" s="330"/>
      <c r="C1020" s="320"/>
      <c r="D1020" s="320"/>
      <c r="E1020" s="320"/>
      <c r="F1020" s="320"/>
    </row>
    <row r="1021">
      <c r="A1021" s="325"/>
      <c r="B1021" s="329"/>
      <c r="C1021" s="320"/>
      <c r="D1021" s="320"/>
      <c r="E1021" s="320"/>
      <c r="F1021" s="320"/>
    </row>
    <row r="1022">
      <c r="A1022" s="326"/>
      <c r="B1022" s="330"/>
      <c r="C1022" s="320"/>
      <c r="D1022" s="320"/>
      <c r="E1022" s="320"/>
      <c r="F1022" s="320"/>
    </row>
    <row r="1023">
      <c r="A1023" s="325"/>
      <c r="B1023" s="329"/>
      <c r="C1023" s="320"/>
      <c r="D1023" s="320"/>
      <c r="E1023" s="320"/>
      <c r="F1023" s="320"/>
    </row>
    <row r="1024">
      <c r="A1024" s="326"/>
      <c r="B1024" s="330"/>
      <c r="C1024" s="320"/>
      <c r="D1024" s="320"/>
      <c r="E1024" s="320"/>
      <c r="F1024" s="320"/>
    </row>
    <row r="1025">
      <c r="A1025" s="325"/>
      <c r="B1025" s="329"/>
      <c r="C1025" s="320"/>
      <c r="D1025" s="320"/>
      <c r="E1025" s="320"/>
      <c r="F1025" s="320"/>
    </row>
    <row r="1026">
      <c r="A1026" s="326"/>
      <c r="B1026" s="330"/>
      <c r="C1026" s="320"/>
      <c r="D1026" s="320"/>
      <c r="E1026" s="320"/>
      <c r="F1026" s="320"/>
    </row>
    <row r="1027">
      <c r="A1027" s="325"/>
      <c r="B1027" s="329"/>
      <c r="C1027" s="320"/>
      <c r="D1027" s="320"/>
      <c r="E1027" s="320"/>
      <c r="F1027" s="320"/>
    </row>
    <row r="1028">
      <c r="A1028" s="326"/>
      <c r="B1028" s="330"/>
      <c r="C1028" s="320"/>
      <c r="D1028" s="320"/>
      <c r="E1028" s="320"/>
      <c r="F1028" s="320"/>
    </row>
    <row r="1029">
      <c r="A1029" s="325"/>
      <c r="B1029" s="329"/>
      <c r="C1029" s="320"/>
      <c r="D1029" s="320"/>
      <c r="E1029" s="320"/>
      <c r="F1029" s="320"/>
    </row>
    <row r="1030">
      <c r="A1030" s="326"/>
      <c r="B1030" s="330"/>
      <c r="C1030" s="320"/>
      <c r="D1030" s="320"/>
      <c r="E1030" s="320"/>
      <c r="F1030" s="320"/>
    </row>
    <row r="1031">
      <c r="A1031" s="325"/>
      <c r="B1031" s="329"/>
      <c r="C1031" s="320"/>
      <c r="D1031" s="320"/>
      <c r="E1031" s="320"/>
      <c r="F1031" s="320"/>
    </row>
    <row r="1032">
      <c r="A1032" s="326"/>
      <c r="B1032" s="330"/>
      <c r="C1032" s="320"/>
      <c r="D1032" s="320"/>
      <c r="E1032" s="320"/>
      <c r="F1032" s="320"/>
    </row>
    <row r="1033">
      <c r="A1033" s="325"/>
      <c r="B1033" s="329"/>
      <c r="C1033" s="320"/>
      <c r="D1033" s="320"/>
      <c r="E1033" s="320"/>
      <c r="F1033" s="320"/>
    </row>
  </sheetData>
  <dataValidations>
    <dataValidation type="list" allowBlank="1" showErrorMessage="1" sqref="C10:C844">
      <formula1>'language&amp;DataTest'!$A$24:$A$27</formula1>
    </dataValidation>
    <dataValidation type="list" allowBlank="1" showErrorMessage="1" sqref="B10:B291 B293:B295 B345:B844">
      <formula1>"A1 035,A1 094,A1 128,A1a 031,A2 049,A2 119,A2a 070,A2b 043,SRC 001,SRC 002,SRC 003,SRC 004,SRC 005"</formula1>
    </dataValidation>
    <dataValidation type="list" allowBlank="1" showErrorMessage="1" sqref="B292 B296:B344">
      <formula1>"A1 035,A1 094,A1 128,SRC 000,SRC 001,SRC 002,SRC 003,SRC 004,SRC 005,SRC 006,SRC 007"</formula1>
    </dataValidation>
    <dataValidation type="list" allowBlank="1" showErrorMessage="1" sqref="D2:D9">
      <formula1>'language&amp;DataTest'!$A$3:$A$10</formula1>
    </dataValidation>
    <dataValidation type="list" allowBlank="1" showErrorMessage="1" sqref="D10:D294 D296:D844">
      <formula1>'language&amp;DataTest'!$A$32:$A$1106</formula1>
    </dataValidation>
    <dataValidation type="list" allowBlank="1" showErrorMessage="1" sqref="E10:E844">
      <formula1>'language&amp;DataTest'!$A$29:$A$30</formula1>
    </dataValidation>
    <dataValidation type="list" allowBlank="1" showErrorMessage="1" sqref="D295">
      <formula1>'language&amp;DataTest'!$A$32:$A$243</formula1>
    </dataValidation>
    <dataValidation type="list" allowBlank="1" showErrorMessage="1" sqref="F10:F295 F345:F844">
      <formula1>'language&amp;DataTest'!$A$12:$A$22</formula1>
    </dataValidation>
  </dataValidations>
  <drawing r:id="rId1"/>
  <tableParts count="1">
    <tablePart r:id="rId3"/>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13"/>
    <col customWidth="1" min="2" max="2" width="20.5"/>
    <col customWidth="1" min="3" max="3" width="19.38"/>
    <col customWidth="1" min="4" max="4" width="21.25"/>
    <col customWidth="1" min="5" max="5" width="20.5"/>
    <col customWidth="1" min="6" max="6" width="24.38"/>
    <col customWidth="1" min="7" max="7" width="24.13"/>
    <col customWidth="1" min="8" max="9" width="23.88"/>
  </cols>
  <sheetData>
    <row r="1">
      <c r="A1" s="317" t="s">
        <v>11</v>
      </c>
      <c r="B1" s="317" t="s">
        <v>1502</v>
      </c>
      <c r="C1" s="317" t="s">
        <v>1503</v>
      </c>
      <c r="D1" s="317" t="s">
        <v>1504</v>
      </c>
      <c r="E1" s="317" t="s">
        <v>1505</v>
      </c>
      <c r="F1" s="317" t="s">
        <v>1506</v>
      </c>
      <c r="G1" s="317" t="s">
        <v>1507</v>
      </c>
      <c r="H1" s="331" t="s">
        <v>1508</v>
      </c>
      <c r="I1" s="331"/>
    </row>
    <row r="2">
      <c r="A2" s="332" t="s">
        <v>1509</v>
      </c>
      <c r="B2" s="333"/>
      <c r="C2" s="333"/>
      <c r="D2" s="333"/>
      <c r="E2" s="333"/>
      <c r="F2" s="333"/>
      <c r="G2" s="333"/>
      <c r="H2" s="333"/>
      <c r="I2" s="333"/>
    </row>
    <row r="3">
      <c r="A3" s="329" t="s">
        <v>1038</v>
      </c>
      <c r="B3" s="329" t="s">
        <v>1038</v>
      </c>
      <c r="C3" s="329" t="s">
        <v>1038</v>
      </c>
      <c r="D3" s="329" t="s">
        <v>1038</v>
      </c>
      <c r="E3" s="329" t="s">
        <v>1038</v>
      </c>
      <c r="F3" s="329" t="s">
        <v>1038</v>
      </c>
      <c r="G3" s="329" t="s">
        <v>1038</v>
      </c>
      <c r="H3" s="330" t="s">
        <v>1038</v>
      </c>
      <c r="I3" s="330"/>
    </row>
    <row r="4">
      <c r="A4" s="330" t="s">
        <v>1040</v>
      </c>
      <c r="B4" s="330" t="s">
        <v>1510</v>
      </c>
      <c r="C4" s="321" t="s">
        <v>1511</v>
      </c>
      <c r="D4" s="321" t="s">
        <v>1512</v>
      </c>
      <c r="E4" s="321" t="s">
        <v>1513</v>
      </c>
      <c r="F4" s="321" t="s">
        <v>1514</v>
      </c>
      <c r="G4" s="321" t="s">
        <v>1515</v>
      </c>
      <c r="H4" s="334" t="s">
        <v>1516</v>
      </c>
      <c r="I4" s="334"/>
    </row>
    <row r="5">
      <c r="A5" s="230" t="s">
        <v>1042</v>
      </c>
      <c r="B5" s="230" t="s">
        <v>1517</v>
      </c>
      <c r="C5" s="321" t="s">
        <v>1518</v>
      </c>
      <c r="D5" s="321" t="s">
        <v>1519</v>
      </c>
      <c r="E5" s="321" t="s">
        <v>1520</v>
      </c>
      <c r="F5" s="321" t="s">
        <v>1521</v>
      </c>
      <c r="G5" s="321" t="s">
        <v>1522</v>
      </c>
      <c r="H5" s="335" t="s">
        <v>1523</v>
      </c>
      <c r="I5" s="335"/>
    </row>
    <row r="6">
      <c r="A6" s="230" t="s">
        <v>1044</v>
      </c>
      <c r="B6" s="230" t="s">
        <v>1524</v>
      </c>
      <c r="C6" s="321" t="s">
        <v>1525</v>
      </c>
      <c r="D6" s="321" t="s">
        <v>1526</v>
      </c>
      <c r="E6" s="321" t="s">
        <v>1527</v>
      </c>
      <c r="F6" s="321" t="s">
        <v>1528</v>
      </c>
      <c r="G6" s="321" t="s">
        <v>1529</v>
      </c>
      <c r="H6" s="334" t="s">
        <v>1530</v>
      </c>
      <c r="I6" s="334"/>
    </row>
    <row r="7">
      <c r="A7" s="330" t="s">
        <v>1030</v>
      </c>
      <c r="B7" s="330" t="s">
        <v>1531</v>
      </c>
      <c r="C7" s="321" t="s">
        <v>1532</v>
      </c>
      <c r="D7" s="321" t="s">
        <v>1533</v>
      </c>
      <c r="E7" s="321" t="s">
        <v>1030</v>
      </c>
      <c r="F7" s="321" t="s">
        <v>1534</v>
      </c>
      <c r="G7" s="321" t="s">
        <v>1535</v>
      </c>
      <c r="H7" s="335" t="s">
        <v>1536</v>
      </c>
      <c r="I7" s="335"/>
    </row>
    <row r="8">
      <c r="A8" s="329" t="s">
        <v>1047</v>
      </c>
      <c r="B8" s="329" t="s">
        <v>1537</v>
      </c>
      <c r="C8" s="321" t="s">
        <v>1538</v>
      </c>
      <c r="D8" s="321" t="s">
        <v>1539</v>
      </c>
      <c r="E8" s="321" t="s">
        <v>1540</v>
      </c>
      <c r="F8" s="321" t="s">
        <v>1541</v>
      </c>
      <c r="G8" s="321" t="s">
        <v>1542</v>
      </c>
      <c r="H8" s="334" t="s">
        <v>1543</v>
      </c>
      <c r="I8" s="334"/>
    </row>
    <row r="9">
      <c r="A9" s="330" t="s">
        <v>1049</v>
      </c>
      <c r="B9" s="330" t="s">
        <v>1544</v>
      </c>
      <c r="C9" s="321" t="s">
        <v>1545</v>
      </c>
      <c r="D9" s="321" t="s">
        <v>1546</v>
      </c>
      <c r="E9" s="321" t="s">
        <v>1547</v>
      </c>
      <c r="F9" s="321" t="s">
        <v>1548</v>
      </c>
      <c r="G9" s="321" t="s">
        <v>1549</v>
      </c>
      <c r="H9" s="335" t="s">
        <v>1550</v>
      </c>
      <c r="I9" s="335"/>
    </row>
    <row r="10">
      <c r="A10" s="124" t="s">
        <v>1051</v>
      </c>
      <c r="B10" s="124" t="s">
        <v>1551</v>
      </c>
      <c r="C10" s="321" t="s">
        <v>1552</v>
      </c>
      <c r="D10" s="321" t="s">
        <v>1553</v>
      </c>
      <c r="E10" s="321" t="s">
        <v>1554</v>
      </c>
      <c r="F10" s="321" t="s">
        <v>1555</v>
      </c>
      <c r="G10" s="321" t="s">
        <v>1556</v>
      </c>
      <c r="H10" s="230" t="s">
        <v>1557</v>
      </c>
      <c r="I10" s="334"/>
    </row>
    <row r="11">
      <c r="A11" s="332" t="s">
        <v>1558</v>
      </c>
      <c r="B11" s="333"/>
      <c r="C11" s="333"/>
      <c r="D11" s="333"/>
      <c r="E11" s="333"/>
      <c r="F11" s="333"/>
      <c r="G11" s="333"/>
      <c r="H11" s="333"/>
      <c r="I11" s="333"/>
    </row>
    <row r="12">
      <c r="A12" s="330"/>
      <c r="B12" s="330"/>
      <c r="C12" s="320"/>
      <c r="D12" s="320"/>
      <c r="E12" s="320"/>
      <c r="F12" s="320"/>
      <c r="G12" s="320"/>
      <c r="H12" s="329"/>
      <c r="I12" s="329"/>
    </row>
    <row r="13">
      <c r="A13" s="336" t="s">
        <v>71</v>
      </c>
      <c r="B13" s="330"/>
      <c r="C13" s="320"/>
      <c r="D13" s="320"/>
      <c r="E13" s="320"/>
      <c r="F13" s="320"/>
      <c r="G13" s="320"/>
      <c r="H13" s="330"/>
      <c r="I13" s="330"/>
    </row>
    <row r="14">
      <c r="A14" s="336" t="s">
        <v>73</v>
      </c>
      <c r="B14" s="330"/>
      <c r="C14" s="320"/>
      <c r="D14" s="320"/>
      <c r="E14" s="320"/>
      <c r="F14" s="320"/>
      <c r="G14" s="320"/>
      <c r="H14" s="329"/>
      <c r="I14" s="329"/>
    </row>
    <row r="15">
      <c r="A15" s="336" t="s">
        <v>75</v>
      </c>
      <c r="B15" s="330"/>
      <c r="C15" s="320"/>
      <c r="D15" s="320"/>
      <c r="E15" s="320"/>
      <c r="F15" s="320"/>
      <c r="G15" s="320"/>
      <c r="H15" s="330"/>
      <c r="I15" s="330"/>
    </row>
    <row r="16">
      <c r="A16" s="336" t="s">
        <v>77</v>
      </c>
      <c r="B16" s="330"/>
      <c r="C16" s="320"/>
      <c r="D16" s="320"/>
      <c r="E16" s="320"/>
      <c r="F16" s="320"/>
      <c r="G16" s="320"/>
      <c r="H16" s="329"/>
      <c r="I16" s="329"/>
    </row>
    <row r="17">
      <c r="A17" s="336" t="s">
        <v>79</v>
      </c>
      <c r="B17" s="330"/>
      <c r="C17" s="320"/>
      <c r="D17" s="320"/>
      <c r="E17" s="320"/>
      <c r="F17" s="320"/>
      <c r="G17" s="320"/>
      <c r="H17" s="330"/>
      <c r="I17" s="330"/>
    </row>
    <row r="18">
      <c r="A18" s="336" t="s">
        <v>81</v>
      </c>
      <c r="B18" s="330"/>
      <c r="C18" s="320"/>
      <c r="D18" s="320"/>
      <c r="E18" s="320"/>
      <c r="F18" s="320"/>
      <c r="G18" s="320"/>
      <c r="H18" s="329"/>
      <c r="I18" s="329"/>
    </row>
    <row r="19">
      <c r="A19" s="336" t="s">
        <v>83</v>
      </c>
      <c r="B19" s="330"/>
      <c r="C19" s="320"/>
      <c r="D19" s="320"/>
      <c r="E19" s="320"/>
      <c r="F19" s="320"/>
      <c r="G19" s="320"/>
      <c r="H19" s="330"/>
      <c r="I19" s="330"/>
    </row>
    <row r="20">
      <c r="A20" s="336" t="s">
        <v>861</v>
      </c>
      <c r="B20" s="330"/>
      <c r="C20" s="320"/>
      <c r="D20" s="320"/>
      <c r="E20" s="320"/>
      <c r="F20" s="320"/>
      <c r="G20" s="320"/>
      <c r="H20" s="330"/>
      <c r="I20" s="330"/>
    </row>
    <row r="21">
      <c r="A21" s="336" t="s">
        <v>863</v>
      </c>
      <c r="B21" s="330"/>
      <c r="C21" s="320"/>
      <c r="D21" s="320"/>
      <c r="E21" s="320"/>
      <c r="F21" s="320"/>
      <c r="G21" s="320"/>
      <c r="H21" s="330"/>
      <c r="I21" s="330"/>
    </row>
    <row r="22">
      <c r="A22" s="336" t="s">
        <v>85</v>
      </c>
      <c r="B22" s="330"/>
      <c r="C22" s="320"/>
      <c r="D22" s="320"/>
      <c r="E22" s="320"/>
      <c r="F22" s="320"/>
      <c r="G22" s="320"/>
      <c r="H22" s="329"/>
      <c r="I22" s="329"/>
    </row>
    <row r="23">
      <c r="A23" s="332" t="s">
        <v>1559</v>
      </c>
      <c r="B23" s="333"/>
      <c r="C23" s="333"/>
      <c r="D23" s="333"/>
      <c r="E23" s="333"/>
      <c r="F23" s="333"/>
      <c r="G23" s="333"/>
      <c r="H23" s="333"/>
      <c r="I23" s="333"/>
    </row>
    <row r="24">
      <c r="A24" s="329"/>
      <c r="B24" s="329"/>
      <c r="C24" s="320"/>
      <c r="D24" s="320"/>
      <c r="E24" s="320"/>
      <c r="F24" s="320"/>
      <c r="G24" s="320"/>
      <c r="H24" s="329"/>
      <c r="I24" s="329"/>
    </row>
    <row r="25">
      <c r="A25" s="230" t="s">
        <v>1560</v>
      </c>
      <c r="B25" s="230" t="s">
        <v>1561</v>
      </c>
      <c r="C25" s="230" t="s">
        <v>1562</v>
      </c>
      <c r="D25" s="230" t="s">
        <v>1563</v>
      </c>
      <c r="E25" s="230" t="s">
        <v>1564</v>
      </c>
      <c r="F25" s="230" t="s">
        <v>1565</v>
      </c>
      <c r="G25" s="230" t="s">
        <v>1566</v>
      </c>
      <c r="H25" s="336" t="s">
        <v>1567</v>
      </c>
      <c r="I25" s="336"/>
    </row>
    <row r="26">
      <c r="A26" s="230" t="s">
        <v>1568</v>
      </c>
      <c r="B26" s="230" t="s">
        <v>1569</v>
      </c>
      <c r="C26" s="230"/>
      <c r="D26" s="230"/>
      <c r="E26" s="230" t="s">
        <v>1570</v>
      </c>
      <c r="F26" s="230"/>
      <c r="G26" s="230"/>
      <c r="H26" s="330" t="s">
        <v>1571</v>
      </c>
      <c r="I26" s="330"/>
    </row>
    <row r="27">
      <c r="A27" s="124" t="s">
        <v>1485</v>
      </c>
      <c r="B27" s="124" t="s">
        <v>1572</v>
      </c>
      <c r="C27" s="124" t="s">
        <v>1573</v>
      </c>
      <c r="D27" s="124" t="s">
        <v>1574</v>
      </c>
      <c r="E27" s="124" t="s">
        <v>1575</v>
      </c>
      <c r="F27" s="124" t="s">
        <v>1576</v>
      </c>
      <c r="G27" s="124" t="s">
        <v>1577</v>
      </c>
      <c r="H27" s="124" t="s">
        <v>1576</v>
      </c>
    </row>
    <row r="28">
      <c r="A28" s="332" t="s">
        <v>1578</v>
      </c>
      <c r="B28" s="333"/>
      <c r="C28" s="333"/>
      <c r="D28" s="333"/>
      <c r="E28" s="333"/>
      <c r="F28" s="333"/>
      <c r="G28" s="333"/>
      <c r="H28" s="333"/>
      <c r="I28" s="333"/>
    </row>
    <row r="29">
      <c r="A29" s="329"/>
      <c r="B29" s="329"/>
      <c r="C29" s="320"/>
      <c r="D29" s="320"/>
      <c r="E29" s="320"/>
      <c r="F29" s="320"/>
      <c r="G29" s="320"/>
      <c r="H29" s="330"/>
      <c r="I29" s="330"/>
    </row>
    <row r="30">
      <c r="A30" s="230" t="s">
        <v>1055</v>
      </c>
      <c r="B30" s="230" t="s">
        <v>1055</v>
      </c>
      <c r="C30" s="230" t="s">
        <v>1055</v>
      </c>
      <c r="D30" s="230" t="s">
        <v>1055</v>
      </c>
      <c r="E30" s="230" t="s">
        <v>1055</v>
      </c>
      <c r="F30" s="230" t="s">
        <v>1055</v>
      </c>
      <c r="G30" s="230" t="s">
        <v>1055</v>
      </c>
      <c r="H30" s="334" t="s">
        <v>1055</v>
      </c>
      <c r="I30" s="334"/>
    </row>
    <row r="31">
      <c r="A31" s="332" t="s">
        <v>1579</v>
      </c>
      <c r="B31" s="333"/>
      <c r="C31" s="333"/>
      <c r="D31" s="333"/>
      <c r="E31" s="333"/>
      <c r="F31" s="333"/>
      <c r="G31" s="333"/>
      <c r="H31" s="333"/>
      <c r="I31" s="333"/>
    </row>
    <row r="32">
      <c r="A32" s="329"/>
      <c r="B32" s="329"/>
      <c r="C32" s="320"/>
      <c r="D32" s="320"/>
      <c r="E32" s="320"/>
      <c r="F32" s="320"/>
      <c r="G32" s="320"/>
      <c r="H32" s="329"/>
      <c r="I32" s="329"/>
    </row>
    <row r="33">
      <c r="A33" s="321" t="s">
        <v>1052</v>
      </c>
      <c r="B33" s="124" t="s">
        <v>1580</v>
      </c>
      <c r="C33" s="321" t="s">
        <v>1581</v>
      </c>
      <c r="D33" s="321" t="s">
        <v>1582</v>
      </c>
      <c r="E33" s="321" t="s">
        <v>1583</v>
      </c>
      <c r="F33" s="321" t="s">
        <v>1052</v>
      </c>
      <c r="G33" s="321" t="s">
        <v>1052</v>
      </c>
      <c r="H33" s="335" t="s">
        <v>1052</v>
      </c>
      <c r="I33" s="335"/>
    </row>
    <row r="34">
      <c r="A34" s="321" t="s">
        <v>1053</v>
      </c>
      <c r="B34" s="124" t="s">
        <v>1584</v>
      </c>
      <c r="C34" s="321" t="s">
        <v>1585</v>
      </c>
      <c r="D34" s="321" t="s">
        <v>1586</v>
      </c>
      <c r="E34" s="321" t="s">
        <v>1587</v>
      </c>
      <c r="F34" s="321" t="s">
        <v>1053</v>
      </c>
      <c r="G34" s="321" t="s">
        <v>1053</v>
      </c>
      <c r="H34" s="334" t="s">
        <v>1053</v>
      </c>
      <c r="I34" s="334"/>
    </row>
    <row r="35">
      <c r="A35" s="321" t="s">
        <v>1054</v>
      </c>
      <c r="B35" s="124" t="s">
        <v>1588</v>
      </c>
      <c r="C35" s="321" t="s">
        <v>1589</v>
      </c>
      <c r="D35" s="321" t="s">
        <v>1590</v>
      </c>
      <c r="E35" s="321" t="s">
        <v>1591</v>
      </c>
      <c r="F35" s="321" t="s">
        <v>1054</v>
      </c>
      <c r="G35" s="321" t="s">
        <v>1054</v>
      </c>
      <c r="H35" s="335" t="s">
        <v>1054</v>
      </c>
      <c r="I35" s="335"/>
    </row>
    <row r="36">
      <c r="A36" s="321" t="s">
        <v>1083</v>
      </c>
      <c r="B36" s="124" t="s">
        <v>1592</v>
      </c>
      <c r="C36" s="321" t="s">
        <v>1593</v>
      </c>
      <c r="D36" s="321" t="s">
        <v>1594</v>
      </c>
      <c r="E36" s="321" t="s">
        <v>1595</v>
      </c>
      <c r="F36" s="321" t="s">
        <v>1083</v>
      </c>
      <c r="G36" s="321" t="s">
        <v>1083</v>
      </c>
      <c r="H36" s="334" t="s">
        <v>1083</v>
      </c>
      <c r="I36" s="334"/>
    </row>
    <row r="37">
      <c r="A37" s="321" t="s">
        <v>1084</v>
      </c>
      <c r="B37" s="124" t="s">
        <v>1596</v>
      </c>
      <c r="C37" s="321" t="s">
        <v>1597</v>
      </c>
      <c r="D37" s="321" t="s">
        <v>1598</v>
      </c>
      <c r="E37" s="321" t="s">
        <v>1599</v>
      </c>
      <c r="F37" s="321" t="s">
        <v>1084</v>
      </c>
      <c r="G37" s="321" t="s">
        <v>1084</v>
      </c>
      <c r="H37" s="335" t="s">
        <v>1084</v>
      </c>
      <c r="I37" s="335"/>
    </row>
    <row r="38">
      <c r="A38" s="321" t="s">
        <v>25</v>
      </c>
      <c r="B38" s="124" t="s">
        <v>1600</v>
      </c>
      <c r="C38" s="321" t="s">
        <v>1601</v>
      </c>
      <c r="D38" s="321" t="s">
        <v>1602</v>
      </c>
      <c r="E38" s="321" t="s">
        <v>1603</v>
      </c>
      <c r="F38" s="321" t="s">
        <v>25</v>
      </c>
      <c r="G38" s="321" t="s">
        <v>25</v>
      </c>
      <c r="H38" s="334" t="s">
        <v>25</v>
      </c>
      <c r="I38" s="334"/>
    </row>
    <row r="39">
      <c r="A39" s="321" t="s">
        <v>1099</v>
      </c>
      <c r="B39" s="124" t="s">
        <v>1604</v>
      </c>
      <c r="C39" s="321" t="s">
        <v>1605</v>
      </c>
      <c r="D39" s="321" t="s">
        <v>1606</v>
      </c>
      <c r="E39" s="321" t="s">
        <v>1607</v>
      </c>
      <c r="F39" s="321" t="s">
        <v>1099</v>
      </c>
      <c r="G39" s="321" t="s">
        <v>1099</v>
      </c>
      <c r="H39" s="335" t="s">
        <v>1099</v>
      </c>
      <c r="I39" s="335"/>
    </row>
    <row r="40">
      <c r="A40" s="321" t="s">
        <v>1100</v>
      </c>
      <c r="B40" s="124" t="s">
        <v>1608</v>
      </c>
      <c r="C40" s="321" t="s">
        <v>1609</v>
      </c>
      <c r="D40" s="321" t="s">
        <v>1610</v>
      </c>
      <c r="E40" s="321" t="s">
        <v>1611</v>
      </c>
      <c r="F40" s="321" t="s">
        <v>1100</v>
      </c>
      <c r="G40" s="321" t="s">
        <v>1100</v>
      </c>
      <c r="H40" s="334" t="s">
        <v>1100</v>
      </c>
      <c r="I40" s="334"/>
    </row>
    <row r="41">
      <c r="A41" s="321" t="s">
        <v>1101</v>
      </c>
      <c r="B41" s="124" t="s">
        <v>1612</v>
      </c>
      <c r="C41" s="321" t="s">
        <v>1613</v>
      </c>
      <c r="D41" s="321" t="s">
        <v>1614</v>
      </c>
      <c r="E41" s="321" t="s">
        <v>1615</v>
      </c>
      <c r="F41" s="321" t="s">
        <v>1101</v>
      </c>
      <c r="G41" s="321" t="s">
        <v>1101</v>
      </c>
      <c r="H41" s="335" t="s">
        <v>1101</v>
      </c>
      <c r="I41" s="335"/>
    </row>
    <row r="42">
      <c r="A42" s="321" t="s">
        <v>1056</v>
      </c>
      <c r="B42" s="124" t="s">
        <v>1616</v>
      </c>
      <c r="C42" s="321" t="s">
        <v>1617</v>
      </c>
      <c r="D42" s="321" t="s">
        <v>1056</v>
      </c>
      <c r="E42" s="321" t="s">
        <v>1618</v>
      </c>
      <c r="F42" s="321" t="s">
        <v>1056</v>
      </c>
      <c r="G42" s="321" t="s">
        <v>1056</v>
      </c>
      <c r="H42" s="334" t="s">
        <v>1056</v>
      </c>
      <c r="I42" s="334"/>
    </row>
    <row r="43">
      <c r="A43" s="321" t="s">
        <v>1057</v>
      </c>
      <c r="B43" s="124" t="s">
        <v>1619</v>
      </c>
      <c r="C43" s="321" t="s">
        <v>1620</v>
      </c>
      <c r="D43" s="321" t="s">
        <v>1621</v>
      </c>
      <c r="E43" s="321" t="s">
        <v>1622</v>
      </c>
      <c r="F43" s="321" t="s">
        <v>1057</v>
      </c>
      <c r="G43" s="321" t="s">
        <v>1057</v>
      </c>
      <c r="H43" s="335" t="s">
        <v>1057</v>
      </c>
      <c r="I43" s="335"/>
    </row>
    <row r="44">
      <c r="A44" s="321" t="s">
        <v>1058</v>
      </c>
      <c r="B44" s="124" t="s">
        <v>1623</v>
      </c>
      <c r="C44" s="321" t="s">
        <v>1624</v>
      </c>
      <c r="D44" s="321" t="s">
        <v>1058</v>
      </c>
      <c r="E44" s="321" t="s">
        <v>1625</v>
      </c>
      <c r="F44" s="321" t="s">
        <v>1058</v>
      </c>
      <c r="G44" s="321" t="s">
        <v>1058</v>
      </c>
      <c r="H44" s="334" t="s">
        <v>1058</v>
      </c>
      <c r="I44" s="334"/>
    </row>
    <row r="45">
      <c r="A45" s="321" t="s">
        <v>1059</v>
      </c>
      <c r="B45" s="124" t="s">
        <v>1626</v>
      </c>
      <c r="C45" s="321" t="s">
        <v>1627</v>
      </c>
      <c r="D45" s="321" t="s">
        <v>1628</v>
      </c>
      <c r="E45" s="321" t="s">
        <v>1629</v>
      </c>
      <c r="F45" s="321" t="s">
        <v>1059</v>
      </c>
      <c r="G45" s="321" t="s">
        <v>1059</v>
      </c>
      <c r="H45" s="335" t="s">
        <v>1059</v>
      </c>
      <c r="I45" s="335"/>
    </row>
    <row r="46">
      <c r="A46" s="321" t="s">
        <v>1060</v>
      </c>
      <c r="B46" s="124" t="s">
        <v>1630</v>
      </c>
      <c r="C46" s="321" t="s">
        <v>1631</v>
      </c>
      <c r="D46" s="321" t="s">
        <v>1632</v>
      </c>
      <c r="E46" s="321" t="s">
        <v>1633</v>
      </c>
      <c r="F46" s="321" t="s">
        <v>1060</v>
      </c>
      <c r="G46" s="321" t="s">
        <v>1060</v>
      </c>
      <c r="H46" s="334" t="s">
        <v>1060</v>
      </c>
      <c r="I46" s="334"/>
    </row>
    <row r="47">
      <c r="A47" s="321" t="s">
        <v>1061</v>
      </c>
      <c r="B47" s="124" t="s">
        <v>1634</v>
      </c>
      <c r="C47" s="321" t="s">
        <v>1635</v>
      </c>
      <c r="D47" s="321" t="s">
        <v>1636</v>
      </c>
      <c r="E47" s="321" t="s">
        <v>1637</v>
      </c>
      <c r="F47" s="321" t="s">
        <v>1061</v>
      </c>
      <c r="G47" s="321" t="s">
        <v>1061</v>
      </c>
      <c r="H47" s="335" t="s">
        <v>1061</v>
      </c>
      <c r="I47" s="335"/>
    </row>
    <row r="48">
      <c r="A48" s="321" t="s">
        <v>1223</v>
      </c>
      <c r="B48" s="124" t="s">
        <v>1638</v>
      </c>
      <c r="C48" s="321" t="s">
        <v>1639</v>
      </c>
      <c r="D48" s="321" t="s">
        <v>1640</v>
      </c>
      <c r="E48" s="321" t="s">
        <v>1641</v>
      </c>
      <c r="F48" s="321" t="s">
        <v>1223</v>
      </c>
      <c r="G48" s="321" t="s">
        <v>1223</v>
      </c>
      <c r="H48" s="334" t="s">
        <v>1223</v>
      </c>
      <c r="I48" s="334"/>
    </row>
    <row r="49">
      <c r="A49" s="321" t="s">
        <v>1224</v>
      </c>
      <c r="B49" s="124" t="s">
        <v>1642</v>
      </c>
      <c r="C49" s="321" t="s">
        <v>1643</v>
      </c>
      <c r="D49" s="321" t="s">
        <v>1644</v>
      </c>
      <c r="E49" s="321" t="s">
        <v>1645</v>
      </c>
      <c r="F49" s="321" t="s">
        <v>1224</v>
      </c>
      <c r="G49" s="321" t="s">
        <v>1224</v>
      </c>
      <c r="H49" s="335" t="s">
        <v>1224</v>
      </c>
      <c r="I49" s="335"/>
    </row>
    <row r="50">
      <c r="A50" s="321" t="s">
        <v>1225</v>
      </c>
      <c r="B50" s="124" t="s">
        <v>1646</v>
      </c>
      <c r="C50" s="321" t="s">
        <v>1647</v>
      </c>
      <c r="D50" s="321" t="s">
        <v>1648</v>
      </c>
      <c r="E50" s="321" t="s">
        <v>1649</v>
      </c>
      <c r="F50" s="321" t="s">
        <v>1225</v>
      </c>
      <c r="G50" s="321" t="s">
        <v>1225</v>
      </c>
      <c r="H50" s="334" t="s">
        <v>1225</v>
      </c>
      <c r="I50" s="334"/>
    </row>
    <row r="51">
      <c r="A51" s="321" t="s">
        <v>1226</v>
      </c>
      <c r="B51" s="124" t="s">
        <v>1226</v>
      </c>
      <c r="C51" s="321" t="s">
        <v>1650</v>
      </c>
      <c r="D51" s="321" t="s">
        <v>1651</v>
      </c>
      <c r="E51" s="321" t="s">
        <v>1652</v>
      </c>
      <c r="F51" s="321" t="s">
        <v>1226</v>
      </c>
      <c r="G51" s="321" t="s">
        <v>1226</v>
      </c>
      <c r="H51" s="335" t="s">
        <v>1226</v>
      </c>
      <c r="I51" s="335"/>
    </row>
    <row r="52">
      <c r="A52" s="321" t="s">
        <v>1227</v>
      </c>
      <c r="B52" s="124" t="s">
        <v>1653</v>
      </c>
      <c r="C52" s="321" t="s">
        <v>1654</v>
      </c>
      <c r="D52" s="321" t="s">
        <v>1655</v>
      </c>
      <c r="E52" s="321" t="s">
        <v>1656</v>
      </c>
      <c r="F52" s="321" t="s">
        <v>1227</v>
      </c>
      <c r="G52" s="321" t="s">
        <v>1227</v>
      </c>
      <c r="H52" s="334" t="s">
        <v>1227</v>
      </c>
      <c r="I52" s="334"/>
    </row>
    <row r="53">
      <c r="A53" s="321" t="s">
        <v>1228</v>
      </c>
      <c r="B53" s="124" t="s">
        <v>1657</v>
      </c>
      <c r="C53" s="321" t="s">
        <v>1658</v>
      </c>
      <c r="D53" s="321" t="s">
        <v>1659</v>
      </c>
      <c r="E53" s="321" t="s">
        <v>1660</v>
      </c>
      <c r="F53" s="321" t="s">
        <v>1228</v>
      </c>
      <c r="G53" s="321" t="s">
        <v>1228</v>
      </c>
      <c r="H53" s="335" t="s">
        <v>1228</v>
      </c>
      <c r="I53" s="335"/>
    </row>
    <row r="54">
      <c r="A54" s="321" t="s">
        <v>1229</v>
      </c>
      <c r="B54" s="124" t="s">
        <v>1661</v>
      </c>
      <c r="C54" s="321" t="s">
        <v>1662</v>
      </c>
      <c r="D54" s="321" t="s">
        <v>1663</v>
      </c>
      <c r="E54" s="321" t="s">
        <v>1664</v>
      </c>
      <c r="F54" s="321" t="s">
        <v>1229</v>
      </c>
      <c r="G54" s="321" t="s">
        <v>1229</v>
      </c>
      <c r="H54" s="334" t="s">
        <v>1229</v>
      </c>
      <c r="I54" s="334"/>
    </row>
    <row r="55">
      <c r="A55" s="321" t="s">
        <v>1201</v>
      </c>
      <c r="B55" s="124" t="s">
        <v>1665</v>
      </c>
      <c r="C55" s="321" t="s">
        <v>1666</v>
      </c>
      <c r="D55" s="321" t="s">
        <v>1667</v>
      </c>
      <c r="E55" s="321" t="s">
        <v>1668</v>
      </c>
      <c r="F55" s="321" t="s">
        <v>1201</v>
      </c>
      <c r="G55" s="321" t="s">
        <v>1201</v>
      </c>
      <c r="H55" s="335" t="s">
        <v>1201</v>
      </c>
      <c r="I55" s="335"/>
    </row>
    <row r="56">
      <c r="A56" s="321" t="s">
        <v>1202</v>
      </c>
      <c r="B56" s="124" t="s">
        <v>1202</v>
      </c>
      <c r="C56" s="321" t="s">
        <v>1669</v>
      </c>
      <c r="D56" s="321" t="s">
        <v>1202</v>
      </c>
      <c r="E56" s="321" t="s">
        <v>1202</v>
      </c>
      <c r="F56" s="321" t="s">
        <v>1202</v>
      </c>
      <c r="G56" s="321" t="s">
        <v>1202</v>
      </c>
      <c r="H56" s="334" t="s">
        <v>1202</v>
      </c>
      <c r="I56" s="334"/>
    </row>
    <row r="57">
      <c r="A57" s="321" t="s">
        <v>1137</v>
      </c>
      <c r="B57" s="124" t="s">
        <v>1137</v>
      </c>
      <c r="C57" s="321" t="s">
        <v>1670</v>
      </c>
      <c r="D57" s="321" t="s">
        <v>1137</v>
      </c>
      <c r="E57" s="321" t="s">
        <v>1137</v>
      </c>
      <c r="F57" s="321" t="s">
        <v>1137</v>
      </c>
      <c r="G57" s="321" t="s">
        <v>1137</v>
      </c>
      <c r="H57" s="335" t="s">
        <v>1137</v>
      </c>
      <c r="I57" s="335"/>
    </row>
    <row r="58">
      <c r="A58" s="321" t="s">
        <v>1138</v>
      </c>
      <c r="B58" s="321" t="s">
        <v>1138</v>
      </c>
      <c r="C58" s="321" t="s">
        <v>1671</v>
      </c>
      <c r="D58" s="321" t="s">
        <v>1138</v>
      </c>
      <c r="E58" s="321" t="s">
        <v>1138</v>
      </c>
      <c r="F58" s="321" t="s">
        <v>1138</v>
      </c>
      <c r="G58" s="321" t="s">
        <v>1138</v>
      </c>
      <c r="H58" s="334" t="s">
        <v>1138</v>
      </c>
      <c r="I58" s="334"/>
    </row>
    <row r="59">
      <c r="A59" s="321" t="s">
        <v>1176</v>
      </c>
      <c r="B59" s="321" t="s">
        <v>1672</v>
      </c>
      <c r="C59" s="321" t="s">
        <v>1673</v>
      </c>
      <c r="D59" s="321" t="s">
        <v>1674</v>
      </c>
      <c r="E59" s="321" t="s">
        <v>1675</v>
      </c>
      <c r="F59" s="321" t="s">
        <v>1176</v>
      </c>
      <c r="G59" s="321" t="s">
        <v>1176</v>
      </c>
      <c r="H59" s="335" t="s">
        <v>1176</v>
      </c>
      <c r="I59" s="335"/>
    </row>
    <row r="60">
      <c r="A60" s="321" t="s">
        <v>1177</v>
      </c>
      <c r="B60" s="321" t="s">
        <v>1676</v>
      </c>
      <c r="C60" s="321" t="s">
        <v>1677</v>
      </c>
      <c r="D60" s="321" t="s">
        <v>1678</v>
      </c>
      <c r="E60" s="321" t="s">
        <v>1679</v>
      </c>
      <c r="F60" s="321" t="s">
        <v>1177</v>
      </c>
      <c r="G60" s="321" t="s">
        <v>1177</v>
      </c>
      <c r="H60" s="334" t="s">
        <v>1177</v>
      </c>
      <c r="I60" s="334"/>
    </row>
    <row r="61">
      <c r="A61" s="321" t="s">
        <v>1203</v>
      </c>
      <c r="B61" s="321" t="s">
        <v>1203</v>
      </c>
      <c r="C61" s="321" t="s">
        <v>1680</v>
      </c>
      <c r="D61" s="321" t="s">
        <v>1203</v>
      </c>
      <c r="E61" s="321" t="s">
        <v>1203</v>
      </c>
      <c r="F61" s="321" t="s">
        <v>1203</v>
      </c>
      <c r="G61" s="321" t="s">
        <v>1203</v>
      </c>
      <c r="H61" s="335" t="s">
        <v>1203</v>
      </c>
      <c r="I61" s="335"/>
    </row>
    <row r="62">
      <c r="A62" s="321" t="s">
        <v>1204</v>
      </c>
      <c r="B62" s="321" t="s">
        <v>1204</v>
      </c>
      <c r="C62" s="321" t="s">
        <v>1681</v>
      </c>
      <c r="D62" s="321" t="s">
        <v>1204</v>
      </c>
      <c r="E62" s="321" t="s">
        <v>1204</v>
      </c>
      <c r="F62" s="321" t="s">
        <v>1204</v>
      </c>
      <c r="G62" s="321" t="s">
        <v>1204</v>
      </c>
      <c r="H62" s="334" t="s">
        <v>1204</v>
      </c>
      <c r="I62" s="334"/>
    </row>
    <row r="63">
      <c r="A63" s="321" t="s">
        <v>1205</v>
      </c>
      <c r="B63" s="321" t="s">
        <v>1205</v>
      </c>
      <c r="C63" s="321" t="s">
        <v>1682</v>
      </c>
      <c r="D63" s="321" t="s">
        <v>1205</v>
      </c>
      <c r="E63" s="321" t="s">
        <v>1205</v>
      </c>
      <c r="F63" s="321" t="s">
        <v>1205</v>
      </c>
      <c r="G63" s="321" t="s">
        <v>1205</v>
      </c>
      <c r="H63" s="335" t="s">
        <v>1205</v>
      </c>
      <c r="I63" s="335"/>
    </row>
    <row r="64">
      <c r="A64" s="321" t="s">
        <v>1206</v>
      </c>
      <c r="B64" s="321" t="s">
        <v>1206</v>
      </c>
      <c r="C64" s="321" t="s">
        <v>1683</v>
      </c>
      <c r="D64" s="321" t="s">
        <v>1206</v>
      </c>
      <c r="E64" s="321" t="s">
        <v>1206</v>
      </c>
      <c r="F64" s="321" t="s">
        <v>1206</v>
      </c>
      <c r="G64" s="321" t="s">
        <v>1206</v>
      </c>
      <c r="H64" s="334" t="s">
        <v>1206</v>
      </c>
      <c r="I64" s="334"/>
    </row>
    <row r="65">
      <c r="A65" s="321" t="s">
        <v>1207</v>
      </c>
      <c r="B65" s="321" t="s">
        <v>1207</v>
      </c>
      <c r="C65" s="321" t="s">
        <v>1684</v>
      </c>
      <c r="D65" s="321" t="s">
        <v>1207</v>
      </c>
      <c r="E65" s="321" t="s">
        <v>1207</v>
      </c>
      <c r="F65" s="321" t="s">
        <v>1207</v>
      </c>
      <c r="G65" s="321" t="s">
        <v>1207</v>
      </c>
      <c r="H65" s="335" t="s">
        <v>1207</v>
      </c>
      <c r="I65" s="335"/>
    </row>
    <row r="66">
      <c r="A66" s="321" t="s">
        <v>1208</v>
      </c>
      <c r="B66" s="321" t="s">
        <v>1208</v>
      </c>
      <c r="C66" s="321" t="s">
        <v>1685</v>
      </c>
      <c r="D66" s="321" t="s">
        <v>1208</v>
      </c>
      <c r="E66" s="321" t="s">
        <v>1208</v>
      </c>
      <c r="F66" s="321" t="s">
        <v>1208</v>
      </c>
      <c r="G66" s="321" t="s">
        <v>1208</v>
      </c>
      <c r="H66" s="334" t="s">
        <v>1208</v>
      </c>
      <c r="I66" s="334"/>
    </row>
    <row r="67">
      <c r="A67" s="321" t="s">
        <v>1154</v>
      </c>
      <c r="B67" s="321" t="s">
        <v>1686</v>
      </c>
      <c r="C67" s="321" t="s">
        <v>1687</v>
      </c>
      <c r="D67" s="321" t="s">
        <v>1688</v>
      </c>
      <c r="E67" s="321" t="s">
        <v>1689</v>
      </c>
      <c r="F67" s="321" t="s">
        <v>1154</v>
      </c>
      <c r="G67" s="321" t="s">
        <v>1154</v>
      </c>
      <c r="H67" s="335" t="s">
        <v>1154</v>
      </c>
      <c r="I67" s="335"/>
    </row>
    <row r="68">
      <c r="A68" s="321" t="s">
        <v>1155</v>
      </c>
      <c r="B68" s="321" t="s">
        <v>1690</v>
      </c>
      <c r="C68" s="321" t="s">
        <v>1691</v>
      </c>
      <c r="D68" s="321" t="s">
        <v>1692</v>
      </c>
      <c r="E68" s="321" t="s">
        <v>1693</v>
      </c>
      <c r="F68" s="321" t="s">
        <v>1155</v>
      </c>
      <c r="G68" s="321" t="s">
        <v>1155</v>
      </c>
      <c r="H68" s="334" t="s">
        <v>1155</v>
      </c>
      <c r="I68" s="334"/>
    </row>
    <row r="69">
      <c r="A69" s="321" t="s">
        <v>1085</v>
      </c>
      <c r="B69" s="321" t="s">
        <v>1694</v>
      </c>
      <c r="C69" s="321" t="s">
        <v>1695</v>
      </c>
      <c r="D69" s="321" t="s">
        <v>1696</v>
      </c>
      <c r="E69" s="321" t="s">
        <v>1085</v>
      </c>
      <c r="F69" s="321" t="s">
        <v>1085</v>
      </c>
      <c r="G69" s="321" t="s">
        <v>1085</v>
      </c>
      <c r="H69" s="335" t="s">
        <v>1085</v>
      </c>
      <c r="I69" s="335"/>
    </row>
    <row r="70">
      <c r="A70" s="321" t="s">
        <v>1086</v>
      </c>
      <c r="B70" s="321" t="s">
        <v>1697</v>
      </c>
      <c r="C70" s="321" t="s">
        <v>1698</v>
      </c>
      <c r="D70" s="321" t="s">
        <v>1699</v>
      </c>
      <c r="E70" s="321" t="s">
        <v>1700</v>
      </c>
      <c r="F70" s="321" t="s">
        <v>1086</v>
      </c>
      <c r="G70" s="321" t="s">
        <v>1086</v>
      </c>
      <c r="H70" s="334" t="s">
        <v>1086</v>
      </c>
      <c r="I70" s="334"/>
    </row>
    <row r="71">
      <c r="A71" s="321" t="s">
        <v>1230</v>
      </c>
      <c r="B71" s="321" t="s">
        <v>1701</v>
      </c>
      <c r="C71" s="321" t="s">
        <v>1702</v>
      </c>
      <c r="D71" s="321" t="s">
        <v>1703</v>
      </c>
      <c r="E71" s="321" t="s">
        <v>1704</v>
      </c>
      <c r="F71" s="321" t="s">
        <v>1230</v>
      </c>
      <c r="G71" s="321" t="s">
        <v>1230</v>
      </c>
      <c r="H71" s="335" t="s">
        <v>1230</v>
      </c>
      <c r="I71" s="335"/>
    </row>
    <row r="72">
      <c r="A72" s="321" t="s">
        <v>1231</v>
      </c>
      <c r="B72" s="321" t="s">
        <v>1705</v>
      </c>
      <c r="C72" s="321" t="s">
        <v>1706</v>
      </c>
      <c r="D72" s="321" t="s">
        <v>1707</v>
      </c>
      <c r="E72" s="321" t="s">
        <v>1708</v>
      </c>
      <c r="F72" s="321" t="s">
        <v>1231</v>
      </c>
      <c r="G72" s="321" t="s">
        <v>1231</v>
      </c>
      <c r="H72" s="334" t="s">
        <v>1231</v>
      </c>
      <c r="I72" s="334"/>
    </row>
    <row r="73">
      <c r="A73" s="321" t="s">
        <v>1209</v>
      </c>
      <c r="B73" s="321" t="s">
        <v>1709</v>
      </c>
      <c r="C73" s="321" t="s">
        <v>1710</v>
      </c>
      <c r="D73" s="321" t="s">
        <v>1209</v>
      </c>
      <c r="E73" s="321" t="s">
        <v>1209</v>
      </c>
      <c r="F73" s="321" t="s">
        <v>1209</v>
      </c>
      <c r="G73" s="321" t="s">
        <v>1209</v>
      </c>
      <c r="H73" s="335" t="s">
        <v>1209</v>
      </c>
      <c r="I73" s="335"/>
    </row>
    <row r="74">
      <c r="A74" s="321" t="s">
        <v>1210</v>
      </c>
      <c r="B74" s="321" t="s">
        <v>1711</v>
      </c>
      <c r="C74" s="321" t="s">
        <v>1712</v>
      </c>
      <c r="D74" s="321" t="s">
        <v>1210</v>
      </c>
      <c r="E74" s="321" t="s">
        <v>1210</v>
      </c>
      <c r="F74" s="321" t="s">
        <v>1210</v>
      </c>
      <c r="G74" s="321" t="s">
        <v>1210</v>
      </c>
      <c r="H74" s="334" t="s">
        <v>1210</v>
      </c>
      <c r="I74" s="334"/>
    </row>
    <row r="75">
      <c r="A75" s="321" t="s">
        <v>1062</v>
      </c>
      <c r="B75" s="321" t="s">
        <v>1713</v>
      </c>
      <c r="C75" s="321" t="s">
        <v>1714</v>
      </c>
      <c r="D75" s="321" t="s">
        <v>1715</v>
      </c>
      <c r="E75" s="321" t="s">
        <v>1716</v>
      </c>
      <c r="F75" s="321" t="s">
        <v>1062</v>
      </c>
      <c r="G75" s="321" t="s">
        <v>1062</v>
      </c>
      <c r="H75" s="335" t="s">
        <v>1062</v>
      </c>
      <c r="I75" s="335"/>
    </row>
    <row r="76">
      <c r="A76" s="321" t="s">
        <v>1063</v>
      </c>
      <c r="B76" s="321" t="s">
        <v>1717</v>
      </c>
      <c r="C76" s="321" t="s">
        <v>1718</v>
      </c>
      <c r="D76" s="321" t="s">
        <v>1719</v>
      </c>
      <c r="E76" s="321" t="s">
        <v>1720</v>
      </c>
      <c r="F76" s="321" t="s">
        <v>1063</v>
      </c>
      <c r="G76" s="321" t="s">
        <v>1063</v>
      </c>
      <c r="H76" s="334" t="s">
        <v>1063</v>
      </c>
      <c r="I76" s="334"/>
    </row>
    <row r="77">
      <c r="A77" s="321" t="s">
        <v>1064</v>
      </c>
      <c r="B77" s="321" t="s">
        <v>1721</v>
      </c>
      <c r="C77" s="321" t="s">
        <v>1722</v>
      </c>
      <c r="D77" s="321" t="s">
        <v>1723</v>
      </c>
      <c r="E77" s="321" t="s">
        <v>1724</v>
      </c>
      <c r="F77" s="321" t="s">
        <v>1064</v>
      </c>
      <c r="G77" s="321" t="s">
        <v>1064</v>
      </c>
      <c r="H77" s="335" t="s">
        <v>1064</v>
      </c>
      <c r="I77" s="335"/>
    </row>
    <row r="78">
      <c r="A78" s="321" t="s">
        <v>1065</v>
      </c>
      <c r="B78" s="321" t="s">
        <v>1065</v>
      </c>
      <c r="C78" s="321" t="s">
        <v>1725</v>
      </c>
      <c r="D78" s="321" t="s">
        <v>1065</v>
      </c>
      <c r="E78" s="321" t="s">
        <v>1065</v>
      </c>
      <c r="F78" s="321" t="s">
        <v>1065</v>
      </c>
      <c r="G78" s="321" t="s">
        <v>1065</v>
      </c>
      <c r="H78" s="334" t="s">
        <v>1065</v>
      </c>
      <c r="I78" s="334"/>
    </row>
    <row r="79">
      <c r="A79" s="321" t="s">
        <v>1066</v>
      </c>
      <c r="B79" s="321" t="s">
        <v>1066</v>
      </c>
      <c r="C79" s="321" t="s">
        <v>1726</v>
      </c>
      <c r="D79" s="321" t="s">
        <v>1066</v>
      </c>
      <c r="E79" s="321" t="s">
        <v>1727</v>
      </c>
      <c r="F79" s="321" t="s">
        <v>1066</v>
      </c>
      <c r="G79" s="321" t="s">
        <v>1066</v>
      </c>
      <c r="H79" s="335" t="s">
        <v>1066</v>
      </c>
      <c r="I79" s="335"/>
    </row>
    <row r="80">
      <c r="A80" s="321" t="s">
        <v>1067</v>
      </c>
      <c r="B80" s="321" t="s">
        <v>1728</v>
      </c>
      <c r="C80" s="321" t="s">
        <v>1729</v>
      </c>
      <c r="D80" s="321" t="s">
        <v>1730</v>
      </c>
      <c r="E80" s="321" t="s">
        <v>1731</v>
      </c>
      <c r="F80" s="321" t="s">
        <v>1067</v>
      </c>
      <c r="G80" s="321" t="s">
        <v>1067</v>
      </c>
      <c r="H80" s="334" t="s">
        <v>1067</v>
      </c>
      <c r="I80" s="334"/>
    </row>
    <row r="81">
      <c r="A81" s="321" t="s">
        <v>1068</v>
      </c>
      <c r="B81" s="321" t="s">
        <v>1732</v>
      </c>
      <c r="C81" s="321" t="s">
        <v>1733</v>
      </c>
      <c r="D81" s="321" t="s">
        <v>1734</v>
      </c>
      <c r="E81" s="321" t="s">
        <v>1735</v>
      </c>
      <c r="F81" s="321" t="s">
        <v>1068</v>
      </c>
      <c r="G81" s="321" t="s">
        <v>1068</v>
      </c>
      <c r="H81" s="335" t="s">
        <v>1068</v>
      </c>
      <c r="I81" s="335"/>
    </row>
    <row r="82">
      <c r="A82" s="321" t="s">
        <v>1178</v>
      </c>
      <c r="B82" s="321" t="s">
        <v>1736</v>
      </c>
      <c r="C82" s="321" t="s">
        <v>1737</v>
      </c>
      <c r="D82" s="321" t="s">
        <v>1738</v>
      </c>
      <c r="E82" s="321" t="s">
        <v>1738</v>
      </c>
      <c r="F82" s="321" t="s">
        <v>1178</v>
      </c>
      <c r="G82" s="321" t="s">
        <v>1178</v>
      </c>
      <c r="H82" s="334" t="s">
        <v>1178</v>
      </c>
      <c r="I82" s="334"/>
    </row>
    <row r="83">
      <c r="A83" s="321" t="s">
        <v>1179</v>
      </c>
      <c r="B83" s="321" t="s">
        <v>1739</v>
      </c>
      <c r="C83" s="321" t="s">
        <v>1740</v>
      </c>
      <c r="D83" s="321" t="s">
        <v>1179</v>
      </c>
      <c r="E83" s="321" t="s">
        <v>1741</v>
      </c>
      <c r="F83" s="321" t="s">
        <v>1179</v>
      </c>
      <c r="G83" s="321" t="s">
        <v>1179</v>
      </c>
      <c r="H83" s="335" t="s">
        <v>1179</v>
      </c>
      <c r="I83" s="335"/>
    </row>
    <row r="84">
      <c r="A84" s="321" t="s">
        <v>1232</v>
      </c>
      <c r="B84" s="321" t="s">
        <v>1742</v>
      </c>
      <c r="C84" s="321" t="s">
        <v>1743</v>
      </c>
      <c r="D84" s="321" t="s">
        <v>1744</v>
      </c>
      <c r="E84" s="321" t="s">
        <v>1745</v>
      </c>
      <c r="F84" s="321" t="s">
        <v>1232</v>
      </c>
      <c r="G84" s="321" t="s">
        <v>1232</v>
      </c>
      <c r="H84" s="334" t="s">
        <v>1232</v>
      </c>
      <c r="I84" s="334"/>
    </row>
    <row r="85">
      <c r="A85" s="321" t="s">
        <v>1233</v>
      </c>
      <c r="B85" s="321" t="s">
        <v>1233</v>
      </c>
      <c r="C85" s="321" t="s">
        <v>1746</v>
      </c>
      <c r="D85" s="321" t="s">
        <v>1233</v>
      </c>
      <c r="E85" s="321" t="s">
        <v>1747</v>
      </c>
      <c r="F85" s="321" t="s">
        <v>1233</v>
      </c>
      <c r="G85" s="321" t="s">
        <v>1233</v>
      </c>
      <c r="H85" s="335" t="s">
        <v>1233</v>
      </c>
      <c r="I85" s="335"/>
    </row>
    <row r="86">
      <c r="A86" s="321" t="s">
        <v>1102</v>
      </c>
      <c r="B86" s="321" t="s">
        <v>1748</v>
      </c>
      <c r="C86" s="321" t="s">
        <v>1749</v>
      </c>
      <c r="D86" s="321" t="s">
        <v>1750</v>
      </c>
      <c r="E86" s="321" t="s">
        <v>1751</v>
      </c>
      <c r="F86" s="321" t="s">
        <v>1102</v>
      </c>
      <c r="G86" s="321" t="s">
        <v>1102</v>
      </c>
      <c r="H86" s="334" t="s">
        <v>1102</v>
      </c>
      <c r="I86" s="334"/>
    </row>
    <row r="87">
      <c r="A87" s="321" t="s">
        <v>1103</v>
      </c>
      <c r="B87" s="321" t="s">
        <v>1752</v>
      </c>
      <c r="C87" s="321" t="s">
        <v>1753</v>
      </c>
      <c r="D87" s="321" t="s">
        <v>1103</v>
      </c>
      <c r="E87" s="321" t="s">
        <v>1754</v>
      </c>
      <c r="F87" s="321" t="s">
        <v>1103</v>
      </c>
      <c r="G87" s="321" t="s">
        <v>1103</v>
      </c>
      <c r="H87" s="335" t="s">
        <v>1103</v>
      </c>
      <c r="I87" s="335"/>
    </row>
    <row r="88">
      <c r="A88" s="321" t="s">
        <v>1180</v>
      </c>
      <c r="B88" s="321" t="s">
        <v>1755</v>
      </c>
      <c r="C88" s="321" t="s">
        <v>1756</v>
      </c>
      <c r="D88" s="321" t="s">
        <v>1180</v>
      </c>
      <c r="E88" s="321" t="s">
        <v>1757</v>
      </c>
      <c r="F88" s="321" t="s">
        <v>1180</v>
      </c>
      <c r="G88" s="321" t="s">
        <v>1180</v>
      </c>
      <c r="H88" s="334" t="s">
        <v>1180</v>
      </c>
      <c r="I88" s="334"/>
    </row>
    <row r="89">
      <c r="A89" s="321" t="s">
        <v>1181</v>
      </c>
      <c r="B89" s="321" t="s">
        <v>1758</v>
      </c>
      <c r="C89" s="321" t="s">
        <v>1759</v>
      </c>
      <c r="D89" s="321" t="s">
        <v>1760</v>
      </c>
      <c r="E89" s="321" t="s">
        <v>1761</v>
      </c>
      <c r="F89" s="321" t="s">
        <v>1181</v>
      </c>
      <c r="G89" s="321" t="s">
        <v>1181</v>
      </c>
      <c r="H89" s="335" t="s">
        <v>1181</v>
      </c>
      <c r="I89" s="335"/>
    </row>
    <row r="90">
      <c r="A90" s="321" t="s">
        <v>1087</v>
      </c>
      <c r="B90" s="321" t="s">
        <v>1762</v>
      </c>
      <c r="C90" s="321" t="s">
        <v>1763</v>
      </c>
      <c r="D90" s="321" t="s">
        <v>1764</v>
      </c>
      <c r="E90" s="321" t="s">
        <v>1765</v>
      </c>
      <c r="F90" s="321" t="s">
        <v>1087</v>
      </c>
      <c r="G90" s="321" t="s">
        <v>1087</v>
      </c>
      <c r="H90" s="334" t="s">
        <v>1087</v>
      </c>
      <c r="I90" s="334"/>
    </row>
    <row r="91">
      <c r="A91" s="321" t="s">
        <v>1088</v>
      </c>
      <c r="B91" s="321" t="s">
        <v>1766</v>
      </c>
      <c r="C91" s="321" t="s">
        <v>1767</v>
      </c>
      <c r="D91" s="321" t="s">
        <v>1768</v>
      </c>
      <c r="E91" s="321" t="s">
        <v>1769</v>
      </c>
      <c r="F91" s="321" t="s">
        <v>1088</v>
      </c>
      <c r="G91" s="321" t="s">
        <v>1088</v>
      </c>
      <c r="H91" s="335" t="s">
        <v>1088</v>
      </c>
      <c r="I91" s="335"/>
    </row>
    <row r="92">
      <c r="A92" s="321" t="s">
        <v>1104</v>
      </c>
      <c r="B92" s="321" t="s">
        <v>1770</v>
      </c>
      <c r="C92" s="321" t="s">
        <v>1771</v>
      </c>
      <c r="D92" s="321" t="s">
        <v>1772</v>
      </c>
      <c r="E92" s="321" t="s">
        <v>1773</v>
      </c>
      <c r="F92" s="321" t="s">
        <v>1104</v>
      </c>
      <c r="G92" s="321" t="s">
        <v>1104</v>
      </c>
      <c r="H92" s="334" t="s">
        <v>1104</v>
      </c>
      <c r="I92" s="334"/>
    </row>
    <row r="93">
      <c r="A93" s="321" t="s">
        <v>1105</v>
      </c>
      <c r="B93" s="321" t="s">
        <v>1774</v>
      </c>
      <c r="C93" s="321" t="s">
        <v>1775</v>
      </c>
      <c r="D93" s="321" t="s">
        <v>1776</v>
      </c>
      <c r="E93" s="321" t="s">
        <v>1777</v>
      </c>
      <c r="F93" s="321" t="s">
        <v>1105</v>
      </c>
      <c r="G93" s="321" t="s">
        <v>1105</v>
      </c>
      <c r="H93" s="335" t="s">
        <v>1105</v>
      </c>
      <c r="I93" s="335"/>
    </row>
    <row r="94">
      <c r="A94" s="321" t="s">
        <v>1106</v>
      </c>
      <c r="B94" s="321" t="s">
        <v>1778</v>
      </c>
      <c r="C94" s="321" t="s">
        <v>1779</v>
      </c>
      <c r="D94" s="321" t="s">
        <v>1780</v>
      </c>
      <c r="E94" s="321" t="s">
        <v>1781</v>
      </c>
      <c r="F94" s="321" t="s">
        <v>1106</v>
      </c>
      <c r="G94" s="321" t="s">
        <v>1106</v>
      </c>
      <c r="H94" s="334" t="s">
        <v>1106</v>
      </c>
      <c r="I94" s="334"/>
    </row>
    <row r="95">
      <c r="A95" s="321" t="s">
        <v>1156</v>
      </c>
      <c r="B95" s="321" t="s">
        <v>1156</v>
      </c>
      <c r="C95" s="321" t="s">
        <v>1782</v>
      </c>
      <c r="D95" s="321" t="s">
        <v>1783</v>
      </c>
      <c r="E95" s="321" t="s">
        <v>1156</v>
      </c>
      <c r="F95" s="321" t="s">
        <v>1156</v>
      </c>
      <c r="G95" s="321" t="s">
        <v>1156</v>
      </c>
      <c r="H95" s="335" t="s">
        <v>1156</v>
      </c>
      <c r="I95" s="335"/>
    </row>
    <row r="96">
      <c r="A96" s="321" t="s">
        <v>1157</v>
      </c>
      <c r="B96" s="321" t="s">
        <v>1157</v>
      </c>
      <c r="C96" s="321" t="s">
        <v>1784</v>
      </c>
      <c r="D96" s="321" t="s">
        <v>1785</v>
      </c>
      <c r="E96" s="321" t="s">
        <v>1157</v>
      </c>
      <c r="F96" s="321" t="s">
        <v>1157</v>
      </c>
      <c r="G96" s="321" t="s">
        <v>1157</v>
      </c>
      <c r="H96" s="334" t="s">
        <v>1157</v>
      </c>
      <c r="I96" s="334"/>
    </row>
    <row r="97">
      <c r="A97" s="321" t="s">
        <v>1158</v>
      </c>
      <c r="B97" s="321" t="s">
        <v>1158</v>
      </c>
      <c r="C97" s="321" t="s">
        <v>1786</v>
      </c>
      <c r="D97" s="321" t="s">
        <v>1787</v>
      </c>
      <c r="E97" s="321" t="s">
        <v>1788</v>
      </c>
      <c r="F97" s="321" t="s">
        <v>1158</v>
      </c>
      <c r="G97" s="321" t="s">
        <v>1158</v>
      </c>
      <c r="H97" s="335" t="s">
        <v>1158</v>
      </c>
      <c r="I97" s="335"/>
    </row>
    <row r="98">
      <c r="A98" s="321" t="s">
        <v>1182</v>
      </c>
      <c r="B98" s="321" t="s">
        <v>1789</v>
      </c>
      <c r="C98" s="321" t="s">
        <v>1790</v>
      </c>
      <c r="D98" s="321" t="s">
        <v>1791</v>
      </c>
      <c r="E98" s="321" t="s">
        <v>1792</v>
      </c>
      <c r="F98" s="321" t="s">
        <v>1182</v>
      </c>
      <c r="G98" s="321" t="s">
        <v>1182</v>
      </c>
      <c r="H98" s="334" t="s">
        <v>1182</v>
      </c>
      <c r="I98" s="334"/>
    </row>
    <row r="99">
      <c r="A99" s="321" t="s">
        <v>1183</v>
      </c>
      <c r="B99" s="321" t="s">
        <v>1793</v>
      </c>
      <c r="C99" s="321" t="s">
        <v>1794</v>
      </c>
      <c r="D99" s="321" t="s">
        <v>1795</v>
      </c>
      <c r="E99" s="321" t="s">
        <v>1796</v>
      </c>
      <c r="F99" s="321" t="s">
        <v>1183</v>
      </c>
      <c r="G99" s="321" t="s">
        <v>1183</v>
      </c>
      <c r="H99" s="335" t="s">
        <v>1183</v>
      </c>
      <c r="I99" s="335"/>
    </row>
    <row r="100">
      <c r="A100" s="321" t="s">
        <v>1184</v>
      </c>
      <c r="B100" s="321" t="s">
        <v>1797</v>
      </c>
      <c r="C100" s="321" t="s">
        <v>1798</v>
      </c>
      <c r="D100" s="321" t="s">
        <v>1799</v>
      </c>
      <c r="E100" s="321" t="s">
        <v>1800</v>
      </c>
      <c r="F100" s="321" t="s">
        <v>1184</v>
      </c>
      <c r="G100" s="321" t="s">
        <v>1184</v>
      </c>
      <c r="H100" s="334" t="s">
        <v>1184</v>
      </c>
      <c r="I100" s="334"/>
    </row>
    <row r="101">
      <c r="A101" s="321" t="s">
        <v>1069</v>
      </c>
      <c r="B101" s="321" t="s">
        <v>1801</v>
      </c>
      <c r="C101" s="321" t="s">
        <v>1802</v>
      </c>
      <c r="D101" s="321" t="s">
        <v>1803</v>
      </c>
      <c r="E101" s="321" t="s">
        <v>1804</v>
      </c>
      <c r="F101" s="321" t="s">
        <v>1069</v>
      </c>
      <c r="G101" s="321" t="s">
        <v>1069</v>
      </c>
      <c r="H101" s="335" t="s">
        <v>1069</v>
      </c>
      <c r="I101" s="335"/>
    </row>
    <row r="102">
      <c r="A102" s="321" t="s">
        <v>1070</v>
      </c>
      <c r="B102" s="321" t="s">
        <v>1805</v>
      </c>
      <c r="C102" s="321" t="s">
        <v>1806</v>
      </c>
      <c r="D102" s="321" t="s">
        <v>1807</v>
      </c>
      <c r="E102" s="321" t="s">
        <v>1808</v>
      </c>
      <c r="F102" s="321" t="s">
        <v>1070</v>
      </c>
      <c r="G102" s="321" t="s">
        <v>1070</v>
      </c>
      <c r="H102" s="334" t="s">
        <v>1070</v>
      </c>
      <c r="I102" s="334"/>
    </row>
    <row r="103">
      <c r="A103" s="321" t="s">
        <v>1071</v>
      </c>
      <c r="B103" s="321" t="s">
        <v>1809</v>
      </c>
      <c r="C103" s="321" t="s">
        <v>1810</v>
      </c>
      <c r="D103" s="321" t="s">
        <v>1811</v>
      </c>
      <c r="E103" s="321" t="s">
        <v>1812</v>
      </c>
      <c r="F103" s="321" t="s">
        <v>1071</v>
      </c>
      <c r="G103" s="321" t="s">
        <v>1071</v>
      </c>
      <c r="H103" s="335" t="s">
        <v>1071</v>
      </c>
      <c r="I103" s="335"/>
    </row>
    <row r="104">
      <c r="A104" s="321" t="s">
        <v>1107</v>
      </c>
      <c r="B104" s="321" t="s">
        <v>1107</v>
      </c>
      <c r="C104" s="321" t="s">
        <v>1813</v>
      </c>
      <c r="D104" s="321" t="s">
        <v>1814</v>
      </c>
      <c r="E104" s="321" t="s">
        <v>1815</v>
      </c>
      <c r="F104" s="321" t="s">
        <v>1107</v>
      </c>
      <c r="G104" s="321" t="s">
        <v>1107</v>
      </c>
      <c r="H104" s="334" t="s">
        <v>1107</v>
      </c>
      <c r="I104" s="334"/>
    </row>
    <row r="105">
      <c r="A105" s="321" t="s">
        <v>1108</v>
      </c>
      <c r="B105" s="321" t="s">
        <v>1108</v>
      </c>
      <c r="C105" s="321" t="s">
        <v>1816</v>
      </c>
      <c r="D105" s="321" t="s">
        <v>1817</v>
      </c>
      <c r="E105" s="321" t="s">
        <v>1818</v>
      </c>
      <c r="F105" s="321" t="s">
        <v>1108</v>
      </c>
      <c r="G105" s="321" t="s">
        <v>1108</v>
      </c>
      <c r="H105" s="335" t="s">
        <v>1108</v>
      </c>
      <c r="I105" s="335"/>
    </row>
    <row r="106">
      <c r="A106" s="321" t="s">
        <v>1185</v>
      </c>
      <c r="B106" s="321" t="s">
        <v>1819</v>
      </c>
      <c r="C106" s="321" t="s">
        <v>1820</v>
      </c>
      <c r="D106" s="321" t="s">
        <v>1821</v>
      </c>
      <c r="E106" s="321" t="s">
        <v>1822</v>
      </c>
      <c r="F106" s="321" t="s">
        <v>1185</v>
      </c>
      <c r="G106" s="321" t="s">
        <v>1185</v>
      </c>
      <c r="H106" s="334" t="s">
        <v>1185</v>
      </c>
      <c r="I106" s="334"/>
    </row>
    <row r="107">
      <c r="A107" s="321" t="s">
        <v>1186</v>
      </c>
      <c r="B107" s="321" t="s">
        <v>1823</v>
      </c>
      <c r="C107" s="321" t="s">
        <v>1824</v>
      </c>
      <c r="D107" s="321" t="s">
        <v>1825</v>
      </c>
      <c r="E107" s="321" t="s">
        <v>1826</v>
      </c>
      <c r="F107" s="321" t="s">
        <v>1186</v>
      </c>
      <c r="G107" s="321" t="s">
        <v>1186</v>
      </c>
      <c r="H107" s="335" t="s">
        <v>1186</v>
      </c>
      <c r="I107" s="335"/>
    </row>
    <row r="108">
      <c r="A108" s="321" t="s">
        <v>1187</v>
      </c>
      <c r="B108" s="321" t="s">
        <v>1827</v>
      </c>
      <c r="C108" s="321" t="s">
        <v>1828</v>
      </c>
      <c r="D108" s="321" t="s">
        <v>1829</v>
      </c>
      <c r="E108" s="321" t="s">
        <v>1830</v>
      </c>
      <c r="F108" s="321" t="s">
        <v>1187</v>
      </c>
      <c r="G108" s="321" t="s">
        <v>1187</v>
      </c>
      <c r="H108" s="334" t="s">
        <v>1187</v>
      </c>
      <c r="I108" s="334"/>
    </row>
    <row r="109">
      <c r="A109" s="321" t="s">
        <v>1089</v>
      </c>
      <c r="B109" s="321" t="s">
        <v>1089</v>
      </c>
      <c r="C109" s="321" t="s">
        <v>1831</v>
      </c>
      <c r="D109" s="321" t="s">
        <v>1089</v>
      </c>
      <c r="E109" s="321" t="s">
        <v>1832</v>
      </c>
      <c r="F109" s="321" t="s">
        <v>1089</v>
      </c>
      <c r="G109" s="321" t="s">
        <v>1089</v>
      </c>
      <c r="H109" s="335" t="s">
        <v>1089</v>
      </c>
      <c r="I109" s="335"/>
    </row>
    <row r="110">
      <c r="A110" s="321" t="s">
        <v>1090</v>
      </c>
      <c r="B110" s="321" t="s">
        <v>1833</v>
      </c>
      <c r="C110" s="321" t="s">
        <v>1834</v>
      </c>
      <c r="D110" s="321" t="s">
        <v>1835</v>
      </c>
      <c r="E110" s="321" t="s">
        <v>1836</v>
      </c>
      <c r="F110" s="321" t="s">
        <v>1090</v>
      </c>
      <c r="G110" s="321" t="s">
        <v>1090</v>
      </c>
      <c r="H110" s="334" t="s">
        <v>1090</v>
      </c>
      <c r="I110" s="334"/>
    </row>
    <row r="111">
      <c r="A111" s="321" t="s">
        <v>1159</v>
      </c>
      <c r="B111" s="321" t="s">
        <v>1837</v>
      </c>
      <c r="C111" s="321" t="s">
        <v>1838</v>
      </c>
      <c r="D111" s="321" t="s">
        <v>1839</v>
      </c>
      <c r="E111" s="321" t="s">
        <v>1840</v>
      </c>
      <c r="F111" s="321" t="s">
        <v>1159</v>
      </c>
      <c r="G111" s="321" t="s">
        <v>1159</v>
      </c>
      <c r="H111" s="335" t="s">
        <v>1159</v>
      </c>
      <c r="I111" s="335"/>
    </row>
    <row r="112">
      <c r="A112" s="321" t="s">
        <v>1160</v>
      </c>
      <c r="B112" s="321" t="s">
        <v>1841</v>
      </c>
      <c r="C112" s="321" t="s">
        <v>1842</v>
      </c>
      <c r="D112" s="321" t="s">
        <v>1843</v>
      </c>
      <c r="E112" s="321" t="s">
        <v>1844</v>
      </c>
      <c r="F112" s="321" t="s">
        <v>1160</v>
      </c>
      <c r="G112" s="321" t="s">
        <v>1160</v>
      </c>
      <c r="H112" s="334" t="s">
        <v>1160</v>
      </c>
      <c r="I112" s="334"/>
    </row>
    <row r="113">
      <c r="A113" s="321" t="s">
        <v>1139</v>
      </c>
      <c r="B113" s="321" t="s">
        <v>1845</v>
      </c>
      <c r="C113" s="321" t="s">
        <v>1846</v>
      </c>
      <c r="D113" s="321" t="s">
        <v>1847</v>
      </c>
      <c r="E113" s="321" t="s">
        <v>1848</v>
      </c>
      <c r="F113" s="321" t="s">
        <v>1139</v>
      </c>
      <c r="G113" s="321" t="s">
        <v>1139</v>
      </c>
      <c r="H113" s="335" t="s">
        <v>1139</v>
      </c>
      <c r="I113" s="335"/>
    </row>
    <row r="114">
      <c r="A114" s="321" t="s">
        <v>1140</v>
      </c>
      <c r="B114" s="321" t="s">
        <v>1849</v>
      </c>
      <c r="C114" s="321" t="s">
        <v>1850</v>
      </c>
      <c r="D114" s="321" t="s">
        <v>1851</v>
      </c>
      <c r="E114" s="321" t="s">
        <v>1140</v>
      </c>
      <c r="F114" s="321" t="s">
        <v>1140</v>
      </c>
      <c r="G114" s="321" t="s">
        <v>1140</v>
      </c>
      <c r="H114" s="334" t="s">
        <v>1140</v>
      </c>
      <c r="I114" s="334"/>
    </row>
    <row r="115">
      <c r="A115" s="321" t="s">
        <v>1234</v>
      </c>
      <c r="B115" s="321" t="s">
        <v>1852</v>
      </c>
      <c r="C115" s="321" t="s">
        <v>1853</v>
      </c>
      <c r="D115" s="321" t="s">
        <v>1854</v>
      </c>
      <c r="E115" s="321" t="s">
        <v>1855</v>
      </c>
      <c r="F115" s="321" t="s">
        <v>1856</v>
      </c>
      <c r="G115" s="321" t="s">
        <v>1856</v>
      </c>
      <c r="H115" s="335" t="s">
        <v>1234</v>
      </c>
      <c r="I115" s="335"/>
    </row>
    <row r="116">
      <c r="A116" s="321" t="s">
        <v>1235</v>
      </c>
      <c r="B116" s="321" t="s">
        <v>1235</v>
      </c>
      <c r="C116" s="321" t="s">
        <v>1857</v>
      </c>
      <c r="D116" s="321" t="s">
        <v>1858</v>
      </c>
      <c r="E116" s="321" t="s">
        <v>1859</v>
      </c>
      <c r="F116" s="321" t="s">
        <v>1235</v>
      </c>
      <c r="G116" s="321" t="s">
        <v>1235</v>
      </c>
      <c r="H116" s="334" t="s">
        <v>1235</v>
      </c>
      <c r="I116" s="334"/>
    </row>
    <row r="117">
      <c r="A117" s="321" t="s">
        <v>1236</v>
      </c>
      <c r="B117" s="321" t="s">
        <v>1236</v>
      </c>
      <c r="C117" s="321" t="s">
        <v>1860</v>
      </c>
      <c r="D117" s="321" t="s">
        <v>1861</v>
      </c>
      <c r="E117" s="321" t="s">
        <v>1862</v>
      </c>
      <c r="F117" s="321" t="s">
        <v>1236</v>
      </c>
      <c r="G117" s="321" t="s">
        <v>1236</v>
      </c>
      <c r="H117" s="335" t="s">
        <v>1236</v>
      </c>
      <c r="I117" s="335"/>
    </row>
    <row r="118">
      <c r="A118" s="321" t="s">
        <v>1109</v>
      </c>
      <c r="B118" s="321" t="s">
        <v>1863</v>
      </c>
      <c r="C118" s="321" t="s">
        <v>1864</v>
      </c>
      <c r="D118" s="321" t="s">
        <v>1865</v>
      </c>
      <c r="E118" s="321" t="s">
        <v>1866</v>
      </c>
      <c r="F118" s="321" t="s">
        <v>1109</v>
      </c>
      <c r="G118" s="321" t="s">
        <v>1109</v>
      </c>
      <c r="H118" s="334" t="s">
        <v>1109</v>
      </c>
      <c r="I118" s="334"/>
    </row>
    <row r="119">
      <c r="A119" s="321" t="s">
        <v>1110</v>
      </c>
      <c r="B119" s="321" t="s">
        <v>1867</v>
      </c>
      <c r="C119" s="321" t="s">
        <v>1868</v>
      </c>
      <c r="D119" s="321" t="s">
        <v>1869</v>
      </c>
      <c r="E119" s="321" t="s">
        <v>1870</v>
      </c>
      <c r="F119" s="321" t="s">
        <v>1110</v>
      </c>
      <c r="G119" s="321" t="s">
        <v>1110</v>
      </c>
      <c r="H119" s="335" t="s">
        <v>1110</v>
      </c>
      <c r="I119" s="335"/>
    </row>
    <row r="120">
      <c r="A120" s="321" t="s">
        <v>1211</v>
      </c>
      <c r="B120" s="321" t="s">
        <v>1871</v>
      </c>
      <c r="C120" s="321" t="s">
        <v>1872</v>
      </c>
      <c r="D120" s="321" t="s">
        <v>1873</v>
      </c>
      <c r="E120" s="321" t="s">
        <v>1874</v>
      </c>
      <c r="F120" s="321" t="s">
        <v>1211</v>
      </c>
      <c r="G120" s="321" t="s">
        <v>1211</v>
      </c>
      <c r="H120" s="334" t="s">
        <v>1211</v>
      </c>
      <c r="I120" s="334"/>
    </row>
    <row r="121">
      <c r="A121" s="321" t="s">
        <v>1212</v>
      </c>
      <c r="B121" s="321" t="s">
        <v>1875</v>
      </c>
      <c r="C121" s="321" t="s">
        <v>1876</v>
      </c>
      <c r="D121" s="321" t="s">
        <v>1877</v>
      </c>
      <c r="E121" s="321" t="s">
        <v>1878</v>
      </c>
      <c r="F121" s="321" t="s">
        <v>1212</v>
      </c>
      <c r="G121" s="321" t="s">
        <v>1212</v>
      </c>
      <c r="H121" s="335" t="s">
        <v>1212</v>
      </c>
      <c r="I121" s="335"/>
    </row>
    <row r="122">
      <c r="A122" s="321" t="s">
        <v>1111</v>
      </c>
      <c r="B122" s="321" t="s">
        <v>1879</v>
      </c>
      <c r="C122" s="321" t="s">
        <v>1880</v>
      </c>
      <c r="D122" s="321" t="s">
        <v>1111</v>
      </c>
      <c r="E122" s="321" t="s">
        <v>1881</v>
      </c>
      <c r="F122" s="321" t="s">
        <v>1111</v>
      </c>
      <c r="G122" s="321" t="s">
        <v>1111</v>
      </c>
      <c r="H122" s="334" t="s">
        <v>1111</v>
      </c>
      <c r="I122" s="334"/>
    </row>
    <row r="123">
      <c r="A123" s="321" t="s">
        <v>1112</v>
      </c>
      <c r="B123" s="321" t="s">
        <v>1882</v>
      </c>
      <c r="C123" s="321" t="s">
        <v>1883</v>
      </c>
      <c r="D123" s="321" t="s">
        <v>1884</v>
      </c>
      <c r="E123" s="321" t="s">
        <v>1885</v>
      </c>
      <c r="F123" s="321" t="s">
        <v>1112</v>
      </c>
      <c r="G123" s="321" t="s">
        <v>1112</v>
      </c>
      <c r="H123" s="335" t="s">
        <v>1112</v>
      </c>
      <c r="I123" s="335"/>
    </row>
    <row r="124">
      <c r="A124" s="321" t="s">
        <v>1161</v>
      </c>
      <c r="B124" s="321" t="s">
        <v>1886</v>
      </c>
      <c r="C124" s="321" t="s">
        <v>1887</v>
      </c>
      <c r="D124" s="321" t="s">
        <v>1888</v>
      </c>
      <c r="E124" s="321" t="s">
        <v>1889</v>
      </c>
      <c r="F124" s="321" t="s">
        <v>1161</v>
      </c>
      <c r="G124" s="321" t="s">
        <v>1161</v>
      </c>
      <c r="H124" s="334" t="s">
        <v>1161</v>
      </c>
      <c r="I124" s="334"/>
    </row>
    <row r="125">
      <c r="A125" s="321" t="s">
        <v>1162</v>
      </c>
      <c r="B125" s="321" t="s">
        <v>1890</v>
      </c>
      <c r="C125" s="321" t="s">
        <v>1891</v>
      </c>
      <c r="D125" s="321" t="s">
        <v>1892</v>
      </c>
      <c r="E125" s="321" t="s">
        <v>1893</v>
      </c>
      <c r="F125" s="321" t="s">
        <v>1162</v>
      </c>
      <c r="G125" s="321" t="s">
        <v>1162</v>
      </c>
      <c r="H125" s="335" t="s">
        <v>1162</v>
      </c>
      <c r="I125" s="335"/>
    </row>
    <row r="126">
      <c r="A126" s="321" t="s">
        <v>1163</v>
      </c>
      <c r="B126" s="321" t="s">
        <v>1894</v>
      </c>
      <c r="C126" s="321" t="s">
        <v>1895</v>
      </c>
      <c r="D126" s="321" t="s">
        <v>1896</v>
      </c>
      <c r="E126" s="321" t="s">
        <v>1163</v>
      </c>
      <c r="F126" s="321" t="s">
        <v>1163</v>
      </c>
      <c r="G126" s="321" t="s">
        <v>1163</v>
      </c>
      <c r="H126" s="334" t="s">
        <v>1163</v>
      </c>
      <c r="I126" s="334"/>
    </row>
    <row r="127">
      <c r="A127" s="321" t="s">
        <v>1188</v>
      </c>
      <c r="B127" s="321" t="s">
        <v>1188</v>
      </c>
      <c r="C127" s="321" t="s">
        <v>1897</v>
      </c>
      <c r="D127" s="321" t="s">
        <v>1898</v>
      </c>
      <c r="E127" s="321" t="s">
        <v>1188</v>
      </c>
      <c r="F127" s="321" t="s">
        <v>1188</v>
      </c>
      <c r="G127" s="321" t="s">
        <v>1188</v>
      </c>
      <c r="H127" s="335" t="s">
        <v>1188</v>
      </c>
      <c r="I127" s="335"/>
    </row>
    <row r="128">
      <c r="A128" s="321" t="s">
        <v>1164</v>
      </c>
      <c r="B128" s="321" t="s">
        <v>1899</v>
      </c>
      <c r="C128" s="321" t="s">
        <v>1900</v>
      </c>
      <c r="D128" s="321" t="s">
        <v>1901</v>
      </c>
      <c r="E128" s="321" t="s">
        <v>1902</v>
      </c>
      <c r="F128" s="321" t="s">
        <v>1164</v>
      </c>
      <c r="G128" s="321" t="s">
        <v>1164</v>
      </c>
      <c r="H128" s="334" t="s">
        <v>1164</v>
      </c>
      <c r="I128" s="334"/>
    </row>
    <row r="129">
      <c r="A129" s="321" t="s">
        <v>1165</v>
      </c>
      <c r="B129" s="321" t="s">
        <v>1903</v>
      </c>
      <c r="C129" s="321" t="s">
        <v>1904</v>
      </c>
      <c r="D129" s="321" t="s">
        <v>1905</v>
      </c>
      <c r="E129" s="321" t="s">
        <v>1165</v>
      </c>
      <c r="F129" s="321" t="s">
        <v>1165</v>
      </c>
      <c r="G129" s="321" t="s">
        <v>1165</v>
      </c>
      <c r="H129" s="335" t="s">
        <v>1165</v>
      </c>
      <c r="I129" s="335"/>
    </row>
    <row r="130">
      <c r="A130" s="321" t="s">
        <v>1113</v>
      </c>
      <c r="B130" s="321" t="s">
        <v>1113</v>
      </c>
      <c r="C130" s="321" t="s">
        <v>1906</v>
      </c>
      <c r="D130" s="321" t="s">
        <v>1907</v>
      </c>
      <c r="E130" s="321" t="s">
        <v>1113</v>
      </c>
      <c r="F130" s="321" t="s">
        <v>1113</v>
      </c>
      <c r="G130" s="321" t="s">
        <v>1113</v>
      </c>
      <c r="H130" s="334" t="s">
        <v>1113</v>
      </c>
      <c r="I130" s="334"/>
    </row>
    <row r="131">
      <c r="A131" s="321" t="s">
        <v>1114</v>
      </c>
      <c r="B131" s="321" t="s">
        <v>1908</v>
      </c>
      <c r="C131" s="321" t="s">
        <v>1909</v>
      </c>
      <c r="D131" s="321" t="s">
        <v>1114</v>
      </c>
      <c r="E131" s="321" t="s">
        <v>1114</v>
      </c>
      <c r="F131" s="321" t="s">
        <v>1114</v>
      </c>
      <c r="G131" s="321" t="s">
        <v>1114</v>
      </c>
      <c r="H131" s="335" t="s">
        <v>1114</v>
      </c>
      <c r="I131" s="335"/>
    </row>
    <row r="132">
      <c r="A132" s="321" t="s">
        <v>1141</v>
      </c>
      <c r="B132" s="321" t="s">
        <v>1910</v>
      </c>
      <c r="C132" s="321" t="s">
        <v>1911</v>
      </c>
      <c r="D132" s="321" t="s">
        <v>1912</v>
      </c>
      <c r="E132" s="321" t="s">
        <v>1913</v>
      </c>
      <c r="F132" s="321" t="s">
        <v>1141</v>
      </c>
      <c r="G132" s="321" t="s">
        <v>1141</v>
      </c>
      <c r="H132" s="334" t="s">
        <v>1141</v>
      </c>
      <c r="I132" s="334"/>
    </row>
    <row r="133">
      <c r="A133" s="321" t="s">
        <v>1142</v>
      </c>
      <c r="B133" s="321" t="s">
        <v>1914</v>
      </c>
      <c r="C133" s="321" t="s">
        <v>1915</v>
      </c>
      <c r="D133" s="321" t="s">
        <v>1916</v>
      </c>
      <c r="E133" s="321" t="s">
        <v>1917</v>
      </c>
      <c r="F133" s="321" t="s">
        <v>1142</v>
      </c>
      <c r="G133" s="321" t="s">
        <v>1142</v>
      </c>
      <c r="H133" s="335" t="s">
        <v>1142</v>
      </c>
      <c r="I133" s="335"/>
    </row>
    <row r="134">
      <c r="A134" s="321" t="s">
        <v>1072</v>
      </c>
      <c r="B134" s="321" t="s">
        <v>1918</v>
      </c>
      <c r="C134" s="321" t="s">
        <v>1919</v>
      </c>
      <c r="D134" s="321" t="s">
        <v>1920</v>
      </c>
      <c r="E134" s="321" t="s">
        <v>1921</v>
      </c>
      <c r="F134" s="321" t="s">
        <v>1072</v>
      </c>
      <c r="G134" s="321" t="s">
        <v>1072</v>
      </c>
      <c r="H134" s="334" t="s">
        <v>1072</v>
      </c>
      <c r="I134" s="334"/>
    </row>
    <row r="135">
      <c r="A135" s="321" t="s">
        <v>1073</v>
      </c>
      <c r="B135" s="321" t="s">
        <v>1922</v>
      </c>
      <c r="C135" s="321" t="s">
        <v>1923</v>
      </c>
      <c r="D135" s="321" t="s">
        <v>1924</v>
      </c>
      <c r="E135" s="321" t="s">
        <v>1925</v>
      </c>
      <c r="F135" s="321" t="s">
        <v>1073</v>
      </c>
      <c r="G135" s="321" t="s">
        <v>1073</v>
      </c>
      <c r="H135" s="335" t="s">
        <v>1073</v>
      </c>
      <c r="I135" s="335"/>
    </row>
    <row r="136">
      <c r="A136" s="321" t="s">
        <v>1189</v>
      </c>
      <c r="B136" s="321" t="s">
        <v>1926</v>
      </c>
      <c r="C136" s="321" t="s">
        <v>1927</v>
      </c>
      <c r="D136" s="321" t="s">
        <v>1928</v>
      </c>
      <c r="E136" s="321" t="s">
        <v>1929</v>
      </c>
      <c r="F136" s="321" t="s">
        <v>1189</v>
      </c>
      <c r="G136" s="321" t="s">
        <v>1189</v>
      </c>
      <c r="H136" s="334" t="s">
        <v>1189</v>
      </c>
      <c r="I136" s="334"/>
    </row>
    <row r="137">
      <c r="A137" s="321" t="s">
        <v>1190</v>
      </c>
      <c r="B137" s="321" t="s">
        <v>1930</v>
      </c>
      <c r="C137" s="321" t="s">
        <v>1931</v>
      </c>
      <c r="D137" s="321" t="s">
        <v>1932</v>
      </c>
      <c r="E137" s="321" t="s">
        <v>1933</v>
      </c>
      <c r="F137" s="321" t="s">
        <v>1190</v>
      </c>
      <c r="G137" s="321" t="s">
        <v>1190</v>
      </c>
      <c r="H137" s="335" t="s">
        <v>1190</v>
      </c>
      <c r="I137" s="335"/>
    </row>
    <row r="138">
      <c r="A138" s="321" t="s">
        <v>1191</v>
      </c>
      <c r="B138" s="321" t="s">
        <v>1934</v>
      </c>
      <c r="C138" s="321" t="s">
        <v>1935</v>
      </c>
      <c r="D138" s="321" t="s">
        <v>1936</v>
      </c>
      <c r="E138" s="321" t="s">
        <v>1934</v>
      </c>
      <c r="F138" s="321" t="s">
        <v>1191</v>
      </c>
      <c r="G138" s="321" t="s">
        <v>1191</v>
      </c>
      <c r="H138" s="334" t="s">
        <v>1191</v>
      </c>
      <c r="I138" s="334"/>
    </row>
    <row r="139">
      <c r="A139" s="321" t="s">
        <v>1192</v>
      </c>
      <c r="B139" s="321" t="s">
        <v>1937</v>
      </c>
      <c r="C139" s="321" t="s">
        <v>1938</v>
      </c>
      <c r="D139" s="321" t="s">
        <v>1939</v>
      </c>
      <c r="E139" s="321" t="s">
        <v>1940</v>
      </c>
      <c r="F139" s="321" t="s">
        <v>1192</v>
      </c>
      <c r="G139" s="321" t="s">
        <v>1192</v>
      </c>
      <c r="H139" s="335" t="s">
        <v>1192</v>
      </c>
      <c r="I139" s="335"/>
    </row>
    <row r="140">
      <c r="A140" s="321" t="s">
        <v>1237</v>
      </c>
      <c r="B140" s="321" t="s">
        <v>1941</v>
      </c>
      <c r="C140" s="321" t="s">
        <v>1942</v>
      </c>
      <c r="D140" s="321" t="s">
        <v>1943</v>
      </c>
      <c r="E140" s="321" t="s">
        <v>1944</v>
      </c>
      <c r="F140" s="321" t="s">
        <v>1237</v>
      </c>
      <c r="G140" s="321" t="s">
        <v>1237</v>
      </c>
      <c r="H140" s="334" t="s">
        <v>1237</v>
      </c>
      <c r="I140" s="334"/>
    </row>
    <row r="141">
      <c r="A141" s="321" t="s">
        <v>1213</v>
      </c>
      <c r="B141" s="321" t="s">
        <v>1945</v>
      </c>
      <c r="C141" s="321" t="s">
        <v>1946</v>
      </c>
      <c r="D141" s="321" t="s">
        <v>1947</v>
      </c>
      <c r="E141" s="321" t="s">
        <v>1948</v>
      </c>
      <c r="F141" s="321" t="s">
        <v>1213</v>
      </c>
      <c r="G141" s="321" t="s">
        <v>1213</v>
      </c>
      <c r="H141" s="335" t="s">
        <v>1213</v>
      </c>
      <c r="I141" s="335"/>
    </row>
    <row r="142">
      <c r="A142" s="321" t="s">
        <v>1214</v>
      </c>
      <c r="B142" s="321" t="s">
        <v>1949</v>
      </c>
      <c r="C142" s="321" t="s">
        <v>1950</v>
      </c>
      <c r="D142" s="321" t="s">
        <v>1951</v>
      </c>
      <c r="E142" s="321" t="s">
        <v>1952</v>
      </c>
      <c r="F142" s="321" t="s">
        <v>1214</v>
      </c>
      <c r="G142" s="321" t="s">
        <v>1214</v>
      </c>
      <c r="H142" s="334" t="s">
        <v>1214</v>
      </c>
      <c r="I142" s="334"/>
    </row>
    <row r="143">
      <c r="A143" s="321" t="s">
        <v>1193</v>
      </c>
      <c r="B143" s="321" t="s">
        <v>1953</v>
      </c>
      <c r="C143" s="321" t="s">
        <v>1954</v>
      </c>
      <c r="D143" s="321" t="s">
        <v>1955</v>
      </c>
      <c r="E143" s="321" t="s">
        <v>1956</v>
      </c>
      <c r="F143" s="321" t="s">
        <v>1193</v>
      </c>
      <c r="G143" s="321" t="s">
        <v>1193</v>
      </c>
      <c r="H143" s="335" t="s">
        <v>1193</v>
      </c>
      <c r="I143" s="335"/>
    </row>
    <row r="144">
      <c r="A144" s="321" t="s">
        <v>1194</v>
      </c>
      <c r="B144" s="321" t="s">
        <v>1957</v>
      </c>
      <c r="C144" s="321" t="s">
        <v>1958</v>
      </c>
      <c r="D144" s="321" t="s">
        <v>1959</v>
      </c>
      <c r="E144" s="321" t="s">
        <v>1960</v>
      </c>
      <c r="F144" s="321" t="s">
        <v>1194</v>
      </c>
      <c r="G144" s="321" t="s">
        <v>1194</v>
      </c>
      <c r="H144" s="334" t="s">
        <v>1194</v>
      </c>
      <c r="I144" s="334"/>
    </row>
    <row r="145">
      <c r="A145" s="321" t="s">
        <v>1238</v>
      </c>
      <c r="B145" s="321" t="s">
        <v>1961</v>
      </c>
      <c r="C145" s="321" t="s">
        <v>1962</v>
      </c>
      <c r="D145" s="321" t="s">
        <v>1963</v>
      </c>
      <c r="E145" s="321" t="s">
        <v>1964</v>
      </c>
      <c r="F145" s="321" t="s">
        <v>1238</v>
      </c>
      <c r="G145" s="321" t="s">
        <v>1238</v>
      </c>
      <c r="H145" s="335" t="s">
        <v>1238</v>
      </c>
      <c r="I145" s="335"/>
    </row>
    <row r="146">
      <c r="A146" s="321" t="s">
        <v>1074</v>
      </c>
      <c r="B146" s="321" t="s">
        <v>1965</v>
      </c>
      <c r="C146" s="321" t="s">
        <v>1966</v>
      </c>
      <c r="D146" s="321" t="s">
        <v>1967</v>
      </c>
      <c r="E146" s="321" t="s">
        <v>1074</v>
      </c>
      <c r="F146" s="321" t="s">
        <v>1074</v>
      </c>
      <c r="G146" s="321" t="s">
        <v>1074</v>
      </c>
      <c r="H146" s="334" t="s">
        <v>1074</v>
      </c>
      <c r="I146" s="334"/>
    </row>
    <row r="147">
      <c r="A147" s="321" t="s">
        <v>1239</v>
      </c>
      <c r="B147" s="321" t="s">
        <v>1968</v>
      </c>
      <c r="C147" s="321" t="s">
        <v>1969</v>
      </c>
      <c r="D147" s="321" t="s">
        <v>1970</v>
      </c>
      <c r="E147" s="321" t="s">
        <v>1971</v>
      </c>
      <c r="F147" s="321" t="s">
        <v>1239</v>
      </c>
      <c r="G147" s="321" t="s">
        <v>1239</v>
      </c>
      <c r="H147" s="335" t="s">
        <v>1239</v>
      </c>
      <c r="I147" s="335"/>
    </row>
    <row r="148">
      <c r="A148" s="321" t="s">
        <v>1115</v>
      </c>
      <c r="B148" s="321" t="s">
        <v>1972</v>
      </c>
      <c r="C148" s="321" t="s">
        <v>1973</v>
      </c>
      <c r="D148" s="321" t="s">
        <v>1974</v>
      </c>
      <c r="E148" s="321" t="s">
        <v>1975</v>
      </c>
      <c r="F148" s="321" t="s">
        <v>1115</v>
      </c>
      <c r="G148" s="321" t="s">
        <v>1115</v>
      </c>
      <c r="H148" s="334" t="s">
        <v>1115</v>
      </c>
      <c r="I148" s="334"/>
    </row>
    <row r="149">
      <c r="A149" s="321" t="s">
        <v>1116</v>
      </c>
      <c r="B149" s="321" t="s">
        <v>1976</v>
      </c>
      <c r="C149" s="321" t="s">
        <v>1977</v>
      </c>
      <c r="D149" s="321" t="s">
        <v>1116</v>
      </c>
      <c r="E149" s="321" t="s">
        <v>1978</v>
      </c>
      <c r="F149" s="321" t="s">
        <v>1116</v>
      </c>
      <c r="G149" s="321" t="s">
        <v>1116</v>
      </c>
      <c r="H149" s="335" t="s">
        <v>1116</v>
      </c>
      <c r="I149" s="335"/>
    </row>
    <row r="150">
      <c r="A150" s="321" t="s">
        <v>1117</v>
      </c>
      <c r="B150" s="321" t="s">
        <v>1979</v>
      </c>
      <c r="C150" s="321" t="s">
        <v>1980</v>
      </c>
      <c r="D150" s="321" t="s">
        <v>1981</v>
      </c>
      <c r="E150" s="321" t="s">
        <v>1982</v>
      </c>
      <c r="F150" s="321" t="s">
        <v>1117</v>
      </c>
      <c r="G150" s="321" t="s">
        <v>1117</v>
      </c>
      <c r="H150" s="334" t="s">
        <v>1117</v>
      </c>
      <c r="I150" s="334"/>
    </row>
    <row r="151">
      <c r="A151" s="321" t="s">
        <v>1118</v>
      </c>
      <c r="B151" s="321" t="s">
        <v>1983</v>
      </c>
      <c r="C151" s="321" t="s">
        <v>1984</v>
      </c>
      <c r="D151" s="321" t="s">
        <v>1985</v>
      </c>
      <c r="E151" s="321" t="s">
        <v>1986</v>
      </c>
      <c r="F151" s="321" t="s">
        <v>1118</v>
      </c>
      <c r="G151" s="321" t="s">
        <v>1118</v>
      </c>
      <c r="H151" s="335" t="s">
        <v>1118</v>
      </c>
      <c r="I151" s="335"/>
    </row>
    <row r="152">
      <c r="A152" s="321" t="s">
        <v>1119</v>
      </c>
      <c r="B152" s="321" t="s">
        <v>1987</v>
      </c>
      <c r="C152" s="321" t="s">
        <v>1988</v>
      </c>
      <c r="D152" s="321" t="s">
        <v>1989</v>
      </c>
      <c r="E152" s="321" t="s">
        <v>1990</v>
      </c>
      <c r="F152" s="321" t="s">
        <v>1119</v>
      </c>
      <c r="G152" s="321" t="s">
        <v>1119</v>
      </c>
      <c r="H152" s="334" t="s">
        <v>1119</v>
      </c>
      <c r="I152" s="334"/>
    </row>
    <row r="153">
      <c r="A153" s="321" t="s">
        <v>1120</v>
      </c>
      <c r="B153" s="321" t="s">
        <v>1991</v>
      </c>
      <c r="C153" s="321" t="s">
        <v>1992</v>
      </c>
      <c r="D153" s="321" t="s">
        <v>1120</v>
      </c>
      <c r="E153" s="321" t="s">
        <v>1120</v>
      </c>
      <c r="F153" s="321" t="s">
        <v>1120</v>
      </c>
      <c r="G153" s="321" t="s">
        <v>1120</v>
      </c>
      <c r="H153" s="335" t="s">
        <v>1120</v>
      </c>
      <c r="I153" s="335"/>
    </row>
    <row r="154">
      <c r="A154" s="321" t="s">
        <v>1166</v>
      </c>
      <c r="B154" s="321" t="s">
        <v>1993</v>
      </c>
      <c r="C154" s="321" t="s">
        <v>1994</v>
      </c>
      <c r="D154" s="321" t="s">
        <v>1995</v>
      </c>
      <c r="E154" s="321" t="s">
        <v>1996</v>
      </c>
      <c r="F154" s="321" t="s">
        <v>1166</v>
      </c>
      <c r="G154" s="321" t="s">
        <v>1166</v>
      </c>
      <c r="H154" s="334" t="s">
        <v>1166</v>
      </c>
      <c r="I154" s="334"/>
    </row>
    <row r="155">
      <c r="A155" s="321" t="s">
        <v>1075</v>
      </c>
      <c r="B155" s="321" t="s">
        <v>1997</v>
      </c>
      <c r="C155" s="321" t="s">
        <v>1998</v>
      </c>
      <c r="D155" s="321" t="s">
        <v>1999</v>
      </c>
      <c r="E155" s="321" t="s">
        <v>2000</v>
      </c>
      <c r="F155" s="321" t="s">
        <v>1075</v>
      </c>
      <c r="G155" s="321" t="s">
        <v>1075</v>
      </c>
      <c r="H155" s="335" t="s">
        <v>1075</v>
      </c>
      <c r="I155" s="335"/>
    </row>
    <row r="156">
      <c r="A156" s="321" t="s">
        <v>1167</v>
      </c>
      <c r="B156" s="321" t="s">
        <v>2001</v>
      </c>
      <c r="C156" s="321" t="s">
        <v>2002</v>
      </c>
      <c r="D156" s="321" t="s">
        <v>2003</v>
      </c>
      <c r="E156" s="321" t="s">
        <v>2004</v>
      </c>
      <c r="F156" s="321" t="s">
        <v>1167</v>
      </c>
      <c r="G156" s="321" t="s">
        <v>1167</v>
      </c>
      <c r="H156" s="334" t="s">
        <v>1167</v>
      </c>
      <c r="I156" s="334"/>
    </row>
    <row r="157">
      <c r="A157" s="321" t="s">
        <v>1143</v>
      </c>
      <c r="B157" s="321" t="s">
        <v>2005</v>
      </c>
      <c r="C157" s="321" t="s">
        <v>2006</v>
      </c>
      <c r="D157" s="321" t="s">
        <v>2007</v>
      </c>
      <c r="E157" s="321" t="s">
        <v>2008</v>
      </c>
      <c r="F157" s="321" t="s">
        <v>1143</v>
      </c>
      <c r="G157" s="321" t="s">
        <v>1143</v>
      </c>
      <c r="H157" s="335" t="s">
        <v>1143</v>
      </c>
      <c r="I157" s="335"/>
    </row>
    <row r="158">
      <c r="A158" s="321" t="s">
        <v>1091</v>
      </c>
      <c r="B158" s="321" t="s">
        <v>1091</v>
      </c>
      <c r="C158" s="321" t="s">
        <v>2009</v>
      </c>
      <c r="D158" s="321" t="s">
        <v>2010</v>
      </c>
      <c r="E158" s="321" t="s">
        <v>1091</v>
      </c>
      <c r="F158" s="321" t="s">
        <v>1091</v>
      </c>
      <c r="G158" s="321" t="s">
        <v>1091</v>
      </c>
      <c r="H158" s="334" t="s">
        <v>1091</v>
      </c>
      <c r="I158" s="334"/>
    </row>
    <row r="159">
      <c r="A159" s="321" t="s">
        <v>1076</v>
      </c>
      <c r="B159" s="321" t="s">
        <v>2011</v>
      </c>
      <c r="C159" s="321" t="s">
        <v>2012</v>
      </c>
      <c r="D159" s="321" t="s">
        <v>2013</v>
      </c>
      <c r="E159" s="321" t="s">
        <v>1076</v>
      </c>
      <c r="F159" s="321" t="s">
        <v>1076</v>
      </c>
      <c r="G159" s="321" t="s">
        <v>1076</v>
      </c>
      <c r="H159" s="335" t="s">
        <v>1076</v>
      </c>
      <c r="I159" s="335"/>
    </row>
    <row r="160">
      <c r="A160" s="321" t="s">
        <v>1240</v>
      </c>
      <c r="B160" s="321" t="s">
        <v>1240</v>
      </c>
      <c r="C160" s="321" t="s">
        <v>2014</v>
      </c>
      <c r="D160" s="321" t="s">
        <v>2015</v>
      </c>
      <c r="E160" s="321" t="s">
        <v>1240</v>
      </c>
      <c r="F160" s="321" t="s">
        <v>1240</v>
      </c>
      <c r="G160" s="321" t="s">
        <v>1240</v>
      </c>
      <c r="H160" s="334" t="s">
        <v>1240</v>
      </c>
      <c r="I160" s="334"/>
    </row>
    <row r="161">
      <c r="A161" s="321" t="s">
        <v>1121</v>
      </c>
      <c r="B161" s="321" t="s">
        <v>2016</v>
      </c>
      <c r="C161" s="321" t="s">
        <v>2017</v>
      </c>
      <c r="D161" s="321" t="s">
        <v>2018</v>
      </c>
      <c r="E161" s="321" t="s">
        <v>2019</v>
      </c>
      <c r="F161" s="321" t="s">
        <v>1121</v>
      </c>
      <c r="G161" s="321" t="s">
        <v>1121</v>
      </c>
      <c r="H161" s="335" t="s">
        <v>1121</v>
      </c>
      <c r="I161" s="335"/>
    </row>
    <row r="162">
      <c r="A162" s="321" t="s">
        <v>1122</v>
      </c>
      <c r="B162" s="321" t="s">
        <v>2020</v>
      </c>
      <c r="C162" s="321" t="s">
        <v>2021</v>
      </c>
      <c r="D162" s="321" t="s">
        <v>1122</v>
      </c>
      <c r="E162" s="321" t="s">
        <v>2022</v>
      </c>
      <c r="F162" s="321" t="s">
        <v>1122</v>
      </c>
      <c r="G162" s="321" t="s">
        <v>1122</v>
      </c>
      <c r="H162" s="334" t="s">
        <v>1122</v>
      </c>
      <c r="I162" s="334"/>
    </row>
    <row r="163">
      <c r="A163" s="321" t="s">
        <v>1123</v>
      </c>
      <c r="B163" s="321" t="s">
        <v>2023</v>
      </c>
      <c r="C163" s="321" t="s">
        <v>2024</v>
      </c>
      <c r="D163" s="321" t="s">
        <v>2025</v>
      </c>
      <c r="E163" s="321" t="s">
        <v>1123</v>
      </c>
      <c r="F163" s="321" t="s">
        <v>1123</v>
      </c>
      <c r="G163" s="321" t="s">
        <v>1123</v>
      </c>
      <c r="H163" s="335" t="s">
        <v>1123</v>
      </c>
      <c r="I163" s="335"/>
    </row>
    <row r="164">
      <c r="A164" s="321" t="s">
        <v>1241</v>
      </c>
      <c r="B164" s="321" t="s">
        <v>2026</v>
      </c>
      <c r="C164" s="321" t="s">
        <v>2027</v>
      </c>
      <c r="D164" s="321" t="s">
        <v>2028</v>
      </c>
      <c r="E164" s="321" t="s">
        <v>1241</v>
      </c>
      <c r="F164" s="321" t="s">
        <v>1241</v>
      </c>
      <c r="G164" s="321" t="s">
        <v>1241</v>
      </c>
      <c r="H164" s="334" t="s">
        <v>1241</v>
      </c>
      <c r="I164" s="334"/>
    </row>
    <row r="165">
      <c r="A165" s="321" t="s">
        <v>1242</v>
      </c>
      <c r="B165" s="321" t="s">
        <v>2029</v>
      </c>
      <c r="C165" s="321" t="s">
        <v>2030</v>
      </c>
      <c r="D165" s="321" t="s">
        <v>2031</v>
      </c>
      <c r="E165" s="321" t="s">
        <v>2032</v>
      </c>
      <c r="F165" s="321" t="s">
        <v>1242</v>
      </c>
      <c r="G165" s="321" t="s">
        <v>1242</v>
      </c>
      <c r="H165" s="335" t="s">
        <v>1242</v>
      </c>
      <c r="I165" s="335"/>
    </row>
    <row r="166">
      <c r="A166" s="321" t="s">
        <v>1124</v>
      </c>
      <c r="B166" s="321" t="s">
        <v>2033</v>
      </c>
      <c r="C166" s="321" t="s">
        <v>2034</v>
      </c>
      <c r="D166" s="321" t="s">
        <v>2035</v>
      </c>
      <c r="E166" s="321" t="s">
        <v>2036</v>
      </c>
      <c r="F166" s="321" t="s">
        <v>1124</v>
      </c>
      <c r="G166" s="321" t="s">
        <v>1124</v>
      </c>
      <c r="H166" s="334" t="s">
        <v>1124</v>
      </c>
      <c r="I166" s="334"/>
    </row>
    <row r="167">
      <c r="A167" s="321" t="s">
        <v>1144</v>
      </c>
      <c r="B167" s="321" t="s">
        <v>2037</v>
      </c>
      <c r="C167" s="321" t="s">
        <v>2038</v>
      </c>
      <c r="D167" s="321" t="s">
        <v>2039</v>
      </c>
      <c r="E167" s="321" t="s">
        <v>2040</v>
      </c>
      <c r="F167" s="321" t="s">
        <v>1144</v>
      </c>
      <c r="G167" s="321" t="s">
        <v>1144</v>
      </c>
      <c r="H167" s="335" t="s">
        <v>1144</v>
      </c>
      <c r="I167" s="335"/>
    </row>
    <row r="168">
      <c r="A168" s="321" t="s">
        <v>1092</v>
      </c>
      <c r="B168" s="321" t="s">
        <v>2041</v>
      </c>
      <c r="C168" s="321" t="s">
        <v>2042</v>
      </c>
      <c r="D168" s="321" t="s">
        <v>2043</v>
      </c>
      <c r="E168" s="321" t="s">
        <v>2044</v>
      </c>
      <c r="F168" s="321" t="s">
        <v>1092</v>
      </c>
      <c r="G168" s="321" t="s">
        <v>1092</v>
      </c>
      <c r="H168" s="334" t="s">
        <v>1092</v>
      </c>
      <c r="I168" s="334"/>
    </row>
    <row r="169">
      <c r="A169" s="321" t="s">
        <v>1243</v>
      </c>
      <c r="B169" s="321" t="s">
        <v>1243</v>
      </c>
      <c r="C169" s="321" t="s">
        <v>2045</v>
      </c>
      <c r="D169" s="321" t="s">
        <v>1243</v>
      </c>
      <c r="E169" s="321" t="s">
        <v>1243</v>
      </c>
      <c r="F169" s="321" t="s">
        <v>1243</v>
      </c>
      <c r="G169" s="321" t="s">
        <v>1243</v>
      </c>
      <c r="H169" s="335" t="s">
        <v>1243</v>
      </c>
      <c r="I169" s="335"/>
    </row>
    <row r="170">
      <c r="A170" s="321" t="s">
        <v>1125</v>
      </c>
      <c r="B170" s="321" t="s">
        <v>2046</v>
      </c>
      <c r="C170" s="321" t="s">
        <v>2047</v>
      </c>
      <c r="D170" s="321" t="s">
        <v>2048</v>
      </c>
      <c r="E170" s="321" t="s">
        <v>2049</v>
      </c>
      <c r="F170" s="321" t="s">
        <v>1125</v>
      </c>
      <c r="G170" s="321" t="s">
        <v>1125</v>
      </c>
      <c r="H170" s="334" t="s">
        <v>1125</v>
      </c>
      <c r="I170" s="334"/>
    </row>
    <row r="171">
      <c r="A171" s="321" t="s">
        <v>1126</v>
      </c>
      <c r="B171" s="321" t="s">
        <v>2050</v>
      </c>
      <c r="C171" s="321" t="s">
        <v>2051</v>
      </c>
      <c r="D171" s="321" t="s">
        <v>2052</v>
      </c>
      <c r="E171" s="321" t="s">
        <v>2053</v>
      </c>
      <c r="F171" s="321" t="s">
        <v>1126</v>
      </c>
      <c r="G171" s="321" t="s">
        <v>1126</v>
      </c>
      <c r="H171" s="335" t="s">
        <v>1126</v>
      </c>
      <c r="I171" s="335"/>
    </row>
    <row r="172">
      <c r="A172" s="321" t="s">
        <v>1195</v>
      </c>
      <c r="B172" s="321" t="s">
        <v>1195</v>
      </c>
      <c r="C172" s="321" t="s">
        <v>2054</v>
      </c>
      <c r="D172" s="321" t="s">
        <v>1195</v>
      </c>
      <c r="E172" s="321" t="s">
        <v>1195</v>
      </c>
      <c r="F172" s="321" t="s">
        <v>1195</v>
      </c>
      <c r="G172" s="321" t="s">
        <v>1195</v>
      </c>
      <c r="H172" s="334" t="s">
        <v>1195</v>
      </c>
      <c r="I172" s="334"/>
    </row>
    <row r="173">
      <c r="A173" s="321" t="s">
        <v>1196</v>
      </c>
      <c r="B173" s="321" t="s">
        <v>1196</v>
      </c>
      <c r="C173" s="321" t="s">
        <v>2055</v>
      </c>
      <c r="D173" s="321" t="s">
        <v>1196</v>
      </c>
      <c r="E173" s="321" t="s">
        <v>1196</v>
      </c>
      <c r="F173" s="321" t="s">
        <v>1196</v>
      </c>
      <c r="G173" s="321" t="s">
        <v>1196</v>
      </c>
      <c r="H173" s="335" t="s">
        <v>1196</v>
      </c>
      <c r="I173" s="335"/>
    </row>
    <row r="174">
      <c r="A174" s="321" t="s">
        <v>1244</v>
      </c>
      <c r="B174" s="321" t="s">
        <v>2056</v>
      </c>
      <c r="C174" s="321" t="s">
        <v>2057</v>
      </c>
      <c r="D174" s="321" t="s">
        <v>2058</v>
      </c>
      <c r="E174" s="321" t="s">
        <v>1244</v>
      </c>
      <c r="F174" s="321" t="s">
        <v>1244</v>
      </c>
      <c r="G174" s="321" t="s">
        <v>1244</v>
      </c>
      <c r="H174" s="334" t="s">
        <v>1244</v>
      </c>
      <c r="I174" s="334"/>
    </row>
    <row r="175">
      <c r="A175" s="321" t="s">
        <v>1245</v>
      </c>
      <c r="B175" s="321" t="s">
        <v>2059</v>
      </c>
      <c r="C175" s="321" t="s">
        <v>2060</v>
      </c>
      <c r="D175" s="321" t="s">
        <v>2061</v>
      </c>
      <c r="E175" s="321" t="s">
        <v>2062</v>
      </c>
      <c r="F175" s="321" t="s">
        <v>1245</v>
      </c>
      <c r="G175" s="321" t="s">
        <v>1245</v>
      </c>
      <c r="H175" s="335" t="s">
        <v>1245</v>
      </c>
      <c r="I175" s="335"/>
    </row>
    <row r="176">
      <c r="A176" s="321" t="s">
        <v>1127</v>
      </c>
      <c r="B176" s="321" t="s">
        <v>2063</v>
      </c>
      <c r="C176" s="321" t="s">
        <v>2064</v>
      </c>
      <c r="D176" s="321" t="s">
        <v>2065</v>
      </c>
      <c r="E176" s="321" t="s">
        <v>2066</v>
      </c>
      <c r="F176" s="321" t="s">
        <v>1127</v>
      </c>
      <c r="G176" s="321" t="s">
        <v>1127</v>
      </c>
      <c r="H176" s="334" t="s">
        <v>1127</v>
      </c>
      <c r="I176" s="334"/>
    </row>
    <row r="177">
      <c r="A177" s="321" t="s">
        <v>1145</v>
      </c>
      <c r="B177" s="321" t="s">
        <v>2067</v>
      </c>
      <c r="C177" s="321" t="s">
        <v>2068</v>
      </c>
      <c r="D177" s="321" t="s">
        <v>2069</v>
      </c>
      <c r="E177" s="321" t="s">
        <v>1145</v>
      </c>
      <c r="F177" s="321" t="s">
        <v>1145</v>
      </c>
      <c r="G177" s="321" t="s">
        <v>1145</v>
      </c>
      <c r="H177" s="335" t="s">
        <v>1145</v>
      </c>
      <c r="I177" s="335"/>
    </row>
    <row r="178">
      <c r="A178" s="321" t="s">
        <v>1093</v>
      </c>
      <c r="B178" s="321" t="s">
        <v>2070</v>
      </c>
      <c r="C178" s="321" t="s">
        <v>2071</v>
      </c>
      <c r="D178" s="321" t="s">
        <v>2072</v>
      </c>
      <c r="E178" s="321" t="s">
        <v>2073</v>
      </c>
      <c r="F178" s="321" t="s">
        <v>1093</v>
      </c>
      <c r="G178" s="321" t="s">
        <v>1093</v>
      </c>
      <c r="H178" s="334" t="s">
        <v>1093</v>
      </c>
      <c r="I178" s="334"/>
    </row>
    <row r="179">
      <c r="A179" s="321" t="s">
        <v>1220</v>
      </c>
      <c r="B179" s="321" t="s">
        <v>2074</v>
      </c>
      <c r="C179" s="321" t="s">
        <v>2075</v>
      </c>
      <c r="D179" s="321" t="s">
        <v>2076</v>
      </c>
      <c r="E179" s="321" t="s">
        <v>1220</v>
      </c>
      <c r="F179" s="321" t="s">
        <v>1220</v>
      </c>
      <c r="G179" s="321" t="s">
        <v>1220</v>
      </c>
      <c r="H179" s="335" t="s">
        <v>1220</v>
      </c>
      <c r="I179" s="335"/>
    </row>
    <row r="180">
      <c r="A180" s="321" t="s">
        <v>1221</v>
      </c>
      <c r="B180" s="321" t="s">
        <v>2077</v>
      </c>
      <c r="C180" s="321" t="s">
        <v>2078</v>
      </c>
      <c r="D180" s="321" t="s">
        <v>2079</v>
      </c>
      <c r="E180" s="321" t="s">
        <v>2080</v>
      </c>
      <c r="F180" s="321" t="s">
        <v>1221</v>
      </c>
      <c r="G180" s="321" t="s">
        <v>1221</v>
      </c>
      <c r="H180" s="334" t="s">
        <v>1221</v>
      </c>
      <c r="I180" s="334"/>
    </row>
    <row r="181">
      <c r="A181" s="321" t="s">
        <v>1222</v>
      </c>
      <c r="B181" s="321" t="s">
        <v>2081</v>
      </c>
      <c r="C181" s="321" t="s">
        <v>2082</v>
      </c>
      <c r="D181" s="321" t="s">
        <v>2083</v>
      </c>
      <c r="E181" s="321" t="s">
        <v>2084</v>
      </c>
      <c r="F181" s="321" t="s">
        <v>1222</v>
      </c>
      <c r="G181" s="321" t="s">
        <v>1222</v>
      </c>
      <c r="H181" s="335" t="s">
        <v>1222</v>
      </c>
      <c r="I181" s="335"/>
    </row>
    <row r="182">
      <c r="A182" s="321" t="s">
        <v>1168</v>
      </c>
      <c r="B182" s="321" t="s">
        <v>1168</v>
      </c>
      <c r="C182" s="321" t="s">
        <v>2085</v>
      </c>
      <c r="D182" s="321" t="s">
        <v>1168</v>
      </c>
      <c r="E182" s="321" t="s">
        <v>2086</v>
      </c>
      <c r="F182" s="321" t="s">
        <v>1168</v>
      </c>
      <c r="G182" s="321" t="s">
        <v>1168</v>
      </c>
      <c r="H182" s="334" t="s">
        <v>1168</v>
      </c>
      <c r="I182" s="334"/>
    </row>
    <row r="183">
      <c r="A183" s="321" t="s">
        <v>27</v>
      </c>
      <c r="B183" s="321" t="s">
        <v>27</v>
      </c>
      <c r="C183" s="321" t="s">
        <v>2087</v>
      </c>
      <c r="D183" s="321" t="s">
        <v>27</v>
      </c>
      <c r="E183" s="321" t="s">
        <v>27</v>
      </c>
      <c r="F183" s="321" t="s">
        <v>27</v>
      </c>
      <c r="G183" s="321" t="s">
        <v>27</v>
      </c>
      <c r="H183" s="335" t="s">
        <v>27</v>
      </c>
      <c r="I183" s="335"/>
    </row>
    <row r="184">
      <c r="A184" s="321" t="s">
        <v>2088</v>
      </c>
      <c r="B184" s="321" t="s">
        <v>2089</v>
      </c>
      <c r="C184" s="321" t="s">
        <v>2090</v>
      </c>
      <c r="D184" s="321" t="s">
        <v>2091</v>
      </c>
      <c r="E184" s="321" t="s">
        <v>2092</v>
      </c>
      <c r="F184" s="321" t="s">
        <v>2088</v>
      </c>
      <c r="G184" s="321" t="s">
        <v>2088</v>
      </c>
      <c r="H184" s="334" t="s">
        <v>2088</v>
      </c>
      <c r="I184" s="334"/>
    </row>
    <row r="185">
      <c r="A185" s="321" t="s">
        <v>2093</v>
      </c>
      <c r="B185" s="321" t="s">
        <v>2094</v>
      </c>
      <c r="C185" s="321" t="s">
        <v>2095</v>
      </c>
      <c r="D185" s="321" t="s">
        <v>2096</v>
      </c>
      <c r="E185" s="321" t="s">
        <v>2097</v>
      </c>
      <c r="F185" s="321" t="s">
        <v>2093</v>
      </c>
      <c r="G185" s="321" t="s">
        <v>2093</v>
      </c>
      <c r="H185" s="335" t="s">
        <v>2093</v>
      </c>
      <c r="I185" s="335"/>
    </row>
    <row r="186">
      <c r="A186" s="321" t="s">
        <v>2098</v>
      </c>
      <c r="B186" s="321" t="s">
        <v>2099</v>
      </c>
      <c r="C186" s="321" t="s">
        <v>2100</v>
      </c>
      <c r="D186" s="321" t="s">
        <v>2098</v>
      </c>
      <c r="E186" s="321" t="s">
        <v>2101</v>
      </c>
      <c r="F186" s="321" t="s">
        <v>2098</v>
      </c>
      <c r="G186" s="321" t="s">
        <v>2098</v>
      </c>
      <c r="H186" s="334" t="s">
        <v>2098</v>
      </c>
      <c r="I186" s="334"/>
    </row>
    <row r="187">
      <c r="A187" s="321" t="s">
        <v>2102</v>
      </c>
      <c r="B187" s="321" t="s">
        <v>2103</v>
      </c>
      <c r="C187" s="321" t="s">
        <v>2104</v>
      </c>
      <c r="D187" s="321" t="s">
        <v>2105</v>
      </c>
      <c r="E187" s="321" t="s">
        <v>2106</v>
      </c>
      <c r="F187" s="321" t="s">
        <v>2102</v>
      </c>
      <c r="G187" s="321" t="s">
        <v>2102</v>
      </c>
      <c r="H187" s="335" t="s">
        <v>2102</v>
      </c>
      <c r="I187" s="335"/>
    </row>
    <row r="188">
      <c r="A188" s="321" t="s">
        <v>2107</v>
      </c>
      <c r="B188" s="321" t="s">
        <v>2108</v>
      </c>
      <c r="C188" s="321" t="s">
        <v>2109</v>
      </c>
      <c r="D188" s="321" t="s">
        <v>2110</v>
      </c>
      <c r="E188" s="321" t="s">
        <v>2111</v>
      </c>
      <c r="F188" s="321" t="s">
        <v>2107</v>
      </c>
      <c r="G188" s="321" t="s">
        <v>2107</v>
      </c>
      <c r="H188" s="334" t="s">
        <v>2107</v>
      </c>
      <c r="I188" s="334"/>
    </row>
    <row r="189">
      <c r="A189" s="321" t="s">
        <v>2112</v>
      </c>
      <c r="B189" s="321" t="s">
        <v>2112</v>
      </c>
      <c r="C189" s="321" t="s">
        <v>2113</v>
      </c>
      <c r="D189" s="321" t="s">
        <v>2114</v>
      </c>
      <c r="E189" s="321" t="s">
        <v>2115</v>
      </c>
      <c r="F189" s="321" t="s">
        <v>2112</v>
      </c>
      <c r="G189" s="321" t="s">
        <v>2112</v>
      </c>
      <c r="H189" s="335" t="s">
        <v>2112</v>
      </c>
      <c r="I189" s="335"/>
    </row>
    <row r="190">
      <c r="A190" s="321" t="s">
        <v>2116</v>
      </c>
      <c r="B190" s="321" t="s">
        <v>2117</v>
      </c>
      <c r="C190" s="321" t="s">
        <v>2118</v>
      </c>
      <c r="D190" s="321" t="s">
        <v>2119</v>
      </c>
      <c r="E190" s="321" t="s">
        <v>2120</v>
      </c>
      <c r="F190" s="321" t="s">
        <v>2116</v>
      </c>
      <c r="G190" s="321" t="s">
        <v>2116</v>
      </c>
      <c r="H190" s="334" t="s">
        <v>2116</v>
      </c>
      <c r="I190" s="334"/>
    </row>
    <row r="191">
      <c r="A191" s="321" t="s">
        <v>2121</v>
      </c>
      <c r="B191" s="321" t="s">
        <v>2122</v>
      </c>
      <c r="C191" s="321" t="s">
        <v>2123</v>
      </c>
      <c r="D191" s="321" t="s">
        <v>2124</v>
      </c>
      <c r="E191" s="321" t="s">
        <v>2125</v>
      </c>
      <c r="F191" s="321" t="s">
        <v>2121</v>
      </c>
      <c r="G191" s="321" t="s">
        <v>2121</v>
      </c>
      <c r="H191" s="335" t="s">
        <v>2121</v>
      </c>
      <c r="I191" s="335"/>
    </row>
    <row r="192">
      <c r="A192" s="321" t="s">
        <v>2126</v>
      </c>
      <c r="B192" s="321" t="s">
        <v>2127</v>
      </c>
      <c r="C192" s="321" t="s">
        <v>2128</v>
      </c>
      <c r="D192" s="321" t="s">
        <v>2129</v>
      </c>
      <c r="E192" s="321" t="s">
        <v>2130</v>
      </c>
      <c r="F192" s="321" t="s">
        <v>2126</v>
      </c>
      <c r="G192" s="321" t="s">
        <v>2126</v>
      </c>
      <c r="H192" s="334" t="s">
        <v>2126</v>
      </c>
      <c r="I192" s="334"/>
    </row>
    <row r="193">
      <c r="A193" s="321" t="s">
        <v>2131</v>
      </c>
      <c r="B193" s="321" t="s">
        <v>2132</v>
      </c>
      <c r="C193" s="321" t="s">
        <v>2133</v>
      </c>
      <c r="D193" s="321" t="s">
        <v>2134</v>
      </c>
      <c r="E193" s="321" t="s">
        <v>2135</v>
      </c>
      <c r="F193" s="321" t="s">
        <v>2131</v>
      </c>
      <c r="G193" s="321" t="s">
        <v>2131</v>
      </c>
      <c r="H193" s="335" t="s">
        <v>2131</v>
      </c>
      <c r="I193" s="335"/>
    </row>
    <row r="194">
      <c r="A194" s="321" t="s">
        <v>2136</v>
      </c>
      <c r="B194" s="321" t="s">
        <v>2137</v>
      </c>
      <c r="C194" s="321" t="s">
        <v>2138</v>
      </c>
      <c r="D194" s="321" t="s">
        <v>2139</v>
      </c>
      <c r="E194" s="321" t="s">
        <v>2140</v>
      </c>
      <c r="F194" s="321" t="s">
        <v>2136</v>
      </c>
      <c r="G194" s="321" t="s">
        <v>2136</v>
      </c>
      <c r="H194" s="334" t="s">
        <v>2136</v>
      </c>
      <c r="I194" s="334"/>
    </row>
    <row r="195">
      <c r="A195" s="321" t="s">
        <v>1466</v>
      </c>
      <c r="B195" s="321" t="s">
        <v>1466</v>
      </c>
      <c r="C195" s="321" t="s">
        <v>2141</v>
      </c>
      <c r="D195" s="321" t="s">
        <v>2142</v>
      </c>
      <c r="E195" s="321" t="s">
        <v>1466</v>
      </c>
      <c r="F195" s="321" t="s">
        <v>1466</v>
      </c>
      <c r="G195" s="321" t="s">
        <v>1466</v>
      </c>
      <c r="H195" s="335" t="s">
        <v>1466</v>
      </c>
      <c r="I195" s="335"/>
    </row>
    <row r="196">
      <c r="A196" s="321" t="s">
        <v>1467</v>
      </c>
      <c r="B196" s="321" t="s">
        <v>2143</v>
      </c>
      <c r="C196" s="321" t="s">
        <v>2144</v>
      </c>
      <c r="D196" s="321" t="s">
        <v>2145</v>
      </c>
      <c r="E196" s="321" t="s">
        <v>2146</v>
      </c>
      <c r="F196" s="321" t="s">
        <v>1467</v>
      </c>
      <c r="G196" s="321" t="s">
        <v>1467</v>
      </c>
      <c r="H196" s="334" t="s">
        <v>1467</v>
      </c>
      <c r="I196" s="334"/>
    </row>
    <row r="197">
      <c r="A197" s="321" t="s">
        <v>2147</v>
      </c>
      <c r="B197" s="321" t="s">
        <v>2148</v>
      </c>
      <c r="C197" s="321" t="s">
        <v>2149</v>
      </c>
      <c r="D197" s="321" t="s">
        <v>2150</v>
      </c>
      <c r="E197" s="321" t="s">
        <v>2147</v>
      </c>
      <c r="F197" s="321" t="s">
        <v>2147</v>
      </c>
      <c r="G197" s="321" t="s">
        <v>2147</v>
      </c>
      <c r="H197" s="335" t="s">
        <v>2147</v>
      </c>
      <c r="I197" s="335"/>
    </row>
    <row r="198">
      <c r="A198" s="321" t="s">
        <v>2151</v>
      </c>
      <c r="B198" s="321" t="s">
        <v>2152</v>
      </c>
      <c r="C198" s="321" t="s">
        <v>2153</v>
      </c>
      <c r="D198" s="321" t="s">
        <v>2154</v>
      </c>
      <c r="E198" s="321" t="s">
        <v>2151</v>
      </c>
      <c r="F198" s="321" t="s">
        <v>2151</v>
      </c>
      <c r="G198" s="321" t="s">
        <v>2151</v>
      </c>
      <c r="H198" s="334" t="s">
        <v>2151</v>
      </c>
      <c r="I198" s="334"/>
    </row>
    <row r="199">
      <c r="A199" s="321" t="s">
        <v>2155</v>
      </c>
      <c r="B199" s="321" t="s">
        <v>2156</v>
      </c>
      <c r="C199" s="321" t="s">
        <v>2157</v>
      </c>
      <c r="D199" s="321" t="s">
        <v>2158</v>
      </c>
      <c r="E199" s="321" t="s">
        <v>2159</v>
      </c>
      <c r="F199" s="321" t="s">
        <v>2155</v>
      </c>
      <c r="G199" s="321" t="s">
        <v>2155</v>
      </c>
      <c r="H199" s="335" t="s">
        <v>2155</v>
      </c>
      <c r="I199" s="335"/>
    </row>
    <row r="200">
      <c r="A200" s="321" t="s">
        <v>2160</v>
      </c>
      <c r="B200" s="321" t="s">
        <v>2161</v>
      </c>
      <c r="C200" s="321" t="s">
        <v>2162</v>
      </c>
      <c r="D200" s="321" t="s">
        <v>2160</v>
      </c>
      <c r="E200" s="321" t="s">
        <v>2160</v>
      </c>
      <c r="F200" s="321" t="s">
        <v>2160</v>
      </c>
      <c r="G200" s="321" t="s">
        <v>2160</v>
      </c>
      <c r="H200" s="334" t="s">
        <v>2160</v>
      </c>
      <c r="I200" s="334"/>
    </row>
    <row r="201">
      <c r="A201" s="321" t="s">
        <v>1465</v>
      </c>
      <c r="B201" s="321" t="s">
        <v>2163</v>
      </c>
      <c r="C201" s="321" t="s">
        <v>2164</v>
      </c>
      <c r="D201" s="321" t="s">
        <v>1465</v>
      </c>
      <c r="E201" s="321" t="s">
        <v>2165</v>
      </c>
      <c r="F201" s="321" t="s">
        <v>1465</v>
      </c>
      <c r="G201" s="321" t="s">
        <v>1465</v>
      </c>
      <c r="H201" s="335" t="s">
        <v>1465</v>
      </c>
      <c r="I201" s="335"/>
    </row>
    <row r="202">
      <c r="A202" s="321" t="s">
        <v>2166</v>
      </c>
      <c r="B202" s="321" t="s">
        <v>2167</v>
      </c>
      <c r="C202" s="321" t="s">
        <v>2168</v>
      </c>
      <c r="D202" s="321" t="s">
        <v>2169</v>
      </c>
      <c r="E202" s="321" t="s">
        <v>2170</v>
      </c>
      <c r="F202" s="321" t="s">
        <v>2166</v>
      </c>
      <c r="G202" s="321" t="s">
        <v>2166</v>
      </c>
      <c r="H202" s="334" t="s">
        <v>2166</v>
      </c>
      <c r="I202" s="334"/>
    </row>
    <row r="203">
      <c r="A203" s="321" t="s">
        <v>2171</v>
      </c>
      <c r="B203" s="321" t="s">
        <v>2171</v>
      </c>
      <c r="C203" s="321" t="s">
        <v>2172</v>
      </c>
      <c r="D203" s="321" t="s">
        <v>2173</v>
      </c>
      <c r="E203" s="321" t="s">
        <v>2171</v>
      </c>
      <c r="F203" s="321" t="s">
        <v>2171</v>
      </c>
      <c r="G203" s="321" t="s">
        <v>2171</v>
      </c>
      <c r="H203" s="335" t="s">
        <v>2171</v>
      </c>
      <c r="I203" s="335"/>
    </row>
    <row r="204">
      <c r="A204" s="321" t="s">
        <v>2174</v>
      </c>
      <c r="B204" s="321" t="s">
        <v>2174</v>
      </c>
      <c r="C204" s="321" t="s">
        <v>2175</v>
      </c>
      <c r="D204" s="321" t="s">
        <v>2174</v>
      </c>
      <c r="E204" s="321" t="s">
        <v>2174</v>
      </c>
      <c r="F204" s="321" t="s">
        <v>2174</v>
      </c>
      <c r="G204" s="321" t="s">
        <v>2174</v>
      </c>
      <c r="H204" s="334" t="s">
        <v>2174</v>
      </c>
      <c r="I204" s="334"/>
    </row>
    <row r="205">
      <c r="A205" s="321" t="s">
        <v>2176</v>
      </c>
      <c r="B205" s="321" t="s">
        <v>2177</v>
      </c>
      <c r="C205" s="321" t="s">
        <v>2178</v>
      </c>
      <c r="D205" s="321" t="s">
        <v>2179</v>
      </c>
      <c r="E205" s="321" t="s">
        <v>2180</v>
      </c>
      <c r="F205" s="321" t="s">
        <v>2176</v>
      </c>
      <c r="G205" s="321" t="s">
        <v>2176</v>
      </c>
      <c r="H205" s="335" t="s">
        <v>2176</v>
      </c>
      <c r="I205" s="335"/>
    </row>
    <row r="206">
      <c r="A206" s="321" t="s">
        <v>2181</v>
      </c>
      <c r="B206" s="321" t="s">
        <v>2182</v>
      </c>
      <c r="C206" s="321" t="s">
        <v>2183</v>
      </c>
      <c r="D206" s="321" t="s">
        <v>2184</v>
      </c>
      <c r="E206" s="321" t="s">
        <v>2185</v>
      </c>
      <c r="F206" s="321" t="s">
        <v>2181</v>
      </c>
      <c r="G206" s="321" t="s">
        <v>2181</v>
      </c>
      <c r="H206" s="334" t="s">
        <v>2181</v>
      </c>
      <c r="I206" s="334"/>
    </row>
    <row r="207">
      <c r="A207" s="321" t="s">
        <v>1277</v>
      </c>
      <c r="B207" s="321" t="s">
        <v>1277</v>
      </c>
      <c r="C207" s="321" t="s">
        <v>2186</v>
      </c>
      <c r="D207" s="321" t="s">
        <v>2187</v>
      </c>
      <c r="E207" s="321" t="s">
        <v>1277</v>
      </c>
      <c r="F207" s="321" t="s">
        <v>1277</v>
      </c>
      <c r="G207" s="321" t="s">
        <v>1277</v>
      </c>
      <c r="H207" s="335" t="s">
        <v>1277</v>
      </c>
      <c r="I207" s="335"/>
    </row>
    <row r="208">
      <c r="A208" s="321" t="s">
        <v>1367</v>
      </c>
      <c r="B208" s="321" t="s">
        <v>1367</v>
      </c>
      <c r="C208" s="321" t="s">
        <v>2188</v>
      </c>
      <c r="D208" s="321" t="s">
        <v>2189</v>
      </c>
      <c r="E208" s="321" t="s">
        <v>1367</v>
      </c>
      <c r="F208" s="321" t="s">
        <v>1367</v>
      </c>
      <c r="G208" s="321" t="s">
        <v>1367</v>
      </c>
      <c r="H208" s="334" t="s">
        <v>1367</v>
      </c>
      <c r="I208" s="334"/>
    </row>
    <row r="209">
      <c r="A209" s="321" t="s">
        <v>2190</v>
      </c>
      <c r="B209" s="321" t="s">
        <v>2190</v>
      </c>
      <c r="C209" s="321" t="s">
        <v>2191</v>
      </c>
      <c r="D209" s="321" t="s">
        <v>2192</v>
      </c>
      <c r="E209" s="321" t="s">
        <v>2190</v>
      </c>
      <c r="F209" s="321" t="s">
        <v>2190</v>
      </c>
      <c r="G209" s="321" t="s">
        <v>2190</v>
      </c>
      <c r="H209" s="335" t="s">
        <v>2190</v>
      </c>
      <c r="I209" s="335"/>
    </row>
    <row r="210">
      <c r="A210" s="321" t="s">
        <v>2193</v>
      </c>
      <c r="B210" s="321" t="s">
        <v>2193</v>
      </c>
      <c r="C210" s="321" t="s">
        <v>2194</v>
      </c>
      <c r="D210" s="321" t="s">
        <v>2195</v>
      </c>
      <c r="E210" s="321" t="s">
        <v>2193</v>
      </c>
      <c r="F210" s="321" t="s">
        <v>2193</v>
      </c>
      <c r="G210" s="321" t="s">
        <v>2193</v>
      </c>
      <c r="H210" s="334" t="s">
        <v>2193</v>
      </c>
      <c r="I210" s="334"/>
    </row>
    <row r="211">
      <c r="A211" s="321" t="s">
        <v>2196</v>
      </c>
      <c r="B211" s="321" t="s">
        <v>2197</v>
      </c>
      <c r="C211" s="321" t="s">
        <v>2198</v>
      </c>
      <c r="D211" s="321" t="s">
        <v>2199</v>
      </c>
      <c r="E211" s="321" t="s">
        <v>2200</v>
      </c>
      <c r="F211" s="321" t="s">
        <v>2196</v>
      </c>
      <c r="G211" s="321" t="s">
        <v>2196</v>
      </c>
      <c r="H211" s="335" t="s">
        <v>2196</v>
      </c>
      <c r="I211" s="335"/>
    </row>
    <row r="212">
      <c r="A212" s="321" t="s">
        <v>2201</v>
      </c>
      <c r="B212" s="321" t="s">
        <v>2202</v>
      </c>
      <c r="C212" s="321" t="s">
        <v>2203</v>
      </c>
      <c r="D212" s="321" t="s">
        <v>2204</v>
      </c>
      <c r="E212" s="321" t="s">
        <v>2205</v>
      </c>
      <c r="F212" s="321" t="s">
        <v>2201</v>
      </c>
      <c r="G212" s="321" t="s">
        <v>2201</v>
      </c>
      <c r="H212" s="334" t="s">
        <v>2201</v>
      </c>
      <c r="I212" s="334"/>
    </row>
    <row r="213">
      <c r="A213" s="321" t="s">
        <v>2206</v>
      </c>
      <c r="B213" s="321" t="s">
        <v>2207</v>
      </c>
      <c r="C213" s="321" t="s">
        <v>2208</v>
      </c>
      <c r="D213" s="321" t="s">
        <v>2209</v>
      </c>
      <c r="E213" s="321" t="s">
        <v>2206</v>
      </c>
      <c r="F213" s="321" t="s">
        <v>2206</v>
      </c>
      <c r="G213" s="321" t="s">
        <v>2206</v>
      </c>
      <c r="H213" s="335" t="s">
        <v>2206</v>
      </c>
      <c r="I213" s="335"/>
    </row>
    <row r="214">
      <c r="A214" s="321" t="s">
        <v>1321</v>
      </c>
      <c r="B214" s="321" t="s">
        <v>2210</v>
      </c>
      <c r="C214" s="321" t="s">
        <v>2211</v>
      </c>
      <c r="D214" s="321" t="s">
        <v>2212</v>
      </c>
      <c r="E214" s="321" t="s">
        <v>2213</v>
      </c>
      <c r="F214" s="321" t="s">
        <v>1321</v>
      </c>
      <c r="G214" s="321" t="s">
        <v>1321</v>
      </c>
      <c r="H214" s="334" t="s">
        <v>1321</v>
      </c>
      <c r="I214" s="334"/>
    </row>
    <row r="215">
      <c r="A215" s="321" t="s">
        <v>1446</v>
      </c>
      <c r="B215" s="321" t="s">
        <v>1446</v>
      </c>
      <c r="C215" s="321" t="s">
        <v>2214</v>
      </c>
      <c r="D215" s="321" t="s">
        <v>2215</v>
      </c>
      <c r="E215" s="321" t="s">
        <v>1446</v>
      </c>
      <c r="F215" s="321" t="s">
        <v>1446</v>
      </c>
      <c r="G215" s="321" t="s">
        <v>1446</v>
      </c>
      <c r="H215" s="335" t="s">
        <v>1446</v>
      </c>
      <c r="I215" s="335"/>
    </row>
    <row r="216">
      <c r="A216" s="321" t="s">
        <v>1447</v>
      </c>
      <c r="B216" s="321" t="s">
        <v>1447</v>
      </c>
      <c r="C216" s="321" t="s">
        <v>2216</v>
      </c>
      <c r="D216" s="321" t="s">
        <v>2217</v>
      </c>
      <c r="E216" s="321" t="s">
        <v>1447</v>
      </c>
      <c r="F216" s="321" t="s">
        <v>1447</v>
      </c>
      <c r="G216" s="321" t="s">
        <v>1447</v>
      </c>
      <c r="H216" s="334" t="s">
        <v>1447</v>
      </c>
      <c r="I216" s="334"/>
    </row>
    <row r="217">
      <c r="A217" s="321" t="s">
        <v>1457</v>
      </c>
      <c r="B217" s="321" t="s">
        <v>2218</v>
      </c>
      <c r="C217" s="321" t="s">
        <v>2219</v>
      </c>
      <c r="D217" s="321" t="s">
        <v>2220</v>
      </c>
      <c r="E217" s="321" t="s">
        <v>2221</v>
      </c>
      <c r="F217" s="321" t="s">
        <v>1457</v>
      </c>
      <c r="G217" s="321" t="s">
        <v>1457</v>
      </c>
      <c r="H217" s="335" t="s">
        <v>1457</v>
      </c>
      <c r="I217" s="335"/>
    </row>
    <row r="218">
      <c r="A218" s="321" t="s">
        <v>2222</v>
      </c>
      <c r="B218" s="321" t="s">
        <v>2223</v>
      </c>
      <c r="C218" s="321" t="s">
        <v>2224</v>
      </c>
      <c r="D218" s="321" t="s">
        <v>2225</v>
      </c>
      <c r="E218" s="321" t="s">
        <v>2226</v>
      </c>
      <c r="F218" s="321" t="s">
        <v>2222</v>
      </c>
      <c r="G218" s="321" t="s">
        <v>2222</v>
      </c>
      <c r="H218" s="334" t="s">
        <v>2222</v>
      </c>
      <c r="I218" s="334"/>
    </row>
    <row r="219">
      <c r="A219" s="321" t="s">
        <v>2227</v>
      </c>
      <c r="B219" s="321" t="s">
        <v>2228</v>
      </c>
      <c r="C219" s="321" t="s">
        <v>2229</v>
      </c>
      <c r="D219" s="321" t="s">
        <v>2230</v>
      </c>
      <c r="E219" s="321" t="s">
        <v>2231</v>
      </c>
      <c r="F219" s="321" t="s">
        <v>2227</v>
      </c>
      <c r="G219" s="321" t="s">
        <v>2227</v>
      </c>
      <c r="H219" s="335" t="s">
        <v>2227</v>
      </c>
      <c r="I219" s="335"/>
    </row>
    <row r="220">
      <c r="A220" s="321" t="s">
        <v>2232</v>
      </c>
      <c r="B220" s="321" t="s">
        <v>2233</v>
      </c>
      <c r="C220" s="321" t="s">
        <v>2234</v>
      </c>
      <c r="D220" s="321" t="s">
        <v>2235</v>
      </c>
      <c r="E220" s="321" t="s">
        <v>2236</v>
      </c>
      <c r="F220" s="321" t="s">
        <v>2232</v>
      </c>
      <c r="G220" s="321" t="s">
        <v>2232</v>
      </c>
      <c r="H220" s="334" t="s">
        <v>2232</v>
      </c>
      <c r="I220" s="334"/>
    </row>
    <row r="221">
      <c r="A221" s="321" t="s">
        <v>2237</v>
      </c>
      <c r="B221" s="321" t="s">
        <v>2238</v>
      </c>
      <c r="C221" s="321" t="s">
        <v>2239</v>
      </c>
      <c r="D221" s="321" t="s">
        <v>2240</v>
      </c>
      <c r="E221" s="321" t="s">
        <v>2241</v>
      </c>
      <c r="F221" s="321" t="s">
        <v>2237</v>
      </c>
      <c r="G221" s="321" t="s">
        <v>2237</v>
      </c>
      <c r="H221" s="335" t="s">
        <v>2237</v>
      </c>
      <c r="I221" s="335"/>
    </row>
    <row r="222">
      <c r="A222" s="321" t="s">
        <v>1417</v>
      </c>
      <c r="B222" s="321" t="s">
        <v>2242</v>
      </c>
      <c r="C222" s="321" t="s">
        <v>2243</v>
      </c>
      <c r="D222" s="321" t="s">
        <v>2244</v>
      </c>
      <c r="E222" s="321" t="s">
        <v>2245</v>
      </c>
      <c r="F222" s="321" t="s">
        <v>1417</v>
      </c>
      <c r="G222" s="321" t="s">
        <v>1417</v>
      </c>
      <c r="H222" s="334" t="s">
        <v>1417</v>
      </c>
      <c r="I222" s="334"/>
    </row>
    <row r="223">
      <c r="A223" s="321" t="s">
        <v>2246</v>
      </c>
      <c r="B223" s="321" t="s">
        <v>2247</v>
      </c>
      <c r="C223" s="321" t="s">
        <v>2248</v>
      </c>
      <c r="D223" s="321" t="s">
        <v>2249</v>
      </c>
      <c r="E223" s="321" t="s">
        <v>2250</v>
      </c>
      <c r="F223" s="321" t="s">
        <v>2246</v>
      </c>
      <c r="G223" s="321" t="s">
        <v>2246</v>
      </c>
      <c r="H223" s="335" t="s">
        <v>2246</v>
      </c>
      <c r="I223" s="335"/>
    </row>
    <row r="224">
      <c r="A224" s="321" t="s">
        <v>2251</v>
      </c>
      <c r="B224" s="321" t="s">
        <v>2252</v>
      </c>
      <c r="C224" s="321" t="s">
        <v>2253</v>
      </c>
      <c r="D224" s="321" t="s">
        <v>2254</v>
      </c>
      <c r="E224" s="321" t="s">
        <v>2255</v>
      </c>
      <c r="F224" s="321" t="s">
        <v>2251</v>
      </c>
      <c r="G224" s="321" t="s">
        <v>2251</v>
      </c>
      <c r="H224" s="334" t="s">
        <v>2251</v>
      </c>
      <c r="I224" s="334"/>
    </row>
    <row r="225">
      <c r="A225" s="321" t="s">
        <v>1323</v>
      </c>
      <c r="B225" s="321" t="s">
        <v>1323</v>
      </c>
      <c r="C225" s="321" t="s">
        <v>2256</v>
      </c>
      <c r="D225" s="321" t="s">
        <v>2257</v>
      </c>
      <c r="E225" s="321" t="s">
        <v>1323</v>
      </c>
      <c r="F225" s="321" t="s">
        <v>1323</v>
      </c>
      <c r="G225" s="321" t="s">
        <v>1323</v>
      </c>
      <c r="H225" s="335" t="s">
        <v>1323</v>
      </c>
      <c r="I225" s="335"/>
    </row>
    <row r="226">
      <c r="A226" s="321" t="s">
        <v>1486</v>
      </c>
      <c r="B226" s="321" t="s">
        <v>2258</v>
      </c>
      <c r="C226" s="321" t="s">
        <v>2259</v>
      </c>
      <c r="D226" s="321" t="s">
        <v>2260</v>
      </c>
      <c r="E226" s="321" t="s">
        <v>2261</v>
      </c>
      <c r="F226" s="321" t="s">
        <v>1486</v>
      </c>
      <c r="G226" s="321" t="s">
        <v>1486</v>
      </c>
      <c r="H226" s="334" t="s">
        <v>1486</v>
      </c>
      <c r="I226" s="334"/>
    </row>
    <row r="227">
      <c r="A227" s="321" t="s">
        <v>2262</v>
      </c>
      <c r="B227" s="321" t="s">
        <v>2263</v>
      </c>
      <c r="C227" s="321" t="s">
        <v>2264</v>
      </c>
      <c r="D227" s="321" t="s">
        <v>2265</v>
      </c>
      <c r="E227" s="321" t="s">
        <v>2266</v>
      </c>
      <c r="F227" s="321" t="s">
        <v>2262</v>
      </c>
      <c r="G227" s="321" t="s">
        <v>2262</v>
      </c>
      <c r="H227" s="335" t="s">
        <v>2262</v>
      </c>
      <c r="I227" s="335"/>
    </row>
    <row r="228">
      <c r="A228" s="321" t="s">
        <v>2267</v>
      </c>
      <c r="B228" s="321" t="s">
        <v>2268</v>
      </c>
      <c r="C228" s="321" t="s">
        <v>2269</v>
      </c>
      <c r="D228" s="321" t="s">
        <v>2270</v>
      </c>
      <c r="E228" s="321" t="s">
        <v>2271</v>
      </c>
      <c r="F228" s="321" t="s">
        <v>2267</v>
      </c>
      <c r="G228" s="321" t="s">
        <v>2267</v>
      </c>
      <c r="H228" s="334" t="s">
        <v>2267</v>
      </c>
      <c r="I228" s="334"/>
    </row>
    <row r="229">
      <c r="A229" s="321" t="s">
        <v>2272</v>
      </c>
      <c r="B229" s="321" t="s">
        <v>2273</v>
      </c>
      <c r="C229" s="321" t="s">
        <v>2274</v>
      </c>
      <c r="D229" s="321" t="s">
        <v>2275</v>
      </c>
      <c r="E229" s="321" t="s">
        <v>2276</v>
      </c>
      <c r="F229" s="321" t="s">
        <v>2272</v>
      </c>
      <c r="G229" s="321" t="s">
        <v>2272</v>
      </c>
      <c r="H229" s="335" t="s">
        <v>2272</v>
      </c>
      <c r="I229" s="335"/>
    </row>
    <row r="230">
      <c r="A230" s="321" t="s">
        <v>1391</v>
      </c>
      <c r="B230" s="321" t="s">
        <v>2277</v>
      </c>
      <c r="C230" s="321" t="s">
        <v>2278</v>
      </c>
      <c r="D230" s="321" t="s">
        <v>2279</v>
      </c>
      <c r="E230" s="321" t="s">
        <v>2280</v>
      </c>
      <c r="F230" s="321" t="s">
        <v>1391</v>
      </c>
      <c r="G230" s="321" t="s">
        <v>1391</v>
      </c>
      <c r="H230" s="334" t="s">
        <v>1391</v>
      </c>
      <c r="I230" s="334"/>
    </row>
    <row r="231">
      <c r="A231" s="321" t="s">
        <v>2281</v>
      </c>
      <c r="B231" s="321" t="s">
        <v>2282</v>
      </c>
      <c r="C231" s="321" t="s">
        <v>2283</v>
      </c>
      <c r="D231" s="321" t="s">
        <v>2284</v>
      </c>
      <c r="E231" s="321" t="s">
        <v>2285</v>
      </c>
      <c r="F231" s="321" t="s">
        <v>2281</v>
      </c>
      <c r="G231" s="321" t="s">
        <v>2281</v>
      </c>
      <c r="H231" s="335" t="s">
        <v>2281</v>
      </c>
      <c r="I231" s="335"/>
    </row>
    <row r="232">
      <c r="A232" s="321" t="s">
        <v>1274</v>
      </c>
      <c r="B232" s="321" t="s">
        <v>2286</v>
      </c>
      <c r="C232" s="321" t="s">
        <v>2287</v>
      </c>
      <c r="D232" s="321" t="s">
        <v>2288</v>
      </c>
      <c r="E232" s="321" t="s">
        <v>2289</v>
      </c>
      <c r="F232" s="321" t="s">
        <v>1274</v>
      </c>
      <c r="G232" s="321" t="s">
        <v>1274</v>
      </c>
      <c r="H232" s="334" t="s">
        <v>1274</v>
      </c>
      <c r="I232" s="334"/>
    </row>
    <row r="233">
      <c r="A233" s="321" t="s">
        <v>1456</v>
      </c>
      <c r="B233" s="321" t="s">
        <v>2290</v>
      </c>
      <c r="C233" s="321" t="s">
        <v>2291</v>
      </c>
      <c r="D233" s="321" t="s">
        <v>2292</v>
      </c>
      <c r="E233" s="321" t="s">
        <v>2293</v>
      </c>
      <c r="F233" s="321" t="s">
        <v>1456</v>
      </c>
      <c r="G233" s="321" t="s">
        <v>1456</v>
      </c>
      <c r="H233" s="335" t="s">
        <v>1456</v>
      </c>
      <c r="I233" s="335"/>
    </row>
    <row r="234">
      <c r="A234" s="321" t="s">
        <v>2294</v>
      </c>
      <c r="B234" s="321" t="s">
        <v>2295</v>
      </c>
      <c r="C234" s="321" t="s">
        <v>2296</v>
      </c>
      <c r="D234" s="321" t="s">
        <v>2297</v>
      </c>
      <c r="E234" s="321" t="s">
        <v>2298</v>
      </c>
      <c r="F234" s="321" t="s">
        <v>2294</v>
      </c>
      <c r="G234" s="321" t="s">
        <v>2294</v>
      </c>
      <c r="H234" s="334" t="s">
        <v>2294</v>
      </c>
      <c r="I234" s="334"/>
    </row>
    <row r="235">
      <c r="A235" s="321" t="s">
        <v>2299</v>
      </c>
      <c r="B235" s="321" t="s">
        <v>2299</v>
      </c>
      <c r="C235" s="321" t="s">
        <v>2300</v>
      </c>
      <c r="D235" s="321" t="s">
        <v>2301</v>
      </c>
      <c r="E235" s="321" t="s">
        <v>2299</v>
      </c>
      <c r="F235" s="321" t="s">
        <v>2299</v>
      </c>
      <c r="G235" s="321" t="s">
        <v>2299</v>
      </c>
      <c r="H235" s="335" t="s">
        <v>2299</v>
      </c>
      <c r="I235" s="335"/>
    </row>
    <row r="236">
      <c r="A236" s="321" t="s">
        <v>2302</v>
      </c>
      <c r="B236" s="321" t="s">
        <v>2303</v>
      </c>
      <c r="C236" s="321" t="s">
        <v>2304</v>
      </c>
      <c r="D236" s="321" t="s">
        <v>2305</v>
      </c>
      <c r="E236" s="321" t="s">
        <v>2306</v>
      </c>
      <c r="F236" s="321" t="s">
        <v>2302</v>
      </c>
      <c r="G236" s="321" t="s">
        <v>2302</v>
      </c>
      <c r="H236" s="334" t="s">
        <v>2302</v>
      </c>
      <c r="I236" s="334"/>
    </row>
    <row r="237">
      <c r="A237" s="321" t="s">
        <v>2307</v>
      </c>
      <c r="B237" s="321" t="s">
        <v>2308</v>
      </c>
      <c r="C237" s="321" t="s">
        <v>2309</v>
      </c>
      <c r="D237" s="321" t="s">
        <v>2310</v>
      </c>
      <c r="E237" s="321" t="s">
        <v>2311</v>
      </c>
      <c r="F237" s="321" t="s">
        <v>2307</v>
      </c>
      <c r="G237" s="321" t="s">
        <v>2307</v>
      </c>
      <c r="H237" s="335" t="s">
        <v>2307</v>
      </c>
      <c r="I237" s="335"/>
    </row>
    <row r="238">
      <c r="A238" s="321" t="s">
        <v>2312</v>
      </c>
      <c r="B238" s="321" t="s">
        <v>2313</v>
      </c>
      <c r="C238" s="321" t="s">
        <v>2314</v>
      </c>
      <c r="D238" s="321" t="s">
        <v>2315</v>
      </c>
      <c r="E238" s="321" t="s">
        <v>2316</v>
      </c>
      <c r="F238" s="321" t="s">
        <v>2312</v>
      </c>
      <c r="G238" s="321" t="s">
        <v>2312</v>
      </c>
      <c r="H238" s="334" t="s">
        <v>2312</v>
      </c>
      <c r="I238" s="334"/>
    </row>
    <row r="239">
      <c r="A239" s="321" t="s">
        <v>1380</v>
      </c>
      <c r="B239" s="321" t="s">
        <v>2317</v>
      </c>
      <c r="C239" s="321" t="s">
        <v>2318</v>
      </c>
      <c r="D239" s="321" t="s">
        <v>2319</v>
      </c>
      <c r="E239" s="321" t="s">
        <v>2320</v>
      </c>
      <c r="F239" s="321" t="s">
        <v>1380</v>
      </c>
      <c r="G239" s="321" t="s">
        <v>1380</v>
      </c>
      <c r="H239" s="335" t="s">
        <v>1380</v>
      </c>
      <c r="I239" s="335"/>
    </row>
    <row r="240">
      <c r="A240" s="321" t="s">
        <v>2321</v>
      </c>
      <c r="B240" s="321" t="s">
        <v>2321</v>
      </c>
      <c r="C240" s="321" t="s">
        <v>2322</v>
      </c>
      <c r="D240" s="321" t="s">
        <v>2323</v>
      </c>
      <c r="E240" s="321" t="s">
        <v>2324</v>
      </c>
      <c r="F240" s="321" t="s">
        <v>2321</v>
      </c>
      <c r="G240" s="321" t="s">
        <v>2321</v>
      </c>
      <c r="H240" s="334" t="s">
        <v>2321</v>
      </c>
      <c r="I240" s="334"/>
    </row>
    <row r="241">
      <c r="A241" s="321" t="s">
        <v>2325</v>
      </c>
      <c r="B241" s="321" t="s">
        <v>2325</v>
      </c>
      <c r="C241" s="321" t="s">
        <v>2326</v>
      </c>
      <c r="D241" s="321" t="s">
        <v>2327</v>
      </c>
      <c r="E241" s="321" t="s">
        <v>2325</v>
      </c>
      <c r="F241" s="321" t="s">
        <v>2325</v>
      </c>
      <c r="G241" s="321" t="s">
        <v>2325</v>
      </c>
      <c r="H241" s="335" t="s">
        <v>2325</v>
      </c>
      <c r="I241" s="335"/>
    </row>
    <row r="242">
      <c r="A242" s="321" t="s">
        <v>2328</v>
      </c>
      <c r="B242" s="321" t="s">
        <v>2328</v>
      </c>
      <c r="C242" s="321" t="s">
        <v>2329</v>
      </c>
      <c r="D242" s="321" t="s">
        <v>2330</v>
      </c>
      <c r="E242" s="321" t="s">
        <v>2328</v>
      </c>
      <c r="F242" s="321" t="s">
        <v>2328</v>
      </c>
      <c r="G242" s="321" t="s">
        <v>2328</v>
      </c>
      <c r="H242" s="334" t="s">
        <v>2328</v>
      </c>
      <c r="I242" s="334"/>
    </row>
    <row r="243">
      <c r="A243" s="321" t="s">
        <v>2331</v>
      </c>
      <c r="B243" s="321" t="s">
        <v>2331</v>
      </c>
      <c r="C243" s="321" t="s">
        <v>2332</v>
      </c>
      <c r="D243" s="321" t="s">
        <v>2333</v>
      </c>
      <c r="E243" s="321" t="s">
        <v>2334</v>
      </c>
      <c r="F243" s="321" t="s">
        <v>2331</v>
      </c>
      <c r="G243" s="321" t="s">
        <v>2331</v>
      </c>
      <c r="H243" s="335" t="s">
        <v>2331</v>
      </c>
      <c r="I243" s="335"/>
    </row>
    <row r="244">
      <c r="A244" s="321" t="s">
        <v>2335</v>
      </c>
      <c r="B244" s="321" t="s">
        <v>2336</v>
      </c>
      <c r="C244" s="321" t="s">
        <v>2337</v>
      </c>
      <c r="D244" s="321" t="s">
        <v>2338</v>
      </c>
      <c r="E244" s="321" t="s">
        <v>2339</v>
      </c>
      <c r="F244" s="321" t="s">
        <v>2335</v>
      </c>
      <c r="G244" s="321" t="s">
        <v>2335</v>
      </c>
      <c r="H244" s="334" t="s">
        <v>2335</v>
      </c>
      <c r="I244" s="334"/>
    </row>
    <row r="245">
      <c r="A245" s="321" t="s">
        <v>2340</v>
      </c>
      <c r="B245" s="321" t="s">
        <v>2341</v>
      </c>
      <c r="C245" s="321" t="s">
        <v>2342</v>
      </c>
      <c r="D245" s="321" t="s">
        <v>2343</v>
      </c>
      <c r="E245" s="321" t="s">
        <v>2344</v>
      </c>
      <c r="F245" s="321" t="s">
        <v>2340</v>
      </c>
      <c r="G245" s="321" t="s">
        <v>2340</v>
      </c>
      <c r="H245" s="335" t="s">
        <v>2340</v>
      </c>
      <c r="I245" s="335"/>
    </row>
    <row r="246">
      <c r="A246" s="321" t="s">
        <v>1441</v>
      </c>
      <c r="B246" s="321" t="s">
        <v>2345</v>
      </c>
      <c r="C246" s="321" t="s">
        <v>2346</v>
      </c>
      <c r="D246" s="321" t="s">
        <v>2347</v>
      </c>
      <c r="E246" s="321" t="s">
        <v>2348</v>
      </c>
      <c r="F246" s="321" t="s">
        <v>1441</v>
      </c>
      <c r="G246" s="321" t="s">
        <v>1441</v>
      </c>
      <c r="H246" s="334" t="s">
        <v>1441</v>
      </c>
      <c r="I246" s="334"/>
    </row>
    <row r="247">
      <c r="A247" s="321" t="s">
        <v>1393</v>
      </c>
      <c r="B247" s="321" t="s">
        <v>2349</v>
      </c>
      <c r="C247" s="321" t="s">
        <v>2350</v>
      </c>
      <c r="D247" s="321" t="s">
        <v>2351</v>
      </c>
      <c r="E247" s="321" t="s">
        <v>2352</v>
      </c>
      <c r="F247" s="321" t="s">
        <v>1393</v>
      </c>
      <c r="G247" s="321" t="s">
        <v>1393</v>
      </c>
      <c r="H247" s="335" t="s">
        <v>1393</v>
      </c>
      <c r="I247" s="335"/>
    </row>
    <row r="248">
      <c r="A248" s="321" t="s">
        <v>2353</v>
      </c>
      <c r="B248" s="321" t="s">
        <v>2353</v>
      </c>
      <c r="C248" s="321" t="s">
        <v>2354</v>
      </c>
      <c r="D248" s="321" t="s">
        <v>2355</v>
      </c>
      <c r="E248" s="321" t="s">
        <v>2353</v>
      </c>
      <c r="F248" s="321" t="s">
        <v>2353</v>
      </c>
      <c r="G248" s="321" t="s">
        <v>2353</v>
      </c>
      <c r="H248" s="334" t="s">
        <v>2353</v>
      </c>
      <c r="I248" s="334"/>
    </row>
    <row r="249">
      <c r="A249" s="321" t="s">
        <v>2356</v>
      </c>
      <c r="B249" s="321" t="s">
        <v>2356</v>
      </c>
      <c r="C249" s="321" t="s">
        <v>2357</v>
      </c>
      <c r="D249" s="321" t="s">
        <v>2358</v>
      </c>
      <c r="E249" s="321" t="s">
        <v>2356</v>
      </c>
      <c r="F249" s="321" t="s">
        <v>2356</v>
      </c>
      <c r="G249" s="321" t="s">
        <v>2356</v>
      </c>
      <c r="H249" s="335" t="s">
        <v>2356</v>
      </c>
      <c r="I249" s="335"/>
    </row>
    <row r="250">
      <c r="A250" s="321" t="s">
        <v>1340</v>
      </c>
      <c r="B250" s="321" t="s">
        <v>2359</v>
      </c>
      <c r="C250" s="321" t="s">
        <v>2360</v>
      </c>
      <c r="D250" s="321" t="s">
        <v>2361</v>
      </c>
      <c r="E250" s="321" t="s">
        <v>2362</v>
      </c>
      <c r="F250" s="321" t="s">
        <v>1340</v>
      </c>
      <c r="G250" s="321" t="s">
        <v>1340</v>
      </c>
      <c r="H250" s="334" t="s">
        <v>1340</v>
      </c>
      <c r="I250" s="334"/>
    </row>
    <row r="251">
      <c r="A251" s="321" t="s">
        <v>1341</v>
      </c>
      <c r="B251" s="321" t="s">
        <v>2363</v>
      </c>
      <c r="C251" s="321" t="s">
        <v>2364</v>
      </c>
      <c r="D251" s="321" t="s">
        <v>2365</v>
      </c>
      <c r="E251" s="321" t="s">
        <v>1341</v>
      </c>
      <c r="F251" s="321" t="s">
        <v>1341</v>
      </c>
      <c r="G251" s="321" t="s">
        <v>1341</v>
      </c>
      <c r="H251" s="335" t="s">
        <v>1341</v>
      </c>
      <c r="I251" s="335"/>
    </row>
    <row r="252">
      <c r="A252" s="321" t="s">
        <v>1345</v>
      </c>
      <c r="B252" s="321" t="s">
        <v>2366</v>
      </c>
      <c r="C252" s="321" t="s">
        <v>2367</v>
      </c>
      <c r="D252" s="321" t="s">
        <v>2368</v>
      </c>
      <c r="E252" s="321" t="s">
        <v>2369</v>
      </c>
      <c r="F252" s="321" t="s">
        <v>1345</v>
      </c>
      <c r="G252" s="321" t="s">
        <v>1345</v>
      </c>
      <c r="H252" s="334" t="s">
        <v>1345</v>
      </c>
      <c r="I252" s="334"/>
    </row>
    <row r="253">
      <c r="A253" s="321" t="s">
        <v>1346</v>
      </c>
      <c r="B253" s="321" t="s">
        <v>2370</v>
      </c>
      <c r="C253" s="321" t="s">
        <v>2371</v>
      </c>
      <c r="D253" s="321" t="s">
        <v>2372</v>
      </c>
      <c r="E253" s="321" t="s">
        <v>2373</v>
      </c>
      <c r="F253" s="321" t="s">
        <v>1346</v>
      </c>
      <c r="G253" s="321" t="s">
        <v>1346</v>
      </c>
      <c r="H253" s="335" t="s">
        <v>1346</v>
      </c>
      <c r="I253" s="335"/>
    </row>
    <row r="254">
      <c r="A254" s="321" t="s">
        <v>2374</v>
      </c>
      <c r="B254" s="321" t="s">
        <v>2375</v>
      </c>
      <c r="C254" s="321" t="s">
        <v>2376</v>
      </c>
      <c r="D254" s="321" t="s">
        <v>2377</v>
      </c>
      <c r="E254" s="321" t="s">
        <v>2378</v>
      </c>
      <c r="F254" s="321" t="s">
        <v>2374</v>
      </c>
      <c r="G254" s="321" t="s">
        <v>2374</v>
      </c>
      <c r="H254" s="334" t="s">
        <v>2374</v>
      </c>
      <c r="I254" s="334"/>
    </row>
    <row r="255">
      <c r="A255" s="321" t="s">
        <v>2379</v>
      </c>
      <c r="B255" s="321" t="s">
        <v>2380</v>
      </c>
      <c r="C255" s="321" t="s">
        <v>2381</v>
      </c>
      <c r="D255" s="321" t="s">
        <v>2382</v>
      </c>
      <c r="E255" s="321" t="s">
        <v>2379</v>
      </c>
      <c r="F255" s="321" t="s">
        <v>2379</v>
      </c>
      <c r="G255" s="321" t="s">
        <v>2379</v>
      </c>
      <c r="H255" s="335" t="s">
        <v>2379</v>
      </c>
      <c r="I255" s="335"/>
    </row>
    <row r="256">
      <c r="A256" s="321" t="s">
        <v>2383</v>
      </c>
      <c r="B256" s="321" t="s">
        <v>2383</v>
      </c>
      <c r="C256" s="321" t="s">
        <v>2384</v>
      </c>
      <c r="D256" s="321" t="s">
        <v>2385</v>
      </c>
      <c r="E256" s="321" t="s">
        <v>2383</v>
      </c>
      <c r="F256" s="321" t="s">
        <v>2383</v>
      </c>
      <c r="G256" s="321" t="s">
        <v>2383</v>
      </c>
      <c r="H256" s="334" t="s">
        <v>2383</v>
      </c>
      <c r="I256" s="334"/>
    </row>
    <row r="257">
      <c r="A257" s="321" t="s">
        <v>2386</v>
      </c>
      <c r="B257" s="321" t="s">
        <v>2387</v>
      </c>
      <c r="C257" s="321" t="s">
        <v>2388</v>
      </c>
      <c r="D257" s="321" t="s">
        <v>2386</v>
      </c>
      <c r="E257" s="321" t="s">
        <v>2389</v>
      </c>
      <c r="F257" s="321" t="s">
        <v>2386</v>
      </c>
      <c r="G257" s="321" t="s">
        <v>2386</v>
      </c>
      <c r="H257" s="335" t="s">
        <v>2386</v>
      </c>
      <c r="I257" s="335"/>
    </row>
    <row r="258">
      <c r="A258" s="321" t="s">
        <v>2390</v>
      </c>
      <c r="B258" s="321" t="s">
        <v>2391</v>
      </c>
      <c r="C258" s="321" t="s">
        <v>2392</v>
      </c>
      <c r="D258" s="321" t="s">
        <v>2393</v>
      </c>
      <c r="E258" s="321" t="s">
        <v>2394</v>
      </c>
      <c r="F258" s="321" t="s">
        <v>2390</v>
      </c>
      <c r="G258" s="321" t="s">
        <v>2390</v>
      </c>
      <c r="H258" s="334" t="s">
        <v>2390</v>
      </c>
      <c r="I258" s="334"/>
    </row>
    <row r="259">
      <c r="A259" s="321" t="s">
        <v>1275</v>
      </c>
      <c r="B259" s="321" t="s">
        <v>2395</v>
      </c>
      <c r="C259" s="321" t="s">
        <v>2396</v>
      </c>
      <c r="D259" s="321" t="s">
        <v>2397</v>
      </c>
      <c r="E259" s="321" t="s">
        <v>2398</v>
      </c>
      <c r="F259" s="321" t="s">
        <v>1275</v>
      </c>
      <c r="G259" s="321" t="s">
        <v>1275</v>
      </c>
      <c r="H259" s="335" t="s">
        <v>1275</v>
      </c>
      <c r="I259" s="335"/>
    </row>
    <row r="260">
      <c r="A260" s="321" t="s">
        <v>1444</v>
      </c>
      <c r="B260" s="321" t="s">
        <v>2399</v>
      </c>
      <c r="C260" s="321" t="s">
        <v>2400</v>
      </c>
      <c r="D260" s="321" t="s">
        <v>2401</v>
      </c>
      <c r="E260" s="321" t="s">
        <v>2402</v>
      </c>
      <c r="F260" s="321" t="s">
        <v>1444</v>
      </c>
      <c r="G260" s="321" t="s">
        <v>1444</v>
      </c>
      <c r="H260" s="334" t="s">
        <v>1444</v>
      </c>
      <c r="I260" s="334"/>
    </row>
    <row r="261">
      <c r="A261" s="321" t="s">
        <v>1445</v>
      </c>
      <c r="B261" s="321" t="s">
        <v>2403</v>
      </c>
      <c r="C261" s="321" t="s">
        <v>2404</v>
      </c>
      <c r="D261" s="321" t="s">
        <v>2405</v>
      </c>
      <c r="E261" s="321" t="s">
        <v>2406</v>
      </c>
      <c r="F261" s="321" t="s">
        <v>1445</v>
      </c>
      <c r="G261" s="321" t="s">
        <v>1445</v>
      </c>
      <c r="H261" s="335" t="s">
        <v>1445</v>
      </c>
      <c r="I261" s="335"/>
    </row>
    <row r="262">
      <c r="A262" s="321" t="s">
        <v>2407</v>
      </c>
      <c r="B262" s="321" t="s">
        <v>2408</v>
      </c>
      <c r="C262" s="321" t="s">
        <v>2409</v>
      </c>
      <c r="D262" s="321" t="s">
        <v>2407</v>
      </c>
      <c r="E262" s="321" t="s">
        <v>2410</v>
      </c>
      <c r="F262" s="321" t="s">
        <v>2407</v>
      </c>
      <c r="G262" s="321" t="s">
        <v>2407</v>
      </c>
      <c r="H262" s="334" t="s">
        <v>2407</v>
      </c>
      <c r="I262" s="334"/>
    </row>
    <row r="263">
      <c r="A263" s="321" t="s">
        <v>1458</v>
      </c>
      <c r="B263" s="321" t="s">
        <v>1458</v>
      </c>
      <c r="C263" s="321" t="s">
        <v>2411</v>
      </c>
      <c r="D263" s="321" t="s">
        <v>2412</v>
      </c>
      <c r="E263" s="321" t="s">
        <v>1458</v>
      </c>
      <c r="F263" s="321" t="s">
        <v>1458</v>
      </c>
      <c r="G263" s="321" t="s">
        <v>1458</v>
      </c>
      <c r="H263" s="335" t="s">
        <v>1458</v>
      </c>
      <c r="I263" s="335"/>
    </row>
    <row r="264">
      <c r="A264" s="321" t="s">
        <v>1459</v>
      </c>
      <c r="B264" s="321" t="s">
        <v>1459</v>
      </c>
      <c r="C264" s="321" t="s">
        <v>2413</v>
      </c>
      <c r="D264" s="321" t="s">
        <v>2414</v>
      </c>
      <c r="E264" s="321" t="s">
        <v>1459</v>
      </c>
      <c r="F264" s="321" t="s">
        <v>1459</v>
      </c>
      <c r="G264" s="321" t="s">
        <v>1459</v>
      </c>
      <c r="H264" s="334" t="s">
        <v>1459</v>
      </c>
      <c r="I264" s="334"/>
    </row>
    <row r="265">
      <c r="A265" s="321" t="s">
        <v>1415</v>
      </c>
      <c r="B265" s="321" t="s">
        <v>1415</v>
      </c>
      <c r="C265" s="321" t="s">
        <v>2415</v>
      </c>
      <c r="D265" s="321" t="s">
        <v>1415</v>
      </c>
      <c r="E265" s="321" t="s">
        <v>1415</v>
      </c>
      <c r="F265" s="321" t="s">
        <v>1415</v>
      </c>
      <c r="G265" s="321" t="s">
        <v>1415</v>
      </c>
      <c r="H265" s="335" t="s">
        <v>1415</v>
      </c>
      <c r="I265" s="335"/>
    </row>
    <row r="266">
      <c r="A266" s="321" t="s">
        <v>2416</v>
      </c>
      <c r="B266" s="321" t="s">
        <v>2417</v>
      </c>
      <c r="C266" s="321" t="s">
        <v>2418</v>
      </c>
      <c r="D266" s="321" t="s">
        <v>2419</v>
      </c>
      <c r="E266" s="321" t="s">
        <v>2420</v>
      </c>
      <c r="F266" s="321" t="s">
        <v>2416</v>
      </c>
      <c r="G266" s="321" t="s">
        <v>2416</v>
      </c>
      <c r="H266" s="334" t="s">
        <v>2416</v>
      </c>
      <c r="I266" s="334"/>
    </row>
    <row r="267">
      <c r="A267" s="321" t="s">
        <v>2421</v>
      </c>
      <c r="B267" s="321" t="s">
        <v>2422</v>
      </c>
      <c r="C267" s="321" t="s">
        <v>2423</v>
      </c>
      <c r="D267" s="321" t="s">
        <v>2424</v>
      </c>
      <c r="E267" s="321" t="s">
        <v>2425</v>
      </c>
      <c r="F267" s="321" t="s">
        <v>2421</v>
      </c>
      <c r="G267" s="321" t="s">
        <v>2421</v>
      </c>
      <c r="H267" s="335" t="s">
        <v>2421</v>
      </c>
      <c r="I267" s="335"/>
    </row>
    <row r="268">
      <c r="A268" s="321" t="s">
        <v>2426</v>
      </c>
      <c r="B268" s="321" t="s">
        <v>2427</v>
      </c>
      <c r="C268" s="321" t="s">
        <v>2428</v>
      </c>
      <c r="D268" s="321" t="s">
        <v>2429</v>
      </c>
      <c r="E268" s="321" t="s">
        <v>2430</v>
      </c>
      <c r="F268" s="321" t="s">
        <v>2426</v>
      </c>
      <c r="G268" s="321" t="s">
        <v>2426</v>
      </c>
      <c r="H268" s="334" t="s">
        <v>2426</v>
      </c>
      <c r="I268" s="334"/>
    </row>
    <row r="269">
      <c r="A269" s="321" t="s">
        <v>1382</v>
      </c>
      <c r="B269" s="321" t="s">
        <v>2431</v>
      </c>
      <c r="C269" s="321" t="s">
        <v>2432</v>
      </c>
      <c r="D269" s="321" t="s">
        <v>2433</v>
      </c>
      <c r="E269" s="321" t="s">
        <v>2431</v>
      </c>
      <c r="F269" s="321" t="s">
        <v>1382</v>
      </c>
      <c r="G269" s="321" t="s">
        <v>1382</v>
      </c>
      <c r="H269" s="335" t="s">
        <v>1382</v>
      </c>
      <c r="I269" s="335"/>
    </row>
    <row r="270">
      <c r="A270" s="321" t="s">
        <v>2434</v>
      </c>
      <c r="B270" s="321" t="s">
        <v>2435</v>
      </c>
      <c r="C270" s="321" t="s">
        <v>2436</v>
      </c>
      <c r="D270" s="321" t="s">
        <v>2437</v>
      </c>
      <c r="E270" s="321" t="s">
        <v>2438</v>
      </c>
      <c r="F270" s="321" t="s">
        <v>2434</v>
      </c>
      <c r="G270" s="321" t="s">
        <v>2434</v>
      </c>
      <c r="H270" s="334" t="s">
        <v>2434</v>
      </c>
      <c r="I270" s="334"/>
    </row>
    <row r="271">
      <c r="A271" s="321" t="s">
        <v>2439</v>
      </c>
      <c r="B271" s="321" t="s">
        <v>2440</v>
      </c>
      <c r="C271" s="321" t="s">
        <v>2441</v>
      </c>
      <c r="D271" s="321" t="s">
        <v>2439</v>
      </c>
      <c r="E271" s="321" t="s">
        <v>2439</v>
      </c>
      <c r="F271" s="321" t="s">
        <v>2439</v>
      </c>
      <c r="G271" s="321" t="s">
        <v>2439</v>
      </c>
      <c r="H271" s="335" t="s">
        <v>2439</v>
      </c>
      <c r="I271" s="335"/>
    </row>
    <row r="272">
      <c r="A272" s="321" t="s">
        <v>2442</v>
      </c>
      <c r="B272" s="321" t="s">
        <v>2442</v>
      </c>
      <c r="C272" s="321" t="s">
        <v>2443</v>
      </c>
      <c r="D272" s="321" t="s">
        <v>2444</v>
      </c>
      <c r="E272" s="321" t="s">
        <v>2442</v>
      </c>
      <c r="F272" s="321" t="s">
        <v>2442</v>
      </c>
      <c r="G272" s="321" t="s">
        <v>2442</v>
      </c>
      <c r="H272" s="334" t="s">
        <v>2442</v>
      </c>
      <c r="I272" s="334"/>
    </row>
    <row r="273">
      <c r="A273" s="321" t="s">
        <v>2445</v>
      </c>
      <c r="B273" s="321" t="s">
        <v>2446</v>
      </c>
      <c r="C273" s="321" t="s">
        <v>2447</v>
      </c>
      <c r="D273" s="321" t="s">
        <v>2445</v>
      </c>
      <c r="E273" s="321" t="s">
        <v>2445</v>
      </c>
      <c r="F273" s="321" t="s">
        <v>2445</v>
      </c>
      <c r="G273" s="321" t="s">
        <v>2445</v>
      </c>
      <c r="H273" s="335" t="s">
        <v>2445</v>
      </c>
      <c r="I273" s="335"/>
    </row>
    <row r="274">
      <c r="A274" s="321" t="s">
        <v>2448</v>
      </c>
      <c r="B274" s="321" t="s">
        <v>2449</v>
      </c>
      <c r="C274" s="321" t="s">
        <v>2450</v>
      </c>
      <c r="D274" s="321" t="s">
        <v>2451</v>
      </c>
      <c r="E274" s="321" t="s">
        <v>2452</v>
      </c>
      <c r="F274" s="321" t="s">
        <v>2448</v>
      </c>
      <c r="G274" s="321" t="s">
        <v>2448</v>
      </c>
      <c r="H274" s="334" t="s">
        <v>2448</v>
      </c>
      <c r="I274" s="334"/>
    </row>
    <row r="275">
      <c r="A275" s="321" t="s">
        <v>2453</v>
      </c>
      <c r="B275" s="321" t="s">
        <v>2453</v>
      </c>
      <c r="C275" s="321" t="s">
        <v>2454</v>
      </c>
      <c r="D275" s="321" t="s">
        <v>2453</v>
      </c>
      <c r="E275" s="321" t="s">
        <v>2453</v>
      </c>
      <c r="F275" s="321" t="s">
        <v>2453</v>
      </c>
      <c r="G275" s="321" t="s">
        <v>2453</v>
      </c>
      <c r="H275" s="335" t="s">
        <v>2453</v>
      </c>
      <c r="I275" s="335"/>
    </row>
    <row r="276">
      <c r="A276" s="321" t="s">
        <v>2455</v>
      </c>
      <c r="B276" s="321" t="s">
        <v>2455</v>
      </c>
      <c r="C276" s="321" t="s">
        <v>2456</v>
      </c>
      <c r="D276" s="321" t="s">
        <v>2455</v>
      </c>
      <c r="E276" s="321" t="s">
        <v>2455</v>
      </c>
      <c r="F276" s="321" t="s">
        <v>2455</v>
      </c>
      <c r="G276" s="321" t="s">
        <v>2455</v>
      </c>
      <c r="H276" s="334" t="s">
        <v>2455</v>
      </c>
      <c r="I276" s="334"/>
    </row>
    <row r="277">
      <c r="A277" s="321" t="s">
        <v>2457</v>
      </c>
      <c r="B277" s="321" t="s">
        <v>2457</v>
      </c>
      <c r="C277" s="321" t="s">
        <v>2458</v>
      </c>
      <c r="D277" s="321" t="s">
        <v>2459</v>
      </c>
      <c r="E277" s="321" t="s">
        <v>2457</v>
      </c>
      <c r="F277" s="321" t="s">
        <v>2457</v>
      </c>
      <c r="G277" s="321" t="s">
        <v>2457</v>
      </c>
      <c r="H277" s="335" t="s">
        <v>2457</v>
      </c>
      <c r="I277" s="335"/>
    </row>
    <row r="278">
      <c r="A278" s="321" t="s">
        <v>1460</v>
      </c>
      <c r="B278" s="321" t="s">
        <v>2460</v>
      </c>
      <c r="C278" s="321" t="s">
        <v>2461</v>
      </c>
      <c r="D278" s="321" t="s">
        <v>2462</v>
      </c>
      <c r="E278" s="321" t="s">
        <v>1460</v>
      </c>
      <c r="F278" s="321" t="s">
        <v>1460</v>
      </c>
      <c r="G278" s="321" t="s">
        <v>1460</v>
      </c>
      <c r="H278" s="334" t="s">
        <v>1460</v>
      </c>
      <c r="I278" s="334"/>
    </row>
    <row r="279">
      <c r="A279" s="321" t="s">
        <v>1461</v>
      </c>
      <c r="B279" s="321" t="s">
        <v>2463</v>
      </c>
      <c r="C279" s="321" t="s">
        <v>2464</v>
      </c>
      <c r="D279" s="321" t="s">
        <v>2465</v>
      </c>
      <c r="E279" s="321" t="s">
        <v>1461</v>
      </c>
      <c r="F279" s="321" t="s">
        <v>1461</v>
      </c>
      <c r="G279" s="321" t="s">
        <v>1461</v>
      </c>
      <c r="H279" s="335" t="s">
        <v>1461</v>
      </c>
      <c r="I279" s="335"/>
    </row>
    <row r="280">
      <c r="A280" s="321" t="s">
        <v>1462</v>
      </c>
      <c r="B280" s="321" t="s">
        <v>2466</v>
      </c>
      <c r="C280" s="321" t="s">
        <v>2467</v>
      </c>
      <c r="D280" s="321" t="s">
        <v>2468</v>
      </c>
      <c r="E280" s="321" t="s">
        <v>2469</v>
      </c>
      <c r="F280" s="321" t="s">
        <v>1462</v>
      </c>
      <c r="G280" s="321" t="s">
        <v>1462</v>
      </c>
      <c r="H280" s="334" t="s">
        <v>1462</v>
      </c>
      <c r="I280" s="334"/>
    </row>
    <row r="281">
      <c r="A281" s="321" t="s">
        <v>2470</v>
      </c>
      <c r="B281" s="321" t="s">
        <v>2470</v>
      </c>
      <c r="C281" s="321" t="s">
        <v>2471</v>
      </c>
      <c r="D281" s="321" t="s">
        <v>2470</v>
      </c>
      <c r="E281" s="321" t="s">
        <v>2470</v>
      </c>
      <c r="F281" s="321" t="s">
        <v>2470</v>
      </c>
      <c r="G281" s="321" t="s">
        <v>2470</v>
      </c>
      <c r="H281" s="335" t="s">
        <v>2470</v>
      </c>
      <c r="I281" s="335"/>
    </row>
    <row r="282">
      <c r="A282" s="321" t="s">
        <v>2472</v>
      </c>
      <c r="B282" s="321" t="s">
        <v>2473</v>
      </c>
      <c r="C282" s="321" t="s">
        <v>2474</v>
      </c>
      <c r="D282" s="321" t="s">
        <v>2475</v>
      </c>
      <c r="E282" s="321" t="s">
        <v>2473</v>
      </c>
      <c r="F282" s="321" t="s">
        <v>2473</v>
      </c>
      <c r="G282" s="321" t="s">
        <v>2473</v>
      </c>
      <c r="H282" s="334" t="s">
        <v>2472</v>
      </c>
      <c r="I282" s="334"/>
    </row>
    <row r="283">
      <c r="A283" s="321" t="s">
        <v>1284</v>
      </c>
      <c r="B283" s="321" t="s">
        <v>1284</v>
      </c>
      <c r="C283" s="321" t="s">
        <v>2476</v>
      </c>
      <c r="D283" s="321" t="s">
        <v>1284</v>
      </c>
      <c r="E283" s="321" t="s">
        <v>1284</v>
      </c>
      <c r="F283" s="321" t="s">
        <v>1284</v>
      </c>
      <c r="G283" s="321" t="s">
        <v>1284</v>
      </c>
      <c r="H283" s="335" t="s">
        <v>1284</v>
      </c>
      <c r="I283" s="335"/>
    </row>
    <row r="284">
      <c r="A284" s="321" t="s">
        <v>2477</v>
      </c>
      <c r="B284" s="321" t="s">
        <v>2478</v>
      </c>
      <c r="C284" s="321" t="s">
        <v>2479</v>
      </c>
      <c r="D284" s="321" t="s">
        <v>2480</v>
      </c>
      <c r="E284" s="321" t="s">
        <v>2481</v>
      </c>
      <c r="F284" s="321" t="s">
        <v>2477</v>
      </c>
      <c r="G284" s="321" t="s">
        <v>2477</v>
      </c>
      <c r="H284" s="334" t="s">
        <v>2477</v>
      </c>
      <c r="I284" s="334"/>
    </row>
    <row r="285">
      <c r="A285" s="321" t="s">
        <v>2482</v>
      </c>
      <c r="B285" s="321" t="s">
        <v>2483</v>
      </c>
      <c r="C285" s="321" t="s">
        <v>2484</v>
      </c>
      <c r="D285" s="321" t="s">
        <v>2485</v>
      </c>
      <c r="E285" s="321" t="s">
        <v>2486</v>
      </c>
      <c r="F285" s="321" t="s">
        <v>2482</v>
      </c>
      <c r="G285" s="321" t="s">
        <v>2482</v>
      </c>
      <c r="H285" s="335" t="s">
        <v>2482</v>
      </c>
      <c r="I285" s="335"/>
    </row>
    <row r="286">
      <c r="A286" s="321" t="s">
        <v>2487</v>
      </c>
      <c r="B286" s="321" t="s">
        <v>2488</v>
      </c>
      <c r="C286" s="321" t="s">
        <v>2489</v>
      </c>
      <c r="D286" s="321" t="s">
        <v>2490</v>
      </c>
      <c r="E286" s="321" t="s">
        <v>2491</v>
      </c>
      <c r="F286" s="321" t="s">
        <v>2487</v>
      </c>
      <c r="G286" s="321" t="s">
        <v>2487</v>
      </c>
      <c r="H286" s="334" t="s">
        <v>2487</v>
      </c>
      <c r="I286" s="334"/>
    </row>
    <row r="287">
      <c r="A287" s="321" t="s">
        <v>2492</v>
      </c>
      <c r="B287" s="321" t="s">
        <v>2493</v>
      </c>
      <c r="C287" s="321" t="s">
        <v>2494</v>
      </c>
      <c r="D287" s="321" t="s">
        <v>2495</v>
      </c>
      <c r="E287" s="321" t="s">
        <v>2496</v>
      </c>
      <c r="F287" s="321" t="s">
        <v>2492</v>
      </c>
      <c r="G287" s="321" t="s">
        <v>2492</v>
      </c>
      <c r="H287" s="335" t="s">
        <v>2492</v>
      </c>
      <c r="I287" s="335"/>
    </row>
    <row r="288">
      <c r="A288" s="321" t="s">
        <v>2497</v>
      </c>
      <c r="B288" s="321" t="s">
        <v>2498</v>
      </c>
      <c r="C288" s="321" t="s">
        <v>2499</v>
      </c>
      <c r="D288" s="321" t="s">
        <v>2500</v>
      </c>
      <c r="E288" s="321" t="s">
        <v>2501</v>
      </c>
      <c r="F288" s="321" t="s">
        <v>2497</v>
      </c>
      <c r="G288" s="321" t="s">
        <v>2497</v>
      </c>
      <c r="H288" s="334" t="s">
        <v>2497</v>
      </c>
      <c r="I288" s="334"/>
    </row>
    <row r="289">
      <c r="A289" s="321" t="s">
        <v>2502</v>
      </c>
      <c r="B289" s="321" t="s">
        <v>2503</v>
      </c>
      <c r="C289" s="321" t="s">
        <v>2504</v>
      </c>
      <c r="D289" s="321" t="s">
        <v>2505</v>
      </c>
      <c r="E289" s="321" t="s">
        <v>2506</v>
      </c>
      <c r="F289" s="321" t="s">
        <v>2502</v>
      </c>
      <c r="G289" s="321" t="s">
        <v>2502</v>
      </c>
      <c r="H289" s="335" t="s">
        <v>2502</v>
      </c>
      <c r="I289" s="335"/>
    </row>
    <row r="290">
      <c r="A290" s="321" t="s">
        <v>2507</v>
      </c>
      <c r="B290" s="321" t="s">
        <v>2508</v>
      </c>
      <c r="C290" s="321" t="s">
        <v>2509</v>
      </c>
      <c r="D290" s="321" t="s">
        <v>2510</v>
      </c>
      <c r="E290" s="321" t="s">
        <v>2511</v>
      </c>
      <c r="F290" s="321" t="s">
        <v>2507</v>
      </c>
      <c r="G290" s="321" t="s">
        <v>2507</v>
      </c>
      <c r="H290" s="334" t="s">
        <v>2507</v>
      </c>
      <c r="I290" s="334"/>
    </row>
    <row r="291">
      <c r="A291" s="321" t="s">
        <v>2512</v>
      </c>
      <c r="B291" s="321" t="s">
        <v>2513</v>
      </c>
      <c r="C291" s="321" t="s">
        <v>2514</v>
      </c>
      <c r="D291" s="321" t="s">
        <v>2515</v>
      </c>
      <c r="E291" s="321" t="s">
        <v>2516</v>
      </c>
      <c r="F291" s="321" t="s">
        <v>2512</v>
      </c>
      <c r="G291" s="321" t="s">
        <v>2512</v>
      </c>
      <c r="H291" s="335" t="s">
        <v>2512</v>
      </c>
      <c r="I291" s="335"/>
    </row>
    <row r="292">
      <c r="A292" s="321" t="s">
        <v>2517</v>
      </c>
      <c r="B292" s="321" t="s">
        <v>2518</v>
      </c>
      <c r="C292" s="321" t="s">
        <v>2519</v>
      </c>
      <c r="D292" s="321" t="s">
        <v>2520</v>
      </c>
      <c r="E292" s="321" t="s">
        <v>2521</v>
      </c>
      <c r="F292" s="321" t="s">
        <v>2517</v>
      </c>
      <c r="G292" s="321" t="s">
        <v>2517</v>
      </c>
      <c r="H292" s="334" t="s">
        <v>2517</v>
      </c>
      <c r="I292" s="334"/>
    </row>
    <row r="293">
      <c r="A293" s="321" t="s">
        <v>1395</v>
      </c>
      <c r="B293" s="321" t="s">
        <v>2522</v>
      </c>
      <c r="C293" s="321" t="s">
        <v>2523</v>
      </c>
      <c r="D293" s="321" t="s">
        <v>2524</v>
      </c>
      <c r="E293" s="321" t="s">
        <v>2525</v>
      </c>
      <c r="F293" s="321" t="s">
        <v>1395</v>
      </c>
      <c r="G293" s="321" t="s">
        <v>1395</v>
      </c>
      <c r="H293" s="335" t="s">
        <v>1395</v>
      </c>
      <c r="I293" s="335"/>
    </row>
    <row r="294">
      <c r="A294" s="321" t="s">
        <v>1396</v>
      </c>
      <c r="B294" s="321" t="s">
        <v>2526</v>
      </c>
      <c r="C294" s="321" t="s">
        <v>2527</v>
      </c>
      <c r="D294" s="321" t="s">
        <v>2528</v>
      </c>
      <c r="E294" s="321" t="s">
        <v>2529</v>
      </c>
      <c r="F294" s="321" t="s">
        <v>1396</v>
      </c>
      <c r="G294" s="321" t="s">
        <v>1396</v>
      </c>
      <c r="H294" s="334" t="s">
        <v>1396</v>
      </c>
      <c r="I294" s="334"/>
    </row>
    <row r="295">
      <c r="A295" s="321" t="s">
        <v>2530</v>
      </c>
      <c r="B295" s="321" t="s">
        <v>2531</v>
      </c>
      <c r="C295" s="321" t="s">
        <v>2532</v>
      </c>
      <c r="D295" s="321" t="s">
        <v>2533</v>
      </c>
      <c r="E295" s="321" t="s">
        <v>2534</v>
      </c>
      <c r="F295" s="321" t="s">
        <v>2530</v>
      </c>
      <c r="G295" s="321" t="s">
        <v>2530</v>
      </c>
      <c r="H295" s="335" t="s">
        <v>2530</v>
      </c>
      <c r="I295" s="335"/>
    </row>
    <row r="296">
      <c r="A296" s="321" t="s">
        <v>2535</v>
      </c>
      <c r="B296" s="321" t="s">
        <v>2536</v>
      </c>
      <c r="C296" s="321" t="s">
        <v>2537</v>
      </c>
      <c r="D296" s="321" t="s">
        <v>2538</v>
      </c>
      <c r="E296" s="321" t="s">
        <v>2539</v>
      </c>
      <c r="F296" s="321" t="s">
        <v>2535</v>
      </c>
      <c r="G296" s="321" t="s">
        <v>2535</v>
      </c>
      <c r="H296" s="334" t="s">
        <v>2535</v>
      </c>
      <c r="I296" s="334"/>
    </row>
    <row r="297">
      <c r="A297" s="321" t="s">
        <v>2540</v>
      </c>
      <c r="B297" s="321" t="s">
        <v>2541</v>
      </c>
      <c r="C297" s="321" t="s">
        <v>2542</v>
      </c>
      <c r="D297" s="321" t="s">
        <v>2543</v>
      </c>
      <c r="E297" s="321" t="s">
        <v>2544</v>
      </c>
      <c r="F297" s="321" t="s">
        <v>2540</v>
      </c>
      <c r="G297" s="321" t="s">
        <v>2540</v>
      </c>
      <c r="H297" s="335" t="s">
        <v>2540</v>
      </c>
      <c r="I297" s="335"/>
    </row>
    <row r="298">
      <c r="A298" s="321" t="s">
        <v>2545</v>
      </c>
      <c r="B298" s="321" t="s">
        <v>2546</v>
      </c>
      <c r="C298" s="321" t="s">
        <v>2547</v>
      </c>
      <c r="D298" s="321" t="s">
        <v>2548</v>
      </c>
      <c r="E298" s="321" t="s">
        <v>2549</v>
      </c>
      <c r="F298" s="321" t="s">
        <v>2545</v>
      </c>
      <c r="G298" s="321" t="s">
        <v>2545</v>
      </c>
      <c r="H298" s="334" t="s">
        <v>2545</v>
      </c>
      <c r="I298" s="334"/>
    </row>
    <row r="299">
      <c r="A299" s="321" t="s">
        <v>2550</v>
      </c>
      <c r="B299" s="321" t="s">
        <v>2551</v>
      </c>
      <c r="C299" s="321" t="s">
        <v>2552</v>
      </c>
      <c r="D299" s="321" t="s">
        <v>2553</v>
      </c>
      <c r="E299" s="321" t="s">
        <v>2554</v>
      </c>
      <c r="F299" s="321" t="s">
        <v>2550</v>
      </c>
      <c r="G299" s="321" t="s">
        <v>2550</v>
      </c>
      <c r="H299" s="335" t="s">
        <v>2550</v>
      </c>
      <c r="I299" s="335"/>
    </row>
    <row r="300">
      <c r="A300" s="321" t="s">
        <v>2555</v>
      </c>
      <c r="B300" s="321" t="s">
        <v>2556</v>
      </c>
      <c r="C300" s="321" t="s">
        <v>2557</v>
      </c>
      <c r="D300" s="321" t="s">
        <v>2558</v>
      </c>
      <c r="E300" s="321" t="s">
        <v>2559</v>
      </c>
      <c r="F300" s="321" t="s">
        <v>2555</v>
      </c>
      <c r="G300" s="321" t="s">
        <v>2555</v>
      </c>
      <c r="H300" s="334" t="s">
        <v>2555</v>
      </c>
      <c r="I300" s="334"/>
    </row>
    <row r="301">
      <c r="A301" s="321" t="s">
        <v>2560</v>
      </c>
      <c r="B301" s="321" t="s">
        <v>2561</v>
      </c>
      <c r="C301" s="321" t="s">
        <v>2562</v>
      </c>
      <c r="D301" s="321" t="s">
        <v>2563</v>
      </c>
      <c r="E301" s="321" t="s">
        <v>2564</v>
      </c>
      <c r="F301" s="321" t="s">
        <v>2560</v>
      </c>
      <c r="G301" s="321" t="s">
        <v>2560</v>
      </c>
      <c r="H301" s="335" t="s">
        <v>2560</v>
      </c>
      <c r="I301" s="335"/>
    </row>
    <row r="302">
      <c r="A302" s="321" t="s">
        <v>2565</v>
      </c>
      <c r="B302" s="321" t="s">
        <v>2566</v>
      </c>
      <c r="C302" s="321" t="s">
        <v>2567</v>
      </c>
      <c r="D302" s="321" t="s">
        <v>2568</v>
      </c>
      <c r="E302" s="321" t="s">
        <v>2569</v>
      </c>
      <c r="F302" s="321" t="s">
        <v>2565</v>
      </c>
      <c r="G302" s="321" t="s">
        <v>2565</v>
      </c>
      <c r="H302" s="334" t="s">
        <v>2565</v>
      </c>
      <c r="I302" s="334"/>
    </row>
    <row r="303">
      <c r="A303" s="321" t="s">
        <v>2570</v>
      </c>
      <c r="B303" s="321" t="s">
        <v>2570</v>
      </c>
      <c r="C303" s="321" t="s">
        <v>2571</v>
      </c>
      <c r="D303" s="321" t="s">
        <v>2572</v>
      </c>
      <c r="E303" s="321" t="s">
        <v>2573</v>
      </c>
      <c r="F303" s="321" t="s">
        <v>2570</v>
      </c>
      <c r="G303" s="321" t="s">
        <v>2570</v>
      </c>
      <c r="H303" s="335" t="s">
        <v>2570</v>
      </c>
      <c r="I303" s="335"/>
    </row>
    <row r="304">
      <c r="A304" s="321" t="s">
        <v>2574</v>
      </c>
      <c r="B304" s="321" t="s">
        <v>2574</v>
      </c>
      <c r="C304" s="321" t="s">
        <v>2575</v>
      </c>
      <c r="D304" s="321" t="s">
        <v>2576</v>
      </c>
      <c r="E304" s="321" t="s">
        <v>2577</v>
      </c>
      <c r="F304" s="321" t="s">
        <v>2574</v>
      </c>
      <c r="G304" s="321" t="s">
        <v>2574</v>
      </c>
      <c r="H304" s="334" t="s">
        <v>2574</v>
      </c>
      <c r="I304" s="334"/>
    </row>
    <row r="305">
      <c r="A305" s="321" t="s">
        <v>2578</v>
      </c>
      <c r="B305" s="321" t="s">
        <v>2579</v>
      </c>
      <c r="C305" s="321" t="s">
        <v>2580</v>
      </c>
      <c r="D305" s="321" t="s">
        <v>2581</v>
      </c>
      <c r="E305" s="321" t="s">
        <v>2582</v>
      </c>
      <c r="F305" s="321" t="s">
        <v>2578</v>
      </c>
      <c r="G305" s="321" t="s">
        <v>2578</v>
      </c>
      <c r="H305" s="335" t="s">
        <v>2578</v>
      </c>
      <c r="I305" s="335"/>
    </row>
    <row r="306">
      <c r="A306" s="321" t="s">
        <v>2583</v>
      </c>
      <c r="B306" s="321" t="s">
        <v>2584</v>
      </c>
      <c r="C306" s="321" t="s">
        <v>2585</v>
      </c>
      <c r="D306" s="321" t="s">
        <v>2586</v>
      </c>
      <c r="E306" s="321" t="s">
        <v>2587</v>
      </c>
      <c r="F306" s="321" t="s">
        <v>2583</v>
      </c>
      <c r="G306" s="321" t="s">
        <v>2583</v>
      </c>
      <c r="H306" s="334" t="s">
        <v>2583</v>
      </c>
      <c r="I306" s="334"/>
    </row>
    <row r="307">
      <c r="A307" s="321" t="s">
        <v>2588</v>
      </c>
      <c r="B307" s="321" t="s">
        <v>2589</v>
      </c>
      <c r="C307" s="321" t="s">
        <v>2590</v>
      </c>
      <c r="D307" s="321" t="s">
        <v>2591</v>
      </c>
      <c r="E307" s="321" t="s">
        <v>2592</v>
      </c>
      <c r="F307" s="321" t="s">
        <v>2588</v>
      </c>
      <c r="G307" s="321" t="s">
        <v>2588</v>
      </c>
      <c r="H307" s="335" t="s">
        <v>2588</v>
      </c>
      <c r="I307" s="335"/>
    </row>
    <row r="308">
      <c r="A308" s="321" t="s">
        <v>2593</v>
      </c>
      <c r="B308" s="321" t="s">
        <v>2594</v>
      </c>
      <c r="C308" s="321" t="s">
        <v>2595</v>
      </c>
      <c r="D308" s="321" t="s">
        <v>2596</v>
      </c>
      <c r="E308" s="321" t="s">
        <v>2597</v>
      </c>
      <c r="F308" s="321" t="s">
        <v>2593</v>
      </c>
      <c r="G308" s="321" t="s">
        <v>2593</v>
      </c>
      <c r="H308" s="334" t="s">
        <v>2593</v>
      </c>
      <c r="I308" s="334"/>
    </row>
    <row r="309">
      <c r="A309" s="321" t="s">
        <v>2598</v>
      </c>
      <c r="B309" s="321" t="s">
        <v>2599</v>
      </c>
      <c r="C309" s="321" t="s">
        <v>2600</v>
      </c>
      <c r="D309" s="321" t="s">
        <v>2601</v>
      </c>
      <c r="E309" s="321" t="s">
        <v>2602</v>
      </c>
      <c r="F309" s="321" t="s">
        <v>2598</v>
      </c>
      <c r="G309" s="321" t="s">
        <v>2598</v>
      </c>
      <c r="H309" s="335" t="s">
        <v>2598</v>
      </c>
      <c r="I309" s="335"/>
    </row>
    <row r="310">
      <c r="A310" s="321" t="s">
        <v>2603</v>
      </c>
      <c r="B310" s="321" t="s">
        <v>2604</v>
      </c>
      <c r="C310" s="321" t="s">
        <v>2605</v>
      </c>
      <c r="D310" s="321" t="s">
        <v>2606</v>
      </c>
      <c r="E310" s="321" t="s">
        <v>2603</v>
      </c>
      <c r="F310" s="321" t="s">
        <v>2603</v>
      </c>
      <c r="G310" s="321" t="s">
        <v>2603</v>
      </c>
      <c r="H310" s="334" t="s">
        <v>2603</v>
      </c>
      <c r="I310" s="334"/>
    </row>
    <row r="311">
      <c r="A311" s="321" t="s">
        <v>2607</v>
      </c>
      <c r="B311" s="321" t="s">
        <v>2608</v>
      </c>
      <c r="C311" s="321" t="s">
        <v>2609</v>
      </c>
      <c r="D311" s="321" t="s">
        <v>2607</v>
      </c>
      <c r="E311" s="321" t="s">
        <v>2607</v>
      </c>
      <c r="F311" s="321" t="s">
        <v>2607</v>
      </c>
      <c r="G311" s="321" t="s">
        <v>2607</v>
      </c>
      <c r="H311" s="335" t="s">
        <v>2607</v>
      </c>
      <c r="I311" s="335"/>
    </row>
    <row r="312">
      <c r="A312" s="321" t="s">
        <v>1169</v>
      </c>
      <c r="B312" s="321" t="s">
        <v>2610</v>
      </c>
      <c r="C312" s="321" t="s">
        <v>2611</v>
      </c>
      <c r="D312" s="321" t="s">
        <v>1169</v>
      </c>
      <c r="E312" s="321" t="s">
        <v>2612</v>
      </c>
      <c r="F312" s="321" t="s">
        <v>1169</v>
      </c>
      <c r="G312" s="321" t="s">
        <v>1169</v>
      </c>
      <c r="H312" s="334" t="s">
        <v>1169</v>
      </c>
      <c r="I312" s="334"/>
    </row>
    <row r="313">
      <c r="A313" s="321" t="s">
        <v>1170</v>
      </c>
      <c r="B313" s="321" t="s">
        <v>1170</v>
      </c>
      <c r="C313" s="321" t="s">
        <v>2613</v>
      </c>
      <c r="D313" s="321" t="s">
        <v>1170</v>
      </c>
      <c r="E313" s="321" t="s">
        <v>1170</v>
      </c>
      <c r="F313" s="321" t="s">
        <v>1170</v>
      </c>
      <c r="G313" s="321" t="s">
        <v>1170</v>
      </c>
      <c r="H313" s="335" t="s">
        <v>1170</v>
      </c>
      <c r="I313" s="335"/>
    </row>
    <row r="314">
      <c r="A314" s="321" t="s">
        <v>1171</v>
      </c>
      <c r="B314" s="321" t="s">
        <v>1171</v>
      </c>
      <c r="C314" s="321" t="s">
        <v>2614</v>
      </c>
      <c r="D314" s="321" t="s">
        <v>2615</v>
      </c>
      <c r="E314" s="321" t="s">
        <v>2616</v>
      </c>
      <c r="F314" s="321" t="s">
        <v>1171</v>
      </c>
      <c r="G314" s="321" t="s">
        <v>1171</v>
      </c>
      <c r="H314" s="334" t="s">
        <v>1171</v>
      </c>
      <c r="I314" s="334"/>
    </row>
    <row r="315">
      <c r="A315" s="321" t="s">
        <v>2617</v>
      </c>
      <c r="B315" s="321" t="s">
        <v>2618</v>
      </c>
      <c r="C315" s="321" t="s">
        <v>2619</v>
      </c>
      <c r="D315" s="321" t="s">
        <v>2620</v>
      </c>
      <c r="E315" s="321" t="s">
        <v>2621</v>
      </c>
      <c r="F315" s="321" t="s">
        <v>2617</v>
      </c>
      <c r="G315" s="321" t="s">
        <v>2617</v>
      </c>
      <c r="H315" s="335" t="s">
        <v>2617</v>
      </c>
      <c r="I315" s="335"/>
    </row>
    <row r="316">
      <c r="A316" s="321" t="s">
        <v>2622</v>
      </c>
      <c r="B316" s="321" t="s">
        <v>2623</v>
      </c>
      <c r="C316" s="321" t="s">
        <v>2624</v>
      </c>
      <c r="D316" s="321" t="s">
        <v>2625</v>
      </c>
      <c r="E316" s="321" t="s">
        <v>2626</v>
      </c>
      <c r="F316" s="321" t="s">
        <v>2622</v>
      </c>
      <c r="G316" s="321" t="s">
        <v>2622</v>
      </c>
      <c r="H316" s="334" t="s">
        <v>2622</v>
      </c>
      <c r="I316" s="334"/>
    </row>
    <row r="317">
      <c r="A317" s="321" t="s">
        <v>2627</v>
      </c>
      <c r="B317" s="321" t="s">
        <v>2628</v>
      </c>
      <c r="C317" s="321" t="s">
        <v>2629</v>
      </c>
      <c r="D317" s="321" t="s">
        <v>2630</v>
      </c>
      <c r="E317" s="321" t="s">
        <v>2631</v>
      </c>
      <c r="F317" s="321" t="s">
        <v>2627</v>
      </c>
      <c r="G317" s="321" t="s">
        <v>2627</v>
      </c>
      <c r="H317" s="335" t="s">
        <v>2627</v>
      </c>
      <c r="I317" s="335"/>
    </row>
    <row r="318">
      <c r="A318" s="321" t="s">
        <v>2632</v>
      </c>
      <c r="B318" s="321" t="s">
        <v>2633</v>
      </c>
      <c r="C318" s="321" t="s">
        <v>2634</v>
      </c>
      <c r="D318" s="321" t="s">
        <v>2635</v>
      </c>
      <c r="E318" s="321" t="s">
        <v>2636</v>
      </c>
      <c r="F318" s="321" t="s">
        <v>2632</v>
      </c>
      <c r="G318" s="321" t="s">
        <v>2632</v>
      </c>
      <c r="H318" s="334" t="s">
        <v>2632</v>
      </c>
      <c r="I318" s="334"/>
    </row>
    <row r="319">
      <c r="A319" s="321" t="s">
        <v>2637</v>
      </c>
      <c r="B319" s="321" t="s">
        <v>2638</v>
      </c>
      <c r="C319" s="321" t="s">
        <v>2639</v>
      </c>
      <c r="D319" s="321" t="s">
        <v>2640</v>
      </c>
      <c r="E319" s="321" t="s">
        <v>2641</v>
      </c>
      <c r="F319" s="321" t="s">
        <v>2637</v>
      </c>
      <c r="G319" s="321" t="s">
        <v>2637</v>
      </c>
      <c r="H319" s="335" t="s">
        <v>2637</v>
      </c>
      <c r="I319" s="335"/>
    </row>
    <row r="320">
      <c r="A320" s="321" t="s">
        <v>2642</v>
      </c>
      <c r="B320" s="321" t="s">
        <v>2642</v>
      </c>
      <c r="C320" s="321" t="s">
        <v>2643</v>
      </c>
      <c r="D320" s="321" t="s">
        <v>2644</v>
      </c>
      <c r="E320" s="321" t="s">
        <v>2645</v>
      </c>
      <c r="F320" s="321" t="s">
        <v>2642</v>
      </c>
      <c r="G320" s="321" t="s">
        <v>2642</v>
      </c>
      <c r="H320" s="334" t="s">
        <v>2642</v>
      </c>
      <c r="I320" s="334"/>
    </row>
    <row r="321">
      <c r="A321" s="321" t="s">
        <v>2646</v>
      </c>
      <c r="B321" s="321" t="s">
        <v>2647</v>
      </c>
      <c r="C321" s="321" t="s">
        <v>2648</v>
      </c>
      <c r="D321" s="321" t="s">
        <v>2649</v>
      </c>
      <c r="E321" s="321" t="s">
        <v>2650</v>
      </c>
      <c r="F321" s="321" t="s">
        <v>2646</v>
      </c>
      <c r="G321" s="321" t="s">
        <v>2646</v>
      </c>
      <c r="H321" s="335" t="s">
        <v>2646</v>
      </c>
      <c r="I321" s="335"/>
    </row>
    <row r="322">
      <c r="A322" s="321" t="s">
        <v>2651</v>
      </c>
      <c r="B322" s="321" t="s">
        <v>2652</v>
      </c>
      <c r="C322" s="321" t="s">
        <v>2653</v>
      </c>
      <c r="D322" s="321" t="s">
        <v>2654</v>
      </c>
      <c r="E322" s="321" t="s">
        <v>2651</v>
      </c>
      <c r="F322" s="321" t="s">
        <v>2651</v>
      </c>
      <c r="G322" s="321" t="s">
        <v>2651</v>
      </c>
      <c r="H322" s="334" t="s">
        <v>2651</v>
      </c>
      <c r="I322" s="334"/>
    </row>
    <row r="323">
      <c r="A323" s="321" t="s">
        <v>2655</v>
      </c>
      <c r="B323" s="321" t="s">
        <v>2655</v>
      </c>
      <c r="C323" s="321" t="s">
        <v>2656</v>
      </c>
      <c r="D323" s="321" t="s">
        <v>2657</v>
      </c>
      <c r="E323" s="321" t="s">
        <v>2655</v>
      </c>
      <c r="F323" s="321" t="s">
        <v>2655</v>
      </c>
      <c r="G323" s="321" t="s">
        <v>2655</v>
      </c>
      <c r="H323" s="335" t="s">
        <v>2655</v>
      </c>
      <c r="I323" s="335"/>
    </row>
    <row r="324">
      <c r="A324" s="321" t="s">
        <v>2658</v>
      </c>
      <c r="B324" s="321" t="s">
        <v>2659</v>
      </c>
      <c r="C324" s="321" t="s">
        <v>2660</v>
      </c>
      <c r="D324" s="321" t="s">
        <v>2661</v>
      </c>
      <c r="E324" s="321" t="s">
        <v>2662</v>
      </c>
      <c r="F324" s="321" t="s">
        <v>2658</v>
      </c>
      <c r="G324" s="321" t="s">
        <v>2658</v>
      </c>
      <c r="H324" s="334" t="s">
        <v>2658</v>
      </c>
      <c r="I324" s="334"/>
    </row>
    <row r="325">
      <c r="A325" s="321" t="s">
        <v>2663</v>
      </c>
      <c r="B325" s="321" t="s">
        <v>2664</v>
      </c>
      <c r="C325" s="321" t="s">
        <v>2665</v>
      </c>
      <c r="D325" s="321" t="s">
        <v>2666</v>
      </c>
      <c r="E325" s="321" t="s">
        <v>2667</v>
      </c>
      <c r="F325" s="321" t="s">
        <v>2663</v>
      </c>
      <c r="G325" s="321" t="s">
        <v>2663</v>
      </c>
      <c r="H325" s="335" t="s">
        <v>2663</v>
      </c>
      <c r="I325" s="335"/>
    </row>
    <row r="326">
      <c r="A326" s="321" t="s">
        <v>2668</v>
      </c>
      <c r="B326" s="321" t="s">
        <v>2669</v>
      </c>
      <c r="C326" s="321" t="s">
        <v>2670</v>
      </c>
      <c r="D326" s="321" t="s">
        <v>2671</v>
      </c>
      <c r="E326" s="321" t="s">
        <v>2672</v>
      </c>
      <c r="F326" s="321" t="s">
        <v>2668</v>
      </c>
      <c r="G326" s="321" t="s">
        <v>2668</v>
      </c>
      <c r="H326" s="334" t="s">
        <v>2668</v>
      </c>
      <c r="I326" s="334"/>
    </row>
    <row r="327">
      <c r="A327" s="321" t="s">
        <v>2673</v>
      </c>
      <c r="B327" s="321" t="s">
        <v>2674</v>
      </c>
      <c r="C327" s="321" t="s">
        <v>2675</v>
      </c>
      <c r="D327" s="321" t="s">
        <v>2676</v>
      </c>
      <c r="E327" s="321" t="s">
        <v>2677</v>
      </c>
      <c r="F327" s="321" t="s">
        <v>2673</v>
      </c>
      <c r="G327" s="321" t="s">
        <v>2673</v>
      </c>
      <c r="H327" s="335" t="s">
        <v>2673</v>
      </c>
      <c r="I327" s="335"/>
    </row>
    <row r="328">
      <c r="A328" s="321" t="s">
        <v>2678</v>
      </c>
      <c r="B328" s="321" t="s">
        <v>2678</v>
      </c>
      <c r="C328" s="321" t="s">
        <v>2679</v>
      </c>
      <c r="D328" s="321" t="s">
        <v>2680</v>
      </c>
      <c r="E328" s="321" t="s">
        <v>2678</v>
      </c>
      <c r="F328" s="321" t="s">
        <v>2678</v>
      </c>
      <c r="G328" s="321" t="s">
        <v>2678</v>
      </c>
      <c r="H328" s="334" t="s">
        <v>2678</v>
      </c>
      <c r="I328" s="334"/>
    </row>
    <row r="329">
      <c r="A329" s="321" t="s">
        <v>2681</v>
      </c>
      <c r="B329" s="321" t="s">
        <v>2681</v>
      </c>
      <c r="C329" s="321" t="s">
        <v>2682</v>
      </c>
      <c r="D329" s="321" t="s">
        <v>2683</v>
      </c>
      <c r="E329" s="321" t="s">
        <v>2681</v>
      </c>
      <c r="F329" s="321" t="s">
        <v>2681</v>
      </c>
      <c r="G329" s="321" t="s">
        <v>2681</v>
      </c>
      <c r="H329" s="335" t="s">
        <v>2681</v>
      </c>
      <c r="I329" s="335"/>
    </row>
    <row r="330">
      <c r="A330" s="321" t="s">
        <v>2684</v>
      </c>
      <c r="B330" s="321" t="s">
        <v>2684</v>
      </c>
      <c r="C330" s="321" t="s">
        <v>2685</v>
      </c>
      <c r="D330" s="321" t="s">
        <v>2686</v>
      </c>
      <c r="E330" s="321" t="s">
        <v>2684</v>
      </c>
      <c r="F330" s="321" t="s">
        <v>2684</v>
      </c>
      <c r="G330" s="321" t="s">
        <v>2684</v>
      </c>
      <c r="H330" s="334" t="s">
        <v>2684</v>
      </c>
      <c r="I330" s="334"/>
    </row>
    <row r="331">
      <c r="A331" s="321" t="s">
        <v>1280</v>
      </c>
      <c r="B331" s="321" t="s">
        <v>2687</v>
      </c>
      <c r="C331" s="321" t="s">
        <v>2688</v>
      </c>
      <c r="D331" s="321" t="s">
        <v>1280</v>
      </c>
      <c r="E331" s="321" t="s">
        <v>2689</v>
      </c>
      <c r="F331" s="321" t="s">
        <v>1280</v>
      </c>
      <c r="G331" s="321" t="s">
        <v>1280</v>
      </c>
      <c r="H331" s="335" t="s">
        <v>1280</v>
      </c>
      <c r="I331" s="335"/>
    </row>
    <row r="332">
      <c r="A332" s="321" t="s">
        <v>2690</v>
      </c>
      <c r="B332" s="321" t="s">
        <v>2690</v>
      </c>
      <c r="C332" s="321" t="s">
        <v>2691</v>
      </c>
      <c r="D332" s="321" t="s">
        <v>2692</v>
      </c>
      <c r="E332" s="321" t="s">
        <v>2692</v>
      </c>
      <c r="F332" s="321" t="s">
        <v>2690</v>
      </c>
      <c r="G332" s="321" t="s">
        <v>2690</v>
      </c>
      <c r="H332" s="334" t="s">
        <v>2690</v>
      </c>
      <c r="I332" s="334"/>
    </row>
    <row r="333">
      <c r="A333" s="321" t="s">
        <v>2693</v>
      </c>
      <c r="B333" s="321" t="s">
        <v>2693</v>
      </c>
      <c r="C333" s="321" t="s">
        <v>2694</v>
      </c>
      <c r="D333" s="321" t="s">
        <v>2695</v>
      </c>
      <c r="E333" s="321" t="s">
        <v>2696</v>
      </c>
      <c r="F333" s="321" t="s">
        <v>2693</v>
      </c>
      <c r="G333" s="321" t="s">
        <v>2693</v>
      </c>
      <c r="H333" s="335" t="s">
        <v>2693</v>
      </c>
      <c r="I333" s="335"/>
    </row>
    <row r="334">
      <c r="A334" s="321" t="s">
        <v>2697</v>
      </c>
      <c r="B334" s="321" t="s">
        <v>2698</v>
      </c>
      <c r="C334" s="321" t="s">
        <v>2699</v>
      </c>
      <c r="D334" s="321" t="s">
        <v>2700</v>
      </c>
      <c r="E334" s="321" t="s">
        <v>2701</v>
      </c>
      <c r="F334" s="321" t="s">
        <v>2697</v>
      </c>
      <c r="G334" s="321" t="s">
        <v>2697</v>
      </c>
      <c r="H334" s="334" t="s">
        <v>2697</v>
      </c>
      <c r="I334" s="334"/>
    </row>
    <row r="335">
      <c r="A335" s="321" t="s">
        <v>1215</v>
      </c>
      <c r="B335" s="321" t="s">
        <v>2702</v>
      </c>
      <c r="C335" s="321" t="s">
        <v>2703</v>
      </c>
      <c r="D335" s="321" t="s">
        <v>2704</v>
      </c>
      <c r="E335" s="321" t="s">
        <v>2705</v>
      </c>
      <c r="F335" s="321" t="s">
        <v>1215</v>
      </c>
      <c r="G335" s="321" t="s">
        <v>1215</v>
      </c>
      <c r="H335" s="335" t="s">
        <v>1215</v>
      </c>
      <c r="I335" s="335"/>
    </row>
    <row r="336">
      <c r="A336" s="321" t="s">
        <v>2706</v>
      </c>
      <c r="B336" s="321" t="s">
        <v>2707</v>
      </c>
      <c r="C336" s="321" t="s">
        <v>2708</v>
      </c>
      <c r="D336" s="321" t="s">
        <v>2709</v>
      </c>
      <c r="E336" s="321" t="s">
        <v>2710</v>
      </c>
      <c r="F336" s="321" t="s">
        <v>2706</v>
      </c>
      <c r="G336" s="321" t="s">
        <v>2706</v>
      </c>
      <c r="H336" s="334" t="s">
        <v>2706</v>
      </c>
      <c r="I336" s="334"/>
    </row>
    <row r="337">
      <c r="A337" s="321" t="s">
        <v>2711</v>
      </c>
      <c r="B337" s="321" t="s">
        <v>2712</v>
      </c>
      <c r="C337" s="321" t="s">
        <v>2713</v>
      </c>
      <c r="D337" s="321" t="s">
        <v>2714</v>
      </c>
      <c r="E337" s="321" t="s">
        <v>2715</v>
      </c>
      <c r="F337" s="321" t="s">
        <v>2711</v>
      </c>
      <c r="G337" s="321" t="s">
        <v>2711</v>
      </c>
      <c r="H337" s="335" t="s">
        <v>2711</v>
      </c>
      <c r="I337" s="335"/>
    </row>
    <row r="338">
      <c r="A338" s="321" t="s">
        <v>2716</v>
      </c>
      <c r="B338" s="321" t="s">
        <v>2717</v>
      </c>
      <c r="C338" s="321" t="s">
        <v>2718</v>
      </c>
      <c r="D338" s="321" t="s">
        <v>2719</v>
      </c>
      <c r="E338" s="321" t="s">
        <v>2720</v>
      </c>
      <c r="F338" s="321" t="s">
        <v>2716</v>
      </c>
      <c r="G338" s="321" t="s">
        <v>2716</v>
      </c>
      <c r="H338" s="334" t="s">
        <v>2716</v>
      </c>
      <c r="I338" s="334"/>
    </row>
    <row r="339">
      <c r="A339" s="321" t="s">
        <v>1463</v>
      </c>
      <c r="B339" s="321" t="s">
        <v>2721</v>
      </c>
      <c r="C339" s="321" t="s">
        <v>2722</v>
      </c>
      <c r="D339" s="321" t="s">
        <v>2723</v>
      </c>
      <c r="E339" s="321" t="s">
        <v>2724</v>
      </c>
      <c r="F339" s="321" t="s">
        <v>1463</v>
      </c>
      <c r="G339" s="321" t="s">
        <v>1463</v>
      </c>
      <c r="H339" s="335" t="s">
        <v>1463</v>
      </c>
      <c r="I339" s="335"/>
    </row>
    <row r="340">
      <c r="A340" s="321" t="s">
        <v>1464</v>
      </c>
      <c r="B340" s="321" t="s">
        <v>2725</v>
      </c>
      <c r="C340" s="321" t="s">
        <v>2726</v>
      </c>
      <c r="D340" s="321" t="s">
        <v>2727</v>
      </c>
      <c r="E340" s="321" t="s">
        <v>2728</v>
      </c>
      <c r="F340" s="321" t="s">
        <v>1464</v>
      </c>
      <c r="G340" s="321" t="s">
        <v>1464</v>
      </c>
      <c r="H340" s="334" t="s">
        <v>1464</v>
      </c>
      <c r="I340" s="334"/>
    </row>
    <row r="341">
      <c r="A341" s="321" t="s">
        <v>1454</v>
      </c>
      <c r="B341" s="321" t="s">
        <v>2729</v>
      </c>
      <c r="C341" s="321" t="s">
        <v>2730</v>
      </c>
      <c r="D341" s="321" t="s">
        <v>2731</v>
      </c>
      <c r="E341" s="321" t="s">
        <v>2732</v>
      </c>
      <c r="F341" s="321" t="s">
        <v>1454</v>
      </c>
      <c r="G341" s="321" t="s">
        <v>1454</v>
      </c>
      <c r="H341" s="335" t="s">
        <v>1454</v>
      </c>
      <c r="I341" s="335"/>
    </row>
    <row r="342">
      <c r="A342" s="321" t="s">
        <v>1455</v>
      </c>
      <c r="B342" s="321" t="s">
        <v>2733</v>
      </c>
      <c r="C342" s="321" t="s">
        <v>2734</v>
      </c>
      <c r="D342" s="321" t="s">
        <v>2735</v>
      </c>
      <c r="E342" s="321" t="s">
        <v>2736</v>
      </c>
      <c r="F342" s="321" t="s">
        <v>1455</v>
      </c>
      <c r="G342" s="321" t="s">
        <v>1455</v>
      </c>
      <c r="H342" s="334" t="s">
        <v>1455</v>
      </c>
      <c r="I342" s="334"/>
    </row>
    <row r="343">
      <c r="A343" s="321" t="s">
        <v>2737</v>
      </c>
      <c r="B343" s="321" t="s">
        <v>2738</v>
      </c>
      <c r="C343" s="321" t="s">
        <v>2739</v>
      </c>
      <c r="D343" s="321" t="s">
        <v>2740</v>
      </c>
      <c r="E343" s="321" t="s">
        <v>2737</v>
      </c>
      <c r="F343" s="321" t="s">
        <v>2737</v>
      </c>
      <c r="G343" s="321" t="s">
        <v>2737</v>
      </c>
      <c r="H343" s="335" t="s">
        <v>2737</v>
      </c>
      <c r="I343" s="335"/>
    </row>
    <row r="344">
      <c r="A344" s="321" t="s">
        <v>2741</v>
      </c>
      <c r="B344" s="321" t="s">
        <v>2742</v>
      </c>
      <c r="C344" s="321" t="s">
        <v>2743</v>
      </c>
      <c r="D344" s="321" t="s">
        <v>2741</v>
      </c>
      <c r="E344" s="321" t="s">
        <v>2741</v>
      </c>
      <c r="F344" s="321" t="s">
        <v>2741</v>
      </c>
      <c r="G344" s="321" t="s">
        <v>2741</v>
      </c>
      <c r="H344" s="334" t="s">
        <v>2741</v>
      </c>
      <c r="I344" s="334"/>
    </row>
    <row r="345">
      <c r="A345" s="321" t="s">
        <v>2744</v>
      </c>
      <c r="B345" s="321" t="s">
        <v>2745</v>
      </c>
      <c r="C345" s="321" t="s">
        <v>2746</v>
      </c>
      <c r="D345" s="321" t="s">
        <v>2747</v>
      </c>
      <c r="E345" s="321" t="s">
        <v>2744</v>
      </c>
      <c r="F345" s="321" t="s">
        <v>2744</v>
      </c>
      <c r="G345" s="321" t="s">
        <v>2744</v>
      </c>
      <c r="H345" s="335" t="s">
        <v>2744</v>
      </c>
      <c r="I345" s="335"/>
    </row>
    <row r="346">
      <c r="A346" s="321" t="s">
        <v>2748</v>
      </c>
      <c r="B346" s="321" t="s">
        <v>2749</v>
      </c>
      <c r="C346" s="321" t="s">
        <v>2750</v>
      </c>
      <c r="D346" s="321" t="s">
        <v>2748</v>
      </c>
      <c r="E346" s="321" t="s">
        <v>2748</v>
      </c>
      <c r="F346" s="321" t="s">
        <v>2748</v>
      </c>
      <c r="G346" s="321" t="s">
        <v>2748</v>
      </c>
      <c r="H346" s="334" t="s">
        <v>2748</v>
      </c>
      <c r="I346" s="334"/>
    </row>
    <row r="347">
      <c r="A347" s="321" t="s">
        <v>1325</v>
      </c>
      <c r="B347" s="321" t="s">
        <v>2751</v>
      </c>
      <c r="C347" s="321" t="s">
        <v>2752</v>
      </c>
      <c r="D347" s="321" t="s">
        <v>1325</v>
      </c>
      <c r="E347" s="321" t="s">
        <v>1325</v>
      </c>
      <c r="F347" s="321" t="s">
        <v>1325</v>
      </c>
      <c r="G347" s="321" t="s">
        <v>1325</v>
      </c>
      <c r="H347" s="335" t="s">
        <v>1325</v>
      </c>
      <c r="I347" s="335"/>
    </row>
    <row r="348">
      <c r="A348" s="321" t="s">
        <v>2753</v>
      </c>
      <c r="B348" s="321" t="s">
        <v>2754</v>
      </c>
      <c r="C348" s="321" t="s">
        <v>2755</v>
      </c>
      <c r="D348" s="321" t="s">
        <v>2756</v>
      </c>
      <c r="E348" s="321" t="s">
        <v>2757</v>
      </c>
      <c r="F348" s="321" t="s">
        <v>2753</v>
      </c>
      <c r="G348" s="321" t="s">
        <v>2753</v>
      </c>
      <c r="H348" s="334" t="s">
        <v>2753</v>
      </c>
      <c r="I348" s="334"/>
    </row>
    <row r="349">
      <c r="A349" s="321" t="s">
        <v>2758</v>
      </c>
      <c r="B349" s="321" t="s">
        <v>2759</v>
      </c>
      <c r="C349" s="321" t="s">
        <v>2760</v>
      </c>
      <c r="D349" s="321" t="s">
        <v>2761</v>
      </c>
      <c r="E349" s="321" t="s">
        <v>2762</v>
      </c>
      <c r="F349" s="321" t="s">
        <v>2758</v>
      </c>
      <c r="G349" s="321" t="s">
        <v>2758</v>
      </c>
      <c r="H349" s="335" t="s">
        <v>2758</v>
      </c>
      <c r="I349" s="335"/>
    </row>
    <row r="350">
      <c r="A350" s="321" t="s">
        <v>2763</v>
      </c>
      <c r="B350" s="321" t="s">
        <v>2763</v>
      </c>
      <c r="C350" s="321" t="s">
        <v>2764</v>
      </c>
      <c r="D350" s="321" t="s">
        <v>2765</v>
      </c>
      <c r="E350" s="321" t="s">
        <v>2766</v>
      </c>
      <c r="F350" s="321" t="s">
        <v>2763</v>
      </c>
      <c r="G350" s="321" t="s">
        <v>2763</v>
      </c>
      <c r="H350" s="334" t="s">
        <v>2763</v>
      </c>
      <c r="I350" s="334"/>
    </row>
    <row r="351">
      <c r="A351" s="321" t="s">
        <v>2767</v>
      </c>
      <c r="B351" s="321" t="s">
        <v>2767</v>
      </c>
      <c r="C351" s="321" t="s">
        <v>2768</v>
      </c>
      <c r="D351" s="321" t="s">
        <v>2769</v>
      </c>
      <c r="E351" s="321" t="s">
        <v>2770</v>
      </c>
      <c r="F351" s="321" t="s">
        <v>2767</v>
      </c>
      <c r="G351" s="321" t="s">
        <v>2767</v>
      </c>
      <c r="H351" s="335" t="s">
        <v>2767</v>
      </c>
      <c r="I351" s="335"/>
    </row>
    <row r="352">
      <c r="A352" s="321" t="s">
        <v>2771</v>
      </c>
      <c r="B352" s="321" t="s">
        <v>2771</v>
      </c>
      <c r="C352" s="321" t="s">
        <v>2772</v>
      </c>
      <c r="D352" s="321" t="s">
        <v>2773</v>
      </c>
      <c r="E352" s="321" t="s">
        <v>2771</v>
      </c>
      <c r="F352" s="321" t="s">
        <v>2771</v>
      </c>
      <c r="G352" s="321" t="s">
        <v>2771</v>
      </c>
      <c r="H352" s="334" t="s">
        <v>2771</v>
      </c>
      <c r="I352" s="334"/>
    </row>
    <row r="353">
      <c r="A353" s="321" t="s">
        <v>2774</v>
      </c>
      <c r="B353" s="321" t="s">
        <v>2774</v>
      </c>
      <c r="C353" s="321" t="s">
        <v>2775</v>
      </c>
      <c r="D353" s="321" t="s">
        <v>2776</v>
      </c>
      <c r="E353" s="321" t="s">
        <v>2774</v>
      </c>
      <c r="F353" s="321" t="s">
        <v>2774</v>
      </c>
      <c r="G353" s="321" t="s">
        <v>2774</v>
      </c>
      <c r="H353" s="335" t="s">
        <v>2774</v>
      </c>
      <c r="I353" s="335"/>
    </row>
    <row r="354">
      <c r="A354" s="321" t="s">
        <v>2777</v>
      </c>
      <c r="B354" s="321" t="s">
        <v>2778</v>
      </c>
      <c r="C354" s="321" t="s">
        <v>2779</v>
      </c>
      <c r="D354" s="321" t="s">
        <v>2780</v>
      </c>
      <c r="E354" s="321" t="s">
        <v>2781</v>
      </c>
      <c r="F354" s="321" t="s">
        <v>2777</v>
      </c>
      <c r="G354" s="321" t="s">
        <v>2777</v>
      </c>
      <c r="H354" s="334" t="s">
        <v>2777</v>
      </c>
      <c r="I354" s="334"/>
    </row>
    <row r="355">
      <c r="A355" s="321" t="s">
        <v>2782</v>
      </c>
      <c r="B355" s="321" t="s">
        <v>2783</v>
      </c>
      <c r="C355" s="321" t="s">
        <v>2784</v>
      </c>
      <c r="D355" s="321" t="s">
        <v>2785</v>
      </c>
      <c r="E355" s="321" t="s">
        <v>2782</v>
      </c>
      <c r="F355" s="321" t="s">
        <v>2782</v>
      </c>
      <c r="G355" s="321" t="s">
        <v>2782</v>
      </c>
      <c r="H355" s="335" t="s">
        <v>2782</v>
      </c>
      <c r="I355" s="335"/>
    </row>
    <row r="356">
      <c r="A356" s="321" t="s">
        <v>2786</v>
      </c>
      <c r="B356" s="321" t="s">
        <v>2787</v>
      </c>
      <c r="C356" s="321" t="s">
        <v>2788</v>
      </c>
      <c r="D356" s="321" t="s">
        <v>2789</v>
      </c>
      <c r="E356" s="321" t="s">
        <v>2790</v>
      </c>
      <c r="F356" s="321" t="s">
        <v>2786</v>
      </c>
      <c r="G356" s="321" t="s">
        <v>2786</v>
      </c>
      <c r="H356" s="334" t="s">
        <v>2786</v>
      </c>
      <c r="I356" s="334"/>
    </row>
    <row r="357">
      <c r="A357" s="321" t="s">
        <v>2791</v>
      </c>
      <c r="B357" s="321" t="s">
        <v>2791</v>
      </c>
      <c r="C357" s="321" t="s">
        <v>2792</v>
      </c>
      <c r="D357" s="321" t="s">
        <v>2793</v>
      </c>
      <c r="E357" s="321" t="s">
        <v>2791</v>
      </c>
      <c r="F357" s="321" t="s">
        <v>2791</v>
      </c>
      <c r="G357" s="321" t="s">
        <v>2791</v>
      </c>
      <c r="H357" s="335" t="s">
        <v>2791</v>
      </c>
      <c r="I357" s="335"/>
    </row>
    <row r="358">
      <c r="A358" s="321" t="s">
        <v>2794</v>
      </c>
      <c r="B358" s="321" t="s">
        <v>2795</v>
      </c>
      <c r="C358" s="321" t="s">
        <v>2796</v>
      </c>
      <c r="D358" s="321" t="s">
        <v>2797</v>
      </c>
      <c r="E358" s="321" t="s">
        <v>2798</v>
      </c>
      <c r="F358" s="321" t="s">
        <v>2794</v>
      </c>
      <c r="G358" s="321" t="s">
        <v>2794</v>
      </c>
      <c r="H358" s="334" t="s">
        <v>2794</v>
      </c>
      <c r="I358" s="334"/>
    </row>
    <row r="359">
      <c r="A359" s="321" t="s">
        <v>2799</v>
      </c>
      <c r="B359" s="321" t="s">
        <v>2799</v>
      </c>
      <c r="C359" s="321" t="s">
        <v>2800</v>
      </c>
      <c r="D359" s="321" t="s">
        <v>2801</v>
      </c>
      <c r="E359" s="321" t="s">
        <v>2802</v>
      </c>
      <c r="F359" s="321" t="s">
        <v>2799</v>
      </c>
      <c r="G359" s="321" t="s">
        <v>2799</v>
      </c>
      <c r="H359" s="335" t="s">
        <v>2799</v>
      </c>
      <c r="I359" s="335"/>
    </row>
    <row r="360">
      <c r="A360" s="321" t="s">
        <v>2803</v>
      </c>
      <c r="B360" s="321" t="s">
        <v>2804</v>
      </c>
      <c r="C360" s="321" t="s">
        <v>2805</v>
      </c>
      <c r="D360" s="321" t="s">
        <v>2806</v>
      </c>
      <c r="E360" s="321" t="s">
        <v>2807</v>
      </c>
      <c r="F360" s="321" t="s">
        <v>2803</v>
      </c>
      <c r="G360" s="321" t="s">
        <v>2803</v>
      </c>
      <c r="H360" s="334" t="s">
        <v>2803</v>
      </c>
      <c r="I360" s="334"/>
    </row>
    <row r="361">
      <c r="A361" s="321" t="s">
        <v>2808</v>
      </c>
      <c r="B361" s="321" t="s">
        <v>2809</v>
      </c>
      <c r="C361" s="321" t="s">
        <v>2810</v>
      </c>
      <c r="D361" s="321" t="s">
        <v>2808</v>
      </c>
      <c r="E361" s="321" t="s">
        <v>2808</v>
      </c>
      <c r="F361" s="321" t="s">
        <v>2808</v>
      </c>
      <c r="G361" s="321" t="s">
        <v>2808</v>
      </c>
      <c r="H361" s="335" t="s">
        <v>2808</v>
      </c>
      <c r="I361" s="335"/>
    </row>
    <row r="362">
      <c r="A362" s="321" t="s">
        <v>2811</v>
      </c>
      <c r="B362" s="321" t="s">
        <v>2812</v>
      </c>
      <c r="C362" s="321" t="s">
        <v>2813</v>
      </c>
      <c r="D362" s="321" t="s">
        <v>2814</v>
      </c>
      <c r="E362" s="321" t="s">
        <v>2815</v>
      </c>
      <c r="F362" s="321" t="s">
        <v>2811</v>
      </c>
      <c r="G362" s="321" t="s">
        <v>2811</v>
      </c>
      <c r="H362" s="334" t="s">
        <v>2811</v>
      </c>
      <c r="I362" s="334"/>
    </row>
    <row r="363">
      <c r="A363" s="321" t="s">
        <v>2816</v>
      </c>
      <c r="B363" s="321" t="s">
        <v>2816</v>
      </c>
      <c r="C363" s="321" t="s">
        <v>2817</v>
      </c>
      <c r="D363" s="321" t="s">
        <v>2818</v>
      </c>
      <c r="E363" s="321" t="s">
        <v>2819</v>
      </c>
      <c r="F363" s="321" t="s">
        <v>2816</v>
      </c>
      <c r="G363" s="321" t="s">
        <v>2816</v>
      </c>
      <c r="H363" s="335" t="s">
        <v>2816</v>
      </c>
      <c r="I363" s="335"/>
    </row>
    <row r="364">
      <c r="A364" s="321" t="s">
        <v>2820</v>
      </c>
      <c r="B364" s="321" t="s">
        <v>2820</v>
      </c>
      <c r="C364" s="321" t="s">
        <v>2821</v>
      </c>
      <c r="D364" s="321" t="s">
        <v>2822</v>
      </c>
      <c r="E364" s="321" t="s">
        <v>2823</v>
      </c>
      <c r="F364" s="321" t="s">
        <v>2820</v>
      </c>
      <c r="G364" s="321" t="s">
        <v>2820</v>
      </c>
      <c r="H364" s="334" t="s">
        <v>2820</v>
      </c>
      <c r="I364" s="334"/>
    </row>
    <row r="365">
      <c r="A365" s="321" t="s">
        <v>2824</v>
      </c>
      <c r="B365" s="321" t="s">
        <v>2825</v>
      </c>
      <c r="C365" s="321" t="s">
        <v>2826</v>
      </c>
      <c r="D365" s="321" t="s">
        <v>2827</v>
      </c>
      <c r="E365" s="321" t="s">
        <v>2828</v>
      </c>
      <c r="F365" s="321" t="s">
        <v>2824</v>
      </c>
      <c r="G365" s="321" t="s">
        <v>2824</v>
      </c>
      <c r="H365" s="335" t="s">
        <v>2824</v>
      </c>
      <c r="I365" s="335"/>
    </row>
    <row r="366">
      <c r="A366" s="321" t="s">
        <v>2829</v>
      </c>
      <c r="B366" s="321" t="s">
        <v>2829</v>
      </c>
      <c r="C366" s="321" t="s">
        <v>2830</v>
      </c>
      <c r="D366" s="321" t="s">
        <v>2831</v>
      </c>
      <c r="E366" s="321" t="s">
        <v>2829</v>
      </c>
      <c r="F366" s="321" t="s">
        <v>2829</v>
      </c>
      <c r="G366" s="321" t="s">
        <v>2829</v>
      </c>
      <c r="H366" s="334" t="s">
        <v>2829</v>
      </c>
      <c r="I366" s="334"/>
    </row>
    <row r="367">
      <c r="A367" s="321" t="s">
        <v>2832</v>
      </c>
      <c r="B367" s="321" t="s">
        <v>2833</v>
      </c>
      <c r="C367" s="321" t="s">
        <v>2834</v>
      </c>
      <c r="D367" s="321" t="s">
        <v>2832</v>
      </c>
      <c r="E367" s="321" t="s">
        <v>2835</v>
      </c>
      <c r="F367" s="321" t="s">
        <v>2832</v>
      </c>
      <c r="G367" s="321" t="s">
        <v>2832</v>
      </c>
      <c r="H367" s="335" t="s">
        <v>2832</v>
      </c>
      <c r="I367" s="335"/>
    </row>
    <row r="368">
      <c r="A368" s="321" t="s">
        <v>2836</v>
      </c>
      <c r="B368" s="321" t="s">
        <v>2837</v>
      </c>
      <c r="C368" s="321" t="s">
        <v>2838</v>
      </c>
      <c r="D368" s="321" t="s">
        <v>2839</v>
      </c>
      <c r="E368" s="321" t="s">
        <v>2840</v>
      </c>
      <c r="F368" s="321" t="s">
        <v>2836</v>
      </c>
      <c r="G368" s="321" t="s">
        <v>2836</v>
      </c>
      <c r="H368" s="334" t="s">
        <v>2836</v>
      </c>
      <c r="I368" s="334"/>
    </row>
    <row r="369">
      <c r="A369" s="321" t="s">
        <v>2841</v>
      </c>
      <c r="B369" s="321" t="s">
        <v>2842</v>
      </c>
      <c r="C369" s="321" t="s">
        <v>2843</v>
      </c>
      <c r="D369" s="321" t="s">
        <v>2841</v>
      </c>
      <c r="E369" s="321" t="s">
        <v>2844</v>
      </c>
      <c r="F369" s="321" t="s">
        <v>2841</v>
      </c>
      <c r="G369" s="321" t="s">
        <v>2841</v>
      </c>
      <c r="H369" s="335" t="s">
        <v>2841</v>
      </c>
      <c r="I369" s="335"/>
    </row>
    <row r="370">
      <c r="A370" s="321" t="s">
        <v>2845</v>
      </c>
      <c r="B370" s="321" t="s">
        <v>2846</v>
      </c>
      <c r="C370" s="321" t="s">
        <v>2847</v>
      </c>
      <c r="D370" s="321" t="s">
        <v>2845</v>
      </c>
      <c r="E370" s="321" t="s">
        <v>2848</v>
      </c>
      <c r="F370" s="321" t="s">
        <v>2845</v>
      </c>
      <c r="G370" s="321" t="s">
        <v>2845</v>
      </c>
      <c r="H370" s="334" t="s">
        <v>2845</v>
      </c>
      <c r="I370" s="334"/>
    </row>
    <row r="371">
      <c r="A371" s="321" t="s">
        <v>1448</v>
      </c>
      <c r="B371" s="321" t="s">
        <v>2849</v>
      </c>
      <c r="C371" s="321" t="s">
        <v>2850</v>
      </c>
      <c r="D371" s="321" t="s">
        <v>2851</v>
      </c>
      <c r="E371" s="321" t="s">
        <v>2852</v>
      </c>
      <c r="F371" s="321" t="s">
        <v>1448</v>
      </c>
      <c r="G371" s="321" t="s">
        <v>1448</v>
      </c>
      <c r="H371" s="335" t="s">
        <v>1448</v>
      </c>
      <c r="I371" s="335"/>
    </row>
    <row r="372">
      <c r="A372" s="321" t="s">
        <v>1449</v>
      </c>
      <c r="B372" s="321" t="s">
        <v>2853</v>
      </c>
      <c r="C372" s="321" t="s">
        <v>2854</v>
      </c>
      <c r="D372" s="321" t="s">
        <v>2855</v>
      </c>
      <c r="E372" s="321" t="s">
        <v>2856</v>
      </c>
      <c r="F372" s="321" t="s">
        <v>1449</v>
      </c>
      <c r="G372" s="321" t="s">
        <v>1449</v>
      </c>
      <c r="H372" s="334" t="s">
        <v>1449</v>
      </c>
      <c r="I372" s="334"/>
    </row>
    <row r="373">
      <c r="A373" s="321" t="s">
        <v>2857</v>
      </c>
      <c r="B373" s="321" t="s">
        <v>2858</v>
      </c>
      <c r="C373" s="321" t="s">
        <v>2859</v>
      </c>
      <c r="D373" s="321" t="s">
        <v>2860</v>
      </c>
      <c r="E373" s="321" t="s">
        <v>2861</v>
      </c>
      <c r="F373" s="321" t="s">
        <v>2857</v>
      </c>
      <c r="G373" s="321" t="s">
        <v>2857</v>
      </c>
      <c r="H373" s="335" t="s">
        <v>2857</v>
      </c>
      <c r="I373" s="335"/>
    </row>
    <row r="374">
      <c r="A374" s="321" t="s">
        <v>2862</v>
      </c>
      <c r="B374" s="321" t="s">
        <v>2863</v>
      </c>
      <c r="C374" s="321" t="s">
        <v>2864</v>
      </c>
      <c r="D374" s="321" t="s">
        <v>2865</v>
      </c>
      <c r="E374" s="321" t="s">
        <v>2866</v>
      </c>
      <c r="F374" s="321" t="s">
        <v>2862</v>
      </c>
      <c r="G374" s="321" t="s">
        <v>2862</v>
      </c>
      <c r="H374" s="334" t="s">
        <v>2862</v>
      </c>
      <c r="I374" s="334"/>
    </row>
    <row r="375">
      <c r="A375" s="321" t="s">
        <v>2867</v>
      </c>
      <c r="B375" s="321" t="s">
        <v>2868</v>
      </c>
      <c r="C375" s="321" t="s">
        <v>2869</v>
      </c>
      <c r="D375" s="321" t="s">
        <v>2870</v>
      </c>
      <c r="E375" s="321" t="s">
        <v>2871</v>
      </c>
      <c r="F375" s="321" t="s">
        <v>2867</v>
      </c>
      <c r="G375" s="321" t="s">
        <v>2867</v>
      </c>
      <c r="H375" s="335" t="s">
        <v>2867</v>
      </c>
      <c r="I375" s="335"/>
    </row>
    <row r="376">
      <c r="A376" s="321" t="s">
        <v>2872</v>
      </c>
      <c r="B376" s="321" t="s">
        <v>2873</v>
      </c>
      <c r="C376" s="321" t="s">
        <v>2874</v>
      </c>
      <c r="D376" s="321" t="s">
        <v>2875</v>
      </c>
      <c r="E376" s="321" t="s">
        <v>2876</v>
      </c>
      <c r="F376" s="321" t="s">
        <v>2872</v>
      </c>
      <c r="G376" s="321" t="s">
        <v>2872</v>
      </c>
      <c r="H376" s="334" t="s">
        <v>2872</v>
      </c>
      <c r="I376" s="334"/>
    </row>
    <row r="377">
      <c r="A377" s="321" t="s">
        <v>2877</v>
      </c>
      <c r="B377" s="321" t="s">
        <v>2878</v>
      </c>
      <c r="C377" s="321" t="s">
        <v>2879</v>
      </c>
      <c r="D377" s="321" t="s">
        <v>2880</v>
      </c>
      <c r="E377" s="321" t="s">
        <v>2881</v>
      </c>
      <c r="F377" s="321" t="s">
        <v>2877</v>
      </c>
      <c r="G377" s="321" t="s">
        <v>2877</v>
      </c>
      <c r="H377" s="335" t="s">
        <v>2877</v>
      </c>
      <c r="I377" s="335"/>
    </row>
    <row r="378">
      <c r="A378" s="321" t="s">
        <v>2882</v>
      </c>
      <c r="B378" s="321" t="s">
        <v>2883</v>
      </c>
      <c r="C378" s="321" t="s">
        <v>2884</v>
      </c>
      <c r="D378" s="321" t="s">
        <v>2885</v>
      </c>
      <c r="E378" s="321" t="s">
        <v>2886</v>
      </c>
      <c r="F378" s="321" t="s">
        <v>2882</v>
      </c>
      <c r="G378" s="321" t="s">
        <v>2882</v>
      </c>
      <c r="H378" s="334" t="s">
        <v>2882</v>
      </c>
      <c r="I378" s="334"/>
    </row>
    <row r="379">
      <c r="A379" s="321" t="s">
        <v>2887</v>
      </c>
      <c r="B379" s="321" t="s">
        <v>2887</v>
      </c>
      <c r="C379" s="321" t="s">
        <v>2888</v>
      </c>
      <c r="D379" s="321" t="s">
        <v>2889</v>
      </c>
      <c r="E379" s="321" t="s">
        <v>2887</v>
      </c>
      <c r="F379" s="321" t="s">
        <v>2887</v>
      </c>
      <c r="G379" s="321" t="s">
        <v>2887</v>
      </c>
      <c r="H379" s="335" t="s">
        <v>2887</v>
      </c>
      <c r="I379" s="335"/>
    </row>
    <row r="380">
      <c r="A380" s="321" t="s">
        <v>2890</v>
      </c>
      <c r="B380" s="321" t="s">
        <v>2890</v>
      </c>
      <c r="C380" s="321" t="s">
        <v>2891</v>
      </c>
      <c r="D380" s="321" t="s">
        <v>2890</v>
      </c>
      <c r="E380" s="321" t="s">
        <v>2890</v>
      </c>
      <c r="F380" s="321" t="s">
        <v>2890</v>
      </c>
      <c r="G380" s="321" t="s">
        <v>2890</v>
      </c>
      <c r="H380" s="334" t="s">
        <v>2890</v>
      </c>
      <c r="I380" s="334"/>
    </row>
    <row r="381">
      <c r="A381" s="321" t="s">
        <v>2892</v>
      </c>
      <c r="B381" s="321" t="s">
        <v>2893</v>
      </c>
      <c r="C381" s="321" t="s">
        <v>2894</v>
      </c>
      <c r="D381" s="321" t="s">
        <v>2895</v>
      </c>
      <c r="E381" s="321" t="s">
        <v>2896</v>
      </c>
      <c r="F381" s="321" t="s">
        <v>2892</v>
      </c>
      <c r="G381" s="321" t="s">
        <v>2892</v>
      </c>
      <c r="H381" s="335" t="s">
        <v>2892</v>
      </c>
      <c r="I381" s="335"/>
    </row>
    <row r="382">
      <c r="A382" s="321" t="s">
        <v>2897</v>
      </c>
      <c r="B382" s="321" t="s">
        <v>2898</v>
      </c>
      <c r="C382" s="321" t="s">
        <v>2899</v>
      </c>
      <c r="D382" s="321" t="s">
        <v>2900</v>
      </c>
      <c r="E382" s="321" t="s">
        <v>2897</v>
      </c>
      <c r="F382" s="321" t="s">
        <v>2897</v>
      </c>
      <c r="G382" s="321" t="s">
        <v>2897</v>
      </c>
      <c r="H382" s="334" t="s">
        <v>2897</v>
      </c>
      <c r="I382" s="334"/>
    </row>
    <row r="383">
      <c r="A383" s="321" t="s">
        <v>2901</v>
      </c>
      <c r="B383" s="321" t="s">
        <v>2902</v>
      </c>
      <c r="C383" s="321" t="s">
        <v>2903</v>
      </c>
      <c r="D383" s="321" t="s">
        <v>2904</v>
      </c>
      <c r="E383" s="321" t="s">
        <v>2905</v>
      </c>
      <c r="F383" s="321" t="s">
        <v>2901</v>
      </c>
      <c r="G383" s="321" t="s">
        <v>2901</v>
      </c>
      <c r="H383" s="335" t="s">
        <v>2901</v>
      </c>
      <c r="I383" s="335"/>
    </row>
    <row r="384">
      <c r="A384" s="321" t="s">
        <v>2906</v>
      </c>
      <c r="B384" s="321" t="s">
        <v>2906</v>
      </c>
      <c r="C384" s="321" t="s">
        <v>2907</v>
      </c>
      <c r="D384" s="321" t="s">
        <v>2908</v>
      </c>
      <c r="E384" s="321" t="s">
        <v>2906</v>
      </c>
      <c r="F384" s="321" t="s">
        <v>2906</v>
      </c>
      <c r="G384" s="321" t="s">
        <v>2906</v>
      </c>
      <c r="H384" s="334" t="s">
        <v>2906</v>
      </c>
      <c r="I384" s="334"/>
    </row>
    <row r="385">
      <c r="A385" s="321" t="s">
        <v>2909</v>
      </c>
      <c r="B385" s="321" t="s">
        <v>2910</v>
      </c>
      <c r="C385" s="321" t="s">
        <v>2911</v>
      </c>
      <c r="D385" s="321" t="s">
        <v>2912</v>
      </c>
      <c r="E385" s="321" t="s">
        <v>2909</v>
      </c>
      <c r="F385" s="321" t="s">
        <v>2909</v>
      </c>
      <c r="G385" s="321" t="s">
        <v>2909</v>
      </c>
      <c r="H385" s="335" t="s">
        <v>2909</v>
      </c>
      <c r="I385" s="335"/>
    </row>
    <row r="386">
      <c r="A386" s="321" t="s">
        <v>2913</v>
      </c>
      <c r="B386" s="321" t="s">
        <v>2914</v>
      </c>
      <c r="C386" s="321" t="s">
        <v>2915</v>
      </c>
      <c r="D386" s="321" t="s">
        <v>2916</v>
      </c>
      <c r="E386" s="321" t="s">
        <v>2913</v>
      </c>
      <c r="F386" s="321" t="s">
        <v>2913</v>
      </c>
      <c r="G386" s="321" t="s">
        <v>2913</v>
      </c>
      <c r="H386" s="334" t="s">
        <v>2913</v>
      </c>
      <c r="I386" s="334"/>
    </row>
    <row r="387">
      <c r="A387" s="321" t="s">
        <v>1370</v>
      </c>
      <c r="B387" s="321" t="s">
        <v>2917</v>
      </c>
      <c r="C387" s="321" t="s">
        <v>2918</v>
      </c>
      <c r="D387" s="321" t="s">
        <v>2919</v>
      </c>
      <c r="E387" s="321" t="s">
        <v>2920</v>
      </c>
      <c r="F387" s="321" t="s">
        <v>1370</v>
      </c>
      <c r="G387" s="321" t="s">
        <v>1370</v>
      </c>
      <c r="H387" s="335" t="s">
        <v>1370</v>
      </c>
      <c r="I387" s="335"/>
    </row>
    <row r="388">
      <c r="A388" s="321" t="s">
        <v>1371</v>
      </c>
      <c r="B388" s="321" t="s">
        <v>2921</v>
      </c>
      <c r="C388" s="321" t="s">
        <v>2922</v>
      </c>
      <c r="D388" s="321" t="s">
        <v>2923</v>
      </c>
      <c r="E388" s="321" t="s">
        <v>2924</v>
      </c>
      <c r="F388" s="321" t="s">
        <v>1371</v>
      </c>
      <c r="G388" s="321" t="s">
        <v>1371</v>
      </c>
      <c r="H388" s="334" t="s">
        <v>1371</v>
      </c>
      <c r="I388" s="334"/>
    </row>
    <row r="389">
      <c r="A389" s="321" t="s">
        <v>2925</v>
      </c>
      <c r="B389" s="321" t="s">
        <v>2925</v>
      </c>
      <c r="C389" s="321" t="s">
        <v>2926</v>
      </c>
      <c r="D389" s="321" t="s">
        <v>2925</v>
      </c>
      <c r="E389" s="321" t="s">
        <v>2925</v>
      </c>
      <c r="F389" s="321" t="s">
        <v>2925</v>
      </c>
      <c r="G389" s="321" t="s">
        <v>2925</v>
      </c>
      <c r="H389" s="335" t="s">
        <v>2925</v>
      </c>
      <c r="I389" s="335"/>
    </row>
    <row r="390">
      <c r="A390" s="321" t="s">
        <v>2927</v>
      </c>
      <c r="B390" s="321" t="s">
        <v>2928</v>
      </c>
      <c r="C390" s="321" t="s">
        <v>2929</v>
      </c>
      <c r="D390" s="321" t="s">
        <v>2930</v>
      </c>
      <c r="E390" s="321" t="s">
        <v>2931</v>
      </c>
      <c r="F390" s="321" t="s">
        <v>2927</v>
      </c>
      <c r="G390" s="321" t="s">
        <v>2927</v>
      </c>
      <c r="H390" s="334" t="s">
        <v>2927</v>
      </c>
      <c r="I390" s="334"/>
    </row>
    <row r="391">
      <c r="A391" s="321" t="s">
        <v>2932</v>
      </c>
      <c r="B391" s="321" t="s">
        <v>2932</v>
      </c>
      <c r="C391" s="321" t="s">
        <v>2933</v>
      </c>
      <c r="D391" s="321" t="s">
        <v>2932</v>
      </c>
      <c r="E391" s="321" t="s">
        <v>2932</v>
      </c>
      <c r="F391" s="321" t="s">
        <v>2932</v>
      </c>
      <c r="G391" s="321" t="s">
        <v>2932</v>
      </c>
      <c r="H391" s="335" t="s">
        <v>2932</v>
      </c>
      <c r="I391" s="335"/>
    </row>
    <row r="392">
      <c r="A392" s="321" t="s">
        <v>2934</v>
      </c>
      <c r="B392" s="321" t="s">
        <v>2935</v>
      </c>
      <c r="C392" s="321" t="s">
        <v>2936</v>
      </c>
      <c r="D392" s="321" t="s">
        <v>2937</v>
      </c>
      <c r="E392" s="321" t="s">
        <v>2938</v>
      </c>
      <c r="F392" s="321" t="s">
        <v>2934</v>
      </c>
      <c r="G392" s="321" t="s">
        <v>2934</v>
      </c>
      <c r="H392" s="334" t="s">
        <v>2934</v>
      </c>
      <c r="I392" s="334"/>
    </row>
    <row r="393">
      <c r="A393" s="321" t="s">
        <v>1450</v>
      </c>
      <c r="B393" s="321" t="s">
        <v>2939</v>
      </c>
      <c r="C393" s="321" t="s">
        <v>2940</v>
      </c>
      <c r="D393" s="321" t="s">
        <v>2941</v>
      </c>
      <c r="E393" s="321" t="s">
        <v>2942</v>
      </c>
      <c r="F393" s="321" t="s">
        <v>1450</v>
      </c>
      <c r="G393" s="321" t="s">
        <v>1450</v>
      </c>
      <c r="H393" s="335" t="s">
        <v>1450</v>
      </c>
      <c r="I393" s="335"/>
    </row>
    <row r="394">
      <c r="A394" s="321" t="s">
        <v>2943</v>
      </c>
      <c r="B394" s="321" t="s">
        <v>2944</v>
      </c>
      <c r="C394" s="321" t="s">
        <v>2945</v>
      </c>
      <c r="D394" s="321" t="s">
        <v>2946</v>
      </c>
      <c r="E394" s="321" t="s">
        <v>2947</v>
      </c>
      <c r="F394" s="321" t="s">
        <v>2943</v>
      </c>
      <c r="G394" s="321" t="s">
        <v>2943</v>
      </c>
      <c r="H394" s="334" t="s">
        <v>2943</v>
      </c>
      <c r="I394" s="334"/>
    </row>
    <row r="395">
      <c r="A395" s="321" t="s">
        <v>2948</v>
      </c>
      <c r="B395" s="321" t="s">
        <v>2949</v>
      </c>
      <c r="C395" s="321" t="s">
        <v>2950</v>
      </c>
      <c r="D395" s="321" t="s">
        <v>2951</v>
      </c>
      <c r="E395" s="321" t="s">
        <v>2952</v>
      </c>
      <c r="F395" s="321" t="s">
        <v>2948</v>
      </c>
      <c r="G395" s="321" t="s">
        <v>2948</v>
      </c>
      <c r="H395" s="335" t="s">
        <v>2948</v>
      </c>
      <c r="I395" s="335"/>
    </row>
    <row r="396">
      <c r="A396" s="321" t="s">
        <v>2953</v>
      </c>
      <c r="B396" s="321" t="s">
        <v>2954</v>
      </c>
      <c r="C396" s="321" t="s">
        <v>2955</v>
      </c>
      <c r="D396" s="321" t="s">
        <v>2956</v>
      </c>
      <c r="E396" s="321" t="s">
        <v>2957</v>
      </c>
      <c r="F396" s="321" t="s">
        <v>2953</v>
      </c>
      <c r="G396" s="321" t="s">
        <v>2953</v>
      </c>
      <c r="H396" s="334" t="s">
        <v>2953</v>
      </c>
      <c r="I396" s="334"/>
    </row>
    <row r="397">
      <c r="A397" s="321" t="s">
        <v>2958</v>
      </c>
      <c r="B397" s="321" t="s">
        <v>2959</v>
      </c>
      <c r="C397" s="321" t="s">
        <v>2960</v>
      </c>
      <c r="D397" s="321" t="s">
        <v>2961</v>
      </c>
      <c r="E397" s="321" t="s">
        <v>2962</v>
      </c>
      <c r="F397" s="321" t="s">
        <v>2958</v>
      </c>
      <c r="G397" s="321" t="s">
        <v>2958</v>
      </c>
      <c r="H397" s="335" t="s">
        <v>2958</v>
      </c>
      <c r="I397" s="335"/>
    </row>
    <row r="398">
      <c r="A398" s="321" t="s">
        <v>2963</v>
      </c>
      <c r="B398" s="321" t="s">
        <v>2964</v>
      </c>
      <c r="C398" s="321" t="s">
        <v>2965</v>
      </c>
      <c r="D398" s="321" t="s">
        <v>2966</v>
      </c>
      <c r="E398" s="321" t="s">
        <v>2967</v>
      </c>
      <c r="F398" s="321" t="s">
        <v>2963</v>
      </c>
      <c r="G398" s="321" t="s">
        <v>2963</v>
      </c>
      <c r="H398" s="334" t="s">
        <v>2963</v>
      </c>
      <c r="I398" s="334"/>
    </row>
    <row r="399">
      <c r="A399" s="321" t="s">
        <v>2968</v>
      </c>
      <c r="B399" s="321" t="s">
        <v>2969</v>
      </c>
      <c r="C399" s="321" t="s">
        <v>2970</v>
      </c>
      <c r="D399" s="321" t="s">
        <v>2968</v>
      </c>
      <c r="E399" s="321" t="s">
        <v>2971</v>
      </c>
      <c r="F399" s="321" t="s">
        <v>2968</v>
      </c>
      <c r="G399" s="321" t="s">
        <v>2968</v>
      </c>
      <c r="H399" s="335" t="s">
        <v>2968</v>
      </c>
      <c r="I399" s="335"/>
    </row>
    <row r="400">
      <c r="A400" s="321" t="s">
        <v>2972</v>
      </c>
      <c r="B400" s="321" t="s">
        <v>2973</v>
      </c>
      <c r="C400" s="321" t="s">
        <v>2974</v>
      </c>
      <c r="D400" s="321" t="s">
        <v>2975</v>
      </c>
      <c r="E400" s="321" t="s">
        <v>2976</v>
      </c>
      <c r="F400" s="321" t="s">
        <v>2972</v>
      </c>
      <c r="G400" s="321" t="s">
        <v>2972</v>
      </c>
      <c r="H400" s="334" t="s">
        <v>2972</v>
      </c>
      <c r="I400" s="334"/>
    </row>
    <row r="401">
      <c r="A401" s="321" t="s">
        <v>2977</v>
      </c>
      <c r="B401" s="321" t="s">
        <v>2977</v>
      </c>
      <c r="C401" s="321" t="s">
        <v>2978</v>
      </c>
      <c r="D401" s="321" t="s">
        <v>2979</v>
      </c>
      <c r="E401" s="321" t="s">
        <v>2977</v>
      </c>
      <c r="F401" s="321" t="s">
        <v>2977</v>
      </c>
      <c r="G401" s="321" t="s">
        <v>2977</v>
      </c>
      <c r="H401" s="335" t="s">
        <v>2977</v>
      </c>
      <c r="I401" s="335"/>
    </row>
    <row r="402">
      <c r="A402" s="321" t="s">
        <v>2980</v>
      </c>
      <c r="B402" s="321" t="s">
        <v>2981</v>
      </c>
      <c r="C402" s="321" t="s">
        <v>2982</v>
      </c>
      <c r="D402" s="321" t="s">
        <v>2983</v>
      </c>
      <c r="E402" s="321" t="s">
        <v>2984</v>
      </c>
      <c r="F402" s="321" t="s">
        <v>2980</v>
      </c>
      <c r="G402" s="321" t="s">
        <v>2980</v>
      </c>
      <c r="H402" s="334" t="s">
        <v>2980</v>
      </c>
      <c r="I402" s="334"/>
    </row>
    <row r="403">
      <c r="A403" s="321" t="s">
        <v>2985</v>
      </c>
      <c r="B403" s="321" t="s">
        <v>2986</v>
      </c>
      <c r="C403" s="321" t="s">
        <v>2987</v>
      </c>
      <c r="D403" s="321" t="s">
        <v>2988</v>
      </c>
      <c r="E403" s="321" t="s">
        <v>2989</v>
      </c>
      <c r="F403" s="321" t="s">
        <v>2985</v>
      </c>
      <c r="G403" s="321" t="s">
        <v>2985</v>
      </c>
      <c r="H403" s="335" t="s">
        <v>2985</v>
      </c>
      <c r="I403" s="335"/>
    </row>
    <row r="404">
      <c r="A404" s="321" t="s">
        <v>2990</v>
      </c>
      <c r="B404" s="321" t="s">
        <v>2991</v>
      </c>
      <c r="C404" s="321" t="s">
        <v>2992</v>
      </c>
      <c r="D404" s="321" t="s">
        <v>2993</v>
      </c>
      <c r="E404" s="321" t="s">
        <v>2994</v>
      </c>
      <c r="F404" s="321" t="s">
        <v>2990</v>
      </c>
      <c r="G404" s="321" t="s">
        <v>2990</v>
      </c>
      <c r="H404" s="334" t="s">
        <v>2990</v>
      </c>
      <c r="I404" s="334"/>
    </row>
    <row r="405">
      <c r="A405" s="321" t="s">
        <v>2995</v>
      </c>
      <c r="B405" s="321" t="s">
        <v>2996</v>
      </c>
      <c r="C405" s="321" t="s">
        <v>2997</v>
      </c>
      <c r="D405" s="321" t="s">
        <v>2998</v>
      </c>
      <c r="E405" s="321" t="s">
        <v>2999</v>
      </c>
      <c r="F405" s="321" t="s">
        <v>2995</v>
      </c>
      <c r="G405" s="321" t="s">
        <v>2995</v>
      </c>
      <c r="H405" s="335" t="s">
        <v>2995</v>
      </c>
      <c r="I405" s="335"/>
    </row>
    <row r="406">
      <c r="A406" s="321" t="s">
        <v>3000</v>
      </c>
      <c r="B406" s="321" t="s">
        <v>3001</v>
      </c>
      <c r="C406" s="321" t="s">
        <v>3002</v>
      </c>
      <c r="D406" s="321" t="s">
        <v>3003</v>
      </c>
      <c r="E406" s="321" t="s">
        <v>3004</v>
      </c>
      <c r="F406" s="321" t="s">
        <v>3000</v>
      </c>
      <c r="G406" s="321" t="s">
        <v>3000</v>
      </c>
      <c r="H406" s="334" t="s">
        <v>3000</v>
      </c>
      <c r="I406" s="334"/>
    </row>
    <row r="407">
      <c r="A407" s="321" t="s">
        <v>3005</v>
      </c>
      <c r="B407" s="321" t="s">
        <v>3006</v>
      </c>
      <c r="C407" s="321" t="s">
        <v>3007</v>
      </c>
      <c r="D407" s="321" t="s">
        <v>3005</v>
      </c>
      <c r="E407" s="321" t="s">
        <v>3005</v>
      </c>
      <c r="F407" s="321" t="s">
        <v>3005</v>
      </c>
      <c r="G407" s="321" t="s">
        <v>3005</v>
      </c>
      <c r="H407" s="335" t="s">
        <v>3005</v>
      </c>
      <c r="I407" s="335"/>
    </row>
    <row r="408">
      <c r="A408" s="321" t="s">
        <v>3008</v>
      </c>
      <c r="B408" s="321" t="s">
        <v>3009</v>
      </c>
      <c r="C408" s="321" t="s">
        <v>3010</v>
      </c>
      <c r="D408" s="321" t="s">
        <v>3008</v>
      </c>
      <c r="E408" s="321" t="s">
        <v>3008</v>
      </c>
      <c r="F408" s="321" t="s">
        <v>3008</v>
      </c>
      <c r="G408" s="321" t="s">
        <v>3008</v>
      </c>
      <c r="H408" s="334" t="s">
        <v>3008</v>
      </c>
      <c r="I408" s="334"/>
    </row>
    <row r="409">
      <c r="A409" s="321" t="s">
        <v>1383</v>
      </c>
      <c r="B409" s="321" t="s">
        <v>1383</v>
      </c>
      <c r="C409" s="321" t="s">
        <v>3011</v>
      </c>
      <c r="D409" s="321" t="s">
        <v>1383</v>
      </c>
      <c r="E409" s="321" t="s">
        <v>1383</v>
      </c>
      <c r="F409" s="321" t="s">
        <v>1383</v>
      </c>
      <c r="G409" s="321" t="s">
        <v>1383</v>
      </c>
      <c r="H409" s="335" t="s">
        <v>1383</v>
      </c>
      <c r="I409" s="335"/>
    </row>
    <row r="410">
      <c r="A410" s="321" t="s">
        <v>1348</v>
      </c>
      <c r="B410" s="321" t="s">
        <v>1348</v>
      </c>
      <c r="C410" s="321" t="s">
        <v>3012</v>
      </c>
      <c r="D410" s="321" t="s">
        <v>1348</v>
      </c>
      <c r="E410" s="321" t="s">
        <v>1348</v>
      </c>
      <c r="F410" s="321" t="s">
        <v>1348</v>
      </c>
      <c r="G410" s="321" t="s">
        <v>1348</v>
      </c>
      <c r="H410" s="334" t="s">
        <v>1348</v>
      </c>
      <c r="I410" s="334"/>
    </row>
    <row r="411">
      <c r="A411" s="321" t="s">
        <v>1404</v>
      </c>
      <c r="B411" s="321" t="s">
        <v>1404</v>
      </c>
      <c r="C411" s="321" t="s">
        <v>3013</v>
      </c>
      <c r="D411" s="321" t="s">
        <v>1404</v>
      </c>
      <c r="E411" s="321" t="s">
        <v>1404</v>
      </c>
      <c r="F411" s="321" t="s">
        <v>1404</v>
      </c>
      <c r="G411" s="321" t="s">
        <v>1404</v>
      </c>
      <c r="H411" s="335" t="s">
        <v>1404</v>
      </c>
      <c r="I411" s="335"/>
    </row>
    <row r="412">
      <c r="A412" s="321" t="s">
        <v>3014</v>
      </c>
      <c r="B412" s="321" t="s">
        <v>3014</v>
      </c>
      <c r="C412" s="321" t="s">
        <v>3015</v>
      </c>
      <c r="D412" s="321" t="s">
        <v>3014</v>
      </c>
      <c r="E412" s="321" t="s">
        <v>3014</v>
      </c>
      <c r="F412" s="321" t="s">
        <v>3014</v>
      </c>
      <c r="G412" s="321" t="s">
        <v>3014</v>
      </c>
      <c r="H412" s="334" t="s">
        <v>3014</v>
      </c>
      <c r="I412" s="334"/>
    </row>
    <row r="413">
      <c r="A413" s="321" t="s">
        <v>3016</v>
      </c>
      <c r="B413" s="321" t="s">
        <v>3016</v>
      </c>
      <c r="C413" s="321" t="s">
        <v>3017</v>
      </c>
      <c r="D413" s="321" t="s">
        <v>3016</v>
      </c>
      <c r="E413" s="321" t="s">
        <v>3016</v>
      </c>
      <c r="F413" s="321" t="s">
        <v>3016</v>
      </c>
      <c r="G413" s="321" t="s">
        <v>3016</v>
      </c>
      <c r="H413" s="335" t="s">
        <v>3016</v>
      </c>
      <c r="I413" s="335"/>
    </row>
    <row r="414">
      <c r="A414" s="321" t="s">
        <v>3018</v>
      </c>
      <c r="B414" s="321" t="s">
        <v>3018</v>
      </c>
      <c r="C414" s="321" t="s">
        <v>3019</v>
      </c>
      <c r="D414" s="321" t="s">
        <v>3018</v>
      </c>
      <c r="E414" s="321" t="s">
        <v>3018</v>
      </c>
      <c r="F414" s="321" t="s">
        <v>3018</v>
      </c>
      <c r="G414" s="321" t="s">
        <v>3018</v>
      </c>
      <c r="H414" s="334" t="s">
        <v>3018</v>
      </c>
      <c r="I414" s="334"/>
    </row>
    <row r="415">
      <c r="A415" s="321" t="s">
        <v>3020</v>
      </c>
      <c r="B415" s="321" t="s">
        <v>3020</v>
      </c>
      <c r="C415" s="321" t="s">
        <v>3021</v>
      </c>
      <c r="D415" s="321" t="s">
        <v>3020</v>
      </c>
      <c r="E415" s="321" t="s">
        <v>3020</v>
      </c>
      <c r="F415" s="321" t="s">
        <v>3020</v>
      </c>
      <c r="G415" s="321" t="s">
        <v>3020</v>
      </c>
      <c r="H415" s="335" t="s">
        <v>3020</v>
      </c>
      <c r="I415" s="335"/>
    </row>
    <row r="416">
      <c r="A416" s="321" t="s">
        <v>3022</v>
      </c>
      <c r="B416" s="321" t="s">
        <v>3022</v>
      </c>
      <c r="C416" s="321" t="s">
        <v>3023</v>
      </c>
      <c r="D416" s="321" t="s">
        <v>3022</v>
      </c>
      <c r="E416" s="321" t="s">
        <v>3022</v>
      </c>
      <c r="F416" s="321" t="s">
        <v>3022</v>
      </c>
      <c r="G416" s="321" t="s">
        <v>3022</v>
      </c>
      <c r="H416" s="334" t="s">
        <v>3022</v>
      </c>
      <c r="I416" s="334"/>
    </row>
    <row r="417">
      <c r="A417" s="321" t="s">
        <v>3024</v>
      </c>
      <c r="B417" s="321" t="s">
        <v>3024</v>
      </c>
      <c r="C417" s="321" t="s">
        <v>3025</v>
      </c>
      <c r="D417" s="321" t="s">
        <v>3024</v>
      </c>
      <c r="E417" s="321" t="s">
        <v>3024</v>
      </c>
      <c r="F417" s="321" t="s">
        <v>3024</v>
      </c>
      <c r="G417" s="321" t="s">
        <v>3024</v>
      </c>
      <c r="H417" s="335" t="s">
        <v>3024</v>
      </c>
      <c r="I417" s="335"/>
    </row>
    <row r="418">
      <c r="A418" s="321" t="s">
        <v>3026</v>
      </c>
      <c r="B418" s="321" t="s">
        <v>3026</v>
      </c>
      <c r="C418" s="321" t="s">
        <v>3027</v>
      </c>
      <c r="D418" s="321" t="s">
        <v>3026</v>
      </c>
      <c r="E418" s="321" t="s">
        <v>3026</v>
      </c>
      <c r="F418" s="321" t="s">
        <v>3026</v>
      </c>
      <c r="G418" s="321" t="s">
        <v>3026</v>
      </c>
      <c r="H418" s="334" t="s">
        <v>3026</v>
      </c>
      <c r="I418" s="334"/>
    </row>
    <row r="419">
      <c r="A419" s="321" t="s">
        <v>1271</v>
      </c>
      <c r="B419" s="321" t="s">
        <v>3028</v>
      </c>
      <c r="C419" s="321" t="s">
        <v>3029</v>
      </c>
      <c r="D419" s="321" t="s">
        <v>3030</v>
      </c>
      <c r="E419" s="321" t="s">
        <v>3031</v>
      </c>
      <c r="F419" s="321" t="s">
        <v>1271</v>
      </c>
      <c r="G419" s="321" t="s">
        <v>1271</v>
      </c>
      <c r="H419" s="335" t="s">
        <v>1271</v>
      </c>
      <c r="I419" s="335"/>
    </row>
    <row r="420">
      <c r="A420" s="321" t="s">
        <v>1327</v>
      </c>
      <c r="B420" s="321" t="s">
        <v>3032</v>
      </c>
      <c r="C420" s="321" t="s">
        <v>3033</v>
      </c>
      <c r="D420" s="321" t="s">
        <v>3034</v>
      </c>
      <c r="E420" s="321" t="s">
        <v>3035</v>
      </c>
      <c r="F420" s="321" t="s">
        <v>1327</v>
      </c>
      <c r="G420" s="321" t="s">
        <v>1327</v>
      </c>
      <c r="H420" s="334" t="s">
        <v>1327</v>
      </c>
      <c r="I420" s="334"/>
    </row>
    <row r="421">
      <c r="A421" s="321" t="s">
        <v>1328</v>
      </c>
      <c r="B421" s="321" t="s">
        <v>1328</v>
      </c>
      <c r="C421" s="321" t="s">
        <v>3036</v>
      </c>
      <c r="D421" s="321" t="s">
        <v>3037</v>
      </c>
      <c r="E421" s="321" t="s">
        <v>3038</v>
      </c>
      <c r="F421" s="321" t="s">
        <v>1328</v>
      </c>
      <c r="G421" s="321" t="s">
        <v>1328</v>
      </c>
      <c r="H421" s="335" t="s">
        <v>1328</v>
      </c>
      <c r="I421" s="335"/>
    </row>
    <row r="422">
      <c r="A422" s="321" t="s">
        <v>1276</v>
      </c>
      <c r="B422" s="321" t="s">
        <v>3039</v>
      </c>
      <c r="C422" s="321" t="s">
        <v>3040</v>
      </c>
      <c r="D422" s="321" t="s">
        <v>3041</v>
      </c>
      <c r="E422" s="321" t="s">
        <v>3042</v>
      </c>
      <c r="F422" s="321" t="s">
        <v>1276</v>
      </c>
      <c r="G422" s="321" t="s">
        <v>1276</v>
      </c>
      <c r="H422" s="334" t="s">
        <v>1276</v>
      </c>
      <c r="I422" s="334"/>
    </row>
    <row r="423">
      <c r="A423" s="321" t="s">
        <v>1342</v>
      </c>
      <c r="B423" s="321" t="s">
        <v>3043</v>
      </c>
      <c r="C423" s="321" t="s">
        <v>3044</v>
      </c>
      <c r="D423" s="321" t="s">
        <v>3045</v>
      </c>
      <c r="E423" s="321" t="s">
        <v>3046</v>
      </c>
      <c r="F423" s="321" t="s">
        <v>1342</v>
      </c>
      <c r="G423" s="321" t="s">
        <v>1342</v>
      </c>
      <c r="H423" s="335" t="s">
        <v>1342</v>
      </c>
      <c r="I423" s="335"/>
    </row>
    <row r="424">
      <c r="A424" s="321" t="s">
        <v>1343</v>
      </c>
      <c r="B424" s="321" t="s">
        <v>3047</v>
      </c>
      <c r="C424" s="321" t="s">
        <v>3048</v>
      </c>
      <c r="D424" s="321" t="s">
        <v>3049</v>
      </c>
      <c r="E424" s="321" t="s">
        <v>3050</v>
      </c>
      <c r="F424" s="321" t="s">
        <v>1343</v>
      </c>
      <c r="G424" s="321" t="s">
        <v>1343</v>
      </c>
      <c r="H424" s="334" t="s">
        <v>1343</v>
      </c>
      <c r="I424" s="334"/>
    </row>
    <row r="425">
      <c r="A425" s="321" t="s">
        <v>1270</v>
      </c>
      <c r="B425" s="321" t="s">
        <v>3051</v>
      </c>
      <c r="C425" s="321" t="s">
        <v>3052</v>
      </c>
      <c r="D425" s="321" t="s">
        <v>3053</v>
      </c>
      <c r="E425" s="321" t="s">
        <v>3054</v>
      </c>
      <c r="F425" s="321" t="s">
        <v>1270</v>
      </c>
      <c r="G425" s="321" t="s">
        <v>1270</v>
      </c>
      <c r="H425" s="335" t="s">
        <v>1270</v>
      </c>
      <c r="I425" s="335"/>
    </row>
    <row r="426">
      <c r="A426" s="321" t="s">
        <v>1349</v>
      </c>
      <c r="B426" s="321" t="s">
        <v>3055</v>
      </c>
      <c r="C426" s="321" t="s">
        <v>3056</v>
      </c>
      <c r="D426" s="321" t="s">
        <v>3057</v>
      </c>
      <c r="E426" s="321" t="s">
        <v>3058</v>
      </c>
      <c r="F426" s="321" t="s">
        <v>1349</v>
      </c>
      <c r="G426" s="321" t="s">
        <v>1349</v>
      </c>
      <c r="H426" s="334" t="s">
        <v>1349</v>
      </c>
      <c r="I426" s="334"/>
    </row>
    <row r="427">
      <c r="A427" s="321" t="s">
        <v>1350</v>
      </c>
      <c r="B427" s="321" t="s">
        <v>3059</v>
      </c>
      <c r="C427" s="321" t="s">
        <v>3060</v>
      </c>
      <c r="D427" s="321" t="s">
        <v>3061</v>
      </c>
      <c r="E427" s="321" t="s">
        <v>3062</v>
      </c>
      <c r="F427" s="321" t="s">
        <v>1350</v>
      </c>
      <c r="G427" s="321" t="s">
        <v>1350</v>
      </c>
      <c r="H427" s="335" t="s">
        <v>1350</v>
      </c>
      <c r="I427" s="335"/>
    </row>
    <row r="428">
      <c r="A428" s="321" t="s">
        <v>1419</v>
      </c>
      <c r="B428" s="321" t="s">
        <v>3063</v>
      </c>
      <c r="C428" s="321" t="s">
        <v>3064</v>
      </c>
      <c r="D428" s="321" t="s">
        <v>3065</v>
      </c>
      <c r="E428" s="321" t="s">
        <v>3066</v>
      </c>
      <c r="F428" s="321" t="s">
        <v>1419</v>
      </c>
      <c r="G428" s="321" t="s">
        <v>1419</v>
      </c>
      <c r="H428" s="334" t="s">
        <v>1419</v>
      </c>
      <c r="I428" s="334"/>
    </row>
    <row r="429">
      <c r="A429" s="321" t="s">
        <v>1420</v>
      </c>
      <c r="B429" s="321" t="s">
        <v>3067</v>
      </c>
      <c r="C429" s="321" t="s">
        <v>3068</v>
      </c>
      <c r="D429" s="321" t="s">
        <v>3069</v>
      </c>
      <c r="E429" s="321" t="s">
        <v>1420</v>
      </c>
      <c r="F429" s="321" t="s">
        <v>1420</v>
      </c>
      <c r="G429" s="321" t="s">
        <v>1420</v>
      </c>
      <c r="H429" s="335" t="s">
        <v>1420</v>
      </c>
      <c r="I429" s="335"/>
    </row>
    <row r="430">
      <c r="A430" s="321" t="s">
        <v>1282</v>
      </c>
      <c r="B430" s="321" t="s">
        <v>3070</v>
      </c>
      <c r="C430" s="321" t="s">
        <v>3071</v>
      </c>
      <c r="D430" s="321" t="s">
        <v>3072</v>
      </c>
      <c r="E430" s="321" t="s">
        <v>1282</v>
      </c>
      <c r="F430" s="321" t="s">
        <v>1282</v>
      </c>
      <c r="G430" s="321" t="s">
        <v>1282</v>
      </c>
      <c r="H430" s="334" t="s">
        <v>1282</v>
      </c>
      <c r="I430" s="334"/>
    </row>
    <row r="431">
      <c r="A431" s="321" t="s">
        <v>1421</v>
      </c>
      <c r="B431" s="321" t="s">
        <v>3073</v>
      </c>
      <c r="C431" s="321" t="s">
        <v>3074</v>
      </c>
      <c r="D431" s="321" t="s">
        <v>3075</v>
      </c>
      <c r="E431" s="321" t="s">
        <v>3076</v>
      </c>
      <c r="F431" s="321" t="s">
        <v>1421</v>
      </c>
      <c r="G431" s="321" t="s">
        <v>1421</v>
      </c>
      <c r="H431" s="335" t="s">
        <v>1421</v>
      </c>
      <c r="I431" s="335"/>
    </row>
    <row r="432">
      <c r="A432" s="321" t="s">
        <v>1422</v>
      </c>
      <c r="B432" s="321" t="s">
        <v>3077</v>
      </c>
      <c r="C432" s="321" t="s">
        <v>3078</v>
      </c>
      <c r="D432" s="321" t="s">
        <v>3079</v>
      </c>
      <c r="E432" s="321" t="s">
        <v>3080</v>
      </c>
      <c r="F432" s="321" t="s">
        <v>1422</v>
      </c>
      <c r="G432" s="321" t="s">
        <v>1422</v>
      </c>
      <c r="H432" s="334" t="s">
        <v>1422</v>
      </c>
      <c r="I432" s="334"/>
    </row>
    <row r="433">
      <c r="A433" s="321" t="s">
        <v>1329</v>
      </c>
      <c r="B433" s="321" t="s">
        <v>3081</v>
      </c>
      <c r="C433" s="321" t="s">
        <v>3082</v>
      </c>
      <c r="D433" s="321" t="s">
        <v>3083</v>
      </c>
      <c r="E433" s="321" t="s">
        <v>3084</v>
      </c>
      <c r="F433" s="321" t="s">
        <v>1329</v>
      </c>
      <c r="G433" s="321" t="s">
        <v>1329</v>
      </c>
      <c r="H433" s="335" t="s">
        <v>1329</v>
      </c>
      <c r="I433" s="335"/>
    </row>
    <row r="434">
      <c r="A434" s="321" t="s">
        <v>1330</v>
      </c>
      <c r="B434" s="321" t="s">
        <v>3085</v>
      </c>
      <c r="C434" s="321" t="s">
        <v>3086</v>
      </c>
      <c r="D434" s="321" t="s">
        <v>3087</v>
      </c>
      <c r="E434" s="321" t="s">
        <v>3088</v>
      </c>
      <c r="F434" s="321" t="s">
        <v>1330</v>
      </c>
      <c r="G434" s="321" t="s">
        <v>1330</v>
      </c>
      <c r="H434" s="334" t="s">
        <v>1330</v>
      </c>
      <c r="I434" s="334"/>
    </row>
    <row r="435">
      <c r="A435" s="321" t="s">
        <v>1362</v>
      </c>
      <c r="B435" s="321" t="s">
        <v>3089</v>
      </c>
      <c r="C435" s="321" t="s">
        <v>3090</v>
      </c>
      <c r="D435" s="321" t="s">
        <v>3091</v>
      </c>
      <c r="E435" s="321" t="s">
        <v>3092</v>
      </c>
      <c r="F435" s="321" t="s">
        <v>1362</v>
      </c>
      <c r="G435" s="321" t="s">
        <v>1362</v>
      </c>
      <c r="H435" s="335" t="s">
        <v>1362</v>
      </c>
      <c r="I435" s="335"/>
    </row>
    <row r="436">
      <c r="A436" s="321" t="s">
        <v>1363</v>
      </c>
      <c r="B436" s="321" t="s">
        <v>1363</v>
      </c>
      <c r="C436" s="321" t="s">
        <v>3093</v>
      </c>
      <c r="D436" s="321" t="s">
        <v>1363</v>
      </c>
      <c r="E436" s="321" t="s">
        <v>1363</v>
      </c>
      <c r="F436" s="321" t="s">
        <v>1363</v>
      </c>
      <c r="G436" s="321" t="s">
        <v>1363</v>
      </c>
      <c r="H436" s="334" t="s">
        <v>1363</v>
      </c>
      <c r="I436" s="334"/>
    </row>
    <row r="437">
      <c r="A437" s="321" t="s">
        <v>1364</v>
      </c>
      <c r="B437" s="321" t="s">
        <v>1364</v>
      </c>
      <c r="C437" s="321" t="s">
        <v>3094</v>
      </c>
      <c r="D437" s="321" t="s">
        <v>3095</v>
      </c>
      <c r="E437" s="321" t="s">
        <v>3096</v>
      </c>
      <c r="F437" s="321" t="s">
        <v>1364</v>
      </c>
      <c r="G437" s="321" t="s">
        <v>1364</v>
      </c>
      <c r="H437" s="335" t="s">
        <v>1364</v>
      </c>
      <c r="I437" s="335"/>
    </row>
    <row r="438">
      <c r="A438" s="321" t="s">
        <v>3097</v>
      </c>
      <c r="B438" s="321" t="s">
        <v>3098</v>
      </c>
      <c r="C438" s="321" t="s">
        <v>3099</v>
      </c>
      <c r="D438" s="321" t="s">
        <v>3100</v>
      </c>
      <c r="E438" s="321" t="s">
        <v>3101</v>
      </c>
      <c r="F438" s="321" t="s">
        <v>3097</v>
      </c>
      <c r="G438" s="321" t="s">
        <v>3097</v>
      </c>
      <c r="H438" s="334" t="s">
        <v>3097</v>
      </c>
      <c r="I438" s="334"/>
    </row>
    <row r="439">
      <c r="A439" s="321" t="s">
        <v>1326</v>
      </c>
      <c r="B439" s="321" t="s">
        <v>1326</v>
      </c>
      <c r="C439" s="321" t="s">
        <v>3102</v>
      </c>
      <c r="D439" s="321" t="s">
        <v>1326</v>
      </c>
      <c r="E439" s="321" t="s">
        <v>1326</v>
      </c>
      <c r="F439" s="321" t="s">
        <v>1326</v>
      </c>
      <c r="G439" s="321" t="s">
        <v>1326</v>
      </c>
      <c r="H439" s="335" t="s">
        <v>1326</v>
      </c>
      <c r="I439" s="335"/>
    </row>
    <row r="440">
      <c r="A440" s="321" t="s">
        <v>1384</v>
      </c>
      <c r="B440" s="321" t="s">
        <v>3103</v>
      </c>
      <c r="C440" s="321" t="s">
        <v>3104</v>
      </c>
      <c r="D440" s="321" t="s">
        <v>3105</v>
      </c>
      <c r="E440" s="321" t="s">
        <v>3106</v>
      </c>
      <c r="F440" s="321" t="s">
        <v>1384</v>
      </c>
      <c r="G440" s="321" t="s">
        <v>1384</v>
      </c>
      <c r="H440" s="334" t="s">
        <v>1384</v>
      </c>
      <c r="I440" s="334"/>
    </row>
    <row r="441">
      <c r="A441" s="321" t="s">
        <v>1385</v>
      </c>
      <c r="B441" s="321" t="s">
        <v>3107</v>
      </c>
      <c r="C441" s="321" t="s">
        <v>3108</v>
      </c>
      <c r="D441" s="321" t="s">
        <v>3109</v>
      </c>
      <c r="E441" s="321" t="s">
        <v>3110</v>
      </c>
      <c r="F441" s="321" t="s">
        <v>1385</v>
      </c>
      <c r="G441" s="321" t="s">
        <v>1385</v>
      </c>
      <c r="H441" s="335" t="s">
        <v>1385</v>
      </c>
      <c r="I441" s="335"/>
    </row>
    <row r="442">
      <c r="A442" s="321" t="s">
        <v>1405</v>
      </c>
      <c r="B442" s="321" t="s">
        <v>3111</v>
      </c>
      <c r="C442" s="321" t="s">
        <v>3112</v>
      </c>
      <c r="D442" s="321" t="s">
        <v>3113</v>
      </c>
      <c r="E442" s="321" t="s">
        <v>3114</v>
      </c>
      <c r="F442" s="321" t="s">
        <v>1405</v>
      </c>
      <c r="G442" s="321" t="s">
        <v>1405</v>
      </c>
      <c r="H442" s="334" t="s">
        <v>1405</v>
      </c>
      <c r="I442" s="334"/>
    </row>
    <row r="443">
      <c r="A443" s="321" t="s">
        <v>1406</v>
      </c>
      <c r="B443" s="321" t="s">
        <v>1406</v>
      </c>
      <c r="C443" s="321" t="s">
        <v>3115</v>
      </c>
      <c r="D443" s="321" t="s">
        <v>3116</v>
      </c>
      <c r="E443" s="321" t="s">
        <v>3117</v>
      </c>
      <c r="F443" s="321" t="s">
        <v>1406</v>
      </c>
      <c r="G443" s="321" t="s">
        <v>1406</v>
      </c>
      <c r="H443" s="335" t="s">
        <v>1406</v>
      </c>
      <c r="I443" s="335"/>
    </row>
    <row r="444">
      <c r="A444" s="321" t="s">
        <v>1331</v>
      </c>
      <c r="B444" s="321" t="s">
        <v>3118</v>
      </c>
      <c r="C444" s="321" t="s">
        <v>3119</v>
      </c>
      <c r="D444" s="321" t="s">
        <v>3120</v>
      </c>
      <c r="E444" s="321" t="s">
        <v>1331</v>
      </c>
      <c r="F444" s="321" t="s">
        <v>1331</v>
      </c>
      <c r="G444" s="321" t="s">
        <v>1331</v>
      </c>
      <c r="H444" s="334" t="s">
        <v>1331</v>
      </c>
      <c r="I444" s="334"/>
    </row>
    <row r="445">
      <c r="A445" s="321" t="s">
        <v>1332</v>
      </c>
      <c r="B445" s="321" t="s">
        <v>3121</v>
      </c>
      <c r="C445" s="321" t="s">
        <v>3122</v>
      </c>
      <c r="D445" s="321" t="s">
        <v>3123</v>
      </c>
      <c r="E445" s="321" t="s">
        <v>3124</v>
      </c>
      <c r="F445" s="321" t="s">
        <v>1332</v>
      </c>
      <c r="G445" s="321" t="s">
        <v>1332</v>
      </c>
      <c r="H445" s="335" t="s">
        <v>1332</v>
      </c>
      <c r="I445" s="335"/>
    </row>
    <row r="446">
      <c r="A446" s="321" t="s">
        <v>1442</v>
      </c>
      <c r="B446" s="321" t="s">
        <v>3125</v>
      </c>
      <c r="C446" s="321" t="s">
        <v>3126</v>
      </c>
      <c r="D446" s="321" t="s">
        <v>3127</v>
      </c>
      <c r="E446" s="321" t="s">
        <v>3128</v>
      </c>
      <c r="F446" s="321" t="s">
        <v>1442</v>
      </c>
      <c r="G446" s="321" t="s">
        <v>1442</v>
      </c>
      <c r="H446" s="334" t="s">
        <v>1442</v>
      </c>
      <c r="I446" s="334"/>
    </row>
    <row r="447">
      <c r="A447" s="321" t="s">
        <v>1333</v>
      </c>
      <c r="B447" s="321" t="s">
        <v>3129</v>
      </c>
      <c r="C447" s="321" t="s">
        <v>3130</v>
      </c>
      <c r="D447" s="321" t="s">
        <v>3131</v>
      </c>
      <c r="E447" s="321" t="s">
        <v>3132</v>
      </c>
      <c r="F447" s="321" t="s">
        <v>1333</v>
      </c>
      <c r="G447" s="321" t="s">
        <v>1333</v>
      </c>
      <c r="H447" s="335" t="s">
        <v>1333</v>
      </c>
      <c r="I447" s="335"/>
    </row>
    <row r="448">
      <c r="A448" s="321" t="s">
        <v>1334</v>
      </c>
      <c r="B448" s="321" t="s">
        <v>3133</v>
      </c>
      <c r="C448" s="321" t="s">
        <v>3134</v>
      </c>
      <c r="D448" s="321" t="s">
        <v>3135</v>
      </c>
      <c r="E448" s="321" t="s">
        <v>3136</v>
      </c>
      <c r="F448" s="321" t="s">
        <v>1334</v>
      </c>
      <c r="G448" s="321" t="s">
        <v>1334</v>
      </c>
      <c r="H448" s="334" t="s">
        <v>1334</v>
      </c>
      <c r="I448" s="334"/>
    </row>
    <row r="449">
      <c r="A449" s="321" t="s">
        <v>1365</v>
      </c>
      <c r="B449" s="321" t="s">
        <v>1365</v>
      </c>
      <c r="C449" s="321" t="s">
        <v>3137</v>
      </c>
      <c r="D449" s="321" t="s">
        <v>1365</v>
      </c>
      <c r="E449" s="321" t="s">
        <v>1365</v>
      </c>
      <c r="F449" s="321" t="s">
        <v>1365</v>
      </c>
      <c r="G449" s="321" t="s">
        <v>1365</v>
      </c>
      <c r="H449" s="335" t="s">
        <v>1365</v>
      </c>
      <c r="I449" s="335"/>
    </row>
    <row r="450">
      <c r="A450" s="321" t="s">
        <v>1351</v>
      </c>
      <c r="B450" s="321" t="s">
        <v>3138</v>
      </c>
      <c r="C450" s="321" t="s">
        <v>3139</v>
      </c>
      <c r="D450" s="321" t="s">
        <v>3140</v>
      </c>
      <c r="E450" s="321" t="s">
        <v>3141</v>
      </c>
      <c r="F450" s="321" t="s">
        <v>1351</v>
      </c>
      <c r="G450" s="321" t="s">
        <v>1351</v>
      </c>
      <c r="H450" s="334" t="s">
        <v>1351</v>
      </c>
      <c r="I450" s="334"/>
    </row>
    <row r="451">
      <c r="A451" s="321" t="s">
        <v>1352</v>
      </c>
      <c r="B451" s="321" t="s">
        <v>3142</v>
      </c>
      <c r="C451" s="321" t="s">
        <v>3143</v>
      </c>
      <c r="D451" s="321" t="s">
        <v>3144</v>
      </c>
      <c r="E451" s="321" t="s">
        <v>3145</v>
      </c>
      <c r="F451" s="321" t="s">
        <v>1352</v>
      </c>
      <c r="G451" s="321" t="s">
        <v>1352</v>
      </c>
      <c r="H451" s="335" t="s">
        <v>1352</v>
      </c>
      <c r="I451" s="335"/>
    </row>
    <row r="452">
      <c r="A452" s="321" t="s">
        <v>1443</v>
      </c>
      <c r="B452" s="321" t="s">
        <v>3146</v>
      </c>
      <c r="C452" s="321" t="s">
        <v>3147</v>
      </c>
      <c r="D452" s="321" t="s">
        <v>3148</v>
      </c>
      <c r="E452" s="321" t="s">
        <v>3149</v>
      </c>
      <c r="F452" s="321" t="s">
        <v>1443</v>
      </c>
      <c r="G452" s="321" t="s">
        <v>1443</v>
      </c>
      <c r="H452" s="334" t="s">
        <v>1443</v>
      </c>
      <c r="I452" s="334"/>
    </row>
    <row r="453">
      <c r="A453" s="321" t="s">
        <v>1279</v>
      </c>
      <c r="B453" s="321" t="s">
        <v>3150</v>
      </c>
      <c r="C453" s="321" t="s">
        <v>3151</v>
      </c>
      <c r="D453" s="321" t="s">
        <v>1279</v>
      </c>
      <c r="E453" s="321" t="s">
        <v>3152</v>
      </c>
      <c r="F453" s="321" t="s">
        <v>1279</v>
      </c>
      <c r="G453" s="321" t="s">
        <v>1279</v>
      </c>
      <c r="H453" s="335" t="s">
        <v>1279</v>
      </c>
      <c r="I453" s="335"/>
    </row>
    <row r="454">
      <c r="A454" s="321" t="s">
        <v>1353</v>
      </c>
      <c r="B454" s="321" t="s">
        <v>3153</v>
      </c>
      <c r="C454" s="321" t="s">
        <v>3154</v>
      </c>
      <c r="D454" s="321" t="s">
        <v>3155</v>
      </c>
      <c r="E454" s="321" t="s">
        <v>3156</v>
      </c>
      <c r="F454" s="321" t="s">
        <v>1353</v>
      </c>
      <c r="G454" s="321" t="s">
        <v>1353</v>
      </c>
      <c r="H454" s="334" t="s">
        <v>1353</v>
      </c>
      <c r="I454" s="334"/>
    </row>
    <row r="455">
      <c r="A455" s="321" t="s">
        <v>1354</v>
      </c>
      <c r="B455" s="321" t="s">
        <v>3157</v>
      </c>
      <c r="C455" s="321" t="s">
        <v>3158</v>
      </c>
      <c r="D455" s="321" t="s">
        <v>3159</v>
      </c>
      <c r="E455" s="321" t="s">
        <v>1354</v>
      </c>
      <c r="F455" s="321" t="s">
        <v>1354</v>
      </c>
      <c r="G455" s="321" t="s">
        <v>1354</v>
      </c>
      <c r="H455" s="335" t="s">
        <v>1354</v>
      </c>
      <c r="I455" s="335"/>
    </row>
    <row r="456">
      <c r="A456" s="321" t="s">
        <v>1418</v>
      </c>
      <c r="B456" s="321" t="s">
        <v>3160</v>
      </c>
      <c r="C456" s="321" t="s">
        <v>3161</v>
      </c>
      <c r="D456" s="321" t="s">
        <v>3162</v>
      </c>
      <c r="E456" s="321" t="s">
        <v>3163</v>
      </c>
      <c r="F456" s="321" t="s">
        <v>1418</v>
      </c>
      <c r="G456" s="321" t="s">
        <v>1418</v>
      </c>
      <c r="H456" s="334" t="s">
        <v>1418</v>
      </c>
      <c r="I456" s="334"/>
    </row>
    <row r="457">
      <c r="A457" s="321" t="s">
        <v>1373</v>
      </c>
      <c r="B457" s="321" t="s">
        <v>3164</v>
      </c>
      <c r="C457" s="321" t="s">
        <v>3165</v>
      </c>
      <c r="D457" s="321" t="s">
        <v>3166</v>
      </c>
      <c r="E457" s="321" t="s">
        <v>3167</v>
      </c>
      <c r="F457" s="321" t="s">
        <v>1373</v>
      </c>
      <c r="G457" s="321" t="s">
        <v>1373</v>
      </c>
      <c r="H457" s="335" t="s">
        <v>1373</v>
      </c>
      <c r="I457" s="335"/>
    </row>
    <row r="458">
      <c r="A458" s="321" t="s">
        <v>1374</v>
      </c>
      <c r="B458" s="321" t="s">
        <v>3168</v>
      </c>
      <c r="C458" s="321" t="s">
        <v>3169</v>
      </c>
      <c r="D458" s="321" t="s">
        <v>3170</v>
      </c>
      <c r="E458" s="321" t="s">
        <v>3171</v>
      </c>
      <c r="F458" s="321" t="s">
        <v>1374</v>
      </c>
      <c r="G458" s="321" t="s">
        <v>1374</v>
      </c>
      <c r="H458" s="334" t="s">
        <v>1374</v>
      </c>
      <c r="I458" s="334"/>
    </row>
    <row r="459">
      <c r="A459" s="321" t="s">
        <v>1423</v>
      </c>
      <c r="B459" s="321" t="s">
        <v>3172</v>
      </c>
      <c r="C459" s="321" t="s">
        <v>3173</v>
      </c>
      <c r="D459" s="321" t="s">
        <v>3174</v>
      </c>
      <c r="E459" s="321" t="s">
        <v>3175</v>
      </c>
      <c r="F459" s="321" t="s">
        <v>1423</v>
      </c>
      <c r="G459" s="321" t="s">
        <v>1423</v>
      </c>
      <c r="H459" s="335" t="s">
        <v>1423</v>
      </c>
      <c r="I459" s="335"/>
    </row>
    <row r="460">
      <c r="A460" s="321" t="s">
        <v>1424</v>
      </c>
      <c r="B460" s="321" t="s">
        <v>3176</v>
      </c>
      <c r="C460" s="321" t="s">
        <v>3177</v>
      </c>
      <c r="D460" s="321" t="s">
        <v>3178</v>
      </c>
      <c r="E460" s="321" t="s">
        <v>3179</v>
      </c>
      <c r="F460" s="321" t="s">
        <v>1424</v>
      </c>
      <c r="G460" s="321" t="s">
        <v>1424</v>
      </c>
      <c r="H460" s="334" t="s">
        <v>1424</v>
      </c>
      <c r="I460" s="334"/>
    </row>
    <row r="461">
      <c r="A461" s="321" t="s">
        <v>1369</v>
      </c>
      <c r="B461" s="321" t="s">
        <v>3180</v>
      </c>
      <c r="C461" s="321" t="s">
        <v>3181</v>
      </c>
      <c r="D461" s="321" t="s">
        <v>3182</v>
      </c>
      <c r="E461" s="321" t="s">
        <v>3183</v>
      </c>
      <c r="F461" s="321" t="s">
        <v>1369</v>
      </c>
      <c r="G461" s="321" t="s">
        <v>1369</v>
      </c>
      <c r="H461" s="335" t="s">
        <v>1369</v>
      </c>
      <c r="I461" s="335"/>
    </row>
    <row r="462">
      <c r="A462" s="321" t="s">
        <v>1392</v>
      </c>
      <c r="B462" s="321" t="s">
        <v>3184</v>
      </c>
      <c r="C462" s="321" t="s">
        <v>3185</v>
      </c>
      <c r="D462" s="321" t="s">
        <v>3186</v>
      </c>
      <c r="E462" s="321" t="s">
        <v>3187</v>
      </c>
      <c r="F462" s="321" t="s">
        <v>1392</v>
      </c>
      <c r="G462" s="321" t="s">
        <v>1392</v>
      </c>
      <c r="H462" s="334" t="s">
        <v>1392</v>
      </c>
      <c r="I462" s="334"/>
    </row>
    <row r="463">
      <c r="A463" s="321" t="s">
        <v>1425</v>
      </c>
      <c r="B463" s="321" t="s">
        <v>3188</v>
      </c>
      <c r="C463" s="321" t="s">
        <v>3189</v>
      </c>
      <c r="D463" s="321" t="s">
        <v>3190</v>
      </c>
      <c r="E463" s="321" t="s">
        <v>3191</v>
      </c>
      <c r="F463" s="321" t="s">
        <v>1425</v>
      </c>
      <c r="G463" s="321" t="s">
        <v>1425</v>
      </c>
      <c r="H463" s="335" t="s">
        <v>1425</v>
      </c>
      <c r="I463" s="335"/>
    </row>
    <row r="464">
      <c r="A464" s="321" t="s">
        <v>1426</v>
      </c>
      <c r="B464" s="321" t="s">
        <v>3192</v>
      </c>
      <c r="C464" s="321" t="s">
        <v>3193</v>
      </c>
      <c r="D464" s="321" t="s">
        <v>3194</v>
      </c>
      <c r="E464" s="321" t="s">
        <v>3195</v>
      </c>
      <c r="F464" s="321" t="s">
        <v>1426</v>
      </c>
      <c r="G464" s="321" t="s">
        <v>1426</v>
      </c>
      <c r="H464" s="334" t="s">
        <v>1426</v>
      </c>
      <c r="I464" s="334"/>
    </row>
    <row r="465">
      <c r="A465" s="321" t="s">
        <v>3196</v>
      </c>
      <c r="B465" s="321" t="s">
        <v>3197</v>
      </c>
      <c r="C465" s="321" t="s">
        <v>3198</v>
      </c>
      <c r="D465" s="321" t="s">
        <v>3199</v>
      </c>
      <c r="E465" s="321" t="s">
        <v>3200</v>
      </c>
      <c r="F465" s="321" t="s">
        <v>3196</v>
      </c>
      <c r="G465" s="321" t="s">
        <v>3196</v>
      </c>
      <c r="H465" s="335" t="s">
        <v>3196</v>
      </c>
      <c r="I465" s="335"/>
    </row>
    <row r="466">
      <c r="A466" s="321" t="s">
        <v>1397</v>
      </c>
      <c r="B466" s="321" t="s">
        <v>3201</v>
      </c>
      <c r="C466" s="321" t="s">
        <v>3202</v>
      </c>
      <c r="D466" s="321" t="s">
        <v>3203</v>
      </c>
      <c r="E466" s="321" t="s">
        <v>3204</v>
      </c>
      <c r="F466" s="321" t="s">
        <v>1397</v>
      </c>
      <c r="G466" s="321" t="s">
        <v>1397</v>
      </c>
      <c r="H466" s="334" t="s">
        <v>1397</v>
      </c>
      <c r="I466" s="334"/>
    </row>
    <row r="467">
      <c r="A467" s="321" t="s">
        <v>1398</v>
      </c>
      <c r="B467" s="321" t="s">
        <v>3205</v>
      </c>
      <c r="C467" s="321" t="s">
        <v>3206</v>
      </c>
      <c r="D467" s="321" t="s">
        <v>3207</v>
      </c>
      <c r="E467" s="321" t="s">
        <v>1398</v>
      </c>
      <c r="F467" s="321" t="s">
        <v>1398</v>
      </c>
      <c r="G467" s="321" t="s">
        <v>1398</v>
      </c>
      <c r="H467" s="335" t="s">
        <v>1398</v>
      </c>
      <c r="I467" s="335"/>
    </row>
    <row r="468">
      <c r="A468" s="321" t="s">
        <v>1407</v>
      </c>
      <c r="B468" s="321" t="s">
        <v>3208</v>
      </c>
      <c r="C468" s="321" t="s">
        <v>3209</v>
      </c>
      <c r="D468" s="321" t="s">
        <v>3210</v>
      </c>
      <c r="E468" s="321" t="s">
        <v>3211</v>
      </c>
      <c r="F468" s="321" t="s">
        <v>1407</v>
      </c>
      <c r="G468" s="321" t="s">
        <v>1407</v>
      </c>
      <c r="H468" s="334" t="s">
        <v>1407</v>
      </c>
      <c r="I468" s="334"/>
    </row>
    <row r="469">
      <c r="A469" s="321" t="s">
        <v>1408</v>
      </c>
      <c r="B469" s="321" t="s">
        <v>3212</v>
      </c>
      <c r="C469" s="321" t="s">
        <v>3213</v>
      </c>
      <c r="D469" s="321" t="s">
        <v>3214</v>
      </c>
      <c r="E469" s="321" t="s">
        <v>1408</v>
      </c>
      <c r="F469" s="321" t="s">
        <v>1408</v>
      </c>
      <c r="G469" s="321" t="s">
        <v>1408</v>
      </c>
      <c r="H469" s="335" t="s">
        <v>1408</v>
      </c>
      <c r="I469" s="335"/>
    </row>
    <row r="470">
      <c r="A470" s="321" t="s">
        <v>3215</v>
      </c>
      <c r="B470" s="321" t="s">
        <v>3216</v>
      </c>
      <c r="C470" s="321" t="s">
        <v>3217</v>
      </c>
      <c r="D470" s="321" t="s">
        <v>3218</v>
      </c>
      <c r="E470" s="321" t="s">
        <v>3219</v>
      </c>
      <c r="F470" s="321" t="s">
        <v>3215</v>
      </c>
      <c r="G470" s="321" t="s">
        <v>3215</v>
      </c>
      <c r="H470" s="334" t="s">
        <v>3215</v>
      </c>
      <c r="I470" s="334"/>
    </row>
    <row r="471">
      <c r="A471" s="321" t="s">
        <v>3220</v>
      </c>
      <c r="B471" s="321" t="s">
        <v>3220</v>
      </c>
      <c r="C471" s="321" t="s">
        <v>3221</v>
      </c>
      <c r="D471" s="321" t="s">
        <v>3222</v>
      </c>
      <c r="E471" s="321" t="s">
        <v>3223</v>
      </c>
      <c r="F471" s="321" t="s">
        <v>3220</v>
      </c>
      <c r="G471" s="321" t="s">
        <v>3220</v>
      </c>
      <c r="H471" s="335" t="s">
        <v>3220</v>
      </c>
      <c r="I471" s="335"/>
    </row>
    <row r="472">
      <c r="A472" s="321" t="s">
        <v>3224</v>
      </c>
      <c r="B472" s="321" t="s">
        <v>3225</v>
      </c>
      <c r="C472" s="321" t="s">
        <v>3226</v>
      </c>
      <c r="D472" s="321" t="s">
        <v>3227</v>
      </c>
      <c r="E472" s="321" t="s">
        <v>3228</v>
      </c>
      <c r="F472" s="321" t="s">
        <v>3224</v>
      </c>
      <c r="G472" s="321" t="s">
        <v>3224</v>
      </c>
      <c r="H472" s="334" t="s">
        <v>3224</v>
      </c>
      <c r="I472" s="334"/>
    </row>
    <row r="473">
      <c r="A473" s="321" t="s">
        <v>1315</v>
      </c>
      <c r="B473" s="321" t="s">
        <v>3229</v>
      </c>
      <c r="C473" s="321" t="s">
        <v>3230</v>
      </c>
      <c r="D473" s="321" t="s">
        <v>3231</v>
      </c>
      <c r="E473" s="321" t="s">
        <v>3232</v>
      </c>
      <c r="F473" s="321" t="s">
        <v>1315</v>
      </c>
      <c r="G473" s="321" t="s">
        <v>1315</v>
      </c>
      <c r="H473" s="335" t="s">
        <v>1315</v>
      </c>
      <c r="I473" s="335"/>
    </row>
    <row r="474">
      <c r="A474" s="321" t="s">
        <v>1399</v>
      </c>
      <c r="B474" s="321" t="s">
        <v>1399</v>
      </c>
      <c r="C474" s="321" t="s">
        <v>3233</v>
      </c>
      <c r="D474" s="321" t="s">
        <v>3234</v>
      </c>
      <c r="E474" s="321" t="s">
        <v>3235</v>
      </c>
      <c r="F474" s="321" t="s">
        <v>1399</v>
      </c>
      <c r="G474" s="321" t="s">
        <v>1399</v>
      </c>
      <c r="H474" s="334" t="s">
        <v>1399</v>
      </c>
      <c r="I474" s="334"/>
    </row>
    <row r="475">
      <c r="A475" s="321" t="s">
        <v>1281</v>
      </c>
      <c r="B475" s="321" t="s">
        <v>3236</v>
      </c>
      <c r="C475" s="321" t="s">
        <v>3237</v>
      </c>
      <c r="D475" s="321" t="s">
        <v>3238</v>
      </c>
      <c r="E475" s="321" t="s">
        <v>3239</v>
      </c>
      <c r="F475" s="321" t="s">
        <v>1281</v>
      </c>
      <c r="G475" s="321" t="s">
        <v>1281</v>
      </c>
      <c r="H475" s="335" t="s">
        <v>1281</v>
      </c>
      <c r="I475" s="335"/>
    </row>
    <row r="476">
      <c r="A476" s="321" t="s">
        <v>1412</v>
      </c>
      <c r="B476" s="321" t="s">
        <v>3240</v>
      </c>
      <c r="C476" s="321" t="s">
        <v>3241</v>
      </c>
      <c r="D476" s="321" t="s">
        <v>1412</v>
      </c>
      <c r="E476" s="321" t="s">
        <v>3242</v>
      </c>
      <c r="F476" s="321" t="s">
        <v>1412</v>
      </c>
      <c r="G476" s="321" t="s">
        <v>1412</v>
      </c>
      <c r="H476" s="334" t="s">
        <v>1412</v>
      </c>
      <c r="I476" s="334"/>
    </row>
    <row r="477">
      <c r="A477" s="321" t="s">
        <v>1413</v>
      </c>
      <c r="B477" s="321" t="s">
        <v>3243</v>
      </c>
      <c r="C477" s="321" t="s">
        <v>3244</v>
      </c>
      <c r="D477" s="321" t="s">
        <v>3245</v>
      </c>
      <c r="E477" s="321" t="s">
        <v>3246</v>
      </c>
      <c r="F477" s="321" t="s">
        <v>1413</v>
      </c>
      <c r="G477" s="321" t="s">
        <v>1413</v>
      </c>
      <c r="H477" s="335" t="s">
        <v>1413</v>
      </c>
      <c r="I477" s="335"/>
    </row>
    <row r="478">
      <c r="A478" s="321" t="s">
        <v>3247</v>
      </c>
      <c r="B478" s="321" t="s">
        <v>3248</v>
      </c>
      <c r="C478" s="321" t="s">
        <v>3249</v>
      </c>
      <c r="D478" s="321" t="s">
        <v>3250</v>
      </c>
      <c r="E478" s="321" t="s">
        <v>3251</v>
      </c>
      <c r="F478" s="321" t="s">
        <v>3247</v>
      </c>
      <c r="G478" s="321" t="s">
        <v>3247</v>
      </c>
      <c r="H478" s="334" t="s">
        <v>3247</v>
      </c>
      <c r="I478" s="334"/>
    </row>
    <row r="479">
      <c r="A479" s="321" t="s">
        <v>1386</v>
      </c>
      <c r="B479" s="321" t="s">
        <v>1386</v>
      </c>
      <c r="C479" s="321" t="s">
        <v>3252</v>
      </c>
      <c r="D479" s="321" t="s">
        <v>1386</v>
      </c>
      <c r="E479" s="321" t="s">
        <v>1386</v>
      </c>
      <c r="F479" s="321" t="s">
        <v>1386</v>
      </c>
      <c r="G479" s="321" t="s">
        <v>1386</v>
      </c>
      <c r="H479" s="335" t="s">
        <v>1386</v>
      </c>
      <c r="I479" s="335"/>
    </row>
    <row r="480">
      <c r="A480" s="321" t="s">
        <v>1387</v>
      </c>
      <c r="B480" s="321" t="s">
        <v>1387</v>
      </c>
      <c r="C480" s="321" t="s">
        <v>3253</v>
      </c>
      <c r="D480" s="321" t="s">
        <v>1387</v>
      </c>
      <c r="E480" s="321" t="s">
        <v>1387</v>
      </c>
      <c r="F480" s="321" t="s">
        <v>1387</v>
      </c>
      <c r="G480" s="321" t="s">
        <v>1387</v>
      </c>
      <c r="H480" s="334" t="s">
        <v>1387</v>
      </c>
      <c r="I480" s="334"/>
    </row>
    <row r="481">
      <c r="A481" s="321" t="s">
        <v>1388</v>
      </c>
      <c r="B481" s="321" t="s">
        <v>1388</v>
      </c>
      <c r="C481" s="321" t="s">
        <v>3254</v>
      </c>
      <c r="D481" s="321" t="s">
        <v>3255</v>
      </c>
      <c r="E481" s="321" t="s">
        <v>1388</v>
      </c>
      <c r="F481" s="321" t="s">
        <v>1388</v>
      </c>
      <c r="G481" s="321" t="s">
        <v>1388</v>
      </c>
      <c r="H481" s="335" t="s">
        <v>1388</v>
      </c>
      <c r="I481" s="335"/>
    </row>
    <row r="482">
      <c r="A482" s="321" t="s">
        <v>1389</v>
      </c>
      <c r="B482" s="321" t="s">
        <v>3256</v>
      </c>
      <c r="C482" s="321" t="s">
        <v>3257</v>
      </c>
      <c r="D482" s="321" t="s">
        <v>3258</v>
      </c>
      <c r="E482" s="321" t="s">
        <v>3259</v>
      </c>
      <c r="F482" s="321" t="s">
        <v>1389</v>
      </c>
      <c r="G482" s="321" t="s">
        <v>1389</v>
      </c>
      <c r="H482" s="334" t="s">
        <v>1389</v>
      </c>
      <c r="I482" s="334"/>
    </row>
    <row r="483">
      <c r="A483" s="321" t="s">
        <v>1400</v>
      </c>
      <c r="B483" s="321" t="s">
        <v>3260</v>
      </c>
      <c r="C483" s="321" t="s">
        <v>3261</v>
      </c>
      <c r="D483" s="321" t="s">
        <v>3262</v>
      </c>
      <c r="E483" s="321" t="s">
        <v>3263</v>
      </c>
      <c r="F483" s="321" t="s">
        <v>1400</v>
      </c>
      <c r="G483" s="321" t="s">
        <v>1400</v>
      </c>
      <c r="H483" s="335" t="s">
        <v>1400</v>
      </c>
      <c r="I483" s="335"/>
    </row>
    <row r="484">
      <c r="A484" s="321" t="s">
        <v>1401</v>
      </c>
      <c r="B484" s="321" t="s">
        <v>3264</v>
      </c>
      <c r="C484" s="321" t="s">
        <v>3265</v>
      </c>
      <c r="D484" s="321" t="s">
        <v>3266</v>
      </c>
      <c r="E484" s="321" t="s">
        <v>3267</v>
      </c>
      <c r="F484" s="321" t="s">
        <v>1401</v>
      </c>
      <c r="G484" s="321" t="s">
        <v>1401</v>
      </c>
      <c r="H484" s="334" t="s">
        <v>1401</v>
      </c>
      <c r="I484" s="334"/>
    </row>
    <row r="485">
      <c r="A485" s="321" t="s">
        <v>1402</v>
      </c>
      <c r="B485" s="321" t="s">
        <v>3268</v>
      </c>
      <c r="C485" s="321" t="s">
        <v>3269</v>
      </c>
      <c r="D485" s="321" t="s">
        <v>3270</v>
      </c>
      <c r="E485" s="321" t="s">
        <v>3271</v>
      </c>
      <c r="F485" s="321" t="s">
        <v>1402</v>
      </c>
      <c r="G485" s="321" t="s">
        <v>1402</v>
      </c>
      <c r="H485" s="335" t="s">
        <v>1402</v>
      </c>
      <c r="I485" s="335"/>
    </row>
    <row r="486">
      <c r="A486" s="321" t="s">
        <v>1403</v>
      </c>
      <c r="B486" s="321" t="s">
        <v>3272</v>
      </c>
      <c r="C486" s="321" t="s">
        <v>3273</v>
      </c>
      <c r="D486" s="321" t="s">
        <v>3274</v>
      </c>
      <c r="E486" s="321" t="s">
        <v>3275</v>
      </c>
      <c r="F486" s="321" t="s">
        <v>1403</v>
      </c>
      <c r="G486" s="321" t="s">
        <v>1403</v>
      </c>
      <c r="H486" s="334" t="s">
        <v>1403</v>
      </c>
      <c r="I486" s="334"/>
    </row>
    <row r="487">
      <c r="A487" s="321" t="s">
        <v>1335</v>
      </c>
      <c r="B487" s="321" t="s">
        <v>3276</v>
      </c>
      <c r="C487" s="321" t="s">
        <v>3277</v>
      </c>
      <c r="D487" s="321" t="s">
        <v>3278</v>
      </c>
      <c r="E487" s="321" t="s">
        <v>3279</v>
      </c>
      <c r="F487" s="321" t="s">
        <v>1335</v>
      </c>
      <c r="G487" s="321" t="s">
        <v>1335</v>
      </c>
      <c r="H487" s="335" t="s">
        <v>1335</v>
      </c>
      <c r="I487" s="335"/>
    </row>
    <row r="488">
      <c r="A488" s="321" t="s">
        <v>1291</v>
      </c>
      <c r="B488" s="321" t="s">
        <v>3280</v>
      </c>
      <c r="C488" s="321" t="s">
        <v>3281</v>
      </c>
      <c r="D488" s="321" t="s">
        <v>3282</v>
      </c>
      <c r="E488" s="321" t="s">
        <v>1291</v>
      </c>
      <c r="F488" s="321" t="s">
        <v>1291</v>
      </c>
      <c r="G488" s="321" t="s">
        <v>1291</v>
      </c>
      <c r="H488" s="334" t="s">
        <v>1291</v>
      </c>
      <c r="I488" s="334"/>
    </row>
    <row r="489">
      <c r="A489" s="321" t="s">
        <v>1292</v>
      </c>
      <c r="B489" s="321" t="s">
        <v>3283</v>
      </c>
      <c r="C489" s="321" t="s">
        <v>3284</v>
      </c>
      <c r="D489" s="321" t="s">
        <v>3285</v>
      </c>
      <c r="E489" s="321" t="s">
        <v>1292</v>
      </c>
      <c r="F489" s="321" t="s">
        <v>1292</v>
      </c>
      <c r="G489" s="321" t="s">
        <v>1292</v>
      </c>
      <c r="H489" s="335" t="s">
        <v>1292</v>
      </c>
      <c r="I489" s="335"/>
    </row>
    <row r="490">
      <c r="A490" s="321" t="s">
        <v>3286</v>
      </c>
      <c r="B490" s="321" t="s">
        <v>3287</v>
      </c>
      <c r="C490" s="321" t="s">
        <v>3288</v>
      </c>
      <c r="D490" s="321" t="s">
        <v>3289</v>
      </c>
      <c r="E490" s="321" t="s">
        <v>3290</v>
      </c>
      <c r="F490" s="321" t="s">
        <v>3286</v>
      </c>
      <c r="G490" s="321" t="s">
        <v>3286</v>
      </c>
      <c r="H490" s="334" t="s">
        <v>3286</v>
      </c>
      <c r="I490" s="334"/>
    </row>
    <row r="491">
      <c r="A491" s="321" t="s">
        <v>1355</v>
      </c>
      <c r="B491" s="321" t="s">
        <v>3291</v>
      </c>
      <c r="C491" s="321" t="s">
        <v>3292</v>
      </c>
      <c r="D491" s="321" t="s">
        <v>3293</v>
      </c>
      <c r="E491" s="321" t="s">
        <v>3294</v>
      </c>
      <c r="F491" s="321" t="s">
        <v>1355</v>
      </c>
      <c r="G491" s="321" t="s">
        <v>1355</v>
      </c>
      <c r="H491" s="335" t="s">
        <v>1355</v>
      </c>
      <c r="I491" s="335"/>
    </row>
    <row r="492">
      <c r="A492" s="321" t="s">
        <v>1356</v>
      </c>
      <c r="B492" s="321" t="s">
        <v>3295</v>
      </c>
      <c r="C492" s="321" t="s">
        <v>3296</v>
      </c>
      <c r="D492" s="321" t="s">
        <v>3297</v>
      </c>
      <c r="E492" s="321" t="s">
        <v>3298</v>
      </c>
      <c r="F492" s="321" t="s">
        <v>1356</v>
      </c>
      <c r="G492" s="321" t="s">
        <v>1356</v>
      </c>
      <c r="H492" s="334" t="s">
        <v>1356</v>
      </c>
      <c r="I492" s="334"/>
    </row>
    <row r="493">
      <c r="A493" s="321" t="s">
        <v>1394</v>
      </c>
      <c r="B493" s="321" t="s">
        <v>3299</v>
      </c>
      <c r="C493" s="321" t="s">
        <v>3300</v>
      </c>
      <c r="D493" s="321" t="s">
        <v>3301</v>
      </c>
      <c r="E493" s="321" t="s">
        <v>3302</v>
      </c>
      <c r="F493" s="321" t="s">
        <v>1394</v>
      </c>
      <c r="G493" s="321" t="s">
        <v>1394</v>
      </c>
      <c r="H493" s="335" t="s">
        <v>1394</v>
      </c>
      <c r="I493" s="335"/>
    </row>
    <row r="494">
      <c r="A494" s="321" t="s">
        <v>1361</v>
      </c>
      <c r="B494" s="321" t="s">
        <v>3303</v>
      </c>
      <c r="C494" s="321" t="s">
        <v>3304</v>
      </c>
      <c r="D494" s="321" t="s">
        <v>3305</v>
      </c>
      <c r="E494" s="321" t="s">
        <v>1361</v>
      </c>
      <c r="F494" s="321" t="s">
        <v>1361</v>
      </c>
      <c r="G494" s="321" t="s">
        <v>1361</v>
      </c>
      <c r="H494" s="334" t="s">
        <v>1361</v>
      </c>
      <c r="I494" s="334"/>
    </row>
    <row r="495">
      <c r="A495" s="321" t="s">
        <v>1414</v>
      </c>
      <c r="B495" s="321" t="s">
        <v>3306</v>
      </c>
      <c r="C495" s="321" t="s">
        <v>3307</v>
      </c>
      <c r="D495" s="321" t="s">
        <v>3308</v>
      </c>
      <c r="E495" s="321" t="s">
        <v>3309</v>
      </c>
      <c r="F495" s="321" t="s">
        <v>1414</v>
      </c>
      <c r="G495" s="321" t="s">
        <v>1414</v>
      </c>
      <c r="H495" s="335" t="s">
        <v>1414</v>
      </c>
      <c r="I495" s="335"/>
    </row>
    <row r="496">
      <c r="A496" s="321" t="s">
        <v>1379</v>
      </c>
      <c r="B496" s="321" t="s">
        <v>3310</v>
      </c>
      <c r="C496" s="321" t="s">
        <v>3311</v>
      </c>
      <c r="D496" s="321" t="s">
        <v>3312</v>
      </c>
      <c r="E496" s="321" t="s">
        <v>3313</v>
      </c>
      <c r="F496" s="321" t="s">
        <v>1379</v>
      </c>
      <c r="G496" s="321" t="s">
        <v>1379</v>
      </c>
      <c r="H496" s="334" t="s">
        <v>1379</v>
      </c>
      <c r="I496" s="334"/>
    </row>
    <row r="497">
      <c r="A497" s="321" t="s">
        <v>1322</v>
      </c>
      <c r="B497" s="321" t="s">
        <v>3314</v>
      </c>
      <c r="C497" s="321" t="s">
        <v>3315</v>
      </c>
      <c r="D497" s="321" t="s">
        <v>3316</v>
      </c>
      <c r="E497" s="321" t="s">
        <v>3317</v>
      </c>
      <c r="F497" s="321" t="s">
        <v>1322</v>
      </c>
      <c r="G497" s="321" t="s">
        <v>1322</v>
      </c>
      <c r="H497" s="335" t="s">
        <v>1322</v>
      </c>
      <c r="I497" s="335"/>
    </row>
    <row r="498">
      <c r="A498" s="321" t="s">
        <v>1272</v>
      </c>
      <c r="B498" s="321" t="s">
        <v>3318</v>
      </c>
      <c r="C498" s="321" t="s">
        <v>3319</v>
      </c>
      <c r="D498" s="321" t="s">
        <v>3320</v>
      </c>
      <c r="E498" s="321" t="s">
        <v>3321</v>
      </c>
      <c r="F498" s="321" t="s">
        <v>1272</v>
      </c>
      <c r="G498" s="321" t="s">
        <v>1272</v>
      </c>
      <c r="H498" s="334" t="s">
        <v>1272</v>
      </c>
      <c r="I498" s="334"/>
    </row>
    <row r="499">
      <c r="A499" s="321" t="s">
        <v>1339</v>
      </c>
      <c r="B499" s="321" t="s">
        <v>3322</v>
      </c>
      <c r="C499" s="321" t="s">
        <v>3323</v>
      </c>
      <c r="D499" s="321" t="s">
        <v>3324</v>
      </c>
      <c r="E499" s="321" t="s">
        <v>3325</v>
      </c>
      <c r="F499" s="321" t="s">
        <v>1339</v>
      </c>
      <c r="G499" s="321" t="s">
        <v>1339</v>
      </c>
      <c r="H499" s="335" t="s">
        <v>1339</v>
      </c>
      <c r="I499" s="335"/>
    </row>
    <row r="500">
      <c r="A500" s="321" t="s">
        <v>1368</v>
      </c>
      <c r="B500" s="321" t="s">
        <v>1368</v>
      </c>
      <c r="C500" s="321" t="s">
        <v>3326</v>
      </c>
      <c r="D500" s="321" t="s">
        <v>1368</v>
      </c>
      <c r="E500" s="321" t="s">
        <v>1368</v>
      </c>
      <c r="F500" s="321" t="s">
        <v>1368</v>
      </c>
      <c r="G500" s="321" t="s">
        <v>1368</v>
      </c>
      <c r="H500" s="334" t="s">
        <v>1368</v>
      </c>
      <c r="I500" s="334"/>
    </row>
    <row r="501">
      <c r="A501" s="321" t="s">
        <v>1324</v>
      </c>
      <c r="B501" s="321" t="s">
        <v>1324</v>
      </c>
      <c r="C501" s="321" t="s">
        <v>3327</v>
      </c>
      <c r="D501" s="321" t="s">
        <v>3328</v>
      </c>
      <c r="E501" s="321" t="s">
        <v>1324</v>
      </c>
      <c r="F501" s="321" t="s">
        <v>1324</v>
      </c>
      <c r="G501" s="321" t="s">
        <v>1324</v>
      </c>
      <c r="H501" s="335" t="s">
        <v>1324</v>
      </c>
      <c r="I501" s="335"/>
    </row>
    <row r="502">
      <c r="A502" s="321" t="s">
        <v>1336</v>
      </c>
      <c r="B502" s="321" t="s">
        <v>3329</v>
      </c>
      <c r="C502" s="321" t="s">
        <v>3330</v>
      </c>
      <c r="D502" s="321" t="s">
        <v>3331</v>
      </c>
      <c r="E502" s="321" t="s">
        <v>3332</v>
      </c>
      <c r="F502" s="321" t="s">
        <v>1336</v>
      </c>
      <c r="G502" s="321" t="s">
        <v>1336</v>
      </c>
      <c r="H502" s="334" t="s">
        <v>1336</v>
      </c>
      <c r="I502" s="334"/>
    </row>
    <row r="503">
      <c r="A503" s="321" t="s">
        <v>1357</v>
      </c>
      <c r="B503" s="321" t="s">
        <v>3333</v>
      </c>
      <c r="C503" s="321" t="s">
        <v>3334</v>
      </c>
      <c r="D503" s="321" t="s">
        <v>3335</v>
      </c>
      <c r="E503" s="321" t="s">
        <v>3336</v>
      </c>
      <c r="F503" s="321" t="s">
        <v>1357</v>
      </c>
      <c r="G503" s="321" t="s">
        <v>1357</v>
      </c>
      <c r="H503" s="335" t="s">
        <v>1357</v>
      </c>
      <c r="I503" s="335"/>
    </row>
    <row r="504">
      <c r="A504" s="321" t="s">
        <v>1381</v>
      </c>
      <c r="B504" s="321" t="s">
        <v>3337</v>
      </c>
      <c r="C504" s="321" t="s">
        <v>3338</v>
      </c>
      <c r="D504" s="321" t="s">
        <v>3339</v>
      </c>
      <c r="E504" s="321" t="s">
        <v>3340</v>
      </c>
      <c r="F504" s="321" t="s">
        <v>1381</v>
      </c>
      <c r="G504" s="321" t="s">
        <v>1381</v>
      </c>
      <c r="H504" s="334" t="s">
        <v>1381</v>
      </c>
      <c r="I504" s="334"/>
    </row>
    <row r="505">
      <c r="A505" s="321" t="s">
        <v>1347</v>
      </c>
      <c r="B505" s="321" t="s">
        <v>3341</v>
      </c>
      <c r="C505" s="321" t="s">
        <v>3342</v>
      </c>
      <c r="D505" s="321" t="s">
        <v>3343</v>
      </c>
      <c r="E505" s="321" t="s">
        <v>3344</v>
      </c>
      <c r="F505" s="321" t="s">
        <v>1347</v>
      </c>
      <c r="G505" s="321" t="s">
        <v>1347</v>
      </c>
      <c r="H505" s="335" t="s">
        <v>1347</v>
      </c>
      <c r="I505" s="335"/>
    </row>
    <row r="506">
      <c r="A506" s="321" t="s">
        <v>1416</v>
      </c>
      <c r="B506" s="321" t="s">
        <v>1416</v>
      </c>
      <c r="C506" s="321" t="s">
        <v>3345</v>
      </c>
      <c r="D506" s="321" t="s">
        <v>3346</v>
      </c>
      <c r="E506" s="321" t="s">
        <v>1416</v>
      </c>
      <c r="F506" s="321" t="s">
        <v>1416</v>
      </c>
      <c r="G506" s="321" t="s">
        <v>1416</v>
      </c>
      <c r="H506" s="334" t="s">
        <v>1416</v>
      </c>
      <c r="I506" s="334"/>
    </row>
    <row r="507">
      <c r="A507" s="321" t="s">
        <v>1390</v>
      </c>
      <c r="B507" s="321" t="s">
        <v>3347</v>
      </c>
      <c r="C507" s="321" t="s">
        <v>3348</v>
      </c>
      <c r="D507" s="321" t="s">
        <v>3349</v>
      </c>
      <c r="E507" s="321" t="s">
        <v>3350</v>
      </c>
      <c r="F507" s="321" t="s">
        <v>1390</v>
      </c>
      <c r="G507" s="321" t="s">
        <v>1390</v>
      </c>
      <c r="H507" s="335" t="s">
        <v>1390</v>
      </c>
      <c r="I507" s="335"/>
    </row>
    <row r="508">
      <c r="A508" s="321" t="s">
        <v>1409</v>
      </c>
      <c r="B508" s="321" t="s">
        <v>3351</v>
      </c>
      <c r="C508" s="321" t="s">
        <v>3352</v>
      </c>
      <c r="D508" s="321" t="s">
        <v>3353</v>
      </c>
      <c r="E508" s="321" t="s">
        <v>3354</v>
      </c>
      <c r="F508" s="321" t="s">
        <v>1409</v>
      </c>
      <c r="G508" s="321" t="s">
        <v>1409</v>
      </c>
      <c r="H508" s="334" t="s">
        <v>1409</v>
      </c>
      <c r="I508" s="334"/>
    </row>
    <row r="509">
      <c r="A509" s="321" t="s">
        <v>1372</v>
      </c>
      <c r="B509" s="321" t="s">
        <v>3355</v>
      </c>
      <c r="C509" s="321" t="s">
        <v>3356</v>
      </c>
      <c r="D509" s="321" t="s">
        <v>3357</v>
      </c>
      <c r="E509" s="321" t="s">
        <v>3358</v>
      </c>
      <c r="F509" s="321" t="s">
        <v>1372</v>
      </c>
      <c r="G509" s="321" t="s">
        <v>1372</v>
      </c>
      <c r="H509" s="335" t="s">
        <v>1372</v>
      </c>
      <c r="I509" s="335"/>
    </row>
    <row r="510">
      <c r="A510" s="321" t="s">
        <v>1451</v>
      </c>
      <c r="B510" s="321" t="s">
        <v>3359</v>
      </c>
      <c r="C510" s="321" t="s">
        <v>3360</v>
      </c>
      <c r="D510" s="321" t="s">
        <v>3361</v>
      </c>
      <c r="E510" s="321" t="s">
        <v>3362</v>
      </c>
      <c r="F510" s="321" t="s">
        <v>1451</v>
      </c>
      <c r="G510" s="321" t="s">
        <v>1451</v>
      </c>
      <c r="H510" s="334" t="s">
        <v>1451</v>
      </c>
      <c r="I510" s="334"/>
    </row>
    <row r="511">
      <c r="A511" s="321" t="s">
        <v>1366</v>
      </c>
      <c r="B511" s="321" t="s">
        <v>3363</v>
      </c>
      <c r="C511" s="321" t="s">
        <v>3364</v>
      </c>
      <c r="D511" s="321" t="s">
        <v>1366</v>
      </c>
      <c r="E511" s="321" t="s">
        <v>1366</v>
      </c>
      <c r="F511" s="321" t="s">
        <v>1366</v>
      </c>
      <c r="G511" s="321" t="s">
        <v>1366</v>
      </c>
      <c r="H511" s="335" t="s">
        <v>1366</v>
      </c>
      <c r="I511" s="335"/>
    </row>
    <row r="512">
      <c r="A512" s="321" t="s">
        <v>1344</v>
      </c>
      <c r="B512" s="321" t="s">
        <v>3365</v>
      </c>
      <c r="C512" s="321" t="s">
        <v>3366</v>
      </c>
      <c r="D512" s="321" t="s">
        <v>3367</v>
      </c>
      <c r="E512" s="321" t="s">
        <v>3368</v>
      </c>
      <c r="F512" s="321" t="s">
        <v>3369</v>
      </c>
      <c r="G512" s="321" t="s">
        <v>3370</v>
      </c>
      <c r="H512" s="230" t="s">
        <v>3371</v>
      </c>
      <c r="I512" s="334"/>
    </row>
    <row r="513">
      <c r="A513" s="321" t="s">
        <v>1358</v>
      </c>
      <c r="B513" s="321" t="s">
        <v>3372</v>
      </c>
      <c r="C513" s="321" t="s">
        <v>3373</v>
      </c>
      <c r="D513" s="321" t="s">
        <v>3374</v>
      </c>
      <c r="E513" s="321" t="s">
        <v>3375</v>
      </c>
      <c r="F513" s="321" t="s">
        <v>3376</v>
      </c>
      <c r="G513" s="321" t="s">
        <v>3377</v>
      </c>
      <c r="H513" s="336" t="s">
        <v>3378</v>
      </c>
      <c r="I513" s="335"/>
    </row>
    <row r="514">
      <c r="A514" s="321" t="s">
        <v>1359</v>
      </c>
      <c r="B514" s="321" t="s">
        <v>3379</v>
      </c>
      <c r="C514" s="321" t="s">
        <v>3380</v>
      </c>
      <c r="D514" s="321" t="s">
        <v>3381</v>
      </c>
      <c r="E514" s="321" t="s">
        <v>3382</v>
      </c>
      <c r="F514" s="321" t="s">
        <v>3383</v>
      </c>
      <c r="G514" s="321" t="s">
        <v>3384</v>
      </c>
      <c r="H514" s="230" t="s">
        <v>3385</v>
      </c>
      <c r="I514" s="334"/>
    </row>
    <row r="515">
      <c r="A515" s="321" t="s">
        <v>1427</v>
      </c>
      <c r="B515" s="321" t="s">
        <v>3386</v>
      </c>
      <c r="C515" s="321" t="s">
        <v>3387</v>
      </c>
      <c r="D515" s="321" t="s">
        <v>3388</v>
      </c>
      <c r="E515" s="321" t="s">
        <v>3389</v>
      </c>
      <c r="F515" s="321" t="s">
        <v>3390</v>
      </c>
      <c r="G515" s="321" t="s">
        <v>3391</v>
      </c>
      <c r="H515" s="336" t="s">
        <v>3392</v>
      </c>
      <c r="I515" s="335"/>
    </row>
    <row r="516">
      <c r="A516" s="321" t="s">
        <v>1337</v>
      </c>
      <c r="B516" s="321" t="s">
        <v>3393</v>
      </c>
      <c r="C516" s="321" t="s">
        <v>3394</v>
      </c>
      <c r="D516" s="321" t="s">
        <v>3395</v>
      </c>
      <c r="E516" s="321" t="s">
        <v>3396</v>
      </c>
      <c r="F516" s="321" t="s">
        <v>3397</v>
      </c>
      <c r="G516" s="321" t="s">
        <v>3398</v>
      </c>
      <c r="H516" s="230" t="s">
        <v>3399</v>
      </c>
      <c r="I516" s="334"/>
    </row>
    <row r="517">
      <c r="A517" s="321" t="s">
        <v>1375</v>
      </c>
      <c r="B517" s="321" t="s">
        <v>3400</v>
      </c>
      <c r="C517" s="321" t="s">
        <v>3401</v>
      </c>
      <c r="D517" s="321" t="s">
        <v>3402</v>
      </c>
      <c r="E517" s="321" t="s">
        <v>3403</v>
      </c>
      <c r="F517" s="321" t="s">
        <v>1375</v>
      </c>
      <c r="G517" s="321" t="s">
        <v>1375</v>
      </c>
      <c r="H517" s="335" t="s">
        <v>1375</v>
      </c>
      <c r="I517" s="335"/>
    </row>
    <row r="518">
      <c r="A518" s="321" t="s">
        <v>1376</v>
      </c>
      <c r="B518" s="321" t="s">
        <v>3404</v>
      </c>
      <c r="C518" s="321" t="s">
        <v>3405</v>
      </c>
      <c r="D518" s="321" t="s">
        <v>3406</v>
      </c>
      <c r="E518" s="321" t="s">
        <v>3407</v>
      </c>
      <c r="F518" s="321" t="s">
        <v>1376</v>
      </c>
      <c r="G518" s="321" t="s">
        <v>1376</v>
      </c>
      <c r="H518" s="334" t="s">
        <v>1376</v>
      </c>
      <c r="I518" s="334"/>
    </row>
    <row r="519">
      <c r="A519" s="321" t="s">
        <v>1377</v>
      </c>
      <c r="B519" s="321" t="s">
        <v>3408</v>
      </c>
      <c r="C519" s="321" t="s">
        <v>3409</v>
      </c>
      <c r="D519" s="321" t="s">
        <v>3410</v>
      </c>
      <c r="E519" s="321" t="s">
        <v>3411</v>
      </c>
      <c r="F519" s="321" t="s">
        <v>1377</v>
      </c>
      <c r="G519" s="321" t="s">
        <v>1377</v>
      </c>
      <c r="H519" s="335" t="s">
        <v>1377</v>
      </c>
      <c r="I519" s="335"/>
    </row>
    <row r="520">
      <c r="A520" s="321" t="s">
        <v>1410</v>
      </c>
      <c r="B520" s="321" t="s">
        <v>1410</v>
      </c>
      <c r="C520" s="321" t="s">
        <v>3412</v>
      </c>
      <c r="D520" s="321" t="s">
        <v>1410</v>
      </c>
      <c r="E520" s="321" t="s">
        <v>1410</v>
      </c>
      <c r="F520" s="321" t="s">
        <v>1410</v>
      </c>
      <c r="G520" s="321" t="s">
        <v>1410</v>
      </c>
      <c r="H520" s="334" t="s">
        <v>1410</v>
      </c>
      <c r="I520" s="334"/>
    </row>
    <row r="521">
      <c r="A521" s="321" t="s">
        <v>1360</v>
      </c>
      <c r="B521" s="321" t="s">
        <v>1360</v>
      </c>
      <c r="C521" s="321" t="s">
        <v>3413</v>
      </c>
      <c r="D521" s="321" t="s">
        <v>1360</v>
      </c>
      <c r="E521" s="321" t="s">
        <v>1360</v>
      </c>
      <c r="F521" s="321" t="s">
        <v>1360</v>
      </c>
      <c r="G521" s="321" t="s">
        <v>1360</v>
      </c>
      <c r="H521" s="335" t="s">
        <v>1360</v>
      </c>
      <c r="I521" s="335"/>
    </row>
    <row r="522">
      <c r="A522" s="321" t="s">
        <v>1411</v>
      </c>
      <c r="B522" s="321" t="s">
        <v>1411</v>
      </c>
      <c r="C522" s="321" t="s">
        <v>3414</v>
      </c>
      <c r="D522" s="321" t="s">
        <v>1411</v>
      </c>
      <c r="E522" s="321" t="s">
        <v>1411</v>
      </c>
      <c r="F522" s="321" t="s">
        <v>1411</v>
      </c>
      <c r="G522" s="321" t="s">
        <v>1411</v>
      </c>
      <c r="H522" s="334" t="s">
        <v>1411</v>
      </c>
      <c r="I522" s="334"/>
    </row>
    <row r="523">
      <c r="A523" s="321" t="s">
        <v>1428</v>
      </c>
      <c r="B523" s="321" t="s">
        <v>1428</v>
      </c>
      <c r="C523" s="321" t="s">
        <v>3415</v>
      </c>
      <c r="D523" s="321" t="s">
        <v>1428</v>
      </c>
      <c r="E523" s="321" t="s">
        <v>1428</v>
      </c>
      <c r="F523" s="321" t="s">
        <v>1428</v>
      </c>
      <c r="G523" s="321" t="s">
        <v>1428</v>
      </c>
      <c r="H523" s="335" t="s">
        <v>1428</v>
      </c>
      <c r="I523" s="335"/>
    </row>
    <row r="524">
      <c r="A524" s="321" t="s">
        <v>1378</v>
      </c>
      <c r="B524" s="321" t="s">
        <v>1378</v>
      </c>
      <c r="C524" s="321" t="s">
        <v>3416</v>
      </c>
      <c r="D524" s="321" t="s">
        <v>1378</v>
      </c>
      <c r="E524" s="321" t="s">
        <v>1378</v>
      </c>
      <c r="F524" s="321" t="s">
        <v>1378</v>
      </c>
      <c r="G524" s="321" t="s">
        <v>1378</v>
      </c>
      <c r="H524" s="334" t="s">
        <v>1378</v>
      </c>
      <c r="I524" s="334"/>
    </row>
    <row r="525">
      <c r="A525" s="321" t="s">
        <v>1273</v>
      </c>
      <c r="B525" s="321" t="s">
        <v>1273</v>
      </c>
      <c r="C525" s="321" t="s">
        <v>3417</v>
      </c>
      <c r="D525" s="321" t="s">
        <v>3418</v>
      </c>
      <c r="E525" s="321" t="s">
        <v>1273</v>
      </c>
      <c r="F525" s="321" t="s">
        <v>1273</v>
      </c>
      <c r="G525" s="321" t="s">
        <v>1273</v>
      </c>
      <c r="H525" s="335" t="s">
        <v>1273</v>
      </c>
      <c r="I525" s="335"/>
    </row>
    <row r="526">
      <c r="A526" s="321" t="s">
        <v>1453</v>
      </c>
      <c r="B526" s="321" t="s">
        <v>1453</v>
      </c>
      <c r="C526" s="321" t="s">
        <v>3419</v>
      </c>
      <c r="D526" s="321" t="s">
        <v>1453</v>
      </c>
      <c r="E526" s="321" t="s">
        <v>1453</v>
      </c>
      <c r="F526" s="321" t="s">
        <v>1453</v>
      </c>
      <c r="G526" s="321" t="s">
        <v>1453</v>
      </c>
      <c r="H526" s="334" t="s">
        <v>1453</v>
      </c>
      <c r="I526" s="334"/>
    </row>
    <row r="527">
      <c r="A527" s="321" t="s">
        <v>1283</v>
      </c>
      <c r="B527" s="321" t="s">
        <v>1283</v>
      </c>
      <c r="C527" s="321" t="s">
        <v>3420</v>
      </c>
      <c r="D527" s="321" t="s">
        <v>1283</v>
      </c>
      <c r="E527" s="321" t="s">
        <v>1283</v>
      </c>
      <c r="F527" s="321" t="s">
        <v>1283</v>
      </c>
      <c r="G527" s="321" t="s">
        <v>1283</v>
      </c>
      <c r="H527" s="335" t="s">
        <v>1283</v>
      </c>
      <c r="I527" s="335"/>
    </row>
    <row r="528">
      <c r="A528" s="321" t="s">
        <v>1278</v>
      </c>
      <c r="B528" s="321" t="s">
        <v>1278</v>
      </c>
      <c r="C528" s="321" t="s">
        <v>3421</v>
      </c>
      <c r="D528" s="321" t="s">
        <v>1278</v>
      </c>
      <c r="E528" s="321" t="s">
        <v>1278</v>
      </c>
      <c r="F528" s="321" t="s">
        <v>1278</v>
      </c>
      <c r="G528" s="321" t="s">
        <v>1278</v>
      </c>
      <c r="H528" s="334" t="s">
        <v>1278</v>
      </c>
      <c r="I528" s="334"/>
    </row>
    <row r="529">
      <c r="A529" s="321" t="s">
        <v>1338</v>
      </c>
      <c r="B529" s="321" t="s">
        <v>1338</v>
      </c>
      <c r="C529" s="321" t="s">
        <v>3422</v>
      </c>
      <c r="D529" s="321" t="s">
        <v>1338</v>
      </c>
      <c r="E529" s="321" t="s">
        <v>1338</v>
      </c>
      <c r="F529" s="321" t="s">
        <v>1338</v>
      </c>
      <c r="G529" s="321" t="s">
        <v>1338</v>
      </c>
      <c r="H529" s="335" t="s">
        <v>1338</v>
      </c>
      <c r="I529" s="335"/>
    </row>
    <row r="530">
      <c r="A530" s="321" t="s">
        <v>20</v>
      </c>
      <c r="B530" s="321" t="s">
        <v>20</v>
      </c>
      <c r="C530" s="321" t="s">
        <v>3423</v>
      </c>
      <c r="D530" s="321" t="s">
        <v>20</v>
      </c>
      <c r="E530" s="321" t="s">
        <v>20</v>
      </c>
      <c r="F530" s="321" t="s">
        <v>20</v>
      </c>
      <c r="G530" s="321" t="s">
        <v>20</v>
      </c>
      <c r="H530" s="334" t="s">
        <v>20</v>
      </c>
      <c r="I530" s="334"/>
    </row>
    <row r="531">
      <c r="A531" s="321" t="s">
        <v>3424</v>
      </c>
      <c r="B531" s="321" t="s">
        <v>3424</v>
      </c>
      <c r="C531" s="321" t="s">
        <v>3425</v>
      </c>
      <c r="D531" s="321" t="s">
        <v>3426</v>
      </c>
      <c r="E531" s="321" t="s">
        <v>3424</v>
      </c>
      <c r="F531" s="321" t="s">
        <v>3424</v>
      </c>
      <c r="G531" s="321" t="s">
        <v>3424</v>
      </c>
      <c r="H531" s="335" t="s">
        <v>3424</v>
      </c>
      <c r="I531" s="335"/>
    </row>
    <row r="532">
      <c r="A532" s="321" t="s">
        <v>1268</v>
      </c>
      <c r="B532" s="321" t="s">
        <v>3427</v>
      </c>
      <c r="C532" s="321" t="s">
        <v>3428</v>
      </c>
      <c r="D532" s="321" t="s">
        <v>3429</v>
      </c>
      <c r="E532" s="321" t="s">
        <v>3430</v>
      </c>
      <c r="F532" s="321" t="s">
        <v>1268</v>
      </c>
      <c r="G532" s="321" t="s">
        <v>1268</v>
      </c>
      <c r="H532" s="334" t="s">
        <v>1268</v>
      </c>
      <c r="I532" s="334"/>
    </row>
    <row r="533">
      <c r="A533" s="321" t="s">
        <v>1285</v>
      </c>
      <c r="B533" s="321" t="s">
        <v>3431</v>
      </c>
      <c r="C533" s="321" t="s">
        <v>3432</v>
      </c>
      <c r="D533" s="321" t="s">
        <v>3433</v>
      </c>
      <c r="E533" s="321" t="s">
        <v>3434</v>
      </c>
      <c r="F533" s="321" t="s">
        <v>1285</v>
      </c>
      <c r="G533" s="321" t="s">
        <v>1285</v>
      </c>
      <c r="H533" s="335" t="s">
        <v>1285</v>
      </c>
      <c r="I533" s="335"/>
    </row>
    <row r="534">
      <c r="A534" s="321" t="s">
        <v>1286</v>
      </c>
      <c r="B534" s="321" t="s">
        <v>3435</v>
      </c>
      <c r="C534" s="321" t="s">
        <v>3436</v>
      </c>
      <c r="D534" s="321" t="s">
        <v>3437</v>
      </c>
      <c r="E534" s="321" t="s">
        <v>3438</v>
      </c>
      <c r="F534" s="321" t="s">
        <v>1286</v>
      </c>
      <c r="G534" s="321" t="s">
        <v>1286</v>
      </c>
      <c r="H534" s="334" t="s">
        <v>1286</v>
      </c>
      <c r="I534" s="334"/>
    </row>
    <row r="535">
      <c r="A535" s="321" t="s">
        <v>3439</v>
      </c>
      <c r="B535" s="321" t="s">
        <v>3440</v>
      </c>
      <c r="C535" s="321" t="s">
        <v>3441</v>
      </c>
      <c r="D535" s="321" t="s">
        <v>3442</v>
      </c>
      <c r="E535" s="321" t="s">
        <v>3443</v>
      </c>
      <c r="F535" s="321" t="s">
        <v>3439</v>
      </c>
      <c r="G535" s="321" t="s">
        <v>3439</v>
      </c>
      <c r="H535" s="335" t="s">
        <v>3439</v>
      </c>
      <c r="I535" s="335"/>
    </row>
    <row r="536">
      <c r="A536" s="321" t="s">
        <v>3444</v>
      </c>
      <c r="B536" s="321" t="s">
        <v>3445</v>
      </c>
      <c r="C536" s="321" t="s">
        <v>3446</v>
      </c>
      <c r="D536" s="321" t="s">
        <v>3447</v>
      </c>
      <c r="E536" s="321" t="s">
        <v>3448</v>
      </c>
      <c r="F536" s="321" t="s">
        <v>3444</v>
      </c>
      <c r="G536" s="321" t="s">
        <v>3444</v>
      </c>
      <c r="H536" s="334" t="s">
        <v>3444</v>
      </c>
      <c r="I536" s="334"/>
    </row>
    <row r="537">
      <c r="A537" s="321" t="s">
        <v>3449</v>
      </c>
      <c r="B537" s="321" t="s">
        <v>3450</v>
      </c>
      <c r="C537" s="321" t="s">
        <v>3451</v>
      </c>
      <c r="D537" s="321" t="s">
        <v>3452</v>
      </c>
      <c r="E537" s="321" t="s">
        <v>3453</v>
      </c>
      <c r="F537" s="321" t="s">
        <v>3449</v>
      </c>
      <c r="G537" s="321" t="s">
        <v>3449</v>
      </c>
      <c r="H537" s="335" t="s">
        <v>3449</v>
      </c>
      <c r="I537" s="335"/>
    </row>
    <row r="538">
      <c r="A538" s="321" t="s">
        <v>3454</v>
      </c>
      <c r="B538" s="321" t="s">
        <v>3455</v>
      </c>
      <c r="C538" s="321" t="s">
        <v>3456</v>
      </c>
      <c r="D538" s="321" t="s">
        <v>3457</v>
      </c>
      <c r="E538" s="321" t="s">
        <v>3458</v>
      </c>
      <c r="F538" s="321" t="s">
        <v>3454</v>
      </c>
      <c r="G538" s="321" t="s">
        <v>3454</v>
      </c>
      <c r="H538" s="334" t="s">
        <v>3454</v>
      </c>
      <c r="I538" s="334"/>
    </row>
    <row r="539">
      <c r="A539" s="321" t="s">
        <v>3459</v>
      </c>
      <c r="B539" s="321" t="s">
        <v>3460</v>
      </c>
      <c r="C539" s="321" t="s">
        <v>3461</v>
      </c>
      <c r="D539" s="321" t="s">
        <v>3462</v>
      </c>
      <c r="E539" s="321" t="s">
        <v>3463</v>
      </c>
      <c r="F539" s="321" t="s">
        <v>3459</v>
      </c>
      <c r="G539" s="321" t="s">
        <v>3459</v>
      </c>
      <c r="H539" s="335" t="s">
        <v>3459</v>
      </c>
      <c r="I539" s="335"/>
    </row>
    <row r="540">
      <c r="A540" s="321" t="s">
        <v>3464</v>
      </c>
      <c r="B540" s="321" t="s">
        <v>3465</v>
      </c>
      <c r="C540" s="321" t="s">
        <v>3466</v>
      </c>
      <c r="D540" s="321" t="s">
        <v>3467</v>
      </c>
      <c r="E540" s="321" t="s">
        <v>3468</v>
      </c>
      <c r="F540" s="321" t="s">
        <v>3464</v>
      </c>
      <c r="G540" s="321" t="s">
        <v>3464</v>
      </c>
      <c r="H540" s="334" t="s">
        <v>3464</v>
      </c>
      <c r="I540" s="334"/>
    </row>
    <row r="541">
      <c r="A541" s="321" t="s">
        <v>3469</v>
      </c>
      <c r="B541" s="321" t="s">
        <v>3470</v>
      </c>
      <c r="C541" s="321" t="s">
        <v>3471</v>
      </c>
      <c r="D541" s="321" t="s">
        <v>3472</v>
      </c>
      <c r="E541" s="321" t="s">
        <v>3473</v>
      </c>
      <c r="F541" s="321" t="s">
        <v>3469</v>
      </c>
      <c r="G541" s="321" t="s">
        <v>3469</v>
      </c>
      <c r="H541" s="335" t="s">
        <v>3469</v>
      </c>
      <c r="I541" s="335"/>
    </row>
    <row r="542">
      <c r="A542" s="321" t="s">
        <v>3474</v>
      </c>
      <c r="B542" s="321" t="s">
        <v>3475</v>
      </c>
      <c r="C542" s="321" t="s">
        <v>3476</v>
      </c>
      <c r="D542" s="321" t="s">
        <v>3477</v>
      </c>
      <c r="E542" s="321" t="s">
        <v>3478</v>
      </c>
      <c r="F542" s="321" t="s">
        <v>3474</v>
      </c>
      <c r="G542" s="321" t="s">
        <v>3474</v>
      </c>
      <c r="H542" s="334" t="s">
        <v>3474</v>
      </c>
      <c r="I542" s="334"/>
    </row>
    <row r="543">
      <c r="A543" s="321" t="s">
        <v>3479</v>
      </c>
      <c r="B543" s="321" t="s">
        <v>3480</v>
      </c>
      <c r="C543" s="321" t="s">
        <v>3481</v>
      </c>
      <c r="D543" s="321" t="s">
        <v>3482</v>
      </c>
      <c r="E543" s="321" t="s">
        <v>3483</v>
      </c>
      <c r="F543" s="321" t="s">
        <v>3479</v>
      </c>
      <c r="G543" s="321" t="s">
        <v>3479</v>
      </c>
      <c r="H543" s="335" t="s">
        <v>3479</v>
      </c>
      <c r="I543" s="335"/>
    </row>
    <row r="544">
      <c r="A544" s="321" t="s">
        <v>3484</v>
      </c>
      <c r="B544" s="321" t="s">
        <v>3485</v>
      </c>
      <c r="C544" s="321" t="s">
        <v>3486</v>
      </c>
      <c r="D544" s="321" t="s">
        <v>3487</v>
      </c>
      <c r="E544" s="321" t="s">
        <v>3488</v>
      </c>
      <c r="F544" s="321" t="s">
        <v>3484</v>
      </c>
      <c r="G544" s="321" t="s">
        <v>3484</v>
      </c>
      <c r="H544" s="334" t="s">
        <v>3484</v>
      </c>
      <c r="I544" s="334"/>
    </row>
    <row r="545">
      <c r="A545" s="321" t="s">
        <v>3489</v>
      </c>
      <c r="B545" s="321" t="s">
        <v>3490</v>
      </c>
      <c r="C545" s="321" t="s">
        <v>3491</v>
      </c>
      <c r="D545" s="321" t="s">
        <v>3492</v>
      </c>
      <c r="E545" s="321" t="s">
        <v>3493</v>
      </c>
      <c r="F545" s="321" t="s">
        <v>3489</v>
      </c>
      <c r="G545" s="321" t="s">
        <v>3489</v>
      </c>
      <c r="H545" s="335" t="s">
        <v>3489</v>
      </c>
      <c r="I545" s="335"/>
    </row>
    <row r="546">
      <c r="A546" s="321" t="s">
        <v>1309</v>
      </c>
      <c r="B546" s="321" t="s">
        <v>3494</v>
      </c>
      <c r="C546" s="321" t="s">
        <v>3495</v>
      </c>
      <c r="D546" s="321" t="s">
        <v>3496</v>
      </c>
      <c r="E546" s="321" t="s">
        <v>3497</v>
      </c>
      <c r="F546" s="321" t="s">
        <v>1309</v>
      </c>
      <c r="G546" s="321" t="s">
        <v>1309</v>
      </c>
      <c r="H546" s="334" t="s">
        <v>1309</v>
      </c>
      <c r="I546" s="334"/>
    </row>
    <row r="547">
      <c r="A547" s="321" t="s">
        <v>1310</v>
      </c>
      <c r="B547" s="321" t="s">
        <v>3498</v>
      </c>
      <c r="C547" s="321" t="s">
        <v>3499</v>
      </c>
      <c r="D547" s="321" t="s">
        <v>3500</v>
      </c>
      <c r="E547" s="321" t="s">
        <v>3501</v>
      </c>
      <c r="F547" s="321" t="s">
        <v>1310</v>
      </c>
      <c r="G547" s="321" t="s">
        <v>1310</v>
      </c>
      <c r="H547" s="335" t="s">
        <v>1310</v>
      </c>
      <c r="I547" s="335"/>
    </row>
    <row r="548">
      <c r="A548" s="321" t="s">
        <v>3502</v>
      </c>
      <c r="B548" s="321" t="s">
        <v>3503</v>
      </c>
      <c r="C548" s="321" t="s">
        <v>3504</v>
      </c>
      <c r="D548" s="321" t="s">
        <v>3505</v>
      </c>
      <c r="E548" s="321" t="s">
        <v>3506</v>
      </c>
      <c r="F548" s="321" t="s">
        <v>3502</v>
      </c>
      <c r="G548" s="321" t="s">
        <v>3502</v>
      </c>
      <c r="H548" s="334" t="s">
        <v>3502</v>
      </c>
      <c r="I548" s="334"/>
    </row>
    <row r="549">
      <c r="A549" s="321" t="s">
        <v>3507</v>
      </c>
      <c r="B549" s="321" t="s">
        <v>3508</v>
      </c>
      <c r="C549" s="321" t="s">
        <v>3509</v>
      </c>
      <c r="D549" s="321" t="s">
        <v>3510</v>
      </c>
      <c r="E549" s="321" t="s">
        <v>3511</v>
      </c>
      <c r="F549" s="321" t="s">
        <v>3507</v>
      </c>
      <c r="G549" s="321" t="s">
        <v>3507</v>
      </c>
      <c r="H549" s="335" t="s">
        <v>3507</v>
      </c>
      <c r="I549" s="335"/>
    </row>
    <row r="550">
      <c r="A550" s="321" t="s">
        <v>3512</v>
      </c>
      <c r="B550" s="321" t="s">
        <v>3513</v>
      </c>
      <c r="C550" s="321" t="s">
        <v>3514</v>
      </c>
      <c r="D550" s="321" t="s">
        <v>3515</v>
      </c>
      <c r="E550" s="321" t="s">
        <v>3516</v>
      </c>
      <c r="F550" s="321" t="s">
        <v>3512</v>
      </c>
      <c r="G550" s="321" t="s">
        <v>3512</v>
      </c>
      <c r="H550" s="334" t="s">
        <v>3512</v>
      </c>
      <c r="I550" s="334"/>
    </row>
    <row r="551">
      <c r="A551" s="321" t="s">
        <v>3517</v>
      </c>
      <c r="B551" s="321" t="s">
        <v>3518</v>
      </c>
      <c r="C551" s="321" t="s">
        <v>3519</v>
      </c>
      <c r="D551" s="321" t="s">
        <v>3520</v>
      </c>
      <c r="E551" s="321" t="s">
        <v>3521</v>
      </c>
      <c r="F551" s="321" t="s">
        <v>3517</v>
      </c>
      <c r="G551" s="321" t="s">
        <v>3517</v>
      </c>
      <c r="H551" s="335" t="s">
        <v>3517</v>
      </c>
      <c r="I551" s="335"/>
    </row>
    <row r="552">
      <c r="A552" s="321" t="s">
        <v>3522</v>
      </c>
      <c r="B552" s="321" t="s">
        <v>3523</v>
      </c>
      <c r="C552" s="321" t="s">
        <v>3524</v>
      </c>
      <c r="D552" s="321" t="s">
        <v>3525</v>
      </c>
      <c r="E552" s="321" t="s">
        <v>3526</v>
      </c>
      <c r="F552" s="321" t="s">
        <v>3522</v>
      </c>
      <c r="G552" s="321" t="s">
        <v>3522</v>
      </c>
      <c r="H552" s="334" t="s">
        <v>3522</v>
      </c>
      <c r="I552" s="334"/>
    </row>
    <row r="553">
      <c r="A553" s="321" t="s">
        <v>3527</v>
      </c>
      <c r="B553" s="321" t="s">
        <v>3528</v>
      </c>
      <c r="C553" s="321" t="s">
        <v>3529</v>
      </c>
      <c r="D553" s="321" t="s">
        <v>3530</v>
      </c>
      <c r="E553" s="321" t="s">
        <v>3531</v>
      </c>
      <c r="F553" s="321" t="s">
        <v>3527</v>
      </c>
      <c r="G553" s="321" t="s">
        <v>3527</v>
      </c>
      <c r="H553" s="335" t="s">
        <v>3527</v>
      </c>
      <c r="I553" s="335"/>
    </row>
    <row r="554">
      <c r="A554" s="321" t="s">
        <v>3532</v>
      </c>
      <c r="B554" s="321" t="s">
        <v>3532</v>
      </c>
      <c r="C554" s="321" t="s">
        <v>3533</v>
      </c>
      <c r="D554" s="321" t="s">
        <v>3532</v>
      </c>
      <c r="E554" s="321" t="s">
        <v>3534</v>
      </c>
      <c r="F554" s="321" t="s">
        <v>3532</v>
      </c>
      <c r="G554" s="321" t="s">
        <v>3532</v>
      </c>
      <c r="H554" s="334" t="s">
        <v>3532</v>
      </c>
      <c r="I554" s="334"/>
    </row>
    <row r="555">
      <c r="A555" s="321" t="s">
        <v>3535</v>
      </c>
      <c r="B555" s="321" t="s">
        <v>3536</v>
      </c>
      <c r="C555" s="321" t="s">
        <v>3537</v>
      </c>
      <c r="D555" s="321" t="s">
        <v>3538</v>
      </c>
      <c r="E555" s="321" t="s">
        <v>3539</v>
      </c>
      <c r="F555" s="321" t="s">
        <v>3535</v>
      </c>
      <c r="G555" s="321" t="s">
        <v>3535</v>
      </c>
      <c r="H555" s="335" t="s">
        <v>3535</v>
      </c>
      <c r="I555" s="335"/>
    </row>
    <row r="556">
      <c r="A556" s="321" t="s">
        <v>3540</v>
      </c>
      <c r="B556" s="321" t="s">
        <v>3541</v>
      </c>
      <c r="C556" s="321" t="s">
        <v>3542</v>
      </c>
      <c r="D556" s="321" t="s">
        <v>3543</v>
      </c>
      <c r="E556" s="321" t="s">
        <v>3544</v>
      </c>
      <c r="F556" s="321" t="s">
        <v>3540</v>
      </c>
      <c r="G556" s="321" t="s">
        <v>3540</v>
      </c>
      <c r="H556" s="334" t="s">
        <v>3540</v>
      </c>
      <c r="I556" s="334"/>
    </row>
    <row r="557">
      <c r="A557" s="321" t="s">
        <v>3545</v>
      </c>
      <c r="B557" s="321" t="s">
        <v>3546</v>
      </c>
      <c r="C557" s="321" t="s">
        <v>3547</v>
      </c>
      <c r="D557" s="321" t="s">
        <v>3548</v>
      </c>
      <c r="E557" s="321" t="s">
        <v>3549</v>
      </c>
      <c r="F557" s="321" t="s">
        <v>3545</v>
      </c>
      <c r="G557" s="321" t="s">
        <v>3545</v>
      </c>
      <c r="H557" s="335" t="s">
        <v>3545</v>
      </c>
      <c r="I557" s="335"/>
    </row>
    <row r="558">
      <c r="A558" s="321" t="s">
        <v>3550</v>
      </c>
      <c r="B558" s="321" t="s">
        <v>3551</v>
      </c>
      <c r="C558" s="321" t="s">
        <v>3552</v>
      </c>
      <c r="D558" s="321" t="s">
        <v>3553</v>
      </c>
      <c r="E558" s="321" t="s">
        <v>3554</v>
      </c>
      <c r="F558" s="321" t="s">
        <v>3550</v>
      </c>
      <c r="G558" s="321" t="s">
        <v>3550</v>
      </c>
      <c r="H558" s="334" t="s">
        <v>3550</v>
      </c>
      <c r="I558" s="334"/>
    </row>
    <row r="559">
      <c r="A559" s="321" t="s">
        <v>1146</v>
      </c>
      <c r="B559" s="321" t="s">
        <v>3555</v>
      </c>
      <c r="C559" s="321" t="s">
        <v>3556</v>
      </c>
      <c r="D559" s="321" t="s">
        <v>3557</v>
      </c>
      <c r="E559" s="321" t="s">
        <v>3558</v>
      </c>
      <c r="F559" s="321" t="s">
        <v>1146</v>
      </c>
      <c r="G559" s="321" t="s">
        <v>1146</v>
      </c>
      <c r="H559" s="335" t="s">
        <v>1146</v>
      </c>
      <c r="I559" s="335"/>
    </row>
    <row r="560">
      <c r="A560" s="321" t="s">
        <v>1147</v>
      </c>
      <c r="B560" s="321" t="s">
        <v>3559</v>
      </c>
      <c r="C560" s="321" t="s">
        <v>3560</v>
      </c>
      <c r="D560" s="321" t="s">
        <v>3561</v>
      </c>
      <c r="E560" s="321" t="s">
        <v>3562</v>
      </c>
      <c r="F560" s="321" t="s">
        <v>1147</v>
      </c>
      <c r="G560" s="321" t="s">
        <v>1147</v>
      </c>
      <c r="H560" s="334" t="s">
        <v>1147</v>
      </c>
      <c r="I560" s="334"/>
    </row>
    <row r="561">
      <c r="A561" s="321" t="s">
        <v>3563</v>
      </c>
      <c r="B561" s="321" t="s">
        <v>3564</v>
      </c>
      <c r="C561" s="321" t="s">
        <v>3565</v>
      </c>
      <c r="D561" s="321" t="s">
        <v>3566</v>
      </c>
      <c r="E561" s="321" t="s">
        <v>3567</v>
      </c>
      <c r="F561" s="321" t="s">
        <v>3563</v>
      </c>
      <c r="G561" s="321" t="s">
        <v>3563</v>
      </c>
      <c r="H561" s="335" t="s">
        <v>3563</v>
      </c>
      <c r="I561" s="335"/>
    </row>
    <row r="562">
      <c r="A562" s="321" t="s">
        <v>3568</v>
      </c>
      <c r="B562" s="321" t="s">
        <v>3569</v>
      </c>
      <c r="C562" s="321" t="s">
        <v>3570</v>
      </c>
      <c r="D562" s="321" t="s">
        <v>3571</v>
      </c>
      <c r="E562" s="321" t="s">
        <v>3572</v>
      </c>
      <c r="F562" s="321" t="s">
        <v>3568</v>
      </c>
      <c r="G562" s="321" t="s">
        <v>3568</v>
      </c>
      <c r="H562" s="334" t="s">
        <v>3568</v>
      </c>
      <c r="I562" s="334"/>
    </row>
    <row r="563">
      <c r="A563" s="321" t="s">
        <v>3573</v>
      </c>
      <c r="B563" s="321" t="s">
        <v>3574</v>
      </c>
      <c r="C563" s="321" t="s">
        <v>3575</v>
      </c>
      <c r="D563" s="321" t="s">
        <v>3576</v>
      </c>
      <c r="E563" s="321" t="s">
        <v>3577</v>
      </c>
      <c r="F563" s="321" t="s">
        <v>3573</v>
      </c>
      <c r="G563" s="321" t="s">
        <v>3573</v>
      </c>
      <c r="H563" s="335" t="s">
        <v>3573</v>
      </c>
      <c r="I563" s="335"/>
    </row>
    <row r="564">
      <c r="A564" s="321" t="s">
        <v>1172</v>
      </c>
      <c r="B564" s="321" t="s">
        <v>3578</v>
      </c>
      <c r="C564" s="321" t="s">
        <v>3579</v>
      </c>
      <c r="D564" s="321" t="s">
        <v>3580</v>
      </c>
      <c r="E564" s="321" t="s">
        <v>3581</v>
      </c>
      <c r="F564" s="321" t="s">
        <v>1172</v>
      </c>
      <c r="G564" s="321" t="s">
        <v>1172</v>
      </c>
      <c r="H564" s="334" t="s">
        <v>1172</v>
      </c>
      <c r="I564" s="334"/>
    </row>
    <row r="565">
      <c r="A565" s="321" t="s">
        <v>1173</v>
      </c>
      <c r="B565" s="321" t="s">
        <v>3582</v>
      </c>
      <c r="C565" s="321" t="s">
        <v>3583</v>
      </c>
      <c r="D565" s="321" t="s">
        <v>3584</v>
      </c>
      <c r="E565" s="321" t="s">
        <v>3585</v>
      </c>
      <c r="F565" s="321" t="s">
        <v>1173</v>
      </c>
      <c r="G565" s="321" t="s">
        <v>1173</v>
      </c>
      <c r="H565" s="335" t="s">
        <v>1173</v>
      </c>
      <c r="I565" s="335"/>
    </row>
    <row r="566">
      <c r="A566" s="321" t="s">
        <v>3586</v>
      </c>
      <c r="B566" s="321" t="s">
        <v>3587</v>
      </c>
      <c r="C566" s="321" t="s">
        <v>3588</v>
      </c>
      <c r="D566" s="321" t="s">
        <v>3589</v>
      </c>
      <c r="E566" s="321" t="s">
        <v>3590</v>
      </c>
      <c r="F566" s="321" t="s">
        <v>3586</v>
      </c>
      <c r="G566" s="321" t="s">
        <v>3586</v>
      </c>
      <c r="H566" s="334" t="s">
        <v>3586</v>
      </c>
      <c r="I566" s="334"/>
    </row>
    <row r="567">
      <c r="A567" s="321" t="s">
        <v>3591</v>
      </c>
      <c r="B567" s="321" t="s">
        <v>3592</v>
      </c>
      <c r="C567" s="321" t="s">
        <v>3593</v>
      </c>
      <c r="D567" s="321" t="s">
        <v>3594</v>
      </c>
      <c r="E567" s="321" t="s">
        <v>3595</v>
      </c>
      <c r="F567" s="321" t="s">
        <v>3591</v>
      </c>
      <c r="G567" s="321" t="s">
        <v>3591</v>
      </c>
      <c r="H567" s="335" t="s">
        <v>3591</v>
      </c>
      <c r="I567" s="335"/>
    </row>
    <row r="568">
      <c r="A568" s="321" t="s">
        <v>3596</v>
      </c>
      <c r="B568" s="321" t="s">
        <v>3597</v>
      </c>
      <c r="C568" s="321" t="s">
        <v>3598</v>
      </c>
      <c r="D568" s="321" t="s">
        <v>3599</v>
      </c>
      <c r="E568" s="321" t="s">
        <v>3600</v>
      </c>
      <c r="F568" s="321" t="s">
        <v>3596</v>
      </c>
      <c r="G568" s="321" t="s">
        <v>3596</v>
      </c>
      <c r="H568" s="334" t="s">
        <v>3596</v>
      </c>
      <c r="I568" s="334"/>
    </row>
    <row r="569">
      <c r="A569" s="321" t="s">
        <v>3601</v>
      </c>
      <c r="B569" s="321" t="s">
        <v>3602</v>
      </c>
      <c r="C569" s="321" t="s">
        <v>3603</v>
      </c>
      <c r="D569" s="321" t="s">
        <v>3604</v>
      </c>
      <c r="E569" s="321" t="s">
        <v>3605</v>
      </c>
      <c r="F569" s="321" t="s">
        <v>3601</v>
      </c>
      <c r="G569" s="321" t="s">
        <v>3601</v>
      </c>
      <c r="H569" s="335" t="s">
        <v>3601</v>
      </c>
      <c r="I569" s="335"/>
    </row>
    <row r="570">
      <c r="A570" s="321" t="s">
        <v>3606</v>
      </c>
      <c r="B570" s="321" t="s">
        <v>3607</v>
      </c>
      <c r="C570" s="321" t="s">
        <v>3608</v>
      </c>
      <c r="D570" s="321" t="s">
        <v>3609</v>
      </c>
      <c r="E570" s="321" t="s">
        <v>3610</v>
      </c>
      <c r="F570" s="321" t="s">
        <v>3606</v>
      </c>
      <c r="G570" s="321" t="s">
        <v>3606</v>
      </c>
      <c r="H570" s="334" t="s">
        <v>3606</v>
      </c>
      <c r="I570" s="334"/>
    </row>
    <row r="571">
      <c r="A571" s="321" t="s">
        <v>3611</v>
      </c>
      <c r="B571" s="321" t="s">
        <v>3612</v>
      </c>
      <c r="C571" s="321" t="s">
        <v>3613</v>
      </c>
      <c r="D571" s="321" t="s">
        <v>3614</v>
      </c>
      <c r="E571" s="321" t="s">
        <v>3615</v>
      </c>
      <c r="F571" s="321" t="s">
        <v>3611</v>
      </c>
      <c r="G571" s="321" t="s">
        <v>3611</v>
      </c>
      <c r="H571" s="335" t="s">
        <v>3611</v>
      </c>
      <c r="I571" s="335"/>
    </row>
    <row r="572">
      <c r="A572" s="321" t="s">
        <v>3616</v>
      </c>
      <c r="B572" s="321" t="s">
        <v>3617</v>
      </c>
      <c r="C572" s="321" t="s">
        <v>3618</v>
      </c>
      <c r="D572" s="321" t="s">
        <v>3619</v>
      </c>
      <c r="E572" s="321" t="s">
        <v>3620</v>
      </c>
      <c r="F572" s="321" t="s">
        <v>3616</v>
      </c>
      <c r="G572" s="321" t="s">
        <v>3616</v>
      </c>
      <c r="H572" s="334" t="s">
        <v>3616</v>
      </c>
      <c r="I572" s="334"/>
    </row>
    <row r="573">
      <c r="A573" s="321" t="s">
        <v>3621</v>
      </c>
      <c r="B573" s="321" t="s">
        <v>3622</v>
      </c>
      <c r="C573" s="321" t="s">
        <v>3623</v>
      </c>
      <c r="D573" s="321" t="s">
        <v>3624</v>
      </c>
      <c r="E573" s="321" t="s">
        <v>3625</v>
      </c>
      <c r="F573" s="321" t="s">
        <v>3621</v>
      </c>
      <c r="G573" s="321" t="s">
        <v>3621</v>
      </c>
      <c r="H573" s="335" t="s">
        <v>3621</v>
      </c>
      <c r="I573" s="335"/>
    </row>
    <row r="574">
      <c r="A574" s="321" t="s">
        <v>3626</v>
      </c>
      <c r="B574" s="321" t="s">
        <v>3627</v>
      </c>
      <c r="C574" s="321" t="s">
        <v>3628</v>
      </c>
      <c r="D574" s="321" t="s">
        <v>3629</v>
      </c>
      <c r="E574" s="321" t="s">
        <v>3630</v>
      </c>
      <c r="F574" s="321" t="s">
        <v>3626</v>
      </c>
      <c r="G574" s="321" t="s">
        <v>3626</v>
      </c>
      <c r="H574" s="334" t="s">
        <v>3626</v>
      </c>
      <c r="I574" s="334"/>
    </row>
    <row r="575">
      <c r="A575" s="321" t="s">
        <v>3631</v>
      </c>
      <c r="B575" s="321" t="s">
        <v>3632</v>
      </c>
      <c r="C575" s="321" t="s">
        <v>3633</v>
      </c>
      <c r="D575" s="321" t="s">
        <v>3634</v>
      </c>
      <c r="E575" s="321" t="s">
        <v>3635</v>
      </c>
      <c r="F575" s="321" t="s">
        <v>3631</v>
      </c>
      <c r="G575" s="321" t="s">
        <v>3631</v>
      </c>
      <c r="H575" s="335" t="s">
        <v>3631</v>
      </c>
      <c r="I575" s="335"/>
    </row>
    <row r="576">
      <c r="A576" s="321" t="s">
        <v>3636</v>
      </c>
      <c r="B576" s="321" t="s">
        <v>3637</v>
      </c>
      <c r="C576" s="321" t="s">
        <v>3638</v>
      </c>
      <c r="D576" s="321" t="s">
        <v>3639</v>
      </c>
      <c r="E576" s="321" t="s">
        <v>3640</v>
      </c>
      <c r="F576" s="321" t="s">
        <v>3636</v>
      </c>
      <c r="G576" s="321" t="s">
        <v>3636</v>
      </c>
      <c r="H576" s="334" t="s">
        <v>3636</v>
      </c>
      <c r="I576" s="334"/>
    </row>
    <row r="577">
      <c r="A577" s="321" t="s">
        <v>3641</v>
      </c>
      <c r="B577" s="321" t="s">
        <v>3642</v>
      </c>
      <c r="C577" s="321" t="s">
        <v>3643</v>
      </c>
      <c r="D577" s="321" t="s">
        <v>3644</v>
      </c>
      <c r="E577" s="321" t="s">
        <v>3645</v>
      </c>
      <c r="F577" s="321" t="s">
        <v>3641</v>
      </c>
      <c r="G577" s="321" t="s">
        <v>3641</v>
      </c>
      <c r="H577" s="335" t="s">
        <v>3641</v>
      </c>
      <c r="I577" s="335"/>
    </row>
    <row r="578">
      <c r="A578" s="321" t="s">
        <v>3646</v>
      </c>
      <c r="B578" s="321" t="s">
        <v>3647</v>
      </c>
      <c r="C578" s="321" t="s">
        <v>3648</v>
      </c>
      <c r="D578" s="321" t="s">
        <v>3649</v>
      </c>
      <c r="E578" s="321" t="s">
        <v>3650</v>
      </c>
      <c r="F578" s="321" t="s">
        <v>3646</v>
      </c>
      <c r="G578" s="321" t="s">
        <v>3646</v>
      </c>
      <c r="H578" s="334" t="s">
        <v>3646</v>
      </c>
      <c r="I578" s="334"/>
    </row>
    <row r="579">
      <c r="A579" s="321" t="s">
        <v>3651</v>
      </c>
      <c r="B579" s="321" t="s">
        <v>3652</v>
      </c>
      <c r="C579" s="321" t="s">
        <v>3653</v>
      </c>
      <c r="D579" s="321" t="s">
        <v>3654</v>
      </c>
      <c r="E579" s="321" t="s">
        <v>3655</v>
      </c>
      <c r="F579" s="321" t="s">
        <v>3651</v>
      </c>
      <c r="G579" s="321" t="s">
        <v>3651</v>
      </c>
      <c r="H579" s="335" t="s">
        <v>3651</v>
      </c>
      <c r="I579" s="335"/>
    </row>
    <row r="580">
      <c r="A580" s="321" t="s">
        <v>1311</v>
      </c>
      <c r="B580" s="321" t="s">
        <v>3656</v>
      </c>
      <c r="C580" s="321" t="s">
        <v>3657</v>
      </c>
      <c r="D580" s="321" t="s">
        <v>3658</v>
      </c>
      <c r="E580" s="321" t="s">
        <v>3659</v>
      </c>
      <c r="F580" s="321" t="s">
        <v>1311</v>
      </c>
      <c r="G580" s="321" t="s">
        <v>1311</v>
      </c>
      <c r="H580" s="334" t="s">
        <v>1311</v>
      </c>
      <c r="I580" s="334"/>
    </row>
    <row r="581">
      <c r="A581" s="321" t="s">
        <v>1312</v>
      </c>
      <c r="B581" s="321" t="s">
        <v>3660</v>
      </c>
      <c r="C581" s="321" t="s">
        <v>3661</v>
      </c>
      <c r="D581" s="321" t="s">
        <v>3662</v>
      </c>
      <c r="E581" s="321" t="s">
        <v>3663</v>
      </c>
      <c r="F581" s="321" t="s">
        <v>1312</v>
      </c>
      <c r="G581" s="321" t="s">
        <v>1312</v>
      </c>
      <c r="H581" s="335" t="s">
        <v>1312</v>
      </c>
      <c r="I581" s="335"/>
    </row>
    <row r="582">
      <c r="A582" s="321" t="s">
        <v>1313</v>
      </c>
      <c r="B582" s="321" t="s">
        <v>3664</v>
      </c>
      <c r="C582" s="321" t="s">
        <v>3665</v>
      </c>
      <c r="D582" s="321" t="s">
        <v>3666</v>
      </c>
      <c r="E582" s="321" t="s">
        <v>3667</v>
      </c>
      <c r="F582" s="321" t="s">
        <v>1313</v>
      </c>
      <c r="G582" s="321" t="s">
        <v>1313</v>
      </c>
      <c r="H582" s="334" t="s">
        <v>1313</v>
      </c>
      <c r="I582" s="334"/>
    </row>
    <row r="583">
      <c r="A583" s="321" t="s">
        <v>1077</v>
      </c>
      <c r="B583" s="321" t="s">
        <v>3668</v>
      </c>
      <c r="C583" s="321" t="s">
        <v>3669</v>
      </c>
      <c r="D583" s="321" t="s">
        <v>3670</v>
      </c>
      <c r="E583" s="321" t="s">
        <v>3671</v>
      </c>
      <c r="F583" s="321" t="s">
        <v>1077</v>
      </c>
      <c r="G583" s="321" t="s">
        <v>1077</v>
      </c>
      <c r="H583" s="335" t="s">
        <v>1077</v>
      </c>
      <c r="I583" s="335"/>
    </row>
    <row r="584">
      <c r="A584" s="321" t="s">
        <v>1078</v>
      </c>
      <c r="B584" s="321" t="s">
        <v>3672</v>
      </c>
      <c r="C584" s="321" t="s">
        <v>3673</v>
      </c>
      <c r="D584" s="321" t="s">
        <v>3674</v>
      </c>
      <c r="E584" s="321" t="s">
        <v>3675</v>
      </c>
      <c r="F584" s="321" t="s">
        <v>1078</v>
      </c>
      <c r="G584" s="321" t="s">
        <v>1078</v>
      </c>
      <c r="H584" s="334" t="s">
        <v>1078</v>
      </c>
      <c r="I584" s="334"/>
    </row>
    <row r="585">
      <c r="A585" s="321" t="s">
        <v>1079</v>
      </c>
      <c r="B585" s="321" t="s">
        <v>3676</v>
      </c>
      <c r="C585" s="321" t="s">
        <v>3677</v>
      </c>
      <c r="D585" s="321" t="s">
        <v>3678</v>
      </c>
      <c r="E585" s="321" t="s">
        <v>3679</v>
      </c>
      <c r="F585" s="321" t="s">
        <v>1079</v>
      </c>
      <c r="G585" s="321" t="s">
        <v>1079</v>
      </c>
      <c r="H585" s="335" t="s">
        <v>1079</v>
      </c>
      <c r="I585" s="335"/>
    </row>
    <row r="586">
      <c r="A586" s="321" t="s">
        <v>1080</v>
      </c>
      <c r="B586" s="321" t="s">
        <v>3680</v>
      </c>
      <c r="C586" s="321" t="s">
        <v>3681</v>
      </c>
      <c r="D586" s="321" t="s">
        <v>3682</v>
      </c>
      <c r="E586" s="321" t="s">
        <v>3683</v>
      </c>
      <c r="F586" s="321" t="s">
        <v>1080</v>
      </c>
      <c r="G586" s="321" t="s">
        <v>1080</v>
      </c>
      <c r="H586" s="334" t="s">
        <v>1080</v>
      </c>
      <c r="I586" s="334"/>
    </row>
    <row r="587">
      <c r="A587" s="321" t="s">
        <v>3684</v>
      </c>
      <c r="B587" s="321" t="s">
        <v>3685</v>
      </c>
      <c r="C587" s="321" t="s">
        <v>3686</v>
      </c>
      <c r="D587" s="321" t="s">
        <v>3687</v>
      </c>
      <c r="E587" s="321" t="s">
        <v>3688</v>
      </c>
      <c r="F587" s="321" t="s">
        <v>3684</v>
      </c>
      <c r="G587" s="321" t="s">
        <v>3684</v>
      </c>
      <c r="H587" s="335" t="s">
        <v>3684</v>
      </c>
      <c r="I587" s="335"/>
    </row>
    <row r="588">
      <c r="A588" s="321" t="s">
        <v>3689</v>
      </c>
      <c r="B588" s="321" t="s">
        <v>3690</v>
      </c>
      <c r="C588" s="321" t="s">
        <v>3691</v>
      </c>
      <c r="D588" s="321" t="s">
        <v>3692</v>
      </c>
      <c r="E588" s="321" t="s">
        <v>3693</v>
      </c>
      <c r="F588" s="321" t="s">
        <v>3689</v>
      </c>
      <c r="G588" s="321" t="s">
        <v>3689</v>
      </c>
      <c r="H588" s="334" t="s">
        <v>3689</v>
      </c>
      <c r="I588" s="334"/>
    </row>
    <row r="589">
      <c r="A589" s="321" t="s">
        <v>3694</v>
      </c>
      <c r="B589" s="321" t="s">
        <v>3695</v>
      </c>
      <c r="C589" s="321" t="s">
        <v>3696</v>
      </c>
      <c r="D589" s="321" t="s">
        <v>3697</v>
      </c>
      <c r="E589" s="321" t="s">
        <v>3698</v>
      </c>
      <c r="F589" s="321" t="s">
        <v>3694</v>
      </c>
      <c r="G589" s="321" t="s">
        <v>3694</v>
      </c>
      <c r="H589" s="335" t="s">
        <v>3694</v>
      </c>
      <c r="I589" s="335"/>
    </row>
    <row r="590">
      <c r="A590" s="321" t="s">
        <v>3699</v>
      </c>
      <c r="B590" s="321" t="s">
        <v>3700</v>
      </c>
      <c r="C590" s="321" t="s">
        <v>3701</v>
      </c>
      <c r="D590" s="321" t="s">
        <v>3702</v>
      </c>
      <c r="E590" s="321" t="s">
        <v>3703</v>
      </c>
      <c r="F590" s="321" t="s">
        <v>3699</v>
      </c>
      <c r="G590" s="321" t="s">
        <v>3699</v>
      </c>
      <c r="H590" s="334" t="s">
        <v>3699</v>
      </c>
      <c r="I590" s="334"/>
    </row>
    <row r="591">
      <c r="A591" s="321" t="s">
        <v>3704</v>
      </c>
      <c r="B591" s="321" t="s">
        <v>3705</v>
      </c>
      <c r="C591" s="321" t="s">
        <v>3706</v>
      </c>
      <c r="D591" s="321" t="s">
        <v>3707</v>
      </c>
      <c r="E591" s="321" t="s">
        <v>3708</v>
      </c>
      <c r="F591" s="321" t="s">
        <v>3704</v>
      </c>
      <c r="G591" s="321" t="s">
        <v>3704</v>
      </c>
      <c r="H591" s="335" t="s">
        <v>3704</v>
      </c>
      <c r="I591" s="335"/>
    </row>
    <row r="592">
      <c r="A592" s="321" t="s">
        <v>3709</v>
      </c>
      <c r="B592" s="321" t="s">
        <v>3710</v>
      </c>
      <c r="C592" s="321" t="s">
        <v>3711</v>
      </c>
      <c r="D592" s="321" t="s">
        <v>3712</v>
      </c>
      <c r="E592" s="321" t="s">
        <v>3713</v>
      </c>
      <c r="F592" s="321" t="s">
        <v>3709</v>
      </c>
      <c r="G592" s="321" t="s">
        <v>3709</v>
      </c>
      <c r="H592" s="334" t="s">
        <v>3709</v>
      </c>
      <c r="I592" s="334"/>
    </row>
    <row r="593">
      <c r="A593" s="321" t="s">
        <v>3714</v>
      </c>
      <c r="B593" s="321" t="s">
        <v>3715</v>
      </c>
      <c r="C593" s="321" t="s">
        <v>3716</v>
      </c>
      <c r="D593" s="321" t="s">
        <v>3717</v>
      </c>
      <c r="E593" s="321" t="s">
        <v>3718</v>
      </c>
      <c r="F593" s="321" t="s">
        <v>3714</v>
      </c>
      <c r="G593" s="321" t="s">
        <v>3714</v>
      </c>
      <c r="H593" s="335" t="s">
        <v>3714</v>
      </c>
      <c r="I593" s="335"/>
    </row>
    <row r="594">
      <c r="A594" s="321" t="s">
        <v>3719</v>
      </c>
      <c r="B594" s="321" t="s">
        <v>3720</v>
      </c>
      <c r="C594" s="321" t="s">
        <v>3721</v>
      </c>
      <c r="D594" s="321" t="s">
        <v>3722</v>
      </c>
      <c r="E594" s="321" t="s">
        <v>3723</v>
      </c>
      <c r="F594" s="321" t="s">
        <v>3719</v>
      </c>
      <c r="G594" s="321" t="s">
        <v>3719</v>
      </c>
      <c r="H594" s="334" t="s">
        <v>3719</v>
      </c>
      <c r="I594" s="334"/>
    </row>
    <row r="595">
      <c r="A595" s="321" t="s">
        <v>3724</v>
      </c>
      <c r="B595" s="321" t="s">
        <v>3725</v>
      </c>
      <c r="C595" s="321" t="s">
        <v>3726</v>
      </c>
      <c r="D595" s="321" t="s">
        <v>3727</v>
      </c>
      <c r="E595" s="321" t="s">
        <v>3728</v>
      </c>
      <c r="F595" s="321" t="s">
        <v>3724</v>
      </c>
      <c r="G595" s="321" t="s">
        <v>3724</v>
      </c>
      <c r="H595" s="335" t="s">
        <v>3724</v>
      </c>
      <c r="I595" s="335"/>
    </row>
    <row r="596">
      <c r="A596" s="321" t="s">
        <v>3729</v>
      </c>
      <c r="B596" s="321" t="s">
        <v>3730</v>
      </c>
      <c r="C596" s="321" t="s">
        <v>3731</v>
      </c>
      <c r="D596" s="321" t="s">
        <v>3732</v>
      </c>
      <c r="E596" s="321" t="s">
        <v>3733</v>
      </c>
      <c r="F596" s="321" t="s">
        <v>3729</v>
      </c>
      <c r="G596" s="321" t="s">
        <v>3729</v>
      </c>
      <c r="H596" s="334" t="s">
        <v>3729</v>
      </c>
      <c r="I596" s="334"/>
    </row>
    <row r="597">
      <c r="A597" s="321" t="s">
        <v>3734</v>
      </c>
      <c r="B597" s="321" t="s">
        <v>3735</v>
      </c>
      <c r="C597" s="321" t="s">
        <v>3736</v>
      </c>
      <c r="D597" s="321" t="s">
        <v>3737</v>
      </c>
      <c r="E597" s="321" t="s">
        <v>3738</v>
      </c>
      <c r="F597" s="321" t="s">
        <v>3734</v>
      </c>
      <c r="G597" s="321" t="s">
        <v>3734</v>
      </c>
      <c r="H597" s="335" t="s">
        <v>3734</v>
      </c>
      <c r="I597" s="335"/>
    </row>
    <row r="598">
      <c r="A598" s="321" t="s">
        <v>1299</v>
      </c>
      <c r="B598" s="321" t="s">
        <v>3739</v>
      </c>
      <c r="C598" s="321" t="s">
        <v>3740</v>
      </c>
      <c r="D598" s="321" t="s">
        <v>3741</v>
      </c>
      <c r="E598" s="321" t="s">
        <v>3742</v>
      </c>
      <c r="F598" s="321" t="s">
        <v>1299</v>
      </c>
      <c r="G598" s="321" t="s">
        <v>1299</v>
      </c>
      <c r="H598" s="334" t="s">
        <v>1299</v>
      </c>
      <c r="I598" s="334"/>
    </row>
    <row r="599">
      <c r="A599" s="321" t="s">
        <v>3743</v>
      </c>
      <c r="B599" s="321" t="s">
        <v>3744</v>
      </c>
      <c r="C599" s="321" t="s">
        <v>3745</v>
      </c>
      <c r="D599" s="321" t="s">
        <v>3746</v>
      </c>
      <c r="E599" s="321" t="s">
        <v>3747</v>
      </c>
      <c r="F599" s="321" t="s">
        <v>3743</v>
      </c>
      <c r="G599" s="321" t="s">
        <v>3743</v>
      </c>
      <c r="H599" s="335" t="s">
        <v>3743</v>
      </c>
      <c r="I599" s="335"/>
    </row>
    <row r="600">
      <c r="A600" s="321" t="s">
        <v>3748</v>
      </c>
      <c r="B600" s="321" t="s">
        <v>3749</v>
      </c>
      <c r="C600" s="321" t="s">
        <v>3750</v>
      </c>
      <c r="D600" s="321" t="s">
        <v>3751</v>
      </c>
      <c r="E600" s="321" t="s">
        <v>3752</v>
      </c>
      <c r="F600" s="321" t="s">
        <v>3748</v>
      </c>
      <c r="G600" s="321" t="s">
        <v>3748</v>
      </c>
      <c r="H600" s="334" t="s">
        <v>3748</v>
      </c>
      <c r="I600" s="334"/>
    </row>
    <row r="601">
      <c r="A601" s="321" t="s">
        <v>3753</v>
      </c>
      <c r="B601" s="321" t="s">
        <v>3754</v>
      </c>
      <c r="C601" s="321" t="s">
        <v>3755</v>
      </c>
      <c r="D601" s="321" t="s">
        <v>3756</v>
      </c>
      <c r="E601" s="321" t="s">
        <v>3757</v>
      </c>
      <c r="F601" s="321" t="s">
        <v>3753</v>
      </c>
      <c r="G601" s="321" t="s">
        <v>3753</v>
      </c>
      <c r="H601" s="335" t="s">
        <v>3753</v>
      </c>
      <c r="I601" s="335"/>
    </row>
    <row r="602">
      <c r="A602" s="321" t="s">
        <v>3758</v>
      </c>
      <c r="B602" s="321" t="s">
        <v>3759</v>
      </c>
      <c r="C602" s="321" t="s">
        <v>3760</v>
      </c>
      <c r="D602" s="321" t="s">
        <v>3761</v>
      </c>
      <c r="E602" s="321" t="s">
        <v>3762</v>
      </c>
      <c r="F602" s="321" t="s">
        <v>3758</v>
      </c>
      <c r="G602" s="321" t="s">
        <v>3758</v>
      </c>
      <c r="H602" s="334" t="s">
        <v>3758</v>
      </c>
      <c r="I602" s="334"/>
    </row>
    <row r="603">
      <c r="A603" s="321" t="s">
        <v>3763</v>
      </c>
      <c r="B603" s="321" t="s">
        <v>3764</v>
      </c>
      <c r="C603" s="321" t="s">
        <v>3765</v>
      </c>
      <c r="D603" s="321" t="s">
        <v>3766</v>
      </c>
      <c r="E603" s="321" t="s">
        <v>3767</v>
      </c>
      <c r="F603" s="321" t="s">
        <v>3763</v>
      </c>
      <c r="G603" s="321" t="s">
        <v>3763</v>
      </c>
      <c r="H603" s="335" t="s">
        <v>3763</v>
      </c>
      <c r="I603" s="335"/>
    </row>
    <row r="604">
      <c r="A604" s="321" t="s">
        <v>3768</v>
      </c>
      <c r="B604" s="321" t="s">
        <v>3769</v>
      </c>
      <c r="C604" s="321" t="s">
        <v>3770</v>
      </c>
      <c r="D604" s="321" t="s">
        <v>3771</v>
      </c>
      <c r="E604" s="321" t="s">
        <v>3772</v>
      </c>
      <c r="F604" s="321" t="s">
        <v>3768</v>
      </c>
      <c r="G604" s="321" t="s">
        <v>3768</v>
      </c>
      <c r="H604" s="334" t="s">
        <v>3768</v>
      </c>
      <c r="I604" s="334"/>
    </row>
    <row r="605">
      <c r="A605" s="321" t="s">
        <v>3773</v>
      </c>
      <c r="B605" s="321" t="s">
        <v>3774</v>
      </c>
      <c r="C605" s="321" t="s">
        <v>3775</v>
      </c>
      <c r="D605" s="321" t="s">
        <v>3776</v>
      </c>
      <c r="E605" s="321" t="s">
        <v>3777</v>
      </c>
      <c r="F605" s="321" t="s">
        <v>3773</v>
      </c>
      <c r="G605" s="321" t="s">
        <v>3773</v>
      </c>
      <c r="H605" s="335" t="s">
        <v>3773</v>
      </c>
      <c r="I605" s="335"/>
    </row>
    <row r="606">
      <c r="A606" s="321" t="s">
        <v>3778</v>
      </c>
      <c r="B606" s="321" t="s">
        <v>3779</v>
      </c>
      <c r="C606" s="321" t="s">
        <v>3780</v>
      </c>
      <c r="D606" s="321" t="s">
        <v>3781</v>
      </c>
      <c r="E606" s="321" t="s">
        <v>3782</v>
      </c>
      <c r="F606" s="321" t="s">
        <v>3778</v>
      </c>
      <c r="G606" s="321" t="s">
        <v>3778</v>
      </c>
      <c r="H606" s="334" t="s">
        <v>3778</v>
      </c>
      <c r="I606" s="334"/>
    </row>
    <row r="607">
      <c r="A607" s="321" t="s">
        <v>3783</v>
      </c>
      <c r="B607" s="321" t="s">
        <v>3783</v>
      </c>
      <c r="C607" s="321" t="s">
        <v>3784</v>
      </c>
      <c r="D607" s="321" t="s">
        <v>3785</v>
      </c>
      <c r="E607" s="321" t="s">
        <v>3783</v>
      </c>
      <c r="F607" s="321" t="s">
        <v>3783</v>
      </c>
      <c r="G607" s="321" t="s">
        <v>3783</v>
      </c>
      <c r="H607" s="335" t="s">
        <v>3783</v>
      </c>
      <c r="I607" s="335"/>
    </row>
    <row r="608">
      <c r="A608" s="321" t="s">
        <v>3786</v>
      </c>
      <c r="B608" s="321" t="s">
        <v>3786</v>
      </c>
      <c r="C608" s="321" t="s">
        <v>3787</v>
      </c>
      <c r="D608" s="321" t="s">
        <v>3788</v>
      </c>
      <c r="E608" s="321" t="s">
        <v>3786</v>
      </c>
      <c r="F608" s="321" t="s">
        <v>3786</v>
      </c>
      <c r="G608" s="321" t="s">
        <v>3786</v>
      </c>
      <c r="H608" s="334" t="s">
        <v>3786</v>
      </c>
      <c r="I608" s="334"/>
    </row>
    <row r="609">
      <c r="A609" s="321" t="s">
        <v>1246</v>
      </c>
      <c r="B609" s="321" t="s">
        <v>3789</v>
      </c>
      <c r="C609" s="321" t="s">
        <v>3790</v>
      </c>
      <c r="D609" s="321" t="s">
        <v>3791</v>
      </c>
      <c r="E609" s="321" t="s">
        <v>3792</v>
      </c>
      <c r="F609" s="321" t="s">
        <v>1246</v>
      </c>
      <c r="G609" s="321" t="s">
        <v>1246</v>
      </c>
      <c r="H609" s="335" t="s">
        <v>1246</v>
      </c>
      <c r="I609" s="335"/>
    </row>
    <row r="610">
      <c r="A610" s="321" t="s">
        <v>1247</v>
      </c>
      <c r="B610" s="321" t="s">
        <v>3793</v>
      </c>
      <c r="C610" s="321" t="s">
        <v>3794</v>
      </c>
      <c r="D610" s="321" t="s">
        <v>3795</v>
      </c>
      <c r="E610" s="321" t="s">
        <v>3796</v>
      </c>
      <c r="F610" s="321" t="s">
        <v>1247</v>
      </c>
      <c r="G610" s="321" t="s">
        <v>1247</v>
      </c>
      <c r="H610" s="334" t="s">
        <v>1247</v>
      </c>
      <c r="I610" s="334"/>
    </row>
    <row r="611">
      <c r="A611" s="321" t="s">
        <v>3797</v>
      </c>
      <c r="B611" s="321" t="s">
        <v>3798</v>
      </c>
      <c r="C611" s="321" t="s">
        <v>3799</v>
      </c>
      <c r="D611" s="321" t="s">
        <v>3800</v>
      </c>
      <c r="E611" s="321" t="s">
        <v>3801</v>
      </c>
      <c r="F611" s="321" t="s">
        <v>3797</v>
      </c>
      <c r="G611" s="321" t="s">
        <v>3797</v>
      </c>
      <c r="H611" s="335" t="s">
        <v>3797</v>
      </c>
      <c r="I611" s="335"/>
    </row>
    <row r="612">
      <c r="A612" s="321" t="s">
        <v>3802</v>
      </c>
      <c r="B612" s="321" t="s">
        <v>3803</v>
      </c>
      <c r="C612" s="321" t="s">
        <v>3804</v>
      </c>
      <c r="D612" s="321" t="s">
        <v>3805</v>
      </c>
      <c r="E612" s="321" t="s">
        <v>3806</v>
      </c>
      <c r="F612" s="321" t="s">
        <v>3802</v>
      </c>
      <c r="G612" s="321" t="s">
        <v>3802</v>
      </c>
      <c r="H612" s="334" t="s">
        <v>3802</v>
      </c>
      <c r="I612" s="334"/>
    </row>
    <row r="613">
      <c r="A613" s="321" t="s">
        <v>3807</v>
      </c>
      <c r="B613" s="321" t="s">
        <v>3808</v>
      </c>
      <c r="C613" s="321" t="s">
        <v>3809</v>
      </c>
      <c r="D613" s="321" t="s">
        <v>3810</v>
      </c>
      <c r="E613" s="321" t="s">
        <v>3811</v>
      </c>
      <c r="F613" s="321" t="s">
        <v>3807</v>
      </c>
      <c r="G613" s="321" t="s">
        <v>3807</v>
      </c>
      <c r="H613" s="335" t="s">
        <v>3807</v>
      </c>
      <c r="I613" s="335"/>
    </row>
    <row r="614">
      <c r="A614" s="321" t="s">
        <v>3812</v>
      </c>
      <c r="B614" s="321" t="s">
        <v>3813</v>
      </c>
      <c r="C614" s="321" t="s">
        <v>3814</v>
      </c>
      <c r="D614" s="321" t="s">
        <v>3815</v>
      </c>
      <c r="E614" s="321" t="s">
        <v>3816</v>
      </c>
      <c r="F614" s="321" t="s">
        <v>3812</v>
      </c>
      <c r="G614" s="321" t="s">
        <v>3812</v>
      </c>
      <c r="H614" s="334" t="s">
        <v>3812</v>
      </c>
      <c r="I614" s="334"/>
    </row>
    <row r="615">
      <c r="A615" s="321" t="s">
        <v>3817</v>
      </c>
      <c r="B615" s="321" t="s">
        <v>3818</v>
      </c>
      <c r="C615" s="321" t="s">
        <v>3819</v>
      </c>
      <c r="D615" s="321" t="s">
        <v>3820</v>
      </c>
      <c r="E615" s="321" t="s">
        <v>3821</v>
      </c>
      <c r="F615" s="321" t="s">
        <v>3817</v>
      </c>
      <c r="G615" s="321" t="s">
        <v>3817</v>
      </c>
      <c r="H615" s="335" t="s">
        <v>3817</v>
      </c>
      <c r="I615" s="335"/>
    </row>
    <row r="616">
      <c r="A616" s="321" t="s">
        <v>3822</v>
      </c>
      <c r="B616" s="321" t="s">
        <v>3823</v>
      </c>
      <c r="C616" s="321" t="s">
        <v>3824</v>
      </c>
      <c r="D616" s="321" t="s">
        <v>3825</v>
      </c>
      <c r="E616" s="321" t="s">
        <v>3826</v>
      </c>
      <c r="F616" s="321" t="s">
        <v>3822</v>
      </c>
      <c r="G616" s="321" t="s">
        <v>3822</v>
      </c>
      <c r="H616" s="334" t="s">
        <v>3822</v>
      </c>
      <c r="I616" s="334"/>
    </row>
    <row r="617">
      <c r="A617" s="321" t="s">
        <v>1128</v>
      </c>
      <c r="B617" s="321" t="s">
        <v>3827</v>
      </c>
      <c r="C617" s="321" t="s">
        <v>3828</v>
      </c>
      <c r="D617" s="321" t="s">
        <v>3829</v>
      </c>
      <c r="E617" s="321" t="s">
        <v>3830</v>
      </c>
      <c r="F617" s="321" t="s">
        <v>1128</v>
      </c>
      <c r="G617" s="321" t="s">
        <v>1128</v>
      </c>
      <c r="H617" s="335" t="s">
        <v>1128</v>
      </c>
      <c r="I617" s="335"/>
    </row>
    <row r="618">
      <c r="A618" s="321" t="s">
        <v>1129</v>
      </c>
      <c r="B618" s="321" t="s">
        <v>3831</v>
      </c>
      <c r="C618" s="321" t="s">
        <v>3832</v>
      </c>
      <c r="D618" s="321" t="s">
        <v>3833</v>
      </c>
      <c r="E618" s="321" t="s">
        <v>3834</v>
      </c>
      <c r="F618" s="321" t="s">
        <v>1129</v>
      </c>
      <c r="G618" s="321" t="s">
        <v>1129</v>
      </c>
      <c r="H618" s="334" t="s">
        <v>1129</v>
      </c>
      <c r="I618" s="334"/>
    </row>
    <row r="619">
      <c r="A619" s="321" t="s">
        <v>3835</v>
      </c>
      <c r="B619" s="321" t="s">
        <v>3836</v>
      </c>
      <c r="C619" s="321" t="s">
        <v>3837</v>
      </c>
      <c r="D619" s="321" t="s">
        <v>3838</v>
      </c>
      <c r="E619" s="321" t="s">
        <v>3839</v>
      </c>
      <c r="F619" s="321" t="s">
        <v>3835</v>
      </c>
      <c r="G619" s="321" t="s">
        <v>3835</v>
      </c>
      <c r="H619" s="335" t="s">
        <v>3835</v>
      </c>
      <c r="I619" s="335"/>
    </row>
    <row r="620">
      <c r="A620" s="321" t="s">
        <v>3840</v>
      </c>
      <c r="B620" s="321" t="s">
        <v>3841</v>
      </c>
      <c r="C620" s="321" t="s">
        <v>3842</v>
      </c>
      <c r="D620" s="321" t="s">
        <v>3843</v>
      </c>
      <c r="E620" s="321" t="s">
        <v>3844</v>
      </c>
      <c r="F620" s="321" t="s">
        <v>3840</v>
      </c>
      <c r="G620" s="321" t="s">
        <v>3840</v>
      </c>
      <c r="H620" s="334" t="s">
        <v>3840</v>
      </c>
      <c r="I620" s="334"/>
    </row>
    <row r="621">
      <c r="A621" s="321" t="s">
        <v>3845</v>
      </c>
      <c r="B621" s="321" t="s">
        <v>3846</v>
      </c>
      <c r="C621" s="321" t="s">
        <v>3847</v>
      </c>
      <c r="D621" s="321" t="s">
        <v>3848</v>
      </c>
      <c r="E621" s="321" t="s">
        <v>3849</v>
      </c>
      <c r="F621" s="321" t="s">
        <v>3845</v>
      </c>
      <c r="G621" s="321" t="s">
        <v>3845</v>
      </c>
      <c r="H621" s="335" t="s">
        <v>3845</v>
      </c>
      <c r="I621" s="335"/>
    </row>
    <row r="622">
      <c r="A622" s="321" t="s">
        <v>3850</v>
      </c>
      <c r="B622" s="321" t="s">
        <v>3851</v>
      </c>
      <c r="C622" s="321" t="s">
        <v>3852</v>
      </c>
      <c r="D622" s="321" t="s">
        <v>3853</v>
      </c>
      <c r="E622" s="321" t="s">
        <v>3854</v>
      </c>
      <c r="F622" s="321" t="s">
        <v>3850</v>
      </c>
      <c r="G622" s="321" t="s">
        <v>3850</v>
      </c>
      <c r="H622" s="334" t="s">
        <v>3850</v>
      </c>
      <c r="I622" s="334"/>
    </row>
    <row r="623">
      <c r="A623" s="321" t="s">
        <v>3855</v>
      </c>
      <c r="B623" s="321" t="s">
        <v>3856</v>
      </c>
      <c r="C623" s="321" t="s">
        <v>3857</v>
      </c>
      <c r="D623" s="321" t="s">
        <v>3858</v>
      </c>
      <c r="E623" s="321" t="s">
        <v>3859</v>
      </c>
      <c r="F623" s="321" t="s">
        <v>3855</v>
      </c>
      <c r="G623" s="321" t="s">
        <v>3855</v>
      </c>
      <c r="H623" s="335" t="s">
        <v>3855</v>
      </c>
      <c r="I623" s="335"/>
    </row>
    <row r="624">
      <c r="A624" s="321" t="s">
        <v>3860</v>
      </c>
      <c r="B624" s="321" t="s">
        <v>3860</v>
      </c>
      <c r="C624" s="321" t="s">
        <v>3861</v>
      </c>
      <c r="D624" s="321" t="s">
        <v>3862</v>
      </c>
      <c r="E624" s="321" t="s">
        <v>3860</v>
      </c>
      <c r="F624" s="321" t="s">
        <v>3860</v>
      </c>
      <c r="G624" s="321" t="s">
        <v>3860</v>
      </c>
      <c r="H624" s="334" t="s">
        <v>3860</v>
      </c>
      <c r="I624" s="334"/>
    </row>
    <row r="625">
      <c r="A625" s="321" t="s">
        <v>3863</v>
      </c>
      <c r="B625" s="321" t="s">
        <v>3864</v>
      </c>
      <c r="C625" s="321" t="s">
        <v>3865</v>
      </c>
      <c r="D625" s="321" t="s">
        <v>3866</v>
      </c>
      <c r="E625" s="321" t="s">
        <v>3867</v>
      </c>
      <c r="F625" s="321" t="s">
        <v>3863</v>
      </c>
      <c r="G625" s="321" t="s">
        <v>3863</v>
      </c>
      <c r="H625" s="335" t="s">
        <v>3863</v>
      </c>
      <c r="I625" s="335"/>
    </row>
    <row r="626">
      <c r="A626" s="321" t="s">
        <v>3868</v>
      </c>
      <c r="B626" s="321" t="s">
        <v>3869</v>
      </c>
      <c r="C626" s="321" t="s">
        <v>3870</v>
      </c>
      <c r="D626" s="321" t="s">
        <v>3871</v>
      </c>
      <c r="E626" s="321" t="s">
        <v>3872</v>
      </c>
      <c r="F626" s="321" t="s">
        <v>3868</v>
      </c>
      <c r="G626" s="321" t="s">
        <v>3868</v>
      </c>
      <c r="H626" s="334" t="s">
        <v>3868</v>
      </c>
      <c r="I626" s="334"/>
    </row>
    <row r="627">
      <c r="A627" s="321" t="s">
        <v>3873</v>
      </c>
      <c r="B627" s="321" t="s">
        <v>3874</v>
      </c>
      <c r="C627" s="321" t="s">
        <v>3875</v>
      </c>
      <c r="D627" s="321" t="s">
        <v>3876</v>
      </c>
      <c r="E627" s="321" t="s">
        <v>3877</v>
      </c>
      <c r="F627" s="321" t="s">
        <v>3873</v>
      </c>
      <c r="G627" s="321" t="s">
        <v>3873</v>
      </c>
      <c r="H627" s="335" t="s">
        <v>3873</v>
      </c>
      <c r="I627" s="335"/>
    </row>
    <row r="628">
      <c r="A628" s="321" t="s">
        <v>3878</v>
      </c>
      <c r="B628" s="321" t="s">
        <v>3879</v>
      </c>
      <c r="C628" s="321" t="s">
        <v>3880</v>
      </c>
      <c r="D628" s="321" t="s">
        <v>3881</v>
      </c>
      <c r="E628" s="321" t="s">
        <v>3882</v>
      </c>
      <c r="F628" s="321" t="s">
        <v>3878</v>
      </c>
      <c r="G628" s="321" t="s">
        <v>3878</v>
      </c>
      <c r="H628" s="334" t="s">
        <v>3878</v>
      </c>
      <c r="I628" s="334"/>
    </row>
    <row r="629">
      <c r="A629" s="321" t="s">
        <v>3883</v>
      </c>
      <c r="B629" s="321" t="s">
        <v>3884</v>
      </c>
      <c r="C629" s="321" t="s">
        <v>3885</v>
      </c>
      <c r="D629" s="321" t="s">
        <v>3886</v>
      </c>
      <c r="E629" s="321" t="s">
        <v>3887</v>
      </c>
      <c r="F629" s="321" t="s">
        <v>3883</v>
      </c>
      <c r="G629" s="321" t="s">
        <v>3883</v>
      </c>
      <c r="H629" s="335" t="s">
        <v>3883</v>
      </c>
      <c r="I629" s="335"/>
    </row>
    <row r="630">
      <c r="A630" s="321" t="s">
        <v>3888</v>
      </c>
      <c r="B630" s="321" t="s">
        <v>3889</v>
      </c>
      <c r="C630" s="321" t="s">
        <v>3890</v>
      </c>
      <c r="D630" s="321" t="s">
        <v>3891</v>
      </c>
      <c r="E630" s="321" t="s">
        <v>3892</v>
      </c>
      <c r="F630" s="321" t="s">
        <v>3888</v>
      </c>
      <c r="G630" s="321" t="s">
        <v>3888</v>
      </c>
      <c r="H630" s="334" t="s">
        <v>3888</v>
      </c>
      <c r="I630" s="334"/>
    </row>
    <row r="631">
      <c r="A631" s="321" t="s">
        <v>3893</v>
      </c>
      <c r="B631" s="321" t="s">
        <v>3894</v>
      </c>
      <c r="C631" s="321" t="s">
        <v>3895</v>
      </c>
      <c r="D631" s="321" t="s">
        <v>3896</v>
      </c>
      <c r="E631" s="321" t="s">
        <v>3897</v>
      </c>
      <c r="F631" s="321" t="s">
        <v>3893</v>
      </c>
      <c r="G631" s="321" t="s">
        <v>3893</v>
      </c>
      <c r="H631" s="335" t="s">
        <v>3893</v>
      </c>
      <c r="I631" s="335"/>
    </row>
    <row r="632">
      <c r="A632" s="321" t="s">
        <v>1296</v>
      </c>
      <c r="B632" s="321" t="s">
        <v>3898</v>
      </c>
      <c r="C632" s="321" t="s">
        <v>3899</v>
      </c>
      <c r="D632" s="321" t="s">
        <v>3900</v>
      </c>
      <c r="E632" s="321" t="s">
        <v>3901</v>
      </c>
      <c r="F632" s="321" t="s">
        <v>1296</v>
      </c>
      <c r="G632" s="321" t="s">
        <v>1296</v>
      </c>
      <c r="H632" s="334" t="s">
        <v>1296</v>
      </c>
      <c r="I632" s="334"/>
    </row>
    <row r="633">
      <c r="A633" s="321" t="s">
        <v>1297</v>
      </c>
      <c r="B633" s="321" t="s">
        <v>3902</v>
      </c>
      <c r="C633" s="321" t="s">
        <v>3903</v>
      </c>
      <c r="D633" s="321" t="s">
        <v>3904</v>
      </c>
      <c r="E633" s="321" t="s">
        <v>3905</v>
      </c>
      <c r="F633" s="321" t="s">
        <v>1297</v>
      </c>
      <c r="G633" s="321" t="s">
        <v>1297</v>
      </c>
      <c r="H633" s="335" t="s">
        <v>1297</v>
      </c>
      <c r="I633" s="335"/>
    </row>
    <row r="634">
      <c r="A634" s="321" t="s">
        <v>3906</v>
      </c>
      <c r="B634" s="321" t="s">
        <v>3907</v>
      </c>
      <c r="C634" s="321" t="s">
        <v>3908</v>
      </c>
      <c r="D634" s="321" t="s">
        <v>3909</v>
      </c>
      <c r="E634" s="321" t="s">
        <v>3910</v>
      </c>
      <c r="F634" s="321" t="s">
        <v>3906</v>
      </c>
      <c r="G634" s="321" t="s">
        <v>3906</v>
      </c>
      <c r="H634" s="334" t="s">
        <v>3906</v>
      </c>
      <c r="I634" s="334"/>
    </row>
    <row r="635">
      <c r="A635" s="321" t="s">
        <v>3911</v>
      </c>
      <c r="B635" s="321" t="s">
        <v>3912</v>
      </c>
      <c r="C635" s="321" t="s">
        <v>3913</v>
      </c>
      <c r="D635" s="321" t="s">
        <v>3914</v>
      </c>
      <c r="E635" s="321" t="s">
        <v>3915</v>
      </c>
      <c r="F635" s="321" t="s">
        <v>3911</v>
      </c>
      <c r="G635" s="321" t="s">
        <v>3911</v>
      </c>
      <c r="H635" s="335" t="s">
        <v>3911</v>
      </c>
      <c r="I635" s="335"/>
    </row>
    <row r="636">
      <c r="A636" s="321" t="s">
        <v>3916</v>
      </c>
      <c r="B636" s="321" t="s">
        <v>3917</v>
      </c>
      <c r="C636" s="321" t="s">
        <v>3918</v>
      </c>
      <c r="D636" s="321" t="s">
        <v>3919</v>
      </c>
      <c r="E636" s="321" t="s">
        <v>3920</v>
      </c>
      <c r="F636" s="321" t="s">
        <v>3916</v>
      </c>
      <c r="G636" s="321" t="s">
        <v>3916</v>
      </c>
      <c r="H636" s="334" t="s">
        <v>3916</v>
      </c>
      <c r="I636" s="334"/>
    </row>
    <row r="637">
      <c r="A637" s="321" t="s">
        <v>3921</v>
      </c>
      <c r="B637" s="321" t="s">
        <v>3922</v>
      </c>
      <c r="C637" s="321" t="s">
        <v>3923</v>
      </c>
      <c r="D637" s="321" t="s">
        <v>3924</v>
      </c>
      <c r="E637" s="321" t="s">
        <v>3925</v>
      </c>
      <c r="F637" s="321" t="s">
        <v>3921</v>
      </c>
      <c r="G637" s="321" t="s">
        <v>3921</v>
      </c>
      <c r="H637" s="335" t="s">
        <v>3921</v>
      </c>
      <c r="I637" s="335"/>
    </row>
    <row r="638">
      <c r="A638" s="321" t="s">
        <v>3926</v>
      </c>
      <c r="B638" s="321" t="s">
        <v>3927</v>
      </c>
      <c r="C638" s="321" t="s">
        <v>3928</v>
      </c>
      <c r="D638" s="321" t="s">
        <v>3929</v>
      </c>
      <c r="E638" s="321" t="s">
        <v>3930</v>
      </c>
      <c r="F638" s="321" t="s">
        <v>3926</v>
      </c>
      <c r="G638" s="321" t="s">
        <v>3926</v>
      </c>
      <c r="H638" s="334" t="s">
        <v>3926</v>
      </c>
      <c r="I638" s="334"/>
    </row>
    <row r="639">
      <c r="A639" s="321" t="s">
        <v>1148</v>
      </c>
      <c r="B639" s="321" t="s">
        <v>3931</v>
      </c>
      <c r="C639" s="321" t="s">
        <v>3932</v>
      </c>
      <c r="D639" s="321" t="s">
        <v>3933</v>
      </c>
      <c r="E639" s="321" t="s">
        <v>3934</v>
      </c>
      <c r="F639" s="321" t="s">
        <v>1148</v>
      </c>
      <c r="G639" s="321" t="s">
        <v>1148</v>
      </c>
      <c r="H639" s="335" t="s">
        <v>1148</v>
      </c>
      <c r="I639" s="335"/>
    </row>
    <row r="640">
      <c r="A640" s="321" t="s">
        <v>1149</v>
      </c>
      <c r="B640" s="321" t="s">
        <v>3935</v>
      </c>
      <c r="C640" s="321" t="s">
        <v>3936</v>
      </c>
      <c r="D640" s="321" t="s">
        <v>3937</v>
      </c>
      <c r="E640" s="321" t="s">
        <v>3938</v>
      </c>
      <c r="F640" s="321" t="s">
        <v>1149</v>
      </c>
      <c r="G640" s="321" t="s">
        <v>1149</v>
      </c>
      <c r="H640" s="334" t="s">
        <v>1149</v>
      </c>
      <c r="I640" s="334"/>
    </row>
    <row r="641">
      <c r="A641" s="321" t="s">
        <v>1150</v>
      </c>
      <c r="B641" s="321" t="s">
        <v>3939</v>
      </c>
      <c r="C641" s="321" t="s">
        <v>3940</v>
      </c>
      <c r="D641" s="321" t="s">
        <v>3941</v>
      </c>
      <c r="E641" s="321" t="s">
        <v>3942</v>
      </c>
      <c r="F641" s="321" t="s">
        <v>1150</v>
      </c>
      <c r="G641" s="321" t="s">
        <v>1150</v>
      </c>
      <c r="H641" s="335" t="s">
        <v>1150</v>
      </c>
      <c r="I641" s="335"/>
    </row>
    <row r="642">
      <c r="A642" s="321" t="s">
        <v>1300</v>
      </c>
      <c r="B642" s="321" t="s">
        <v>3943</v>
      </c>
      <c r="C642" s="321" t="s">
        <v>3944</v>
      </c>
      <c r="D642" s="321" t="s">
        <v>3945</v>
      </c>
      <c r="E642" s="321" t="s">
        <v>3946</v>
      </c>
      <c r="F642" s="321" t="s">
        <v>1300</v>
      </c>
      <c r="G642" s="321" t="s">
        <v>1300</v>
      </c>
      <c r="H642" s="334" t="s">
        <v>1300</v>
      </c>
      <c r="I642" s="334"/>
    </row>
    <row r="643">
      <c r="A643" s="321" t="s">
        <v>1301</v>
      </c>
      <c r="B643" s="321" t="s">
        <v>3947</v>
      </c>
      <c r="C643" s="321" t="s">
        <v>3948</v>
      </c>
      <c r="D643" s="321" t="s">
        <v>3949</v>
      </c>
      <c r="E643" s="321" t="s">
        <v>3950</v>
      </c>
      <c r="F643" s="321" t="s">
        <v>1301</v>
      </c>
      <c r="G643" s="321" t="s">
        <v>1301</v>
      </c>
      <c r="H643" s="335" t="s">
        <v>1301</v>
      </c>
      <c r="I643" s="335"/>
    </row>
    <row r="644">
      <c r="A644" s="321" t="s">
        <v>3951</v>
      </c>
      <c r="B644" s="321" t="s">
        <v>3952</v>
      </c>
      <c r="C644" s="321" t="s">
        <v>3953</v>
      </c>
      <c r="D644" s="321" t="s">
        <v>3954</v>
      </c>
      <c r="E644" s="321" t="s">
        <v>3955</v>
      </c>
      <c r="F644" s="321" t="s">
        <v>3951</v>
      </c>
      <c r="G644" s="321" t="s">
        <v>3951</v>
      </c>
      <c r="H644" s="334" t="s">
        <v>3951</v>
      </c>
      <c r="I644" s="334"/>
    </row>
    <row r="645">
      <c r="A645" s="321" t="s">
        <v>3956</v>
      </c>
      <c r="B645" s="321" t="s">
        <v>3957</v>
      </c>
      <c r="C645" s="321" t="s">
        <v>3958</v>
      </c>
      <c r="D645" s="321" t="s">
        <v>3959</v>
      </c>
      <c r="E645" s="321" t="s">
        <v>3960</v>
      </c>
      <c r="F645" s="321" t="s">
        <v>3956</v>
      </c>
      <c r="G645" s="321" t="s">
        <v>3956</v>
      </c>
      <c r="H645" s="335" t="s">
        <v>3956</v>
      </c>
      <c r="I645" s="335"/>
    </row>
    <row r="646">
      <c r="A646" s="321" t="s">
        <v>3961</v>
      </c>
      <c r="B646" s="321" t="s">
        <v>3962</v>
      </c>
      <c r="C646" s="321" t="s">
        <v>3963</v>
      </c>
      <c r="D646" s="321" t="s">
        <v>3964</v>
      </c>
      <c r="E646" s="321" t="s">
        <v>3965</v>
      </c>
      <c r="F646" s="321" t="s">
        <v>3961</v>
      </c>
      <c r="G646" s="321" t="s">
        <v>3961</v>
      </c>
      <c r="H646" s="334" t="s">
        <v>3961</v>
      </c>
      <c r="I646" s="334"/>
    </row>
    <row r="647">
      <c r="A647" s="321" t="s">
        <v>3966</v>
      </c>
      <c r="B647" s="321" t="s">
        <v>3967</v>
      </c>
      <c r="C647" s="321" t="s">
        <v>3968</v>
      </c>
      <c r="D647" s="321" t="s">
        <v>3969</v>
      </c>
      <c r="E647" s="321" t="s">
        <v>3970</v>
      </c>
      <c r="F647" s="321" t="s">
        <v>3966</v>
      </c>
      <c r="G647" s="321" t="s">
        <v>3966</v>
      </c>
      <c r="H647" s="335" t="s">
        <v>3966</v>
      </c>
      <c r="I647" s="335"/>
    </row>
    <row r="648">
      <c r="A648" s="321" t="s">
        <v>3971</v>
      </c>
      <c r="B648" s="321" t="s">
        <v>3972</v>
      </c>
      <c r="C648" s="321" t="s">
        <v>3973</v>
      </c>
      <c r="D648" s="321" t="s">
        <v>3974</v>
      </c>
      <c r="E648" s="321" t="s">
        <v>3975</v>
      </c>
      <c r="F648" s="321" t="s">
        <v>3971</v>
      </c>
      <c r="G648" s="321" t="s">
        <v>3971</v>
      </c>
      <c r="H648" s="334" t="s">
        <v>3971</v>
      </c>
      <c r="I648" s="334"/>
    </row>
    <row r="649">
      <c r="A649" s="321" t="s">
        <v>3976</v>
      </c>
      <c r="B649" s="321" t="s">
        <v>3977</v>
      </c>
      <c r="C649" s="321" t="s">
        <v>3978</v>
      </c>
      <c r="D649" s="321" t="s">
        <v>3979</v>
      </c>
      <c r="E649" s="321" t="s">
        <v>3980</v>
      </c>
      <c r="F649" s="321" t="s">
        <v>3976</v>
      </c>
      <c r="G649" s="321" t="s">
        <v>3976</v>
      </c>
      <c r="H649" s="335" t="s">
        <v>3976</v>
      </c>
      <c r="I649" s="335"/>
    </row>
    <row r="650">
      <c r="A650" s="321" t="s">
        <v>3981</v>
      </c>
      <c r="B650" s="321" t="s">
        <v>3982</v>
      </c>
      <c r="C650" s="321" t="s">
        <v>3983</v>
      </c>
      <c r="D650" s="321" t="s">
        <v>3984</v>
      </c>
      <c r="E650" s="321" t="s">
        <v>3985</v>
      </c>
      <c r="F650" s="321" t="s">
        <v>3981</v>
      </c>
      <c r="G650" s="321" t="s">
        <v>3981</v>
      </c>
      <c r="H650" s="334" t="s">
        <v>3981</v>
      </c>
      <c r="I650" s="334"/>
    </row>
    <row r="651">
      <c r="A651" s="321" t="s">
        <v>3986</v>
      </c>
      <c r="B651" s="321" t="s">
        <v>3987</v>
      </c>
      <c r="C651" s="321" t="s">
        <v>3988</v>
      </c>
      <c r="D651" s="321" t="s">
        <v>3989</v>
      </c>
      <c r="E651" s="321" t="s">
        <v>3990</v>
      </c>
      <c r="F651" s="321" t="s">
        <v>3986</v>
      </c>
      <c r="G651" s="321" t="s">
        <v>3986</v>
      </c>
      <c r="H651" s="335" t="s">
        <v>3986</v>
      </c>
      <c r="I651" s="335"/>
    </row>
    <row r="652">
      <c r="A652" s="321" t="s">
        <v>3991</v>
      </c>
      <c r="B652" s="321" t="s">
        <v>3992</v>
      </c>
      <c r="C652" s="321" t="s">
        <v>3993</v>
      </c>
      <c r="D652" s="321" t="s">
        <v>3994</v>
      </c>
      <c r="E652" s="321" t="s">
        <v>3995</v>
      </c>
      <c r="F652" s="321" t="s">
        <v>3991</v>
      </c>
      <c r="G652" s="321" t="s">
        <v>3991</v>
      </c>
      <c r="H652" s="334" t="s">
        <v>3991</v>
      </c>
      <c r="I652" s="334"/>
    </row>
    <row r="653">
      <c r="A653" s="321" t="s">
        <v>3996</v>
      </c>
      <c r="B653" s="321" t="s">
        <v>3997</v>
      </c>
      <c r="C653" s="321" t="s">
        <v>3998</v>
      </c>
      <c r="D653" s="321" t="s">
        <v>3999</v>
      </c>
      <c r="E653" s="321" t="s">
        <v>4000</v>
      </c>
      <c r="F653" s="321" t="s">
        <v>3996</v>
      </c>
      <c r="G653" s="321" t="s">
        <v>3996</v>
      </c>
      <c r="H653" s="335" t="s">
        <v>3996</v>
      </c>
      <c r="I653" s="335"/>
    </row>
    <row r="654">
      <c r="A654" s="321" t="s">
        <v>4001</v>
      </c>
      <c r="B654" s="321" t="s">
        <v>4002</v>
      </c>
      <c r="C654" s="321" t="s">
        <v>4003</v>
      </c>
      <c r="D654" s="321" t="s">
        <v>4004</v>
      </c>
      <c r="E654" s="321" t="s">
        <v>4005</v>
      </c>
      <c r="F654" s="321" t="s">
        <v>4001</v>
      </c>
      <c r="G654" s="321" t="s">
        <v>4001</v>
      </c>
      <c r="H654" s="334" t="s">
        <v>4001</v>
      </c>
      <c r="I654" s="334"/>
    </row>
    <row r="655">
      <c r="A655" s="321" t="s">
        <v>4006</v>
      </c>
      <c r="B655" s="321" t="s">
        <v>4007</v>
      </c>
      <c r="C655" s="321" t="s">
        <v>4008</v>
      </c>
      <c r="D655" s="321" t="s">
        <v>4009</v>
      </c>
      <c r="E655" s="321" t="s">
        <v>4010</v>
      </c>
      <c r="F655" s="321" t="s">
        <v>4006</v>
      </c>
      <c r="G655" s="321" t="s">
        <v>4006</v>
      </c>
      <c r="H655" s="335" t="s">
        <v>4006</v>
      </c>
      <c r="I655" s="335"/>
    </row>
    <row r="656">
      <c r="A656" s="321" t="s">
        <v>1197</v>
      </c>
      <c r="B656" s="321" t="s">
        <v>4011</v>
      </c>
      <c r="C656" s="321" t="s">
        <v>4012</v>
      </c>
      <c r="D656" s="321" t="s">
        <v>4013</v>
      </c>
      <c r="E656" s="321" t="s">
        <v>4014</v>
      </c>
      <c r="F656" s="321" t="s">
        <v>1197</v>
      </c>
      <c r="G656" s="321" t="s">
        <v>1197</v>
      </c>
      <c r="H656" s="334" t="s">
        <v>1197</v>
      </c>
      <c r="I656" s="334"/>
    </row>
    <row r="657">
      <c r="A657" s="321" t="s">
        <v>1198</v>
      </c>
      <c r="B657" s="321" t="s">
        <v>4015</v>
      </c>
      <c r="C657" s="321" t="s">
        <v>4016</v>
      </c>
      <c r="D657" s="321" t="s">
        <v>4017</v>
      </c>
      <c r="E657" s="321" t="s">
        <v>4018</v>
      </c>
      <c r="F657" s="321" t="s">
        <v>1198</v>
      </c>
      <c r="G657" s="321" t="s">
        <v>1198</v>
      </c>
      <c r="H657" s="335" t="s">
        <v>1198</v>
      </c>
      <c r="I657" s="335"/>
    </row>
    <row r="658">
      <c r="A658" s="321" t="s">
        <v>1314</v>
      </c>
      <c r="B658" s="321" t="s">
        <v>4019</v>
      </c>
      <c r="C658" s="321" t="s">
        <v>4020</v>
      </c>
      <c r="D658" s="321" t="s">
        <v>4021</v>
      </c>
      <c r="E658" s="321" t="s">
        <v>4022</v>
      </c>
      <c r="F658" s="321" t="s">
        <v>1314</v>
      </c>
      <c r="G658" s="321" t="s">
        <v>1314</v>
      </c>
      <c r="H658" s="334" t="s">
        <v>1314</v>
      </c>
      <c r="I658" s="334"/>
    </row>
    <row r="659">
      <c r="A659" s="321" t="s">
        <v>1174</v>
      </c>
      <c r="B659" s="321" t="s">
        <v>4023</v>
      </c>
      <c r="C659" s="321" t="s">
        <v>4024</v>
      </c>
      <c r="D659" s="321" t="s">
        <v>4025</v>
      </c>
      <c r="E659" s="321" t="s">
        <v>4026</v>
      </c>
      <c r="F659" s="321" t="s">
        <v>1174</v>
      </c>
      <c r="G659" s="321" t="s">
        <v>1174</v>
      </c>
      <c r="H659" s="335" t="s">
        <v>1174</v>
      </c>
      <c r="I659" s="335"/>
    </row>
    <row r="660">
      <c r="A660" s="321" t="s">
        <v>1175</v>
      </c>
      <c r="B660" s="321" t="s">
        <v>4027</v>
      </c>
      <c r="C660" s="321" t="s">
        <v>4028</v>
      </c>
      <c r="D660" s="321" t="s">
        <v>4029</v>
      </c>
      <c r="E660" s="321" t="s">
        <v>4030</v>
      </c>
      <c r="F660" s="321" t="s">
        <v>1175</v>
      </c>
      <c r="G660" s="321" t="s">
        <v>1175</v>
      </c>
      <c r="H660" s="334" t="s">
        <v>1175</v>
      </c>
      <c r="I660" s="334"/>
    </row>
    <row r="661">
      <c r="A661" s="321" t="s">
        <v>1216</v>
      </c>
      <c r="B661" s="321" t="s">
        <v>4031</v>
      </c>
      <c r="C661" s="321" t="s">
        <v>4032</v>
      </c>
      <c r="D661" s="321" t="s">
        <v>4033</v>
      </c>
      <c r="E661" s="321" t="s">
        <v>4034</v>
      </c>
      <c r="F661" s="321" t="s">
        <v>1216</v>
      </c>
      <c r="G661" s="321" t="s">
        <v>1216</v>
      </c>
      <c r="H661" s="335" t="s">
        <v>1216</v>
      </c>
      <c r="I661" s="335"/>
    </row>
    <row r="662">
      <c r="A662" s="321" t="s">
        <v>1217</v>
      </c>
      <c r="B662" s="321" t="s">
        <v>4035</v>
      </c>
      <c r="C662" s="321" t="s">
        <v>4036</v>
      </c>
      <c r="D662" s="321" t="s">
        <v>4037</v>
      </c>
      <c r="E662" s="321" t="s">
        <v>4038</v>
      </c>
      <c r="F662" s="321" t="s">
        <v>1217</v>
      </c>
      <c r="G662" s="321" t="s">
        <v>1217</v>
      </c>
      <c r="H662" s="334" t="s">
        <v>1217</v>
      </c>
      <c r="I662" s="334"/>
    </row>
    <row r="663">
      <c r="A663" s="321" t="s">
        <v>4039</v>
      </c>
      <c r="B663" s="321" t="s">
        <v>4040</v>
      </c>
      <c r="C663" s="321" t="s">
        <v>4041</v>
      </c>
      <c r="D663" s="321" t="s">
        <v>4042</v>
      </c>
      <c r="E663" s="321" t="s">
        <v>4043</v>
      </c>
      <c r="F663" s="321" t="s">
        <v>4039</v>
      </c>
      <c r="G663" s="321" t="s">
        <v>4039</v>
      </c>
      <c r="H663" s="335" t="s">
        <v>4039</v>
      </c>
      <c r="I663" s="335"/>
    </row>
    <row r="664">
      <c r="A664" s="321" t="s">
        <v>4044</v>
      </c>
      <c r="B664" s="321" t="s">
        <v>4045</v>
      </c>
      <c r="C664" s="321" t="s">
        <v>4046</v>
      </c>
      <c r="D664" s="321" t="s">
        <v>4047</v>
      </c>
      <c r="E664" s="321" t="s">
        <v>4048</v>
      </c>
      <c r="F664" s="321" t="s">
        <v>4044</v>
      </c>
      <c r="G664" s="321" t="s">
        <v>4044</v>
      </c>
      <c r="H664" s="334" t="s">
        <v>4044</v>
      </c>
      <c r="I664" s="334"/>
    </row>
    <row r="665">
      <c r="A665" s="321" t="s">
        <v>4049</v>
      </c>
      <c r="B665" s="321" t="s">
        <v>4050</v>
      </c>
      <c r="C665" s="321" t="s">
        <v>4051</v>
      </c>
      <c r="D665" s="321" t="s">
        <v>4052</v>
      </c>
      <c r="E665" s="321" t="s">
        <v>4053</v>
      </c>
      <c r="F665" s="321" t="s">
        <v>4049</v>
      </c>
      <c r="G665" s="321" t="s">
        <v>4049</v>
      </c>
      <c r="H665" s="335" t="s">
        <v>4049</v>
      </c>
      <c r="I665" s="335"/>
    </row>
    <row r="666">
      <c r="A666" s="321" t="s">
        <v>4054</v>
      </c>
      <c r="B666" s="321" t="s">
        <v>4055</v>
      </c>
      <c r="C666" s="321" t="s">
        <v>4056</v>
      </c>
      <c r="D666" s="321" t="s">
        <v>4057</v>
      </c>
      <c r="E666" s="321" t="s">
        <v>4058</v>
      </c>
      <c r="F666" s="321" t="s">
        <v>4054</v>
      </c>
      <c r="G666" s="321" t="s">
        <v>4054</v>
      </c>
      <c r="H666" s="334" t="s">
        <v>4054</v>
      </c>
      <c r="I666" s="334"/>
    </row>
    <row r="667">
      <c r="A667" s="321" t="s">
        <v>4059</v>
      </c>
      <c r="B667" s="321" t="s">
        <v>4060</v>
      </c>
      <c r="C667" s="321" t="s">
        <v>4061</v>
      </c>
      <c r="D667" s="321" t="s">
        <v>4062</v>
      </c>
      <c r="E667" s="321" t="s">
        <v>4063</v>
      </c>
      <c r="F667" s="321" t="s">
        <v>4059</v>
      </c>
      <c r="G667" s="321" t="s">
        <v>4059</v>
      </c>
      <c r="H667" s="335" t="s">
        <v>4059</v>
      </c>
      <c r="I667" s="335"/>
    </row>
    <row r="668">
      <c r="A668" s="321" t="s">
        <v>1094</v>
      </c>
      <c r="B668" s="321" t="s">
        <v>4064</v>
      </c>
      <c r="C668" s="321" t="s">
        <v>4065</v>
      </c>
      <c r="D668" s="321" t="s">
        <v>4066</v>
      </c>
      <c r="E668" s="321" t="s">
        <v>4067</v>
      </c>
      <c r="F668" s="321" t="s">
        <v>1094</v>
      </c>
      <c r="G668" s="321" t="s">
        <v>1094</v>
      </c>
      <c r="H668" s="334" t="s">
        <v>1094</v>
      </c>
      <c r="I668" s="334"/>
    </row>
    <row r="669">
      <c r="A669" s="321" t="s">
        <v>4068</v>
      </c>
      <c r="B669" s="321" t="s">
        <v>4069</v>
      </c>
      <c r="C669" s="321" t="s">
        <v>4070</v>
      </c>
      <c r="D669" s="321" t="s">
        <v>4071</v>
      </c>
      <c r="E669" s="321" t="s">
        <v>4072</v>
      </c>
      <c r="F669" s="321" t="s">
        <v>4068</v>
      </c>
      <c r="G669" s="321" t="s">
        <v>4068</v>
      </c>
      <c r="H669" s="335" t="s">
        <v>4068</v>
      </c>
      <c r="I669" s="335"/>
    </row>
    <row r="670">
      <c r="A670" s="321" t="s">
        <v>4073</v>
      </c>
      <c r="B670" s="321" t="s">
        <v>4074</v>
      </c>
      <c r="C670" s="321" t="s">
        <v>4075</v>
      </c>
      <c r="D670" s="321" t="s">
        <v>4076</v>
      </c>
      <c r="E670" s="321" t="s">
        <v>4077</v>
      </c>
      <c r="F670" s="321" t="s">
        <v>4073</v>
      </c>
      <c r="G670" s="321" t="s">
        <v>4073</v>
      </c>
      <c r="H670" s="334" t="s">
        <v>4073</v>
      </c>
      <c r="I670" s="334"/>
    </row>
    <row r="671">
      <c r="A671" s="321" t="s">
        <v>4078</v>
      </c>
      <c r="B671" s="321" t="s">
        <v>4079</v>
      </c>
      <c r="C671" s="321" t="s">
        <v>4080</v>
      </c>
      <c r="D671" s="321" t="s">
        <v>4081</v>
      </c>
      <c r="E671" s="321" t="s">
        <v>4082</v>
      </c>
      <c r="F671" s="321" t="s">
        <v>4078</v>
      </c>
      <c r="G671" s="321" t="s">
        <v>4078</v>
      </c>
      <c r="H671" s="335" t="s">
        <v>4078</v>
      </c>
      <c r="I671" s="335"/>
    </row>
    <row r="672">
      <c r="A672" s="321" t="s">
        <v>4083</v>
      </c>
      <c r="B672" s="321" t="s">
        <v>4084</v>
      </c>
      <c r="C672" s="321" t="s">
        <v>4085</v>
      </c>
      <c r="D672" s="321" t="s">
        <v>4086</v>
      </c>
      <c r="E672" s="321" t="s">
        <v>4087</v>
      </c>
      <c r="F672" s="321" t="s">
        <v>4083</v>
      </c>
      <c r="G672" s="321" t="s">
        <v>4083</v>
      </c>
      <c r="H672" s="334" t="s">
        <v>4083</v>
      </c>
      <c r="I672" s="334"/>
    </row>
    <row r="673">
      <c r="A673" s="321" t="s">
        <v>1290</v>
      </c>
      <c r="B673" s="321" t="s">
        <v>4088</v>
      </c>
      <c r="C673" s="321" t="s">
        <v>4089</v>
      </c>
      <c r="D673" s="321" t="s">
        <v>4090</v>
      </c>
      <c r="E673" s="321" t="s">
        <v>4091</v>
      </c>
      <c r="F673" s="321" t="s">
        <v>1290</v>
      </c>
      <c r="G673" s="321" t="s">
        <v>1290</v>
      </c>
      <c r="H673" s="335" t="s">
        <v>1290</v>
      </c>
      <c r="I673" s="335"/>
    </row>
    <row r="674">
      <c r="A674" s="321" t="s">
        <v>1269</v>
      </c>
      <c r="B674" s="321" t="s">
        <v>4092</v>
      </c>
      <c r="C674" s="321" t="s">
        <v>4093</v>
      </c>
      <c r="D674" s="321" t="s">
        <v>4094</v>
      </c>
      <c r="E674" s="321" t="s">
        <v>4095</v>
      </c>
      <c r="F674" s="321" t="s">
        <v>1269</v>
      </c>
      <c r="G674" s="321" t="s">
        <v>1269</v>
      </c>
      <c r="H674" s="334" t="s">
        <v>1269</v>
      </c>
      <c r="I674" s="334"/>
    </row>
    <row r="675">
      <c r="A675" s="321" t="s">
        <v>4096</v>
      </c>
      <c r="B675" s="321" t="s">
        <v>4097</v>
      </c>
      <c r="C675" s="321" t="s">
        <v>4098</v>
      </c>
      <c r="D675" s="321" t="s">
        <v>4099</v>
      </c>
      <c r="E675" s="321" t="s">
        <v>4100</v>
      </c>
      <c r="F675" s="321" t="s">
        <v>4096</v>
      </c>
      <c r="G675" s="321" t="s">
        <v>4096</v>
      </c>
      <c r="H675" s="335" t="s">
        <v>4096</v>
      </c>
      <c r="I675" s="335"/>
    </row>
    <row r="676">
      <c r="A676" s="321" t="s">
        <v>4101</v>
      </c>
      <c r="B676" s="321" t="s">
        <v>4102</v>
      </c>
      <c r="C676" s="321" t="s">
        <v>4103</v>
      </c>
      <c r="D676" s="321" t="s">
        <v>4104</v>
      </c>
      <c r="E676" s="321" t="s">
        <v>4102</v>
      </c>
      <c r="F676" s="321" t="s">
        <v>4101</v>
      </c>
      <c r="G676" s="321" t="s">
        <v>4101</v>
      </c>
      <c r="H676" s="334" t="s">
        <v>4101</v>
      </c>
      <c r="I676" s="334"/>
    </row>
    <row r="677">
      <c r="A677" s="321" t="s">
        <v>4105</v>
      </c>
      <c r="B677" s="321" t="s">
        <v>4106</v>
      </c>
      <c r="C677" s="321" t="s">
        <v>4107</v>
      </c>
      <c r="D677" s="321" t="s">
        <v>4108</v>
      </c>
      <c r="E677" s="321" t="s">
        <v>4106</v>
      </c>
      <c r="F677" s="321" t="s">
        <v>4105</v>
      </c>
      <c r="G677" s="321" t="s">
        <v>4105</v>
      </c>
      <c r="H677" s="335" t="s">
        <v>4105</v>
      </c>
      <c r="I677" s="335"/>
    </row>
    <row r="678">
      <c r="A678" s="321" t="s">
        <v>4109</v>
      </c>
      <c r="B678" s="321" t="s">
        <v>4110</v>
      </c>
      <c r="C678" s="321" t="s">
        <v>4111</v>
      </c>
      <c r="D678" s="321" t="s">
        <v>4112</v>
      </c>
      <c r="E678" s="321" t="s">
        <v>4113</v>
      </c>
      <c r="F678" s="321" t="s">
        <v>4109</v>
      </c>
      <c r="G678" s="321" t="s">
        <v>4109</v>
      </c>
      <c r="H678" s="334" t="s">
        <v>4109</v>
      </c>
      <c r="I678" s="334"/>
    </row>
    <row r="679">
      <c r="A679" s="321" t="s">
        <v>4114</v>
      </c>
      <c r="B679" s="321" t="s">
        <v>4115</v>
      </c>
      <c r="C679" s="321" t="s">
        <v>4116</v>
      </c>
      <c r="D679" s="321" t="s">
        <v>4117</v>
      </c>
      <c r="E679" s="321" t="s">
        <v>4118</v>
      </c>
      <c r="F679" s="321" t="s">
        <v>4114</v>
      </c>
      <c r="G679" s="321" t="s">
        <v>4114</v>
      </c>
      <c r="H679" s="335" t="s">
        <v>4114</v>
      </c>
      <c r="I679" s="335"/>
    </row>
    <row r="680">
      <c r="A680" s="321" t="s">
        <v>4119</v>
      </c>
      <c r="B680" s="321" t="s">
        <v>4119</v>
      </c>
      <c r="C680" s="321" t="s">
        <v>4120</v>
      </c>
      <c r="D680" s="321" t="s">
        <v>4121</v>
      </c>
      <c r="E680" s="321" t="s">
        <v>4119</v>
      </c>
      <c r="F680" s="321" t="s">
        <v>4119</v>
      </c>
      <c r="G680" s="321" t="s">
        <v>4119</v>
      </c>
      <c r="H680" s="334" t="s">
        <v>4119</v>
      </c>
      <c r="I680" s="334"/>
    </row>
    <row r="681">
      <c r="A681" s="321" t="s">
        <v>4122</v>
      </c>
      <c r="B681" s="321" t="s">
        <v>4122</v>
      </c>
      <c r="C681" s="321" t="s">
        <v>4123</v>
      </c>
      <c r="D681" s="321" t="s">
        <v>4124</v>
      </c>
      <c r="E681" s="321" t="s">
        <v>4122</v>
      </c>
      <c r="F681" s="321" t="s">
        <v>4122</v>
      </c>
      <c r="G681" s="321" t="s">
        <v>4122</v>
      </c>
      <c r="H681" s="335" t="s">
        <v>4122</v>
      </c>
      <c r="I681" s="335"/>
    </row>
    <row r="682">
      <c r="A682" s="321" t="s">
        <v>4125</v>
      </c>
      <c r="B682" s="321" t="s">
        <v>4126</v>
      </c>
      <c r="C682" s="321" t="s">
        <v>4127</v>
      </c>
      <c r="D682" s="321" t="s">
        <v>4128</v>
      </c>
      <c r="E682" s="321" t="s">
        <v>4129</v>
      </c>
      <c r="F682" s="321" t="s">
        <v>4125</v>
      </c>
      <c r="G682" s="321" t="s">
        <v>4125</v>
      </c>
      <c r="H682" s="334" t="s">
        <v>4125</v>
      </c>
      <c r="I682" s="334"/>
    </row>
    <row r="683">
      <c r="A683" s="321" t="s">
        <v>4130</v>
      </c>
      <c r="B683" s="321" t="s">
        <v>4130</v>
      </c>
      <c r="C683" s="321" t="s">
        <v>4131</v>
      </c>
      <c r="D683" s="321" t="s">
        <v>4132</v>
      </c>
      <c r="E683" s="321" t="s">
        <v>4130</v>
      </c>
      <c r="F683" s="321" t="s">
        <v>4130</v>
      </c>
      <c r="G683" s="321" t="s">
        <v>4130</v>
      </c>
      <c r="H683" s="335" t="s">
        <v>4130</v>
      </c>
      <c r="I683" s="335"/>
    </row>
    <row r="684">
      <c r="A684" s="321" t="s">
        <v>4133</v>
      </c>
      <c r="B684" s="321" t="s">
        <v>4133</v>
      </c>
      <c r="C684" s="321" t="s">
        <v>4134</v>
      </c>
      <c r="D684" s="321" t="s">
        <v>4135</v>
      </c>
      <c r="E684" s="321" t="s">
        <v>4133</v>
      </c>
      <c r="F684" s="321" t="s">
        <v>4133</v>
      </c>
      <c r="G684" s="321" t="s">
        <v>4133</v>
      </c>
      <c r="H684" s="334" t="s">
        <v>4133</v>
      </c>
      <c r="I684" s="334"/>
    </row>
    <row r="685">
      <c r="A685" s="321" t="s">
        <v>4136</v>
      </c>
      <c r="B685" s="321" t="s">
        <v>4136</v>
      </c>
      <c r="C685" s="321" t="s">
        <v>4137</v>
      </c>
      <c r="D685" s="321" t="s">
        <v>4138</v>
      </c>
      <c r="E685" s="321" t="s">
        <v>4136</v>
      </c>
      <c r="F685" s="321" t="s">
        <v>4136</v>
      </c>
      <c r="G685" s="321" t="s">
        <v>4136</v>
      </c>
      <c r="H685" s="335" t="s">
        <v>4136</v>
      </c>
      <c r="I685" s="335"/>
    </row>
    <row r="686">
      <c r="A686" s="321" t="s">
        <v>4139</v>
      </c>
      <c r="B686" s="321" t="s">
        <v>4139</v>
      </c>
      <c r="C686" s="321" t="s">
        <v>4140</v>
      </c>
      <c r="D686" s="321" t="s">
        <v>4141</v>
      </c>
      <c r="E686" s="321" t="s">
        <v>4139</v>
      </c>
      <c r="F686" s="321" t="s">
        <v>4139</v>
      </c>
      <c r="G686" s="321" t="s">
        <v>4139</v>
      </c>
      <c r="H686" s="334" t="s">
        <v>4139</v>
      </c>
      <c r="I686" s="334"/>
    </row>
    <row r="687">
      <c r="A687" s="321" t="s">
        <v>4142</v>
      </c>
      <c r="B687" s="321" t="s">
        <v>4143</v>
      </c>
      <c r="C687" s="321" t="s">
        <v>4144</v>
      </c>
      <c r="D687" s="321" t="s">
        <v>4145</v>
      </c>
      <c r="E687" s="321" t="s">
        <v>4146</v>
      </c>
      <c r="F687" s="321" t="s">
        <v>4142</v>
      </c>
      <c r="G687" s="321" t="s">
        <v>4142</v>
      </c>
      <c r="H687" s="335" t="s">
        <v>4142</v>
      </c>
      <c r="I687" s="335"/>
    </row>
    <row r="688">
      <c r="A688" s="321" t="s">
        <v>4147</v>
      </c>
      <c r="B688" s="321" t="s">
        <v>4148</v>
      </c>
      <c r="C688" s="321" t="s">
        <v>4149</v>
      </c>
      <c r="D688" s="321" t="s">
        <v>4150</v>
      </c>
      <c r="E688" s="321" t="s">
        <v>4151</v>
      </c>
      <c r="F688" s="321" t="s">
        <v>4147</v>
      </c>
      <c r="G688" s="321" t="s">
        <v>4147</v>
      </c>
      <c r="H688" s="334" t="s">
        <v>4147</v>
      </c>
      <c r="I688" s="334"/>
    </row>
    <row r="689">
      <c r="A689" s="321" t="s">
        <v>4152</v>
      </c>
      <c r="B689" s="321" t="s">
        <v>4153</v>
      </c>
      <c r="C689" s="321" t="s">
        <v>4154</v>
      </c>
      <c r="D689" s="321" t="s">
        <v>4155</v>
      </c>
      <c r="E689" s="321" t="s">
        <v>4156</v>
      </c>
      <c r="F689" s="321" t="s">
        <v>4152</v>
      </c>
      <c r="G689" s="321" t="s">
        <v>4152</v>
      </c>
      <c r="H689" s="335" t="s">
        <v>4152</v>
      </c>
      <c r="I689" s="335"/>
    </row>
    <row r="690">
      <c r="A690" s="321" t="s">
        <v>4157</v>
      </c>
      <c r="B690" s="321" t="s">
        <v>4158</v>
      </c>
      <c r="C690" s="321" t="s">
        <v>4159</v>
      </c>
      <c r="D690" s="321" t="s">
        <v>4160</v>
      </c>
      <c r="E690" s="321" t="s">
        <v>4161</v>
      </c>
      <c r="F690" s="321" t="s">
        <v>4157</v>
      </c>
      <c r="G690" s="321" t="s">
        <v>4157</v>
      </c>
      <c r="H690" s="334" t="s">
        <v>4157</v>
      </c>
      <c r="I690" s="334"/>
    </row>
    <row r="691">
      <c r="A691" s="321" t="s">
        <v>4162</v>
      </c>
      <c r="B691" s="321" t="s">
        <v>4163</v>
      </c>
      <c r="C691" s="321" t="s">
        <v>4164</v>
      </c>
      <c r="D691" s="321" t="s">
        <v>4165</v>
      </c>
      <c r="E691" s="321" t="s">
        <v>4166</v>
      </c>
      <c r="F691" s="321" t="s">
        <v>4162</v>
      </c>
      <c r="G691" s="321" t="s">
        <v>4162</v>
      </c>
      <c r="H691" s="335" t="s">
        <v>4162</v>
      </c>
      <c r="I691" s="335"/>
    </row>
    <row r="692">
      <c r="A692" s="321" t="s">
        <v>4167</v>
      </c>
      <c r="B692" s="321" t="s">
        <v>4168</v>
      </c>
      <c r="C692" s="321" t="s">
        <v>4169</v>
      </c>
      <c r="D692" s="321" t="s">
        <v>4170</v>
      </c>
      <c r="E692" s="321" t="s">
        <v>4171</v>
      </c>
      <c r="F692" s="321" t="s">
        <v>4167</v>
      </c>
      <c r="G692" s="321" t="s">
        <v>4167</v>
      </c>
      <c r="H692" s="334" t="s">
        <v>4167</v>
      </c>
      <c r="I692" s="334"/>
    </row>
    <row r="693">
      <c r="A693" s="321" t="s">
        <v>1130</v>
      </c>
      <c r="B693" s="321" t="s">
        <v>4172</v>
      </c>
      <c r="C693" s="321" t="s">
        <v>4173</v>
      </c>
      <c r="D693" s="321" t="s">
        <v>4174</v>
      </c>
      <c r="E693" s="321" t="s">
        <v>4175</v>
      </c>
      <c r="F693" s="321" t="s">
        <v>1130</v>
      </c>
      <c r="G693" s="321" t="s">
        <v>1130</v>
      </c>
      <c r="H693" s="335" t="s">
        <v>1130</v>
      </c>
      <c r="I693" s="335"/>
    </row>
    <row r="694">
      <c r="A694" s="321" t="s">
        <v>1131</v>
      </c>
      <c r="B694" s="321" t="s">
        <v>4176</v>
      </c>
      <c r="C694" s="321" t="s">
        <v>4177</v>
      </c>
      <c r="D694" s="321" t="s">
        <v>4178</v>
      </c>
      <c r="E694" s="321" t="s">
        <v>4179</v>
      </c>
      <c r="F694" s="321" t="s">
        <v>1131</v>
      </c>
      <c r="G694" s="321" t="s">
        <v>1131</v>
      </c>
      <c r="H694" s="334" t="s">
        <v>1131</v>
      </c>
      <c r="I694" s="334"/>
    </row>
    <row r="695">
      <c r="A695" s="321" t="s">
        <v>1132</v>
      </c>
      <c r="B695" s="321" t="s">
        <v>4180</v>
      </c>
      <c r="C695" s="321" t="s">
        <v>4181</v>
      </c>
      <c r="D695" s="321" t="s">
        <v>4182</v>
      </c>
      <c r="E695" s="321" t="s">
        <v>4183</v>
      </c>
      <c r="F695" s="321" t="s">
        <v>1132</v>
      </c>
      <c r="G695" s="321" t="s">
        <v>1132</v>
      </c>
      <c r="H695" s="335" t="s">
        <v>1132</v>
      </c>
      <c r="I695" s="335"/>
    </row>
    <row r="696">
      <c r="A696" s="321" t="s">
        <v>4184</v>
      </c>
      <c r="B696" s="321" t="s">
        <v>4185</v>
      </c>
      <c r="C696" s="321" t="s">
        <v>4186</v>
      </c>
      <c r="D696" s="321" t="s">
        <v>4187</v>
      </c>
      <c r="E696" s="321" t="s">
        <v>4188</v>
      </c>
      <c r="F696" s="321" t="s">
        <v>4184</v>
      </c>
      <c r="G696" s="321" t="s">
        <v>4184</v>
      </c>
      <c r="H696" s="334" t="s">
        <v>4184</v>
      </c>
      <c r="I696" s="334"/>
    </row>
    <row r="697">
      <c r="A697" s="321" t="s">
        <v>4189</v>
      </c>
      <c r="B697" s="321" t="s">
        <v>4190</v>
      </c>
      <c r="C697" s="321" t="s">
        <v>4191</v>
      </c>
      <c r="D697" s="321" t="s">
        <v>4192</v>
      </c>
      <c r="E697" s="321" t="s">
        <v>4193</v>
      </c>
      <c r="F697" s="321" t="s">
        <v>4189</v>
      </c>
      <c r="G697" s="321" t="s">
        <v>4189</v>
      </c>
      <c r="H697" s="335" t="s">
        <v>4189</v>
      </c>
      <c r="I697" s="335"/>
    </row>
    <row r="698">
      <c r="A698" s="321" t="s">
        <v>4194</v>
      </c>
      <c r="B698" s="321" t="s">
        <v>4195</v>
      </c>
      <c r="C698" s="321" t="s">
        <v>4196</v>
      </c>
      <c r="D698" s="321" t="s">
        <v>4197</v>
      </c>
      <c r="E698" s="321" t="s">
        <v>4198</v>
      </c>
      <c r="F698" s="321" t="s">
        <v>4194</v>
      </c>
      <c r="G698" s="321" t="s">
        <v>4194</v>
      </c>
      <c r="H698" s="334" t="s">
        <v>4194</v>
      </c>
      <c r="I698" s="334"/>
    </row>
    <row r="699">
      <c r="A699" s="321" t="s">
        <v>4199</v>
      </c>
      <c r="B699" s="321" t="s">
        <v>4200</v>
      </c>
      <c r="C699" s="321" t="s">
        <v>4201</v>
      </c>
      <c r="D699" s="321" t="s">
        <v>4202</v>
      </c>
      <c r="E699" s="321" t="s">
        <v>4203</v>
      </c>
      <c r="F699" s="321" t="s">
        <v>4199</v>
      </c>
      <c r="G699" s="321" t="s">
        <v>4199</v>
      </c>
      <c r="H699" s="335" t="s">
        <v>4199</v>
      </c>
      <c r="I699" s="335"/>
    </row>
    <row r="700">
      <c r="A700" s="321" t="s">
        <v>4204</v>
      </c>
      <c r="B700" s="321" t="s">
        <v>4205</v>
      </c>
      <c r="C700" s="321" t="s">
        <v>4206</v>
      </c>
      <c r="D700" s="321" t="s">
        <v>4207</v>
      </c>
      <c r="E700" s="321" t="s">
        <v>4208</v>
      </c>
      <c r="F700" s="321" t="s">
        <v>4204</v>
      </c>
      <c r="G700" s="321" t="s">
        <v>4204</v>
      </c>
      <c r="H700" s="334" t="s">
        <v>4204</v>
      </c>
      <c r="I700" s="334"/>
    </row>
    <row r="701">
      <c r="A701" s="321" t="s">
        <v>4209</v>
      </c>
      <c r="B701" s="321" t="s">
        <v>4210</v>
      </c>
      <c r="C701" s="321" t="s">
        <v>4211</v>
      </c>
      <c r="D701" s="321" t="s">
        <v>4212</v>
      </c>
      <c r="E701" s="321" t="s">
        <v>4213</v>
      </c>
      <c r="F701" s="321" t="s">
        <v>4209</v>
      </c>
      <c r="G701" s="321" t="s">
        <v>4209</v>
      </c>
      <c r="H701" s="335" t="s">
        <v>4209</v>
      </c>
      <c r="I701" s="335"/>
    </row>
    <row r="702">
      <c r="A702" s="321" t="s">
        <v>4214</v>
      </c>
      <c r="B702" s="321" t="s">
        <v>4215</v>
      </c>
      <c r="C702" s="321" t="s">
        <v>4216</v>
      </c>
      <c r="D702" s="321" t="s">
        <v>4217</v>
      </c>
      <c r="E702" s="321" t="s">
        <v>4218</v>
      </c>
      <c r="F702" s="321" t="s">
        <v>4214</v>
      </c>
      <c r="G702" s="321" t="s">
        <v>4214</v>
      </c>
      <c r="H702" s="334" t="s">
        <v>4214</v>
      </c>
      <c r="I702" s="334"/>
    </row>
    <row r="703">
      <c r="A703" s="321" t="s">
        <v>4219</v>
      </c>
      <c r="B703" s="321" t="s">
        <v>4220</v>
      </c>
      <c r="C703" s="321" t="s">
        <v>4221</v>
      </c>
      <c r="D703" s="321" t="s">
        <v>4222</v>
      </c>
      <c r="E703" s="321" t="s">
        <v>4219</v>
      </c>
      <c r="F703" s="321" t="s">
        <v>4219</v>
      </c>
      <c r="G703" s="321" t="s">
        <v>4219</v>
      </c>
      <c r="H703" s="335" t="s">
        <v>4219</v>
      </c>
      <c r="I703" s="335"/>
    </row>
    <row r="704">
      <c r="A704" s="321" t="s">
        <v>4223</v>
      </c>
      <c r="B704" s="321" t="s">
        <v>4224</v>
      </c>
      <c r="C704" s="321" t="s">
        <v>4225</v>
      </c>
      <c r="D704" s="321" t="s">
        <v>4226</v>
      </c>
      <c r="E704" s="321" t="s">
        <v>4227</v>
      </c>
      <c r="F704" s="321" t="s">
        <v>4223</v>
      </c>
      <c r="G704" s="321" t="s">
        <v>4223</v>
      </c>
      <c r="H704" s="334" t="s">
        <v>4223</v>
      </c>
      <c r="I704" s="334"/>
    </row>
    <row r="705">
      <c r="A705" s="321" t="s">
        <v>4228</v>
      </c>
      <c r="B705" s="321" t="s">
        <v>4229</v>
      </c>
      <c r="C705" s="321" t="s">
        <v>4230</v>
      </c>
      <c r="D705" s="321" t="s">
        <v>4231</v>
      </c>
      <c r="E705" s="321" t="s">
        <v>4232</v>
      </c>
      <c r="F705" s="321" t="s">
        <v>4228</v>
      </c>
      <c r="G705" s="321" t="s">
        <v>4228</v>
      </c>
      <c r="H705" s="335" t="s">
        <v>4228</v>
      </c>
      <c r="I705" s="335"/>
    </row>
    <row r="706">
      <c r="A706" s="321" t="s">
        <v>1302</v>
      </c>
      <c r="B706" s="321" t="s">
        <v>1302</v>
      </c>
      <c r="C706" s="321" t="s">
        <v>4233</v>
      </c>
      <c r="D706" s="321" t="s">
        <v>4234</v>
      </c>
      <c r="E706" s="321" t="s">
        <v>1302</v>
      </c>
      <c r="F706" s="321" t="s">
        <v>1302</v>
      </c>
      <c r="G706" s="321" t="s">
        <v>1302</v>
      </c>
      <c r="H706" s="334" t="s">
        <v>1302</v>
      </c>
      <c r="I706" s="334"/>
    </row>
    <row r="707">
      <c r="A707" s="321" t="s">
        <v>1303</v>
      </c>
      <c r="B707" s="321" t="s">
        <v>1303</v>
      </c>
      <c r="C707" s="321" t="s">
        <v>4235</v>
      </c>
      <c r="D707" s="321" t="s">
        <v>4236</v>
      </c>
      <c r="E707" s="321" t="s">
        <v>1303</v>
      </c>
      <c r="F707" s="321" t="s">
        <v>1303</v>
      </c>
      <c r="G707" s="321" t="s">
        <v>1303</v>
      </c>
      <c r="H707" s="335" t="s">
        <v>1303</v>
      </c>
      <c r="I707" s="335"/>
    </row>
    <row r="708">
      <c r="A708" s="321" t="s">
        <v>1304</v>
      </c>
      <c r="B708" s="321" t="s">
        <v>1304</v>
      </c>
      <c r="C708" s="321" t="s">
        <v>4237</v>
      </c>
      <c r="D708" s="321" t="s">
        <v>4238</v>
      </c>
      <c r="E708" s="321" t="s">
        <v>1304</v>
      </c>
      <c r="F708" s="321" t="s">
        <v>1304</v>
      </c>
      <c r="G708" s="321" t="s">
        <v>1304</v>
      </c>
      <c r="H708" s="334" t="s">
        <v>1304</v>
      </c>
      <c r="I708" s="334"/>
    </row>
    <row r="709">
      <c r="A709" s="321" t="s">
        <v>1081</v>
      </c>
      <c r="B709" s="321" t="s">
        <v>4239</v>
      </c>
      <c r="C709" s="321" t="s">
        <v>4240</v>
      </c>
      <c r="D709" s="321" t="s">
        <v>4241</v>
      </c>
      <c r="E709" s="321" t="s">
        <v>4242</v>
      </c>
      <c r="F709" s="321" t="s">
        <v>1081</v>
      </c>
      <c r="G709" s="321" t="s">
        <v>1081</v>
      </c>
      <c r="H709" s="335" t="s">
        <v>1081</v>
      </c>
      <c r="I709" s="335"/>
    </row>
    <row r="710">
      <c r="A710" s="321" t="s">
        <v>1082</v>
      </c>
      <c r="B710" s="321" t="s">
        <v>4243</v>
      </c>
      <c r="C710" s="321" t="s">
        <v>4244</v>
      </c>
      <c r="D710" s="321" t="s">
        <v>4245</v>
      </c>
      <c r="E710" s="321" t="s">
        <v>4246</v>
      </c>
      <c r="F710" s="321" t="s">
        <v>1082</v>
      </c>
      <c r="G710" s="321" t="s">
        <v>1082</v>
      </c>
      <c r="H710" s="334" t="s">
        <v>1082</v>
      </c>
      <c r="I710" s="334"/>
    </row>
    <row r="711">
      <c r="A711" s="321" t="s">
        <v>4247</v>
      </c>
      <c r="B711" s="321" t="s">
        <v>4248</v>
      </c>
      <c r="C711" s="321" t="s">
        <v>4249</v>
      </c>
      <c r="D711" s="321" t="s">
        <v>4250</v>
      </c>
      <c r="E711" s="321" t="s">
        <v>4251</v>
      </c>
      <c r="F711" s="321" t="s">
        <v>4247</v>
      </c>
      <c r="G711" s="321" t="s">
        <v>4247</v>
      </c>
      <c r="H711" s="335" t="s">
        <v>4247</v>
      </c>
      <c r="I711" s="335"/>
    </row>
    <row r="712">
      <c r="A712" s="321" t="s">
        <v>4252</v>
      </c>
      <c r="B712" s="321" t="s">
        <v>4253</v>
      </c>
      <c r="C712" s="321" t="s">
        <v>4254</v>
      </c>
      <c r="D712" s="321" t="s">
        <v>4255</v>
      </c>
      <c r="E712" s="321" t="s">
        <v>4256</v>
      </c>
      <c r="F712" s="321" t="s">
        <v>4252</v>
      </c>
      <c r="G712" s="321" t="s">
        <v>4252</v>
      </c>
      <c r="H712" s="334" t="s">
        <v>4252</v>
      </c>
      <c r="I712" s="334"/>
    </row>
    <row r="713">
      <c r="A713" s="321" t="s">
        <v>4257</v>
      </c>
      <c r="B713" s="321" t="s">
        <v>4258</v>
      </c>
      <c r="C713" s="321" t="s">
        <v>4259</v>
      </c>
      <c r="D713" s="321" t="s">
        <v>4260</v>
      </c>
      <c r="E713" s="321" t="s">
        <v>4261</v>
      </c>
      <c r="F713" s="321" t="s">
        <v>4257</v>
      </c>
      <c r="G713" s="321" t="s">
        <v>4257</v>
      </c>
      <c r="H713" s="335" t="s">
        <v>4257</v>
      </c>
      <c r="I713" s="335"/>
    </row>
    <row r="714">
      <c r="A714" s="321" t="s">
        <v>4262</v>
      </c>
      <c r="B714" s="321" t="s">
        <v>4263</v>
      </c>
      <c r="C714" s="321" t="s">
        <v>4264</v>
      </c>
      <c r="D714" s="321" t="s">
        <v>4265</v>
      </c>
      <c r="E714" s="321" t="s">
        <v>4266</v>
      </c>
      <c r="F714" s="321" t="s">
        <v>4262</v>
      </c>
      <c r="G714" s="321" t="s">
        <v>4262</v>
      </c>
      <c r="H714" s="334" t="s">
        <v>4262</v>
      </c>
      <c r="I714" s="334"/>
    </row>
    <row r="715">
      <c r="A715" s="321" t="s">
        <v>4267</v>
      </c>
      <c r="B715" s="321" t="s">
        <v>4268</v>
      </c>
      <c r="C715" s="321" t="s">
        <v>4269</v>
      </c>
      <c r="D715" s="321" t="s">
        <v>4270</v>
      </c>
      <c r="E715" s="321" t="s">
        <v>4271</v>
      </c>
      <c r="F715" s="321" t="s">
        <v>4267</v>
      </c>
      <c r="G715" s="321" t="s">
        <v>4267</v>
      </c>
      <c r="H715" s="335" t="s">
        <v>4267</v>
      </c>
      <c r="I715" s="335"/>
    </row>
    <row r="716">
      <c r="A716" s="321" t="s">
        <v>4272</v>
      </c>
      <c r="B716" s="321" t="s">
        <v>4273</v>
      </c>
      <c r="C716" s="321" t="s">
        <v>4274</v>
      </c>
      <c r="D716" s="321" t="s">
        <v>4275</v>
      </c>
      <c r="E716" s="321" t="s">
        <v>4276</v>
      </c>
      <c r="F716" s="321" t="s">
        <v>4272</v>
      </c>
      <c r="G716" s="321" t="s">
        <v>4272</v>
      </c>
      <c r="H716" s="334" t="s">
        <v>4272</v>
      </c>
      <c r="I716" s="334"/>
    </row>
    <row r="717">
      <c r="A717" s="321" t="s">
        <v>4277</v>
      </c>
      <c r="B717" s="321" t="s">
        <v>4278</v>
      </c>
      <c r="C717" s="321" t="s">
        <v>4279</v>
      </c>
      <c r="D717" s="321" t="s">
        <v>4280</v>
      </c>
      <c r="E717" s="321" t="s">
        <v>4281</v>
      </c>
      <c r="F717" s="321" t="s">
        <v>4277</v>
      </c>
      <c r="G717" s="321" t="s">
        <v>4277</v>
      </c>
      <c r="H717" s="335" t="s">
        <v>4277</v>
      </c>
      <c r="I717" s="335"/>
    </row>
    <row r="718">
      <c r="A718" s="321" t="s">
        <v>4282</v>
      </c>
      <c r="B718" s="321" t="s">
        <v>4283</v>
      </c>
      <c r="C718" s="321" t="s">
        <v>4284</v>
      </c>
      <c r="D718" s="321" t="s">
        <v>4285</v>
      </c>
      <c r="E718" s="321" t="s">
        <v>4286</v>
      </c>
      <c r="F718" s="321" t="s">
        <v>4282</v>
      </c>
      <c r="G718" s="321" t="s">
        <v>4282</v>
      </c>
      <c r="H718" s="334" t="s">
        <v>4282</v>
      </c>
      <c r="I718" s="334"/>
    </row>
    <row r="719">
      <c r="A719" s="321" t="s">
        <v>4287</v>
      </c>
      <c r="B719" s="321" t="s">
        <v>4288</v>
      </c>
      <c r="C719" s="321" t="s">
        <v>4289</v>
      </c>
      <c r="D719" s="321" t="s">
        <v>4290</v>
      </c>
      <c r="E719" s="321" t="s">
        <v>4291</v>
      </c>
      <c r="F719" s="321" t="s">
        <v>4287</v>
      </c>
      <c r="G719" s="321" t="s">
        <v>4287</v>
      </c>
      <c r="H719" s="335" t="s">
        <v>4287</v>
      </c>
      <c r="I719" s="335"/>
    </row>
    <row r="720">
      <c r="A720" s="321" t="s">
        <v>4292</v>
      </c>
      <c r="B720" s="321" t="s">
        <v>4293</v>
      </c>
      <c r="C720" s="321" t="s">
        <v>4294</v>
      </c>
      <c r="D720" s="321" t="s">
        <v>4295</v>
      </c>
      <c r="E720" s="321" t="s">
        <v>4296</v>
      </c>
      <c r="F720" s="321" t="s">
        <v>4292</v>
      </c>
      <c r="G720" s="321" t="s">
        <v>4292</v>
      </c>
      <c r="H720" s="334" t="s">
        <v>4292</v>
      </c>
      <c r="I720" s="334"/>
    </row>
    <row r="721">
      <c r="A721" s="321" t="s">
        <v>1305</v>
      </c>
      <c r="B721" s="321" t="s">
        <v>4297</v>
      </c>
      <c r="C721" s="321" t="s">
        <v>4298</v>
      </c>
      <c r="D721" s="321" t="s">
        <v>4299</v>
      </c>
      <c r="E721" s="321" t="s">
        <v>4300</v>
      </c>
      <c r="F721" s="321" t="s">
        <v>1305</v>
      </c>
      <c r="G721" s="321" t="s">
        <v>1305</v>
      </c>
      <c r="H721" s="335" t="s">
        <v>1305</v>
      </c>
      <c r="I721" s="335"/>
    </row>
    <row r="722">
      <c r="A722" s="321" t="s">
        <v>1306</v>
      </c>
      <c r="B722" s="321" t="s">
        <v>4301</v>
      </c>
      <c r="C722" s="321" t="s">
        <v>4302</v>
      </c>
      <c r="D722" s="321" t="s">
        <v>4303</v>
      </c>
      <c r="E722" s="321" t="s">
        <v>4304</v>
      </c>
      <c r="F722" s="321" t="s">
        <v>1306</v>
      </c>
      <c r="G722" s="321" t="s">
        <v>1306</v>
      </c>
      <c r="H722" s="334" t="s">
        <v>1306</v>
      </c>
      <c r="I722" s="334"/>
    </row>
    <row r="723">
      <c r="A723" s="321" t="s">
        <v>4305</v>
      </c>
      <c r="B723" s="321" t="s">
        <v>4306</v>
      </c>
      <c r="C723" s="321" t="s">
        <v>4307</v>
      </c>
      <c r="D723" s="321" t="s">
        <v>4308</v>
      </c>
      <c r="E723" s="321" t="s">
        <v>4309</v>
      </c>
      <c r="F723" s="321" t="s">
        <v>4305</v>
      </c>
      <c r="G723" s="321" t="s">
        <v>4305</v>
      </c>
      <c r="H723" s="335" t="s">
        <v>4305</v>
      </c>
      <c r="I723" s="335"/>
    </row>
    <row r="724">
      <c r="A724" s="321" t="s">
        <v>4310</v>
      </c>
      <c r="B724" s="321" t="s">
        <v>4311</v>
      </c>
      <c r="C724" s="321" t="s">
        <v>4312</v>
      </c>
      <c r="D724" s="321" t="s">
        <v>4313</v>
      </c>
      <c r="E724" s="321" t="s">
        <v>4314</v>
      </c>
      <c r="F724" s="321" t="s">
        <v>4310</v>
      </c>
      <c r="G724" s="321" t="s">
        <v>4310</v>
      </c>
      <c r="H724" s="334" t="s">
        <v>4310</v>
      </c>
      <c r="I724" s="334"/>
    </row>
    <row r="725">
      <c r="A725" s="321" t="s">
        <v>4315</v>
      </c>
      <c r="B725" s="321" t="s">
        <v>4316</v>
      </c>
      <c r="C725" s="321" t="s">
        <v>4317</v>
      </c>
      <c r="D725" s="321" t="s">
        <v>4318</v>
      </c>
      <c r="E725" s="321" t="s">
        <v>4319</v>
      </c>
      <c r="F725" s="321" t="s">
        <v>4315</v>
      </c>
      <c r="G725" s="321" t="s">
        <v>4315</v>
      </c>
      <c r="H725" s="335" t="s">
        <v>4315</v>
      </c>
      <c r="I725" s="335"/>
    </row>
    <row r="726">
      <c r="A726" s="321" t="s">
        <v>4320</v>
      </c>
      <c r="B726" s="321" t="s">
        <v>4321</v>
      </c>
      <c r="C726" s="321" t="s">
        <v>4322</v>
      </c>
      <c r="D726" s="321" t="s">
        <v>4323</v>
      </c>
      <c r="E726" s="321" t="s">
        <v>4324</v>
      </c>
      <c r="F726" s="321" t="s">
        <v>4320</v>
      </c>
      <c r="G726" s="321" t="s">
        <v>4320</v>
      </c>
      <c r="H726" s="334" t="s">
        <v>4320</v>
      </c>
      <c r="I726" s="334"/>
    </row>
    <row r="727">
      <c r="A727" s="321" t="s">
        <v>4325</v>
      </c>
      <c r="B727" s="321" t="s">
        <v>4326</v>
      </c>
      <c r="C727" s="321" t="s">
        <v>4327</v>
      </c>
      <c r="D727" s="321" t="s">
        <v>4328</v>
      </c>
      <c r="E727" s="321" t="s">
        <v>4329</v>
      </c>
      <c r="F727" s="321" t="s">
        <v>4325</v>
      </c>
      <c r="G727" s="321" t="s">
        <v>4325</v>
      </c>
      <c r="H727" s="335" t="s">
        <v>4325</v>
      </c>
      <c r="I727" s="335"/>
    </row>
    <row r="728">
      <c r="A728" s="321" t="s">
        <v>4330</v>
      </c>
      <c r="B728" s="321" t="s">
        <v>4331</v>
      </c>
      <c r="C728" s="321" t="s">
        <v>4332</v>
      </c>
      <c r="D728" s="321" t="s">
        <v>4333</v>
      </c>
      <c r="E728" s="321" t="s">
        <v>4334</v>
      </c>
      <c r="F728" s="321" t="s">
        <v>4330</v>
      </c>
      <c r="G728" s="321" t="s">
        <v>4330</v>
      </c>
      <c r="H728" s="334" t="s">
        <v>4330</v>
      </c>
      <c r="I728" s="334"/>
    </row>
    <row r="729">
      <c r="A729" s="321" t="s">
        <v>4335</v>
      </c>
      <c r="B729" s="321" t="s">
        <v>4336</v>
      </c>
      <c r="C729" s="321" t="s">
        <v>4337</v>
      </c>
      <c r="D729" s="321" t="s">
        <v>4338</v>
      </c>
      <c r="E729" s="321" t="s">
        <v>4339</v>
      </c>
      <c r="F729" s="321" t="s">
        <v>4335</v>
      </c>
      <c r="G729" s="321" t="s">
        <v>4335</v>
      </c>
      <c r="H729" s="335" t="s">
        <v>4335</v>
      </c>
      <c r="I729" s="335"/>
    </row>
    <row r="730">
      <c r="A730" s="321" t="s">
        <v>4340</v>
      </c>
      <c r="B730" s="321" t="s">
        <v>4341</v>
      </c>
      <c r="C730" s="321" t="s">
        <v>4342</v>
      </c>
      <c r="D730" s="321" t="s">
        <v>4343</v>
      </c>
      <c r="E730" s="321" t="s">
        <v>4344</v>
      </c>
      <c r="F730" s="321" t="s">
        <v>4340</v>
      </c>
      <c r="G730" s="321" t="s">
        <v>4340</v>
      </c>
      <c r="H730" s="334" t="s">
        <v>4340</v>
      </c>
      <c r="I730" s="334"/>
    </row>
    <row r="731">
      <c r="A731" s="321" t="s">
        <v>1151</v>
      </c>
      <c r="B731" s="321" t="s">
        <v>4345</v>
      </c>
      <c r="C731" s="321" t="s">
        <v>4346</v>
      </c>
      <c r="D731" s="321" t="s">
        <v>4347</v>
      </c>
      <c r="E731" s="321" t="s">
        <v>4348</v>
      </c>
      <c r="F731" s="321" t="s">
        <v>1151</v>
      </c>
      <c r="G731" s="321" t="s">
        <v>1151</v>
      </c>
      <c r="H731" s="335" t="s">
        <v>1151</v>
      </c>
      <c r="I731" s="335"/>
    </row>
    <row r="732">
      <c r="A732" s="321" t="s">
        <v>1152</v>
      </c>
      <c r="B732" s="321" t="s">
        <v>4349</v>
      </c>
      <c r="C732" s="321" t="s">
        <v>4350</v>
      </c>
      <c r="D732" s="321" t="s">
        <v>4351</v>
      </c>
      <c r="E732" s="321" t="s">
        <v>4352</v>
      </c>
      <c r="F732" s="321" t="s">
        <v>1152</v>
      </c>
      <c r="G732" s="321" t="s">
        <v>1152</v>
      </c>
      <c r="H732" s="334" t="s">
        <v>1152</v>
      </c>
      <c r="I732" s="334"/>
    </row>
    <row r="733">
      <c r="A733" s="321" t="s">
        <v>4353</v>
      </c>
      <c r="B733" s="321" t="s">
        <v>4354</v>
      </c>
      <c r="C733" s="321" t="s">
        <v>4355</v>
      </c>
      <c r="D733" s="321" t="s">
        <v>4356</v>
      </c>
      <c r="E733" s="321" t="s">
        <v>4357</v>
      </c>
      <c r="F733" s="321" t="s">
        <v>4353</v>
      </c>
      <c r="G733" s="321" t="s">
        <v>4353</v>
      </c>
      <c r="H733" s="335" t="s">
        <v>4353</v>
      </c>
      <c r="I733" s="335"/>
    </row>
    <row r="734">
      <c r="A734" s="321" t="s">
        <v>4358</v>
      </c>
      <c r="B734" s="321" t="s">
        <v>4359</v>
      </c>
      <c r="C734" s="321" t="s">
        <v>4360</v>
      </c>
      <c r="D734" s="321" t="s">
        <v>4361</v>
      </c>
      <c r="E734" s="321" t="s">
        <v>4362</v>
      </c>
      <c r="F734" s="321" t="s">
        <v>4358</v>
      </c>
      <c r="G734" s="321" t="s">
        <v>4358</v>
      </c>
      <c r="H734" s="334" t="s">
        <v>4358</v>
      </c>
      <c r="I734" s="334"/>
    </row>
    <row r="735">
      <c r="A735" s="321" t="s">
        <v>4363</v>
      </c>
      <c r="B735" s="321" t="s">
        <v>4364</v>
      </c>
      <c r="C735" s="321" t="s">
        <v>4365</v>
      </c>
      <c r="D735" s="321" t="s">
        <v>4366</v>
      </c>
      <c r="E735" s="321" t="s">
        <v>4367</v>
      </c>
      <c r="F735" s="321" t="s">
        <v>4363</v>
      </c>
      <c r="G735" s="321" t="s">
        <v>4363</v>
      </c>
      <c r="H735" s="335" t="s">
        <v>4363</v>
      </c>
      <c r="I735" s="335"/>
    </row>
    <row r="736">
      <c r="A736" s="321" t="s">
        <v>4368</v>
      </c>
      <c r="B736" s="321" t="s">
        <v>4369</v>
      </c>
      <c r="C736" s="321" t="s">
        <v>4370</v>
      </c>
      <c r="D736" s="321" t="s">
        <v>4371</v>
      </c>
      <c r="E736" s="321" t="s">
        <v>4372</v>
      </c>
      <c r="F736" s="321" t="s">
        <v>4368</v>
      </c>
      <c r="G736" s="321" t="s">
        <v>4368</v>
      </c>
      <c r="H736" s="334" t="s">
        <v>4368</v>
      </c>
      <c r="I736" s="334"/>
    </row>
    <row r="737">
      <c r="A737" s="321" t="s">
        <v>4373</v>
      </c>
      <c r="B737" s="321" t="s">
        <v>4374</v>
      </c>
      <c r="C737" s="321" t="s">
        <v>4375</v>
      </c>
      <c r="D737" s="321" t="s">
        <v>4376</v>
      </c>
      <c r="E737" s="321" t="s">
        <v>4377</v>
      </c>
      <c r="F737" s="321" t="s">
        <v>4373</v>
      </c>
      <c r="G737" s="321" t="s">
        <v>4373</v>
      </c>
      <c r="H737" s="335" t="s">
        <v>4373</v>
      </c>
      <c r="I737" s="335"/>
    </row>
    <row r="738">
      <c r="A738" s="321" t="s">
        <v>4378</v>
      </c>
      <c r="B738" s="321" t="s">
        <v>4379</v>
      </c>
      <c r="C738" s="321" t="s">
        <v>4380</v>
      </c>
      <c r="D738" s="321" t="s">
        <v>4381</v>
      </c>
      <c r="E738" s="321" t="s">
        <v>4382</v>
      </c>
      <c r="F738" s="321" t="s">
        <v>4378</v>
      </c>
      <c r="G738" s="321" t="s">
        <v>4378</v>
      </c>
      <c r="H738" s="334" t="s">
        <v>4378</v>
      </c>
      <c r="I738" s="334"/>
    </row>
    <row r="739">
      <c r="A739" s="321" t="s">
        <v>1298</v>
      </c>
      <c r="B739" s="321" t="s">
        <v>1298</v>
      </c>
      <c r="C739" s="321" t="s">
        <v>4383</v>
      </c>
      <c r="D739" s="321" t="s">
        <v>1298</v>
      </c>
      <c r="E739" s="321" t="s">
        <v>1298</v>
      </c>
      <c r="F739" s="321" t="s">
        <v>1298</v>
      </c>
      <c r="G739" s="321" t="s">
        <v>1298</v>
      </c>
      <c r="H739" s="335" t="s">
        <v>1298</v>
      </c>
      <c r="I739" s="335"/>
    </row>
    <row r="740">
      <c r="A740" s="321" t="s">
        <v>4384</v>
      </c>
      <c r="B740" s="321" t="s">
        <v>4385</v>
      </c>
      <c r="C740" s="321" t="s">
        <v>4386</v>
      </c>
      <c r="D740" s="321" t="s">
        <v>4387</v>
      </c>
      <c r="E740" s="321" t="s">
        <v>4388</v>
      </c>
      <c r="F740" s="321" t="s">
        <v>4384</v>
      </c>
      <c r="G740" s="321" t="s">
        <v>4384</v>
      </c>
      <c r="H740" s="334" t="s">
        <v>4384</v>
      </c>
      <c r="I740" s="334"/>
    </row>
    <row r="741">
      <c r="A741" s="321" t="s">
        <v>4389</v>
      </c>
      <c r="B741" s="321" t="s">
        <v>4390</v>
      </c>
      <c r="C741" s="321" t="s">
        <v>4391</v>
      </c>
      <c r="D741" s="321" t="s">
        <v>4392</v>
      </c>
      <c r="E741" s="321" t="s">
        <v>4393</v>
      </c>
      <c r="F741" s="321" t="s">
        <v>4389</v>
      </c>
      <c r="G741" s="321" t="s">
        <v>4389</v>
      </c>
      <c r="H741" s="335" t="s">
        <v>4389</v>
      </c>
      <c r="I741" s="335"/>
    </row>
    <row r="742">
      <c r="A742" s="321" t="s">
        <v>4394</v>
      </c>
      <c r="B742" s="321" t="s">
        <v>4395</v>
      </c>
      <c r="C742" s="321" t="s">
        <v>4396</v>
      </c>
      <c r="D742" s="321" t="s">
        <v>4397</v>
      </c>
      <c r="E742" s="321" t="s">
        <v>4398</v>
      </c>
      <c r="F742" s="321" t="s">
        <v>4394</v>
      </c>
      <c r="G742" s="321" t="s">
        <v>4394</v>
      </c>
      <c r="H742" s="334" t="s">
        <v>4394</v>
      </c>
      <c r="I742" s="334"/>
    </row>
    <row r="743">
      <c r="A743" s="321" t="s">
        <v>4399</v>
      </c>
      <c r="B743" s="321" t="s">
        <v>4400</v>
      </c>
      <c r="C743" s="321" t="s">
        <v>4401</v>
      </c>
      <c r="D743" s="321" t="s">
        <v>4402</v>
      </c>
      <c r="E743" s="321" t="s">
        <v>4403</v>
      </c>
      <c r="F743" s="321" t="s">
        <v>4399</v>
      </c>
      <c r="G743" s="321" t="s">
        <v>4399</v>
      </c>
      <c r="H743" s="335" t="s">
        <v>4399</v>
      </c>
      <c r="I743" s="335"/>
    </row>
    <row r="744">
      <c r="A744" s="321" t="s">
        <v>4404</v>
      </c>
      <c r="B744" s="321" t="s">
        <v>4405</v>
      </c>
      <c r="C744" s="321" t="s">
        <v>4406</v>
      </c>
      <c r="D744" s="321" t="s">
        <v>4407</v>
      </c>
      <c r="E744" s="321" t="s">
        <v>4408</v>
      </c>
      <c r="F744" s="321" t="s">
        <v>4404</v>
      </c>
      <c r="G744" s="321" t="s">
        <v>4404</v>
      </c>
      <c r="H744" s="334" t="s">
        <v>4404</v>
      </c>
      <c r="I744" s="334"/>
    </row>
    <row r="745">
      <c r="A745" s="321" t="s">
        <v>4409</v>
      </c>
      <c r="B745" s="321" t="s">
        <v>4410</v>
      </c>
      <c r="C745" s="321" t="s">
        <v>4411</v>
      </c>
      <c r="D745" s="321" t="s">
        <v>4412</v>
      </c>
      <c r="E745" s="321" t="s">
        <v>4413</v>
      </c>
      <c r="F745" s="321" t="s">
        <v>4409</v>
      </c>
      <c r="G745" s="321" t="s">
        <v>4409</v>
      </c>
      <c r="H745" s="335" t="s">
        <v>4409</v>
      </c>
      <c r="I745" s="335"/>
    </row>
    <row r="746">
      <c r="A746" s="321" t="s">
        <v>4414</v>
      </c>
      <c r="B746" s="321" t="s">
        <v>4415</v>
      </c>
      <c r="C746" s="321" t="s">
        <v>4416</v>
      </c>
      <c r="D746" s="321" t="s">
        <v>4417</v>
      </c>
      <c r="E746" s="321" t="s">
        <v>4418</v>
      </c>
      <c r="F746" s="321" t="s">
        <v>4414</v>
      </c>
      <c r="G746" s="321" t="s">
        <v>4414</v>
      </c>
      <c r="H746" s="334" t="s">
        <v>4414</v>
      </c>
      <c r="I746" s="334"/>
    </row>
    <row r="747">
      <c r="A747" s="321" t="s">
        <v>4419</v>
      </c>
      <c r="B747" s="321" t="s">
        <v>4420</v>
      </c>
      <c r="C747" s="321" t="s">
        <v>4421</v>
      </c>
      <c r="D747" s="321" t="s">
        <v>4422</v>
      </c>
      <c r="E747" s="321" t="s">
        <v>4423</v>
      </c>
      <c r="F747" s="321" t="s">
        <v>4419</v>
      </c>
      <c r="G747" s="321" t="s">
        <v>4419</v>
      </c>
      <c r="H747" s="335" t="s">
        <v>4419</v>
      </c>
      <c r="I747" s="335"/>
    </row>
    <row r="748">
      <c r="A748" s="321" t="s">
        <v>4424</v>
      </c>
      <c r="B748" s="321" t="s">
        <v>4425</v>
      </c>
      <c r="C748" s="321" t="s">
        <v>4426</v>
      </c>
      <c r="D748" s="321" t="s">
        <v>4427</v>
      </c>
      <c r="E748" s="321" t="s">
        <v>4428</v>
      </c>
      <c r="F748" s="321" t="s">
        <v>4424</v>
      </c>
      <c r="G748" s="321" t="s">
        <v>4424</v>
      </c>
      <c r="H748" s="334" t="s">
        <v>4424</v>
      </c>
      <c r="I748" s="334"/>
    </row>
    <row r="749">
      <c r="A749" s="321" t="s">
        <v>4429</v>
      </c>
      <c r="B749" s="321" t="s">
        <v>4430</v>
      </c>
      <c r="C749" s="321" t="s">
        <v>4431</v>
      </c>
      <c r="D749" s="321" t="s">
        <v>4432</v>
      </c>
      <c r="E749" s="321" t="s">
        <v>4433</v>
      </c>
      <c r="F749" s="321" t="s">
        <v>4429</v>
      </c>
      <c r="G749" s="321" t="s">
        <v>4429</v>
      </c>
      <c r="H749" s="335" t="s">
        <v>4429</v>
      </c>
      <c r="I749" s="335"/>
    </row>
    <row r="750">
      <c r="A750" s="321" t="s">
        <v>4434</v>
      </c>
      <c r="B750" s="321" t="s">
        <v>4435</v>
      </c>
      <c r="C750" s="321" t="s">
        <v>4436</v>
      </c>
      <c r="D750" s="321" t="s">
        <v>4437</v>
      </c>
      <c r="E750" s="321" t="s">
        <v>4438</v>
      </c>
      <c r="F750" s="321" t="s">
        <v>4434</v>
      </c>
      <c r="G750" s="321" t="s">
        <v>4434</v>
      </c>
      <c r="H750" s="334" t="s">
        <v>4434</v>
      </c>
      <c r="I750" s="334"/>
    </row>
    <row r="751">
      <c r="A751" s="321" t="s">
        <v>4439</v>
      </c>
      <c r="B751" s="321" t="s">
        <v>4440</v>
      </c>
      <c r="C751" s="321" t="s">
        <v>4441</v>
      </c>
      <c r="D751" s="321" t="s">
        <v>4442</v>
      </c>
      <c r="E751" s="321" t="s">
        <v>4443</v>
      </c>
      <c r="F751" s="321" t="s">
        <v>4439</v>
      </c>
      <c r="G751" s="321" t="s">
        <v>4439</v>
      </c>
      <c r="H751" s="335" t="s">
        <v>4439</v>
      </c>
      <c r="I751" s="335"/>
    </row>
    <row r="752">
      <c r="A752" s="321" t="s">
        <v>4444</v>
      </c>
      <c r="B752" s="321" t="s">
        <v>4445</v>
      </c>
      <c r="C752" s="321" t="s">
        <v>4446</v>
      </c>
      <c r="D752" s="321" t="s">
        <v>4447</v>
      </c>
      <c r="E752" s="321" t="s">
        <v>4448</v>
      </c>
      <c r="F752" s="321" t="s">
        <v>4444</v>
      </c>
      <c r="G752" s="321" t="s">
        <v>4444</v>
      </c>
      <c r="H752" s="334" t="s">
        <v>4444</v>
      </c>
      <c r="I752" s="334"/>
    </row>
    <row r="753">
      <c r="A753" s="321" t="s">
        <v>4449</v>
      </c>
      <c r="B753" s="321" t="s">
        <v>4449</v>
      </c>
      <c r="C753" s="321" t="s">
        <v>4450</v>
      </c>
      <c r="D753" s="321" t="s">
        <v>4451</v>
      </c>
      <c r="E753" s="321" t="s">
        <v>4449</v>
      </c>
      <c r="F753" s="321" t="s">
        <v>4449</v>
      </c>
      <c r="G753" s="321" t="s">
        <v>4449</v>
      </c>
      <c r="H753" s="335" t="s">
        <v>4449</v>
      </c>
      <c r="I753" s="335"/>
    </row>
    <row r="754">
      <c r="A754" s="321" t="s">
        <v>4452</v>
      </c>
      <c r="B754" s="321" t="s">
        <v>4452</v>
      </c>
      <c r="C754" s="321" t="s">
        <v>4453</v>
      </c>
      <c r="D754" s="321" t="s">
        <v>4454</v>
      </c>
      <c r="E754" s="321" t="s">
        <v>4452</v>
      </c>
      <c r="F754" s="321" t="s">
        <v>4452</v>
      </c>
      <c r="G754" s="321" t="s">
        <v>4452</v>
      </c>
      <c r="H754" s="334" t="s">
        <v>4452</v>
      </c>
      <c r="I754" s="334"/>
    </row>
    <row r="755">
      <c r="A755" s="321" t="s">
        <v>4455</v>
      </c>
      <c r="B755" s="321" t="s">
        <v>4455</v>
      </c>
      <c r="C755" s="321" t="s">
        <v>4456</v>
      </c>
      <c r="D755" s="321" t="s">
        <v>4457</v>
      </c>
      <c r="E755" s="321" t="s">
        <v>4455</v>
      </c>
      <c r="F755" s="321" t="s">
        <v>4455</v>
      </c>
      <c r="G755" s="321" t="s">
        <v>4455</v>
      </c>
      <c r="H755" s="335" t="s">
        <v>4455</v>
      </c>
      <c r="I755" s="335"/>
    </row>
    <row r="756">
      <c r="A756" s="321" t="s">
        <v>4458</v>
      </c>
      <c r="B756" s="321" t="s">
        <v>4458</v>
      </c>
      <c r="C756" s="321" t="s">
        <v>4459</v>
      </c>
      <c r="D756" s="321" t="s">
        <v>4460</v>
      </c>
      <c r="E756" s="321" t="s">
        <v>4458</v>
      </c>
      <c r="F756" s="321" t="s">
        <v>4458</v>
      </c>
      <c r="G756" s="321" t="s">
        <v>4458</v>
      </c>
      <c r="H756" s="334" t="s">
        <v>4458</v>
      </c>
      <c r="I756" s="334"/>
    </row>
    <row r="757">
      <c r="A757" s="321" t="s">
        <v>4461</v>
      </c>
      <c r="B757" s="321" t="s">
        <v>4461</v>
      </c>
      <c r="C757" s="321" t="s">
        <v>4462</v>
      </c>
      <c r="D757" s="321" t="s">
        <v>4463</v>
      </c>
      <c r="E757" s="321" t="s">
        <v>4461</v>
      </c>
      <c r="F757" s="321" t="s">
        <v>4461</v>
      </c>
      <c r="G757" s="321" t="s">
        <v>4461</v>
      </c>
      <c r="H757" s="335" t="s">
        <v>4461</v>
      </c>
      <c r="I757" s="335"/>
    </row>
    <row r="758">
      <c r="A758" s="321" t="s">
        <v>4464</v>
      </c>
      <c r="B758" s="321" t="s">
        <v>4464</v>
      </c>
      <c r="C758" s="321" t="s">
        <v>4465</v>
      </c>
      <c r="D758" s="321" t="s">
        <v>4466</v>
      </c>
      <c r="E758" s="321" t="s">
        <v>4464</v>
      </c>
      <c r="F758" s="321" t="s">
        <v>4464</v>
      </c>
      <c r="G758" s="321" t="s">
        <v>4464</v>
      </c>
      <c r="H758" s="334" t="s">
        <v>4464</v>
      </c>
      <c r="I758" s="334"/>
    </row>
    <row r="759">
      <c r="A759" s="321" t="s">
        <v>4467</v>
      </c>
      <c r="B759" s="321" t="s">
        <v>4468</v>
      </c>
      <c r="C759" s="321" t="s">
        <v>4469</v>
      </c>
      <c r="D759" s="321" t="s">
        <v>4470</v>
      </c>
      <c r="E759" s="321" t="s">
        <v>4471</v>
      </c>
      <c r="F759" s="321" t="s">
        <v>4467</v>
      </c>
      <c r="G759" s="321" t="s">
        <v>4467</v>
      </c>
      <c r="H759" s="335" t="s">
        <v>4467</v>
      </c>
      <c r="I759" s="335"/>
    </row>
    <row r="760">
      <c r="A760" s="321" t="s">
        <v>4472</v>
      </c>
      <c r="B760" s="321" t="s">
        <v>4473</v>
      </c>
      <c r="C760" s="321" t="s">
        <v>4474</v>
      </c>
      <c r="D760" s="321" t="s">
        <v>4475</v>
      </c>
      <c r="E760" s="321" t="s">
        <v>4476</v>
      </c>
      <c r="F760" s="321" t="s">
        <v>4472</v>
      </c>
      <c r="G760" s="321" t="s">
        <v>4472</v>
      </c>
      <c r="H760" s="334" t="s">
        <v>4472</v>
      </c>
      <c r="I760" s="334"/>
    </row>
    <row r="761">
      <c r="A761" s="321" t="s">
        <v>4477</v>
      </c>
      <c r="B761" s="321" t="s">
        <v>4478</v>
      </c>
      <c r="C761" s="321" t="s">
        <v>4479</v>
      </c>
      <c r="D761" s="321" t="s">
        <v>4480</v>
      </c>
      <c r="E761" s="321" t="s">
        <v>4481</v>
      </c>
      <c r="F761" s="321" t="s">
        <v>4477</v>
      </c>
      <c r="G761" s="321" t="s">
        <v>4477</v>
      </c>
      <c r="H761" s="335" t="s">
        <v>4477</v>
      </c>
      <c r="I761" s="335"/>
    </row>
    <row r="762">
      <c r="A762" s="321" t="s">
        <v>4482</v>
      </c>
      <c r="B762" s="321" t="s">
        <v>4483</v>
      </c>
      <c r="C762" s="321" t="s">
        <v>4484</v>
      </c>
      <c r="D762" s="321" t="s">
        <v>4485</v>
      </c>
      <c r="E762" s="321" t="s">
        <v>4486</v>
      </c>
      <c r="F762" s="321" t="s">
        <v>4482</v>
      </c>
      <c r="G762" s="321" t="s">
        <v>4482</v>
      </c>
      <c r="H762" s="334" t="s">
        <v>4482</v>
      </c>
      <c r="I762" s="334"/>
    </row>
    <row r="763">
      <c r="A763" s="321" t="s">
        <v>4487</v>
      </c>
      <c r="B763" s="321" t="s">
        <v>4488</v>
      </c>
      <c r="C763" s="321" t="s">
        <v>4489</v>
      </c>
      <c r="D763" s="321" t="s">
        <v>4490</v>
      </c>
      <c r="E763" s="321" t="s">
        <v>4491</v>
      </c>
      <c r="F763" s="321" t="s">
        <v>4487</v>
      </c>
      <c r="G763" s="321" t="s">
        <v>4487</v>
      </c>
      <c r="H763" s="335" t="s">
        <v>4487</v>
      </c>
      <c r="I763" s="335"/>
    </row>
    <row r="764">
      <c r="A764" s="321" t="s">
        <v>4492</v>
      </c>
      <c r="B764" s="321" t="s">
        <v>4493</v>
      </c>
      <c r="C764" s="321" t="s">
        <v>4494</v>
      </c>
      <c r="D764" s="321" t="s">
        <v>4495</v>
      </c>
      <c r="E764" s="321" t="s">
        <v>4496</v>
      </c>
      <c r="F764" s="321" t="s">
        <v>4492</v>
      </c>
      <c r="G764" s="321" t="s">
        <v>4492</v>
      </c>
      <c r="H764" s="334" t="s">
        <v>4492</v>
      </c>
      <c r="I764" s="334"/>
    </row>
    <row r="765">
      <c r="A765" s="321" t="s">
        <v>4497</v>
      </c>
      <c r="B765" s="321" t="s">
        <v>4498</v>
      </c>
      <c r="C765" s="321" t="s">
        <v>4499</v>
      </c>
      <c r="D765" s="321" t="s">
        <v>4500</v>
      </c>
      <c r="E765" s="321" t="s">
        <v>4501</v>
      </c>
      <c r="F765" s="321" t="s">
        <v>4497</v>
      </c>
      <c r="G765" s="321" t="s">
        <v>4497</v>
      </c>
      <c r="H765" s="335" t="s">
        <v>4497</v>
      </c>
      <c r="I765" s="335"/>
    </row>
    <row r="766">
      <c r="A766" s="321" t="s">
        <v>4502</v>
      </c>
      <c r="B766" s="321" t="s">
        <v>4503</v>
      </c>
      <c r="C766" s="321" t="s">
        <v>4504</v>
      </c>
      <c r="D766" s="321" t="s">
        <v>4505</v>
      </c>
      <c r="E766" s="321" t="s">
        <v>4506</v>
      </c>
      <c r="F766" s="321" t="s">
        <v>4502</v>
      </c>
      <c r="G766" s="321" t="s">
        <v>4502</v>
      </c>
      <c r="H766" s="334" t="s">
        <v>4502</v>
      </c>
      <c r="I766" s="334"/>
    </row>
    <row r="767">
      <c r="A767" s="321" t="s">
        <v>4507</v>
      </c>
      <c r="B767" s="321" t="s">
        <v>4508</v>
      </c>
      <c r="C767" s="321" t="s">
        <v>4509</v>
      </c>
      <c r="D767" s="321" t="s">
        <v>4510</v>
      </c>
      <c r="E767" s="321" t="s">
        <v>4511</v>
      </c>
      <c r="F767" s="321" t="s">
        <v>4507</v>
      </c>
      <c r="G767" s="321" t="s">
        <v>4507</v>
      </c>
      <c r="H767" s="335" t="s">
        <v>4507</v>
      </c>
      <c r="I767" s="335"/>
    </row>
    <row r="768">
      <c r="A768" s="321" t="s">
        <v>4512</v>
      </c>
      <c r="B768" s="321" t="s">
        <v>4513</v>
      </c>
      <c r="C768" s="321" t="s">
        <v>4514</v>
      </c>
      <c r="D768" s="321" t="s">
        <v>4515</v>
      </c>
      <c r="E768" s="321" t="s">
        <v>4516</v>
      </c>
      <c r="F768" s="321" t="s">
        <v>4512</v>
      </c>
      <c r="G768" s="321" t="s">
        <v>4512</v>
      </c>
      <c r="H768" s="334" t="s">
        <v>4512</v>
      </c>
      <c r="I768" s="334"/>
    </row>
    <row r="769">
      <c r="A769" s="321" t="s">
        <v>4517</v>
      </c>
      <c r="B769" s="321" t="s">
        <v>4518</v>
      </c>
      <c r="C769" s="321" t="s">
        <v>4519</v>
      </c>
      <c r="D769" s="321" t="s">
        <v>4520</v>
      </c>
      <c r="E769" s="321" t="s">
        <v>4521</v>
      </c>
      <c r="F769" s="321" t="s">
        <v>4517</v>
      </c>
      <c r="G769" s="321" t="s">
        <v>4517</v>
      </c>
      <c r="H769" s="335" t="s">
        <v>4517</v>
      </c>
      <c r="I769" s="335"/>
    </row>
    <row r="770">
      <c r="A770" s="321" t="s">
        <v>4522</v>
      </c>
      <c r="B770" s="321" t="s">
        <v>4523</v>
      </c>
      <c r="C770" s="321" t="s">
        <v>4524</v>
      </c>
      <c r="D770" s="321" t="s">
        <v>4525</v>
      </c>
      <c r="E770" s="321" t="s">
        <v>4526</v>
      </c>
      <c r="F770" s="321" t="s">
        <v>4522</v>
      </c>
      <c r="G770" s="321" t="s">
        <v>4522</v>
      </c>
      <c r="H770" s="334" t="s">
        <v>4522</v>
      </c>
      <c r="I770" s="334"/>
    </row>
    <row r="771">
      <c r="A771" s="321" t="s">
        <v>4527</v>
      </c>
      <c r="B771" s="321" t="s">
        <v>4528</v>
      </c>
      <c r="C771" s="321" t="s">
        <v>4529</v>
      </c>
      <c r="D771" s="321" t="s">
        <v>4530</v>
      </c>
      <c r="E771" s="321" t="s">
        <v>4531</v>
      </c>
      <c r="F771" s="321" t="s">
        <v>4527</v>
      </c>
      <c r="G771" s="321" t="s">
        <v>4527</v>
      </c>
      <c r="H771" s="335" t="s">
        <v>4527</v>
      </c>
      <c r="I771" s="335"/>
    </row>
    <row r="772">
      <c r="A772" s="321" t="s">
        <v>4532</v>
      </c>
      <c r="B772" s="321" t="s">
        <v>4533</v>
      </c>
      <c r="C772" s="321" t="s">
        <v>4534</v>
      </c>
      <c r="D772" s="321" t="s">
        <v>4535</v>
      </c>
      <c r="E772" s="321" t="s">
        <v>4536</v>
      </c>
      <c r="F772" s="321" t="s">
        <v>4532</v>
      </c>
      <c r="G772" s="321" t="s">
        <v>4532</v>
      </c>
      <c r="H772" s="334" t="s">
        <v>4532</v>
      </c>
      <c r="I772" s="334"/>
    </row>
    <row r="773">
      <c r="A773" s="321" t="s">
        <v>4537</v>
      </c>
      <c r="B773" s="321" t="s">
        <v>4538</v>
      </c>
      <c r="C773" s="321" t="s">
        <v>4539</v>
      </c>
      <c r="D773" s="321" t="s">
        <v>4540</v>
      </c>
      <c r="E773" s="321" t="s">
        <v>4541</v>
      </c>
      <c r="F773" s="321" t="s">
        <v>4537</v>
      </c>
      <c r="G773" s="321" t="s">
        <v>4537</v>
      </c>
      <c r="H773" s="335" t="s">
        <v>4537</v>
      </c>
      <c r="I773" s="335"/>
    </row>
    <row r="774">
      <c r="A774" s="321" t="s">
        <v>4542</v>
      </c>
      <c r="B774" s="321" t="s">
        <v>4543</v>
      </c>
      <c r="C774" s="321" t="s">
        <v>4544</v>
      </c>
      <c r="D774" s="321" t="s">
        <v>4545</v>
      </c>
      <c r="E774" s="321" t="s">
        <v>4546</v>
      </c>
      <c r="F774" s="321" t="s">
        <v>4542</v>
      </c>
      <c r="G774" s="321" t="s">
        <v>4542</v>
      </c>
      <c r="H774" s="334" t="s">
        <v>4542</v>
      </c>
      <c r="I774" s="334"/>
    </row>
    <row r="775">
      <c r="A775" s="321" t="s">
        <v>4547</v>
      </c>
      <c r="B775" s="321" t="s">
        <v>4548</v>
      </c>
      <c r="C775" s="321" t="s">
        <v>4549</v>
      </c>
      <c r="D775" s="321" t="s">
        <v>4550</v>
      </c>
      <c r="E775" s="321" t="s">
        <v>4551</v>
      </c>
      <c r="F775" s="321" t="s">
        <v>4547</v>
      </c>
      <c r="G775" s="321" t="s">
        <v>4547</v>
      </c>
      <c r="H775" s="335" t="s">
        <v>4547</v>
      </c>
      <c r="I775" s="335"/>
    </row>
    <row r="776">
      <c r="A776" s="321" t="s">
        <v>4552</v>
      </c>
      <c r="B776" s="321" t="s">
        <v>4553</v>
      </c>
      <c r="C776" s="321" t="s">
        <v>4554</v>
      </c>
      <c r="D776" s="321" t="s">
        <v>4555</v>
      </c>
      <c r="E776" s="321" t="s">
        <v>4556</v>
      </c>
      <c r="F776" s="321" t="s">
        <v>4552</v>
      </c>
      <c r="G776" s="321" t="s">
        <v>4552</v>
      </c>
      <c r="H776" s="334" t="s">
        <v>4552</v>
      </c>
      <c r="I776" s="334"/>
    </row>
    <row r="777">
      <c r="A777" s="321" t="s">
        <v>4557</v>
      </c>
      <c r="B777" s="321" t="s">
        <v>4557</v>
      </c>
      <c r="C777" s="321" t="s">
        <v>4558</v>
      </c>
      <c r="D777" s="321" t="s">
        <v>4559</v>
      </c>
      <c r="E777" s="321" t="s">
        <v>4560</v>
      </c>
      <c r="F777" s="321" t="s">
        <v>4557</v>
      </c>
      <c r="G777" s="321" t="s">
        <v>4557</v>
      </c>
      <c r="H777" s="335" t="s">
        <v>4557</v>
      </c>
      <c r="I777" s="335"/>
    </row>
    <row r="778">
      <c r="A778" s="321" t="s">
        <v>4561</v>
      </c>
      <c r="B778" s="321" t="s">
        <v>4562</v>
      </c>
      <c r="C778" s="321" t="s">
        <v>4563</v>
      </c>
      <c r="D778" s="321" t="s">
        <v>4564</v>
      </c>
      <c r="E778" s="321" t="s">
        <v>4565</v>
      </c>
      <c r="F778" s="321" t="s">
        <v>4561</v>
      </c>
      <c r="G778" s="321" t="s">
        <v>4561</v>
      </c>
      <c r="H778" s="334" t="s">
        <v>4561</v>
      </c>
      <c r="I778" s="334"/>
    </row>
    <row r="779">
      <c r="A779" s="321" t="s">
        <v>4566</v>
      </c>
      <c r="B779" s="321" t="s">
        <v>4567</v>
      </c>
      <c r="C779" s="321" t="s">
        <v>4568</v>
      </c>
      <c r="D779" s="321" t="s">
        <v>4569</v>
      </c>
      <c r="E779" s="321" t="s">
        <v>4570</v>
      </c>
      <c r="F779" s="321" t="s">
        <v>4566</v>
      </c>
      <c r="G779" s="321" t="s">
        <v>4566</v>
      </c>
      <c r="H779" s="335" t="s">
        <v>4566</v>
      </c>
      <c r="I779" s="335"/>
    </row>
    <row r="780">
      <c r="A780" s="321" t="s">
        <v>4571</v>
      </c>
      <c r="B780" s="321" t="s">
        <v>4572</v>
      </c>
      <c r="C780" s="321" t="s">
        <v>4573</v>
      </c>
      <c r="D780" s="321" t="s">
        <v>4574</v>
      </c>
      <c r="E780" s="321" t="s">
        <v>4575</v>
      </c>
      <c r="F780" s="321" t="s">
        <v>4571</v>
      </c>
      <c r="G780" s="321" t="s">
        <v>4571</v>
      </c>
      <c r="H780" s="334" t="s">
        <v>4571</v>
      </c>
      <c r="I780" s="334"/>
    </row>
    <row r="781">
      <c r="A781" s="321" t="s">
        <v>4576</v>
      </c>
      <c r="B781" s="321" t="s">
        <v>4577</v>
      </c>
      <c r="C781" s="321" t="s">
        <v>4578</v>
      </c>
      <c r="D781" s="321" t="s">
        <v>4579</v>
      </c>
      <c r="E781" s="321" t="s">
        <v>4580</v>
      </c>
      <c r="F781" s="321" t="s">
        <v>4576</v>
      </c>
      <c r="G781" s="321" t="s">
        <v>4576</v>
      </c>
      <c r="H781" s="335" t="s">
        <v>4576</v>
      </c>
      <c r="I781" s="335"/>
    </row>
    <row r="782">
      <c r="A782" s="321" t="s">
        <v>4581</v>
      </c>
      <c r="B782" s="321" t="s">
        <v>4582</v>
      </c>
      <c r="C782" s="321" t="s">
        <v>4583</v>
      </c>
      <c r="D782" s="321" t="s">
        <v>4584</v>
      </c>
      <c r="E782" s="321" t="s">
        <v>4585</v>
      </c>
      <c r="F782" s="321" t="s">
        <v>4581</v>
      </c>
      <c r="G782" s="321" t="s">
        <v>4581</v>
      </c>
      <c r="H782" s="334" t="s">
        <v>4581</v>
      </c>
      <c r="I782" s="334"/>
    </row>
    <row r="783">
      <c r="A783" s="321" t="s">
        <v>4586</v>
      </c>
      <c r="B783" s="321" t="s">
        <v>4587</v>
      </c>
      <c r="C783" s="321" t="s">
        <v>4588</v>
      </c>
      <c r="D783" s="321" t="s">
        <v>4589</v>
      </c>
      <c r="E783" s="321" t="s">
        <v>4590</v>
      </c>
      <c r="F783" s="321" t="s">
        <v>4586</v>
      </c>
      <c r="G783" s="321" t="s">
        <v>4586</v>
      </c>
      <c r="H783" s="335" t="s">
        <v>4586</v>
      </c>
      <c r="I783" s="335"/>
    </row>
    <row r="784">
      <c r="A784" s="321" t="s">
        <v>4591</v>
      </c>
      <c r="B784" s="321" t="s">
        <v>4592</v>
      </c>
      <c r="C784" s="321" t="s">
        <v>4593</v>
      </c>
      <c r="D784" s="321" t="s">
        <v>4594</v>
      </c>
      <c r="E784" s="321" t="s">
        <v>4595</v>
      </c>
      <c r="F784" s="321" t="s">
        <v>4591</v>
      </c>
      <c r="G784" s="321" t="s">
        <v>4591</v>
      </c>
      <c r="H784" s="334" t="s">
        <v>4591</v>
      </c>
      <c r="I784" s="334"/>
    </row>
    <row r="785">
      <c r="A785" s="321" t="s">
        <v>4596</v>
      </c>
      <c r="B785" s="321" t="s">
        <v>4597</v>
      </c>
      <c r="C785" s="321" t="s">
        <v>4598</v>
      </c>
      <c r="D785" s="321" t="s">
        <v>4599</v>
      </c>
      <c r="E785" s="321" t="s">
        <v>4600</v>
      </c>
      <c r="F785" s="321" t="s">
        <v>4596</v>
      </c>
      <c r="G785" s="321" t="s">
        <v>4596</v>
      </c>
      <c r="H785" s="335" t="s">
        <v>4596</v>
      </c>
      <c r="I785" s="335"/>
    </row>
    <row r="786">
      <c r="A786" s="321" t="s">
        <v>4601</v>
      </c>
      <c r="B786" s="321" t="s">
        <v>4602</v>
      </c>
      <c r="C786" s="321" t="s">
        <v>4603</v>
      </c>
      <c r="D786" s="321" t="s">
        <v>4604</v>
      </c>
      <c r="E786" s="321" t="s">
        <v>4605</v>
      </c>
      <c r="F786" s="321" t="s">
        <v>4601</v>
      </c>
      <c r="G786" s="321" t="s">
        <v>4601</v>
      </c>
      <c r="H786" s="334" t="s">
        <v>4601</v>
      </c>
      <c r="I786" s="334"/>
    </row>
    <row r="787">
      <c r="A787" s="321" t="s">
        <v>4606</v>
      </c>
      <c r="B787" s="321" t="s">
        <v>4607</v>
      </c>
      <c r="C787" s="321" t="s">
        <v>4608</v>
      </c>
      <c r="D787" s="321" t="s">
        <v>4609</v>
      </c>
      <c r="E787" s="321" t="s">
        <v>4610</v>
      </c>
      <c r="F787" s="321" t="s">
        <v>4606</v>
      </c>
      <c r="G787" s="321" t="s">
        <v>4606</v>
      </c>
      <c r="H787" s="335" t="s">
        <v>4606</v>
      </c>
      <c r="I787" s="335"/>
    </row>
    <row r="788">
      <c r="A788" s="321" t="s">
        <v>4611</v>
      </c>
      <c r="B788" s="321" t="s">
        <v>4612</v>
      </c>
      <c r="C788" s="321" t="s">
        <v>4613</v>
      </c>
      <c r="D788" s="321" t="s">
        <v>4614</v>
      </c>
      <c r="E788" s="321" t="s">
        <v>4612</v>
      </c>
      <c r="F788" s="321" t="s">
        <v>4611</v>
      </c>
      <c r="G788" s="321" t="s">
        <v>4611</v>
      </c>
      <c r="H788" s="334" t="s">
        <v>4611</v>
      </c>
      <c r="I788" s="334"/>
    </row>
    <row r="789">
      <c r="A789" s="321" t="s">
        <v>4615</v>
      </c>
      <c r="B789" s="321" t="s">
        <v>4616</v>
      </c>
      <c r="C789" s="321" t="s">
        <v>4617</v>
      </c>
      <c r="D789" s="321" t="s">
        <v>4618</v>
      </c>
      <c r="E789" s="321" t="s">
        <v>4619</v>
      </c>
      <c r="F789" s="321" t="s">
        <v>4615</v>
      </c>
      <c r="G789" s="321" t="s">
        <v>4615</v>
      </c>
      <c r="H789" s="335" t="s">
        <v>4615</v>
      </c>
      <c r="I789" s="335"/>
    </row>
    <row r="790">
      <c r="A790" s="321" t="s">
        <v>4620</v>
      </c>
      <c r="B790" s="321" t="s">
        <v>4621</v>
      </c>
      <c r="C790" s="321" t="s">
        <v>4622</v>
      </c>
      <c r="D790" s="321" t="s">
        <v>4623</v>
      </c>
      <c r="E790" s="321" t="s">
        <v>4624</v>
      </c>
      <c r="F790" s="321" t="s">
        <v>4620</v>
      </c>
      <c r="G790" s="321" t="s">
        <v>4620</v>
      </c>
      <c r="H790" s="334" t="s">
        <v>4620</v>
      </c>
      <c r="I790" s="334"/>
    </row>
    <row r="791">
      <c r="A791" s="321" t="s">
        <v>4625</v>
      </c>
      <c r="B791" s="321" t="s">
        <v>4626</v>
      </c>
      <c r="C791" s="321" t="s">
        <v>4627</v>
      </c>
      <c r="D791" s="321" t="s">
        <v>4628</v>
      </c>
      <c r="E791" s="321" t="s">
        <v>4629</v>
      </c>
      <c r="F791" s="321" t="s">
        <v>4625</v>
      </c>
      <c r="G791" s="321" t="s">
        <v>4625</v>
      </c>
      <c r="H791" s="335" t="s">
        <v>4625</v>
      </c>
      <c r="I791" s="335"/>
    </row>
    <row r="792">
      <c r="A792" s="321" t="s">
        <v>1287</v>
      </c>
      <c r="B792" s="321" t="s">
        <v>4630</v>
      </c>
      <c r="C792" s="321" t="s">
        <v>4631</v>
      </c>
      <c r="D792" s="321" t="s">
        <v>4632</v>
      </c>
      <c r="E792" s="321" t="s">
        <v>4633</v>
      </c>
      <c r="F792" s="321" t="s">
        <v>1287</v>
      </c>
      <c r="G792" s="321" t="s">
        <v>1287</v>
      </c>
      <c r="H792" s="334" t="s">
        <v>1287</v>
      </c>
      <c r="I792" s="334"/>
    </row>
    <row r="793">
      <c r="A793" s="321" t="s">
        <v>1288</v>
      </c>
      <c r="B793" s="321" t="s">
        <v>4634</v>
      </c>
      <c r="C793" s="321" t="s">
        <v>4635</v>
      </c>
      <c r="D793" s="321" t="s">
        <v>4636</v>
      </c>
      <c r="E793" s="321" t="s">
        <v>4637</v>
      </c>
      <c r="F793" s="321" t="s">
        <v>1288</v>
      </c>
      <c r="G793" s="321" t="s">
        <v>1288</v>
      </c>
      <c r="H793" s="335" t="s">
        <v>1288</v>
      </c>
      <c r="I793" s="335"/>
    </row>
    <row r="794">
      <c r="A794" s="321" t="s">
        <v>1095</v>
      </c>
      <c r="B794" s="321" t="s">
        <v>4638</v>
      </c>
      <c r="C794" s="321" t="s">
        <v>4639</v>
      </c>
      <c r="D794" s="321" t="s">
        <v>4640</v>
      </c>
      <c r="E794" s="321" t="s">
        <v>4641</v>
      </c>
      <c r="F794" s="321" t="s">
        <v>1095</v>
      </c>
      <c r="G794" s="321" t="s">
        <v>1095</v>
      </c>
      <c r="H794" s="334" t="s">
        <v>1095</v>
      </c>
      <c r="I794" s="334"/>
    </row>
    <row r="795">
      <c r="A795" s="321" t="s">
        <v>1096</v>
      </c>
      <c r="B795" s="321" t="s">
        <v>4642</v>
      </c>
      <c r="C795" s="321" t="s">
        <v>4643</v>
      </c>
      <c r="D795" s="321" t="s">
        <v>4644</v>
      </c>
      <c r="E795" s="321" t="s">
        <v>4645</v>
      </c>
      <c r="F795" s="321" t="s">
        <v>1096</v>
      </c>
      <c r="G795" s="321" t="s">
        <v>1096</v>
      </c>
      <c r="H795" s="335" t="s">
        <v>1096</v>
      </c>
      <c r="I795" s="335"/>
    </row>
    <row r="796">
      <c r="A796" s="321" t="s">
        <v>4646</v>
      </c>
      <c r="B796" s="321" t="s">
        <v>4647</v>
      </c>
      <c r="C796" s="321" t="s">
        <v>4648</v>
      </c>
      <c r="D796" s="321" t="s">
        <v>4649</v>
      </c>
      <c r="E796" s="321" t="s">
        <v>4650</v>
      </c>
      <c r="F796" s="321" t="s">
        <v>4646</v>
      </c>
      <c r="G796" s="321" t="s">
        <v>4646</v>
      </c>
      <c r="H796" s="334" t="s">
        <v>4646</v>
      </c>
      <c r="I796" s="334"/>
    </row>
    <row r="797">
      <c r="A797" s="321" t="s">
        <v>4651</v>
      </c>
      <c r="B797" s="321" t="s">
        <v>4652</v>
      </c>
      <c r="C797" s="321" t="s">
        <v>4653</v>
      </c>
      <c r="D797" s="321" t="s">
        <v>4654</v>
      </c>
      <c r="E797" s="321" t="s">
        <v>4655</v>
      </c>
      <c r="F797" s="321" t="s">
        <v>4651</v>
      </c>
      <c r="G797" s="321" t="s">
        <v>4651</v>
      </c>
      <c r="H797" s="335" t="s">
        <v>4651</v>
      </c>
      <c r="I797" s="335"/>
    </row>
    <row r="798">
      <c r="A798" s="321" t="s">
        <v>4656</v>
      </c>
      <c r="B798" s="321" t="s">
        <v>4657</v>
      </c>
      <c r="C798" s="321" t="s">
        <v>4658</v>
      </c>
      <c r="D798" s="321" t="s">
        <v>4659</v>
      </c>
      <c r="E798" s="321" t="s">
        <v>4660</v>
      </c>
      <c r="F798" s="321" t="s">
        <v>4656</v>
      </c>
      <c r="G798" s="321" t="s">
        <v>4656</v>
      </c>
      <c r="H798" s="334" t="s">
        <v>4656</v>
      </c>
      <c r="I798" s="334"/>
    </row>
    <row r="799">
      <c r="A799" s="321" t="s">
        <v>4661</v>
      </c>
      <c r="B799" s="321" t="s">
        <v>4662</v>
      </c>
      <c r="C799" s="321" t="s">
        <v>4663</v>
      </c>
      <c r="D799" s="321" t="s">
        <v>4664</v>
      </c>
      <c r="E799" s="321" t="s">
        <v>4665</v>
      </c>
      <c r="F799" s="321" t="s">
        <v>4661</v>
      </c>
      <c r="G799" s="321" t="s">
        <v>4661</v>
      </c>
      <c r="H799" s="335" t="s">
        <v>4661</v>
      </c>
      <c r="I799" s="335"/>
    </row>
    <row r="800">
      <c r="A800" s="321" t="s">
        <v>4666</v>
      </c>
      <c r="B800" s="321" t="s">
        <v>4667</v>
      </c>
      <c r="C800" s="321" t="s">
        <v>4668</v>
      </c>
      <c r="D800" s="321" t="s">
        <v>4669</v>
      </c>
      <c r="E800" s="321" t="s">
        <v>4670</v>
      </c>
      <c r="F800" s="321" t="s">
        <v>4666</v>
      </c>
      <c r="G800" s="321" t="s">
        <v>4666</v>
      </c>
      <c r="H800" s="334" t="s">
        <v>4666</v>
      </c>
      <c r="I800" s="334"/>
    </row>
    <row r="801">
      <c r="A801" s="321" t="s">
        <v>4671</v>
      </c>
      <c r="B801" s="321" t="s">
        <v>4672</v>
      </c>
      <c r="C801" s="321" t="s">
        <v>4673</v>
      </c>
      <c r="D801" s="321" t="s">
        <v>4674</v>
      </c>
      <c r="E801" s="321" t="s">
        <v>4675</v>
      </c>
      <c r="F801" s="321" t="s">
        <v>4671</v>
      </c>
      <c r="G801" s="321" t="s">
        <v>4671</v>
      </c>
      <c r="H801" s="335" t="s">
        <v>4671</v>
      </c>
      <c r="I801" s="335"/>
    </row>
    <row r="802">
      <c r="A802" s="321" t="s">
        <v>4676</v>
      </c>
      <c r="B802" s="321" t="s">
        <v>4677</v>
      </c>
      <c r="C802" s="321" t="s">
        <v>4678</v>
      </c>
      <c r="D802" s="321" t="s">
        <v>4679</v>
      </c>
      <c r="E802" s="321" t="s">
        <v>4680</v>
      </c>
      <c r="F802" s="321" t="s">
        <v>4676</v>
      </c>
      <c r="G802" s="321" t="s">
        <v>4676</v>
      </c>
      <c r="H802" s="334" t="s">
        <v>4676</v>
      </c>
      <c r="I802" s="334"/>
    </row>
    <row r="803">
      <c r="A803" s="321" t="s">
        <v>4681</v>
      </c>
      <c r="B803" s="321" t="s">
        <v>4682</v>
      </c>
      <c r="C803" s="321" t="s">
        <v>4683</v>
      </c>
      <c r="D803" s="321" t="s">
        <v>4684</v>
      </c>
      <c r="E803" s="321" t="s">
        <v>4685</v>
      </c>
      <c r="F803" s="321" t="s">
        <v>4681</v>
      </c>
      <c r="G803" s="321" t="s">
        <v>4681</v>
      </c>
      <c r="H803" s="335" t="s">
        <v>4681</v>
      </c>
      <c r="I803" s="335"/>
    </row>
    <row r="804">
      <c r="A804" s="321" t="s">
        <v>4686</v>
      </c>
      <c r="B804" s="321" t="s">
        <v>4687</v>
      </c>
      <c r="C804" s="321" t="s">
        <v>4688</v>
      </c>
      <c r="D804" s="321" t="s">
        <v>4689</v>
      </c>
      <c r="E804" s="321" t="s">
        <v>4690</v>
      </c>
      <c r="F804" s="321" t="s">
        <v>4686</v>
      </c>
      <c r="G804" s="321" t="s">
        <v>4686</v>
      </c>
      <c r="H804" s="334" t="s">
        <v>4686</v>
      </c>
      <c r="I804" s="334"/>
    </row>
    <row r="805">
      <c r="A805" s="321" t="s">
        <v>4691</v>
      </c>
      <c r="B805" s="321" t="s">
        <v>4692</v>
      </c>
      <c r="C805" s="321" t="s">
        <v>4693</v>
      </c>
      <c r="D805" s="321" t="s">
        <v>4694</v>
      </c>
      <c r="E805" s="321" t="s">
        <v>4695</v>
      </c>
      <c r="F805" s="321" t="s">
        <v>4691</v>
      </c>
      <c r="G805" s="321" t="s">
        <v>4691</v>
      </c>
      <c r="H805" s="335" t="s">
        <v>4691</v>
      </c>
      <c r="I805" s="335"/>
    </row>
    <row r="806">
      <c r="A806" s="321" t="s">
        <v>4696</v>
      </c>
      <c r="B806" s="321" t="s">
        <v>4697</v>
      </c>
      <c r="C806" s="321" t="s">
        <v>4698</v>
      </c>
      <c r="D806" s="321" t="s">
        <v>4699</v>
      </c>
      <c r="E806" s="321" t="s">
        <v>4700</v>
      </c>
      <c r="F806" s="321" t="s">
        <v>4696</v>
      </c>
      <c r="G806" s="321" t="s">
        <v>4696</v>
      </c>
      <c r="H806" s="334" t="s">
        <v>4696</v>
      </c>
      <c r="I806" s="334"/>
    </row>
    <row r="807">
      <c r="A807" s="321" t="s">
        <v>4701</v>
      </c>
      <c r="B807" s="321" t="s">
        <v>4702</v>
      </c>
      <c r="C807" s="321" t="s">
        <v>4703</v>
      </c>
      <c r="D807" s="321" t="s">
        <v>4704</v>
      </c>
      <c r="E807" s="321" t="s">
        <v>4705</v>
      </c>
      <c r="F807" s="321" t="s">
        <v>4701</v>
      </c>
      <c r="G807" s="321" t="s">
        <v>4701</v>
      </c>
      <c r="H807" s="335" t="s">
        <v>4701</v>
      </c>
      <c r="I807" s="335"/>
    </row>
    <row r="808">
      <c r="A808" s="321" t="s">
        <v>1133</v>
      </c>
      <c r="B808" s="321" t="s">
        <v>4706</v>
      </c>
      <c r="C808" s="321" t="s">
        <v>4707</v>
      </c>
      <c r="D808" s="321" t="s">
        <v>4708</v>
      </c>
      <c r="E808" s="321" t="s">
        <v>4709</v>
      </c>
      <c r="F808" s="321" t="s">
        <v>1133</v>
      </c>
      <c r="G808" s="321" t="s">
        <v>1133</v>
      </c>
      <c r="H808" s="334" t="s">
        <v>1133</v>
      </c>
      <c r="I808" s="334"/>
    </row>
    <row r="809">
      <c r="A809" s="321" t="s">
        <v>4710</v>
      </c>
      <c r="B809" s="321" t="s">
        <v>4711</v>
      </c>
      <c r="C809" s="321" t="s">
        <v>4712</v>
      </c>
      <c r="D809" s="321" t="s">
        <v>4713</v>
      </c>
      <c r="E809" s="321" t="s">
        <v>4714</v>
      </c>
      <c r="F809" s="321" t="s">
        <v>4715</v>
      </c>
      <c r="G809" s="321" t="s">
        <v>4716</v>
      </c>
      <c r="H809" s="335" t="s">
        <v>4710</v>
      </c>
      <c r="I809" s="335"/>
    </row>
    <row r="810">
      <c r="A810" s="321" t="s">
        <v>4717</v>
      </c>
      <c r="B810" s="321" t="s">
        <v>4718</v>
      </c>
      <c r="C810" s="321" t="s">
        <v>4719</v>
      </c>
      <c r="D810" s="321" t="s">
        <v>4720</v>
      </c>
      <c r="E810" s="321" t="s">
        <v>4721</v>
      </c>
      <c r="F810" s="321" t="s">
        <v>4717</v>
      </c>
      <c r="G810" s="321" t="s">
        <v>4717</v>
      </c>
      <c r="H810" s="334" t="s">
        <v>4717</v>
      </c>
      <c r="I810" s="334"/>
    </row>
    <row r="811">
      <c r="A811" s="321" t="s">
        <v>4722</v>
      </c>
      <c r="B811" s="321" t="s">
        <v>4723</v>
      </c>
      <c r="C811" s="321" t="s">
        <v>4724</v>
      </c>
      <c r="D811" s="321" t="s">
        <v>4725</v>
      </c>
      <c r="E811" s="321" t="s">
        <v>4725</v>
      </c>
      <c r="F811" s="321" t="s">
        <v>4722</v>
      </c>
      <c r="G811" s="321" t="s">
        <v>4722</v>
      </c>
      <c r="H811" s="335" t="s">
        <v>4722</v>
      </c>
      <c r="I811" s="335"/>
    </row>
    <row r="812">
      <c r="A812" s="321" t="s">
        <v>4726</v>
      </c>
      <c r="B812" s="321" t="s">
        <v>4727</v>
      </c>
      <c r="C812" s="321" t="s">
        <v>4728</v>
      </c>
      <c r="D812" s="321" t="s">
        <v>4729</v>
      </c>
      <c r="E812" s="321" t="s">
        <v>4730</v>
      </c>
      <c r="F812" s="321" t="s">
        <v>4726</v>
      </c>
      <c r="G812" s="321" t="s">
        <v>4726</v>
      </c>
      <c r="H812" s="334" t="s">
        <v>4726</v>
      </c>
      <c r="I812" s="334"/>
    </row>
    <row r="813">
      <c r="A813" s="321" t="s">
        <v>4731</v>
      </c>
      <c r="B813" s="321" t="s">
        <v>4732</v>
      </c>
      <c r="C813" s="321" t="s">
        <v>4733</v>
      </c>
      <c r="D813" s="321" t="s">
        <v>4734</v>
      </c>
      <c r="E813" s="321" t="s">
        <v>4735</v>
      </c>
      <c r="F813" s="321" t="s">
        <v>4731</v>
      </c>
      <c r="G813" s="321" t="s">
        <v>4731</v>
      </c>
      <c r="H813" s="335" t="s">
        <v>4731</v>
      </c>
      <c r="I813" s="335"/>
    </row>
    <row r="814">
      <c r="A814" s="321" t="s">
        <v>4736</v>
      </c>
      <c r="B814" s="321" t="s">
        <v>4736</v>
      </c>
      <c r="C814" s="321" t="s">
        <v>4737</v>
      </c>
      <c r="D814" s="321" t="s">
        <v>4736</v>
      </c>
      <c r="E814" s="321" t="s">
        <v>4736</v>
      </c>
      <c r="F814" s="321" t="s">
        <v>4736</v>
      </c>
      <c r="G814" s="321" t="s">
        <v>4736</v>
      </c>
      <c r="H814" s="334" t="s">
        <v>4736</v>
      </c>
      <c r="I814" s="334"/>
    </row>
    <row r="815">
      <c r="A815" s="321" t="s">
        <v>4738</v>
      </c>
      <c r="B815" s="321" t="s">
        <v>4739</v>
      </c>
      <c r="C815" s="321" t="s">
        <v>4740</v>
      </c>
      <c r="D815" s="321" t="s">
        <v>4741</v>
      </c>
      <c r="E815" s="321" t="s">
        <v>4742</v>
      </c>
      <c r="F815" s="321" t="s">
        <v>4738</v>
      </c>
      <c r="G815" s="321" t="s">
        <v>4738</v>
      </c>
      <c r="H815" s="335" t="s">
        <v>4738</v>
      </c>
      <c r="I815" s="335"/>
    </row>
    <row r="816">
      <c r="A816" s="321" t="s">
        <v>1134</v>
      </c>
      <c r="B816" s="321" t="s">
        <v>4743</v>
      </c>
      <c r="C816" s="321" t="s">
        <v>4744</v>
      </c>
      <c r="D816" s="321" t="s">
        <v>4745</v>
      </c>
      <c r="E816" s="321" t="s">
        <v>4746</v>
      </c>
      <c r="F816" s="321" t="s">
        <v>1134</v>
      </c>
      <c r="G816" s="321" t="s">
        <v>1134</v>
      </c>
      <c r="H816" s="334" t="s">
        <v>1134</v>
      </c>
      <c r="I816" s="334"/>
    </row>
    <row r="817">
      <c r="A817" s="321" t="s">
        <v>4747</v>
      </c>
      <c r="B817" s="321" t="s">
        <v>4748</v>
      </c>
      <c r="C817" s="321" t="s">
        <v>4749</v>
      </c>
      <c r="D817" s="321" t="s">
        <v>4750</v>
      </c>
      <c r="E817" s="321" t="s">
        <v>4751</v>
      </c>
      <c r="F817" s="321" t="s">
        <v>4747</v>
      </c>
      <c r="G817" s="321" t="s">
        <v>4747</v>
      </c>
      <c r="H817" s="335" t="s">
        <v>4747</v>
      </c>
      <c r="I817" s="335"/>
    </row>
    <row r="818">
      <c r="A818" s="321" t="s">
        <v>1289</v>
      </c>
      <c r="B818" s="321" t="s">
        <v>4752</v>
      </c>
      <c r="C818" s="321" t="s">
        <v>4753</v>
      </c>
      <c r="D818" s="321" t="s">
        <v>4754</v>
      </c>
      <c r="E818" s="321" t="s">
        <v>4755</v>
      </c>
      <c r="F818" s="321" t="s">
        <v>1289</v>
      </c>
      <c r="G818" s="321" t="s">
        <v>1289</v>
      </c>
      <c r="H818" s="334" t="s">
        <v>1289</v>
      </c>
      <c r="I818" s="334"/>
    </row>
    <row r="819">
      <c r="A819" s="321" t="s">
        <v>4756</v>
      </c>
      <c r="B819" s="321" t="s">
        <v>4757</v>
      </c>
      <c r="C819" s="321" t="s">
        <v>4758</v>
      </c>
      <c r="D819" s="321" t="s">
        <v>4759</v>
      </c>
      <c r="E819" s="321" t="s">
        <v>4760</v>
      </c>
      <c r="F819" s="321" t="s">
        <v>4756</v>
      </c>
      <c r="G819" s="321" t="s">
        <v>4756</v>
      </c>
      <c r="H819" s="335" t="s">
        <v>4756</v>
      </c>
      <c r="I819" s="335"/>
    </row>
    <row r="820">
      <c r="A820" s="321" t="s">
        <v>4761</v>
      </c>
      <c r="B820" s="321" t="s">
        <v>4762</v>
      </c>
      <c r="C820" s="321" t="s">
        <v>4763</v>
      </c>
      <c r="D820" s="321" t="s">
        <v>4764</v>
      </c>
      <c r="E820" s="321" t="s">
        <v>4765</v>
      </c>
      <c r="F820" s="321" t="s">
        <v>4761</v>
      </c>
      <c r="G820" s="321" t="s">
        <v>4761</v>
      </c>
      <c r="H820" s="334" t="s">
        <v>4761</v>
      </c>
      <c r="I820" s="334"/>
    </row>
    <row r="821">
      <c r="A821" s="321" t="s">
        <v>4766</v>
      </c>
      <c r="B821" s="321" t="s">
        <v>4767</v>
      </c>
      <c r="C821" s="321" t="s">
        <v>4768</v>
      </c>
      <c r="D821" s="321" t="s">
        <v>4769</v>
      </c>
      <c r="E821" s="321" t="s">
        <v>4770</v>
      </c>
      <c r="F821" s="321" t="s">
        <v>4766</v>
      </c>
      <c r="G821" s="321" t="s">
        <v>4766</v>
      </c>
      <c r="H821" s="335" t="s">
        <v>4766</v>
      </c>
      <c r="I821" s="335"/>
    </row>
    <row r="822">
      <c r="A822" s="321" t="s">
        <v>4771</v>
      </c>
      <c r="B822" s="321" t="s">
        <v>4772</v>
      </c>
      <c r="C822" s="321" t="s">
        <v>4773</v>
      </c>
      <c r="D822" s="321" t="s">
        <v>4774</v>
      </c>
      <c r="E822" s="321" t="s">
        <v>4775</v>
      </c>
      <c r="F822" s="321" t="s">
        <v>4771</v>
      </c>
      <c r="G822" s="321" t="s">
        <v>4771</v>
      </c>
      <c r="H822" s="334" t="s">
        <v>4771</v>
      </c>
      <c r="I822" s="334"/>
    </row>
    <row r="823">
      <c r="A823" s="321" t="s">
        <v>4776</v>
      </c>
      <c r="B823" s="321" t="s">
        <v>4777</v>
      </c>
      <c r="C823" s="321" t="s">
        <v>4778</v>
      </c>
      <c r="D823" s="321" t="s">
        <v>4779</v>
      </c>
      <c r="E823" s="321" t="s">
        <v>4780</v>
      </c>
      <c r="F823" s="321" t="s">
        <v>4776</v>
      </c>
      <c r="G823" s="321" t="s">
        <v>4776</v>
      </c>
      <c r="H823" s="335" t="s">
        <v>4776</v>
      </c>
      <c r="I823" s="335"/>
    </row>
    <row r="824">
      <c r="A824" s="321" t="s">
        <v>4781</v>
      </c>
      <c r="B824" s="321" t="s">
        <v>4782</v>
      </c>
      <c r="C824" s="321" t="s">
        <v>4783</v>
      </c>
      <c r="D824" s="321" t="s">
        <v>4784</v>
      </c>
      <c r="E824" s="321" t="s">
        <v>4785</v>
      </c>
      <c r="F824" s="321" t="s">
        <v>4781</v>
      </c>
      <c r="G824" s="321" t="s">
        <v>4781</v>
      </c>
      <c r="H824" s="334" t="s">
        <v>4781</v>
      </c>
      <c r="I824" s="334"/>
    </row>
    <row r="825">
      <c r="A825" s="321" t="s">
        <v>4786</v>
      </c>
      <c r="B825" s="321" t="s">
        <v>4787</v>
      </c>
      <c r="C825" s="321" t="s">
        <v>4788</v>
      </c>
      <c r="D825" s="321" t="s">
        <v>4789</v>
      </c>
      <c r="E825" s="321" t="s">
        <v>4790</v>
      </c>
      <c r="F825" s="321" t="s">
        <v>4786</v>
      </c>
      <c r="G825" s="321" t="s">
        <v>4786</v>
      </c>
      <c r="H825" s="335" t="s">
        <v>4786</v>
      </c>
      <c r="I825" s="335"/>
    </row>
    <row r="826">
      <c r="A826" s="321" t="s">
        <v>4791</v>
      </c>
      <c r="B826" s="321" t="s">
        <v>4791</v>
      </c>
      <c r="C826" s="321" t="s">
        <v>4792</v>
      </c>
      <c r="D826" s="321" t="s">
        <v>4793</v>
      </c>
      <c r="E826" s="321" t="s">
        <v>4791</v>
      </c>
      <c r="F826" s="321" t="s">
        <v>4791</v>
      </c>
      <c r="G826" s="321" t="s">
        <v>4791</v>
      </c>
      <c r="H826" s="334" t="s">
        <v>4791</v>
      </c>
      <c r="I826" s="334"/>
    </row>
    <row r="827">
      <c r="A827" s="321" t="s">
        <v>4794</v>
      </c>
      <c r="B827" s="321" t="s">
        <v>4795</v>
      </c>
      <c r="C827" s="321" t="s">
        <v>4796</v>
      </c>
      <c r="D827" s="321" t="s">
        <v>4797</v>
      </c>
      <c r="E827" s="321" t="s">
        <v>4795</v>
      </c>
      <c r="F827" s="321" t="s">
        <v>4794</v>
      </c>
      <c r="G827" s="321" t="s">
        <v>4794</v>
      </c>
      <c r="H827" s="335" t="s">
        <v>4794</v>
      </c>
      <c r="I827" s="335"/>
    </row>
    <row r="828">
      <c r="A828" s="321" t="s">
        <v>4798</v>
      </c>
      <c r="B828" s="321" t="s">
        <v>4798</v>
      </c>
      <c r="C828" s="321" t="s">
        <v>4799</v>
      </c>
      <c r="D828" s="321" t="s">
        <v>4800</v>
      </c>
      <c r="E828" s="321" t="s">
        <v>4798</v>
      </c>
      <c r="F828" s="321" t="s">
        <v>4798</v>
      </c>
      <c r="G828" s="321" t="s">
        <v>4798</v>
      </c>
      <c r="H828" s="334" t="s">
        <v>4798</v>
      </c>
      <c r="I828" s="334"/>
    </row>
    <row r="829">
      <c r="A829" s="321" t="s">
        <v>4801</v>
      </c>
      <c r="B829" s="321" t="s">
        <v>4801</v>
      </c>
      <c r="C829" s="321" t="s">
        <v>4802</v>
      </c>
      <c r="D829" s="321" t="s">
        <v>4803</v>
      </c>
      <c r="E829" s="321" t="s">
        <v>4801</v>
      </c>
      <c r="F829" s="321" t="s">
        <v>4801</v>
      </c>
      <c r="G829" s="321" t="s">
        <v>4801</v>
      </c>
      <c r="H829" s="335" t="s">
        <v>4801</v>
      </c>
      <c r="I829" s="335"/>
    </row>
    <row r="830">
      <c r="A830" s="321" t="s">
        <v>4804</v>
      </c>
      <c r="B830" s="321" t="s">
        <v>4805</v>
      </c>
      <c r="C830" s="321" t="s">
        <v>4806</v>
      </c>
      <c r="D830" s="321" t="s">
        <v>4807</v>
      </c>
      <c r="E830" s="321" t="s">
        <v>4808</v>
      </c>
      <c r="F830" s="321" t="s">
        <v>4804</v>
      </c>
      <c r="G830" s="321" t="s">
        <v>4804</v>
      </c>
      <c r="H830" s="334" t="s">
        <v>4804</v>
      </c>
      <c r="I830" s="334"/>
    </row>
    <row r="831">
      <c r="A831" s="321" t="s">
        <v>4809</v>
      </c>
      <c r="B831" s="321" t="s">
        <v>4810</v>
      </c>
      <c r="C831" s="321" t="s">
        <v>4811</v>
      </c>
      <c r="D831" s="321" t="s">
        <v>4812</v>
      </c>
      <c r="E831" s="321" t="s">
        <v>4813</v>
      </c>
      <c r="F831" s="321" t="s">
        <v>4809</v>
      </c>
      <c r="G831" s="321" t="s">
        <v>4809</v>
      </c>
      <c r="H831" s="335" t="s">
        <v>4809</v>
      </c>
      <c r="I831" s="335"/>
    </row>
    <row r="832">
      <c r="A832" s="321" t="s">
        <v>4814</v>
      </c>
      <c r="B832" s="321" t="s">
        <v>4815</v>
      </c>
      <c r="C832" s="321" t="s">
        <v>4816</v>
      </c>
      <c r="D832" s="321" t="s">
        <v>4817</v>
      </c>
      <c r="E832" s="321" t="s">
        <v>4818</v>
      </c>
      <c r="F832" s="321" t="s">
        <v>4814</v>
      </c>
      <c r="G832" s="321" t="s">
        <v>4814</v>
      </c>
      <c r="H832" s="334" t="s">
        <v>4814</v>
      </c>
      <c r="I832" s="334"/>
    </row>
    <row r="833">
      <c r="A833" s="321" t="s">
        <v>4819</v>
      </c>
      <c r="B833" s="321" t="s">
        <v>4820</v>
      </c>
      <c r="C833" s="321" t="s">
        <v>4821</v>
      </c>
      <c r="D833" s="321" t="s">
        <v>4822</v>
      </c>
      <c r="E833" s="321" t="s">
        <v>4823</v>
      </c>
      <c r="F833" s="321" t="s">
        <v>4819</v>
      </c>
      <c r="G833" s="321" t="s">
        <v>4819</v>
      </c>
      <c r="H833" s="335" t="s">
        <v>4819</v>
      </c>
      <c r="I833" s="335"/>
    </row>
    <row r="834">
      <c r="A834" s="321" t="s">
        <v>4824</v>
      </c>
      <c r="B834" s="321" t="s">
        <v>4825</v>
      </c>
      <c r="C834" s="321" t="s">
        <v>4826</v>
      </c>
      <c r="D834" s="321" t="s">
        <v>4827</v>
      </c>
      <c r="E834" s="321" t="s">
        <v>4828</v>
      </c>
      <c r="F834" s="321" t="s">
        <v>4824</v>
      </c>
      <c r="G834" s="321" t="s">
        <v>4824</v>
      </c>
      <c r="H834" s="334" t="s">
        <v>4824</v>
      </c>
      <c r="I834" s="334"/>
    </row>
    <row r="835">
      <c r="A835" s="321" t="s">
        <v>4829</v>
      </c>
      <c r="B835" s="321" t="s">
        <v>4830</v>
      </c>
      <c r="C835" s="321" t="s">
        <v>4831</v>
      </c>
      <c r="D835" s="321" t="s">
        <v>4832</v>
      </c>
      <c r="E835" s="321" t="s">
        <v>4830</v>
      </c>
      <c r="F835" s="321" t="s">
        <v>4829</v>
      </c>
      <c r="G835" s="321" t="s">
        <v>4829</v>
      </c>
      <c r="H835" s="335" t="s">
        <v>4829</v>
      </c>
      <c r="I835" s="335"/>
    </row>
    <row r="836">
      <c r="A836" s="321" t="s">
        <v>4833</v>
      </c>
      <c r="B836" s="321" t="s">
        <v>4834</v>
      </c>
      <c r="C836" s="321" t="s">
        <v>4835</v>
      </c>
      <c r="D836" s="321" t="s">
        <v>4836</v>
      </c>
      <c r="E836" s="321" t="s">
        <v>4837</v>
      </c>
      <c r="F836" s="321" t="s">
        <v>4833</v>
      </c>
      <c r="G836" s="321" t="s">
        <v>4833</v>
      </c>
      <c r="H836" s="334" t="s">
        <v>4833</v>
      </c>
      <c r="I836" s="334"/>
    </row>
    <row r="837">
      <c r="A837" s="321" t="s">
        <v>4838</v>
      </c>
      <c r="B837" s="321" t="s">
        <v>4838</v>
      </c>
      <c r="C837" s="321" t="s">
        <v>4839</v>
      </c>
      <c r="D837" s="321" t="s">
        <v>4840</v>
      </c>
      <c r="E837" s="321" t="s">
        <v>4838</v>
      </c>
      <c r="F837" s="321" t="s">
        <v>4838</v>
      </c>
      <c r="G837" s="321" t="s">
        <v>4838</v>
      </c>
      <c r="H837" s="335" t="s">
        <v>4838</v>
      </c>
      <c r="I837" s="335"/>
    </row>
    <row r="838">
      <c r="A838" s="321" t="s">
        <v>4841</v>
      </c>
      <c r="B838" s="321" t="s">
        <v>4841</v>
      </c>
      <c r="C838" s="321" t="s">
        <v>4842</v>
      </c>
      <c r="D838" s="321" t="s">
        <v>4843</v>
      </c>
      <c r="E838" s="321" t="s">
        <v>4841</v>
      </c>
      <c r="F838" s="321" t="s">
        <v>4841</v>
      </c>
      <c r="G838" s="321" t="s">
        <v>4841</v>
      </c>
      <c r="H838" s="334" t="s">
        <v>4841</v>
      </c>
      <c r="I838" s="334"/>
    </row>
    <row r="839">
      <c r="A839" s="321" t="s">
        <v>1307</v>
      </c>
      <c r="B839" s="321" t="s">
        <v>1307</v>
      </c>
      <c r="C839" s="321" t="s">
        <v>4844</v>
      </c>
      <c r="D839" s="321" t="s">
        <v>4845</v>
      </c>
      <c r="E839" s="321" t="s">
        <v>1307</v>
      </c>
      <c r="F839" s="321" t="s">
        <v>1307</v>
      </c>
      <c r="G839" s="321" t="s">
        <v>1307</v>
      </c>
      <c r="H839" s="335" t="s">
        <v>1307</v>
      </c>
      <c r="I839" s="335"/>
    </row>
    <row r="840">
      <c r="A840" s="321" t="s">
        <v>4846</v>
      </c>
      <c r="B840" s="321" t="s">
        <v>4847</v>
      </c>
      <c r="C840" s="321" t="s">
        <v>4848</v>
      </c>
      <c r="D840" s="321" t="s">
        <v>4849</v>
      </c>
      <c r="E840" s="321" t="s">
        <v>4850</v>
      </c>
      <c r="F840" s="321" t="s">
        <v>4846</v>
      </c>
      <c r="G840" s="321" t="s">
        <v>4846</v>
      </c>
      <c r="H840" s="334" t="s">
        <v>4846</v>
      </c>
      <c r="I840" s="334"/>
    </row>
    <row r="841">
      <c r="A841" s="321" t="s">
        <v>4851</v>
      </c>
      <c r="B841" s="321" t="s">
        <v>4852</v>
      </c>
      <c r="C841" s="321" t="s">
        <v>4853</v>
      </c>
      <c r="D841" s="321" t="s">
        <v>4854</v>
      </c>
      <c r="E841" s="321" t="s">
        <v>4855</v>
      </c>
      <c r="F841" s="321" t="s">
        <v>4851</v>
      </c>
      <c r="G841" s="321" t="s">
        <v>4851</v>
      </c>
      <c r="H841" s="335" t="s">
        <v>4851</v>
      </c>
      <c r="I841" s="335"/>
    </row>
    <row r="842">
      <c r="A842" s="321" t="s">
        <v>4856</v>
      </c>
      <c r="B842" s="321" t="s">
        <v>4857</v>
      </c>
      <c r="C842" s="321" t="s">
        <v>4858</v>
      </c>
      <c r="D842" s="321" t="s">
        <v>4859</v>
      </c>
      <c r="E842" s="321" t="s">
        <v>4860</v>
      </c>
      <c r="F842" s="321" t="s">
        <v>4856</v>
      </c>
      <c r="G842" s="321" t="s">
        <v>4856</v>
      </c>
      <c r="H842" s="334" t="s">
        <v>4856</v>
      </c>
      <c r="I842" s="334"/>
    </row>
    <row r="843">
      <c r="A843" s="321" t="s">
        <v>4861</v>
      </c>
      <c r="B843" s="321" t="s">
        <v>4862</v>
      </c>
      <c r="C843" s="321" t="s">
        <v>4863</v>
      </c>
      <c r="D843" s="321" t="s">
        <v>4864</v>
      </c>
      <c r="E843" s="321" t="s">
        <v>4865</v>
      </c>
      <c r="F843" s="321" t="s">
        <v>4861</v>
      </c>
      <c r="G843" s="321" t="s">
        <v>4861</v>
      </c>
      <c r="H843" s="335" t="s">
        <v>4861</v>
      </c>
      <c r="I843" s="335"/>
    </row>
    <row r="844">
      <c r="A844" s="321" t="s">
        <v>4866</v>
      </c>
      <c r="B844" s="321" t="s">
        <v>4866</v>
      </c>
      <c r="C844" s="321" t="s">
        <v>4867</v>
      </c>
      <c r="D844" s="321" t="s">
        <v>4866</v>
      </c>
      <c r="E844" s="321" t="s">
        <v>4866</v>
      </c>
      <c r="F844" s="321" t="s">
        <v>4866</v>
      </c>
      <c r="G844" s="321" t="s">
        <v>4866</v>
      </c>
      <c r="H844" s="334" t="s">
        <v>4866</v>
      </c>
      <c r="I844" s="334"/>
    </row>
    <row r="845">
      <c r="A845" s="321" t="s">
        <v>1218</v>
      </c>
      <c r="B845" s="321" t="s">
        <v>1218</v>
      </c>
      <c r="C845" s="321" t="s">
        <v>4868</v>
      </c>
      <c r="D845" s="321" t="s">
        <v>4869</v>
      </c>
      <c r="E845" s="321" t="s">
        <v>1218</v>
      </c>
      <c r="F845" s="321" t="s">
        <v>1218</v>
      </c>
      <c r="G845" s="321" t="s">
        <v>1218</v>
      </c>
      <c r="H845" s="335" t="s">
        <v>1218</v>
      </c>
      <c r="I845" s="335"/>
    </row>
    <row r="846">
      <c r="A846" s="321" t="s">
        <v>1219</v>
      </c>
      <c r="B846" s="321" t="s">
        <v>1219</v>
      </c>
      <c r="C846" s="321" t="s">
        <v>4870</v>
      </c>
      <c r="D846" s="321" t="s">
        <v>4871</v>
      </c>
      <c r="E846" s="321" t="s">
        <v>1219</v>
      </c>
      <c r="F846" s="321" t="s">
        <v>1219</v>
      </c>
      <c r="G846" s="321" t="s">
        <v>1219</v>
      </c>
      <c r="H846" s="334" t="s">
        <v>1219</v>
      </c>
      <c r="I846" s="334"/>
    </row>
    <row r="847">
      <c r="A847" s="321" t="s">
        <v>4872</v>
      </c>
      <c r="B847" s="321" t="s">
        <v>4873</v>
      </c>
      <c r="C847" s="321" t="s">
        <v>4874</v>
      </c>
      <c r="D847" s="321" t="s">
        <v>4875</v>
      </c>
      <c r="E847" s="321" t="s">
        <v>4876</v>
      </c>
      <c r="F847" s="321" t="s">
        <v>4872</v>
      </c>
      <c r="G847" s="321" t="s">
        <v>4872</v>
      </c>
      <c r="H847" s="335" t="s">
        <v>4872</v>
      </c>
      <c r="I847" s="335"/>
    </row>
    <row r="848">
      <c r="A848" s="321" t="s">
        <v>4877</v>
      </c>
      <c r="B848" s="321" t="s">
        <v>4878</v>
      </c>
      <c r="C848" s="321" t="s">
        <v>4879</v>
      </c>
      <c r="D848" s="321" t="s">
        <v>4880</v>
      </c>
      <c r="E848" s="321" t="s">
        <v>4881</v>
      </c>
      <c r="F848" s="321" t="s">
        <v>4877</v>
      </c>
      <c r="G848" s="321" t="s">
        <v>4877</v>
      </c>
      <c r="H848" s="334" t="s">
        <v>4877</v>
      </c>
      <c r="I848" s="334"/>
    </row>
    <row r="849">
      <c r="A849" s="321" t="s">
        <v>4882</v>
      </c>
      <c r="B849" s="321" t="s">
        <v>4883</v>
      </c>
      <c r="C849" s="321" t="s">
        <v>4884</v>
      </c>
      <c r="D849" s="321" t="s">
        <v>4885</v>
      </c>
      <c r="E849" s="321" t="s">
        <v>4886</v>
      </c>
      <c r="F849" s="321" t="s">
        <v>4882</v>
      </c>
      <c r="G849" s="321" t="s">
        <v>4882</v>
      </c>
      <c r="H849" s="335" t="s">
        <v>4882</v>
      </c>
      <c r="I849" s="335"/>
    </row>
    <row r="850">
      <c r="A850" s="321" t="s">
        <v>4887</v>
      </c>
      <c r="B850" s="321" t="s">
        <v>4888</v>
      </c>
      <c r="C850" s="321" t="s">
        <v>4889</v>
      </c>
      <c r="D850" s="321" t="s">
        <v>4890</v>
      </c>
      <c r="E850" s="321" t="s">
        <v>4891</v>
      </c>
      <c r="F850" s="321" t="s">
        <v>4887</v>
      </c>
      <c r="G850" s="321" t="s">
        <v>4887</v>
      </c>
      <c r="H850" s="334" t="s">
        <v>4887</v>
      </c>
      <c r="I850" s="334"/>
    </row>
    <row r="851">
      <c r="A851" s="321" t="s">
        <v>4892</v>
      </c>
      <c r="B851" s="321" t="s">
        <v>4893</v>
      </c>
      <c r="C851" s="321" t="s">
        <v>4894</v>
      </c>
      <c r="D851" s="321" t="s">
        <v>4895</v>
      </c>
      <c r="E851" s="321" t="s">
        <v>4896</v>
      </c>
      <c r="F851" s="321" t="s">
        <v>4892</v>
      </c>
      <c r="G851" s="321" t="s">
        <v>4892</v>
      </c>
      <c r="H851" s="335" t="s">
        <v>4892</v>
      </c>
      <c r="I851" s="335"/>
    </row>
    <row r="852">
      <c r="A852" s="321" t="s">
        <v>4897</v>
      </c>
      <c r="B852" s="321" t="s">
        <v>4898</v>
      </c>
      <c r="C852" s="321" t="s">
        <v>4899</v>
      </c>
      <c r="D852" s="321" t="s">
        <v>4900</v>
      </c>
      <c r="E852" s="321" t="s">
        <v>4901</v>
      </c>
      <c r="F852" s="321" t="s">
        <v>4897</v>
      </c>
      <c r="G852" s="321" t="s">
        <v>4897</v>
      </c>
      <c r="H852" s="334" t="s">
        <v>4897</v>
      </c>
      <c r="I852" s="334"/>
    </row>
    <row r="853">
      <c r="A853" s="321" t="s">
        <v>4902</v>
      </c>
      <c r="B853" s="321" t="s">
        <v>4903</v>
      </c>
      <c r="C853" s="321" t="s">
        <v>4904</v>
      </c>
      <c r="D853" s="321" t="s">
        <v>4905</v>
      </c>
      <c r="E853" s="321" t="s">
        <v>4906</v>
      </c>
      <c r="F853" s="321" t="s">
        <v>4902</v>
      </c>
      <c r="G853" s="321" t="s">
        <v>4902</v>
      </c>
      <c r="H853" s="335" t="s">
        <v>4902</v>
      </c>
      <c r="I853" s="335"/>
    </row>
    <row r="854">
      <c r="A854" s="321" t="s">
        <v>4907</v>
      </c>
      <c r="B854" s="321" t="s">
        <v>4908</v>
      </c>
      <c r="C854" s="321" t="s">
        <v>4909</v>
      </c>
      <c r="D854" s="321" t="s">
        <v>4910</v>
      </c>
      <c r="E854" s="321" t="s">
        <v>4911</v>
      </c>
      <c r="F854" s="321" t="s">
        <v>4907</v>
      </c>
      <c r="G854" s="321" t="s">
        <v>4907</v>
      </c>
      <c r="H854" s="334" t="s">
        <v>4907</v>
      </c>
      <c r="I854" s="334"/>
    </row>
    <row r="855">
      <c r="A855" s="321" t="s">
        <v>4912</v>
      </c>
      <c r="B855" s="321" t="s">
        <v>4913</v>
      </c>
      <c r="C855" s="321" t="s">
        <v>4914</v>
      </c>
      <c r="D855" s="321" t="s">
        <v>4915</v>
      </c>
      <c r="E855" s="321" t="s">
        <v>4916</v>
      </c>
      <c r="F855" s="321" t="s">
        <v>4912</v>
      </c>
      <c r="G855" s="321" t="s">
        <v>4912</v>
      </c>
      <c r="H855" s="335" t="s">
        <v>4912</v>
      </c>
      <c r="I855" s="335"/>
    </row>
    <row r="856">
      <c r="A856" s="321" t="s">
        <v>4917</v>
      </c>
      <c r="B856" s="321" t="s">
        <v>4918</v>
      </c>
      <c r="C856" s="321" t="s">
        <v>4919</v>
      </c>
      <c r="D856" s="321" t="s">
        <v>4920</v>
      </c>
      <c r="E856" s="321" t="s">
        <v>4921</v>
      </c>
      <c r="F856" s="321" t="s">
        <v>4917</v>
      </c>
      <c r="G856" s="321" t="s">
        <v>4917</v>
      </c>
      <c r="H856" s="334" t="s">
        <v>4917</v>
      </c>
      <c r="I856" s="334"/>
    </row>
    <row r="857">
      <c r="A857" s="321" t="s">
        <v>4922</v>
      </c>
      <c r="B857" s="321" t="s">
        <v>4923</v>
      </c>
      <c r="C857" s="321" t="s">
        <v>4924</v>
      </c>
      <c r="D857" s="321" t="s">
        <v>4925</v>
      </c>
      <c r="E857" s="321" t="s">
        <v>4926</v>
      </c>
      <c r="F857" s="321" t="s">
        <v>4922</v>
      </c>
      <c r="G857" s="321" t="s">
        <v>4922</v>
      </c>
      <c r="H857" s="335" t="s">
        <v>4922</v>
      </c>
      <c r="I857" s="335"/>
    </row>
    <row r="858">
      <c r="A858" s="321" t="s">
        <v>4927</v>
      </c>
      <c r="B858" s="321" t="s">
        <v>4928</v>
      </c>
      <c r="C858" s="321" t="s">
        <v>4929</v>
      </c>
      <c r="D858" s="321" t="s">
        <v>4930</v>
      </c>
      <c r="E858" s="321" t="s">
        <v>4931</v>
      </c>
      <c r="F858" s="321" t="s">
        <v>4927</v>
      </c>
      <c r="G858" s="321" t="s">
        <v>4927</v>
      </c>
      <c r="H858" s="334" t="s">
        <v>4927</v>
      </c>
      <c r="I858" s="334"/>
    </row>
    <row r="859">
      <c r="A859" s="321" t="s">
        <v>4932</v>
      </c>
      <c r="B859" s="321" t="s">
        <v>4933</v>
      </c>
      <c r="C859" s="321" t="s">
        <v>4934</v>
      </c>
      <c r="D859" s="321" t="s">
        <v>4935</v>
      </c>
      <c r="E859" s="321" t="s">
        <v>4936</v>
      </c>
      <c r="F859" s="321" t="s">
        <v>4932</v>
      </c>
      <c r="G859" s="321" t="s">
        <v>4932</v>
      </c>
      <c r="H859" s="335" t="s">
        <v>4932</v>
      </c>
      <c r="I859" s="335"/>
    </row>
    <row r="860">
      <c r="A860" s="321" t="s">
        <v>4937</v>
      </c>
      <c r="B860" s="321" t="s">
        <v>4938</v>
      </c>
      <c r="C860" s="321" t="s">
        <v>4939</v>
      </c>
      <c r="D860" s="321" t="s">
        <v>4940</v>
      </c>
      <c r="E860" s="321" t="s">
        <v>4941</v>
      </c>
      <c r="F860" s="321" t="s">
        <v>4937</v>
      </c>
      <c r="G860" s="321" t="s">
        <v>4937</v>
      </c>
      <c r="H860" s="334" t="s">
        <v>4937</v>
      </c>
      <c r="I860" s="334"/>
    </row>
    <row r="861">
      <c r="A861" s="321" t="s">
        <v>4942</v>
      </c>
      <c r="B861" s="321" t="s">
        <v>4943</v>
      </c>
      <c r="C861" s="321" t="s">
        <v>4944</v>
      </c>
      <c r="D861" s="321" t="s">
        <v>4945</v>
      </c>
      <c r="E861" s="321" t="s">
        <v>4946</v>
      </c>
      <c r="F861" s="321" t="s">
        <v>4942</v>
      </c>
      <c r="G861" s="321" t="s">
        <v>4942</v>
      </c>
      <c r="H861" s="335" t="s">
        <v>4942</v>
      </c>
      <c r="I861" s="335"/>
    </row>
    <row r="862">
      <c r="A862" s="321" t="s">
        <v>4947</v>
      </c>
      <c r="B862" s="321" t="s">
        <v>4948</v>
      </c>
      <c r="C862" s="321" t="s">
        <v>4949</v>
      </c>
      <c r="D862" s="321" t="s">
        <v>4950</v>
      </c>
      <c r="E862" s="321" t="s">
        <v>4951</v>
      </c>
      <c r="F862" s="321" t="s">
        <v>4947</v>
      </c>
      <c r="G862" s="321" t="s">
        <v>4947</v>
      </c>
      <c r="H862" s="334" t="s">
        <v>4947</v>
      </c>
      <c r="I862" s="334"/>
    </row>
    <row r="863">
      <c r="A863" s="321" t="s">
        <v>4952</v>
      </c>
      <c r="B863" s="321" t="s">
        <v>4953</v>
      </c>
      <c r="C863" s="321" t="s">
        <v>4954</v>
      </c>
      <c r="D863" s="321" t="s">
        <v>4955</v>
      </c>
      <c r="E863" s="321" t="s">
        <v>4956</v>
      </c>
      <c r="F863" s="321" t="s">
        <v>4952</v>
      </c>
      <c r="G863" s="321" t="s">
        <v>4952</v>
      </c>
      <c r="H863" s="335" t="s">
        <v>4952</v>
      </c>
      <c r="I863" s="335"/>
    </row>
    <row r="864">
      <c r="A864" s="321" t="s">
        <v>4957</v>
      </c>
      <c r="B864" s="321" t="s">
        <v>4958</v>
      </c>
      <c r="C864" s="321" t="s">
        <v>4959</v>
      </c>
      <c r="D864" s="321" t="s">
        <v>4960</v>
      </c>
      <c r="E864" s="321" t="s">
        <v>4961</v>
      </c>
      <c r="F864" s="321" t="s">
        <v>4957</v>
      </c>
      <c r="G864" s="321" t="s">
        <v>4957</v>
      </c>
      <c r="H864" s="334" t="s">
        <v>4957</v>
      </c>
      <c r="I864" s="334"/>
    </row>
    <row r="865">
      <c r="A865" s="321" t="s">
        <v>4962</v>
      </c>
      <c r="B865" s="321" t="s">
        <v>4963</v>
      </c>
      <c r="C865" s="321" t="s">
        <v>4964</v>
      </c>
      <c r="D865" s="321" t="s">
        <v>4965</v>
      </c>
      <c r="E865" s="321" t="s">
        <v>4966</v>
      </c>
      <c r="F865" s="321" t="s">
        <v>4962</v>
      </c>
      <c r="G865" s="321" t="s">
        <v>4962</v>
      </c>
      <c r="H865" s="335" t="s">
        <v>4962</v>
      </c>
      <c r="I865" s="335"/>
    </row>
    <row r="866">
      <c r="A866" s="321" t="s">
        <v>4967</v>
      </c>
      <c r="B866" s="321" t="s">
        <v>4968</v>
      </c>
      <c r="C866" s="321" t="s">
        <v>4969</v>
      </c>
      <c r="D866" s="321" t="s">
        <v>4970</v>
      </c>
      <c r="E866" s="321" t="s">
        <v>4971</v>
      </c>
      <c r="F866" s="321" t="s">
        <v>4967</v>
      </c>
      <c r="G866" s="321" t="s">
        <v>4967</v>
      </c>
      <c r="H866" s="334" t="s">
        <v>4967</v>
      </c>
      <c r="I866" s="334"/>
    </row>
    <row r="867">
      <c r="A867" s="321" t="s">
        <v>4972</v>
      </c>
      <c r="B867" s="321" t="s">
        <v>4973</v>
      </c>
      <c r="C867" s="321" t="s">
        <v>4974</v>
      </c>
      <c r="D867" s="321" t="s">
        <v>4975</v>
      </c>
      <c r="E867" s="321" t="s">
        <v>4976</v>
      </c>
      <c r="F867" s="321" t="s">
        <v>4972</v>
      </c>
      <c r="G867" s="321" t="s">
        <v>4972</v>
      </c>
      <c r="H867" s="335" t="s">
        <v>4972</v>
      </c>
      <c r="I867" s="335"/>
    </row>
    <row r="868">
      <c r="A868" s="321" t="s">
        <v>1248</v>
      </c>
      <c r="B868" s="321" t="s">
        <v>4977</v>
      </c>
      <c r="C868" s="321" t="s">
        <v>4978</v>
      </c>
      <c r="D868" s="321" t="s">
        <v>4979</v>
      </c>
      <c r="E868" s="321" t="s">
        <v>4980</v>
      </c>
      <c r="F868" s="321" t="s">
        <v>1248</v>
      </c>
      <c r="G868" s="321" t="s">
        <v>1248</v>
      </c>
      <c r="H868" s="334" t="s">
        <v>1248</v>
      </c>
      <c r="I868" s="334"/>
    </row>
    <row r="869">
      <c r="A869" s="321" t="s">
        <v>1249</v>
      </c>
      <c r="B869" s="321" t="s">
        <v>4981</v>
      </c>
      <c r="C869" s="321" t="s">
        <v>4982</v>
      </c>
      <c r="D869" s="321" t="s">
        <v>4983</v>
      </c>
      <c r="E869" s="321" t="s">
        <v>4984</v>
      </c>
      <c r="F869" s="321" t="s">
        <v>1249</v>
      </c>
      <c r="G869" s="321" t="s">
        <v>1249</v>
      </c>
      <c r="H869" s="335" t="s">
        <v>1249</v>
      </c>
      <c r="I869" s="335"/>
    </row>
    <row r="870">
      <c r="A870" s="321" t="s">
        <v>1293</v>
      </c>
      <c r="B870" s="321" t="s">
        <v>4985</v>
      </c>
      <c r="C870" s="321" t="s">
        <v>4986</v>
      </c>
      <c r="D870" s="321" t="s">
        <v>4987</v>
      </c>
      <c r="E870" s="321" t="s">
        <v>4988</v>
      </c>
      <c r="F870" s="321" t="s">
        <v>1293</v>
      </c>
      <c r="G870" s="321" t="s">
        <v>1293</v>
      </c>
      <c r="H870" s="334" t="s">
        <v>1293</v>
      </c>
      <c r="I870" s="334"/>
    </row>
    <row r="871">
      <c r="A871" s="321" t="s">
        <v>1294</v>
      </c>
      <c r="B871" s="321" t="s">
        <v>4989</v>
      </c>
      <c r="C871" s="321" t="s">
        <v>4990</v>
      </c>
      <c r="D871" s="321" t="s">
        <v>4991</v>
      </c>
      <c r="E871" s="321" t="s">
        <v>4992</v>
      </c>
      <c r="F871" s="321" t="s">
        <v>1294</v>
      </c>
      <c r="G871" s="321" t="s">
        <v>1294</v>
      </c>
      <c r="H871" s="335" t="s">
        <v>1294</v>
      </c>
      <c r="I871" s="335"/>
    </row>
    <row r="872">
      <c r="A872" s="321" t="s">
        <v>4993</v>
      </c>
      <c r="B872" s="321" t="s">
        <v>4994</v>
      </c>
      <c r="C872" s="321" t="s">
        <v>4995</v>
      </c>
      <c r="D872" s="321" t="s">
        <v>4996</v>
      </c>
      <c r="E872" s="321" t="s">
        <v>4997</v>
      </c>
      <c r="F872" s="321" t="s">
        <v>4993</v>
      </c>
      <c r="G872" s="321" t="s">
        <v>4993</v>
      </c>
      <c r="H872" s="334" t="s">
        <v>4993</v>
      </c>
      <c r="I872" s="334"/>
    </row>
    <row r="873">
      <c r="A873" s="321" t="s">
        <v>4998</v>
      </c>
      <c r="B873" s="321" t="s">
        <v>4999</v>
      </c>
      <c r="C873" s="321" t="s">
        <v>5000</v>
      </c>
      <c r="D873" s="321" t="s">
        <v>5001</v>
      </c>
      <c r="E873" s="321" t="s">
        <v>5002</v>
      </c>
      <c r="F873" s="321" t="s">
        <v>4998</v>
      </c>
      <c r="G873" s="321" t="s">
        <v>4998</v>
      </c>
      <c r="H873" s="335" t="s">
        <v>4998</v>
      </c>
      <c r="I873" s="335"/>
    </row>
    <row r="874">
      <c r="A874" s="321" t="s">
        <v>5003</v>
      </c>
      <c r="B874" s="321" t="s">
        <v>5004</v>
      </c>
      <c r="C874" s="321" t="s">
        <v>5005</v>
      </c>
      <c r="D874" s="321" t="s">
        <v>5006</v>
      </c>
      <c r="E874" s="321" t="s">
        <v>5007</v>
      </c>
      <c r="F874" s="321" t="s">
        <v>5003</v>
      </c>
      <c r="G874" s="321" t="s">
        <v>5003</v>
      </c>
      <c r="H874" s="334" t="s">
        <v>5003</v>
      </c>
      <c r="I874" s="334"/>
    </row>
    <row r="875">
      <c r="A875" s="321" t="s">
        <v>5008</v>
      </c>
      <c r="B875" s="321" t="s">
        <v>5009</v>
      </c>
      <c r="C875" s="321" t="s">
        <v>5010</v>
      </c>
      <c r="D875" s="321" t="s">
        <v>5011</v>
      </c>
      <c r="E875" s="321" t="s">
        <v>5012</v>
      </c>
      <c r="F875" s="321" t="s">
        <v>5008</v>
      </c>
      <c r="G875" s="321" t="s">
        <v>5008</v>
      </c>
      <c r="H875" s="335" t="s">
        <v>5008</v>
      </c>
      <c r="I875" s="335"/>
    </row>
    <row r="876">
      <c r="A876" s="321" t="s">
        <v>5013</v>
      </c>
      <c r="B876" s="321" t="s">
        <v>5014</v>
      </c>
      <c r="C876" s="321" t="s">
        <v>5015</v>
      </c>
      <c r="D876" s="321" t="s">
        <v>5016</v>
      </c>
      <c r="E876" s="321" t="s">
        <v>5017</v>
      </c>
      <c r="F876" s="321" t="s">
        <v>5013</v>
      </c>
      <c r="G876" s="321" t="s">
        <v>5013</v>
      </c>
      <c r="H876" s="334" t="s">
        <v>5013</v>
      </c>
      <c r="I876" s="334"/>
    </row>
    <row r="877">
      <c r="A877" s="321" t="s">
        <v>5018</v>
      </c>
      <c r="B877" s="321" t="s">
        <v>5019</v>
      </c>
      <c r="C877" s="321" t="s">
        <v>5020</v>
      </c>
      <c r="D877" s="321" t="s">
        <v>5021</v>
      </c>
      <c r="E877" s="321" t="s">
        <v>5022</v>
      </c>
      <c r="F877" s="321" t="s">
        <v>5018</v>
      </c>
      <c r="G877" s="321" t="s">
        <v>5018</v>
      </c>
      <c r="H877" s="335" t="s">
        <v>5018</v>
      </c>
      <c r="I877" s="335"/>
    </row>
    <row r="878">
      <c r="A878" s="321" t="s">
        <v>5023</v>
      </c>
      <c r="B878" s="321" t="s">
        <v>5024</v>
      </c>
      <c r="C878" s="321" t="s">
        <v>5025</v>
      </c>
      <c r="D878" s="321" t="s">
        <v>5026</v>
      </c>
      <c r="E878" s="321" t="s">
        <v>5027</v>
      </c>
      <c r="F878" s="321" t="s">
        <v>5023</v>
      </c>
      <c r="G878" s="321" t="s">
        <v>5023</v>
      </c>
      <c r="H878" s="334" t="s">
        <v>5023</v>
      </c>
      <c r="I878" s="334"/>
    </row>
    <row r="879">
      <c r="A879" s="321" t="s">
        <v>5028</v>
      </c>
      <c r="B879" s="321" t="s">
        <v>5029</v>
      </c>
      <c r="C879" s="321" t="s">
        <v>5030</v>
      </c>
      <c r="D879" s="321" t="s">
        <v>5031</v>
      </c>
      <c r="E879" s="321" t="s">
        <v>5032</v>
      </c>
      <c r="F879" s="321" t="s">
        <v>5028</v>
      </c>
      <c r="G879" s="321" t="s">
        <v>5028</v>
      </c>
      <c r="H879" s="335" t="s">
        <v>5028</v>
      </c>
      <c r="I879" s="335"/>
    </row>
    <row r="880">
      <c r="A880" s="321" t="s">
        <v>5033</v>
      </c>
      <c r="B880" s="321" t="s">
        <v>5034</v>
      </c>
      <c r="C880" s="321" t="s">
        <v>5035</v>
      </c>
      <c r="D880" s="321" t="s">
        <v>5036</v>
      </c>
      <c r="E880" s="321" t="s">
        <v>5037</v>
      </c>
      <c r="F880" s="321" t="s">
        <v>5033</v>
      </c>
      <c r="G880" s="321" t="s">
        <v>5033</v>
      </c>
      <c r="H880" s="334" t="s">
        <v>5033</v>
      </c>
      <c r="I880" s="334"/>
    </row>
    <row r="881">
      <c r="A881" s="321" t="s">
        <v>5038</v>
      </c>
      <c r="B881" s="321" t="s">
        <v>5039</v>
      </c>
      <c r="C881" s="321" t="s">
        <v>5040</v>
      </c>
      <c r="D881" s="321" t="s">
        <v>5041</v>
      </c>
      <c r="E881" s="321" t="s">
        <v>5042</v>
      </c>
      <c r="F881" s="321" t="s">
        <v>5038</v>
      </c>
      <c r="G881" s="321" t="s">
        <v>5038</v>
      </c>
      <c r="H881" s="335" t="s">
        <v>5038</v>
      </c>
      <c r="I881" s="335"/>
    </row>
    <row r="882">
      <c r="A882" s="321" t="s">
        <v>1295</v>
      </c>
      <c r="B882" s="321" t="s">
        <v>5043</v>
      </c>
      <c r="C882" s="321" t="s">
        <v>5044</v>
      </c>
      <c r="D882" s="321" t="s">
        <v>5045</v>
      </c>
      <c r="E882" s="321" t="s">
        <v>5046</v>
      </c>
      <c r="F882" s="321" t="s">
        <v>1295</v>
      </c>
      <c r="G882" s="321" t="s">
        <v>1295</v>
      </c>
      <c r="H882" s="334" t="s">
        <v>1295</v>
      </c>
      <c r="I882" s="334"/>
    </row>
    <row r="883">
      <c r="A883" s="321" t="s">
        <v>5047</v>
      </c>
      <c r="B883" s="321" t="s">
        <v>5048</v>
      </c>
      <c r="C883" s="321" t="s">
        <v>5049</v>
      </c>
      <c r="D883" s="321" t="s">
        <v>5050</v>
      </c>
      <c r="E883" s="321" t="s">
        <v>5051</v>
      </c>
      <c r="F883" s="321" t="s">
        <v>5047</v>
      </c>
      <c r="G883" s="321" t="s">
        <v>5047</v>
      </c>
      <c r="H883" s="335" t="s">
        <v>5047</v>
      </c>
      <c r="I883" s="335"/>
    </row>
    <row r="884">
      <c r="A884" s="321" t="s">
        <v>5052</v>
      </c>
      <c r="B884" s="321" t="s">
        <v>5053</v>
      </c>
      <c r="C884" s="321" t="s">
        <v>5054</v>
      </c>
      <c r="D884" s="321" t="s">
        <v>5055</v>
      </c>
      <c r="E884" s="321" t="s">
        <v>5056</v>
      </c>
      <c r="F884" s="321" t="s">
        <v>5052</v>
      </c>
      <c r="G884" s="321" t="s">
        <v>5052</v>
      </c>
      <c r="H884" s="334" t="s">
        <v>5052</v>
      </c>
      <c r="I884" s="334"/>
    </row>
    <row r="885">
      <c r="A885" s="321" t="s">
        <v>5057</v>
      </c>
      <c r="B885" s="321" t="s">
        <v>5058</v>
      </c>
      <c r="C885" s="321" t="s">
        <v>5059</v>
      </c>
      <c r="D885" s="321" t="s">
        <v>5060</v>
      </c>
      <c r="E885" s="321" t="s">
        <v>5057</v>
      </c>
      <c r="F885" s="321" t="s">
        <v>5057</v>
      </c>
      <c r="G885" s="321" t="s">
        <v>5057</v>
      </c>
      <c r="H885" s="335" t="s">
        <v>5057</v>
      </c>
      <c r="I885" s="335"/>
    </row>
    <row r="886">
      <c r="A886" s="321" t="s">
        <v>5061</v>
      </c>
      <c r="B886" s="321" t="s">
        <v>5062</v>
      </c>
      <c r="C886" s="321" t="s">
        <v>5063</v>
      </c>
      <c r="D886" s="321" t="s">
        <v>5064</v>
      </c>
      <c r="E886" s="321" t="s">
        <v>5065</v>
      </c>
      <c r="F886" s="321" t="s">
        <v>5061</v>
      </c>
      <c r="G886" s="321" t="s">
        <v>5061</v>
      </c>
      <c r="H886" s="334" t="s">
        <v>5061</v>
      </c>
      <c r="I886" s="334"/>
    </row>
    <row r="887">
      <c r="A887" s="321" t="s">
        <v>1097</v>
      </c>
      <c r="B887" s="321" t="s">
        <v>5066</v>
      </c>
      <c r="C887" s="321" t="s">
        <v>5067</v>
      </c>
      <c r="D887" s="321" t="s">
        <v>5068</v>
      </c>
      <c r="E887" s="321" t="s">
        <v>5069</v>
      </c>
      <c r="F887" s="321" t="s">
        <v>1097</v>
      </c>
      <c r="G887" s="321" t="s">
        <v>1097</v>
      </c>
      <c r="H887" s="335" t="s">
        <v>1097</v>
      </c>
      <c r="I887" s="335"/>
    </row>
    <row r="888">
      <c r="A888" s="321" t="s">
        <v>1098</v>
      </c>
      <c r="B888" s="321" t="s">
        <v>5070</v>
      </c>
      <c r="C888" s="321" t="s">
        <v>5071</v>
      </c>
      <c r="D888" s="321" t="s">
        <v>5072</v>
      </c>
      <c r="E888" s="321" t="s">
        <v>5073</v>
      </c>
      <c r="F888" s="321" t="s">
        <v>1098</v>
      </c>
      <c r="G888" s="321" t="s">
        <v>1098</v>
      </c>
      <c r="H888" s="334" t="s">
        <v>1098</v>
      </c>
      <c r="I888" s="334"/>
    </row>
    <row r="889">
      <c r="A889" s="321" t="s">
        <v>1199</v>
      </c>
      <c r="B889" s="321" t="s">
        <v>5074</v>
      </c>
      <c r="C889" s="321" t="s">
        <v>5075</v>
      </c>
      <c r="D889" s="321" t="s">
        <v>5076</v>
      </c>
      <c r="E889" s="321" t="s">
        <v>5077</v>
      </c>
      <c r="F889" s="321" t="s">
        <v>1199</v>
      </c>
      <c r="G889" s="321" t="s">
        <v>1199</v>
      </c>
      <c r="H889" s="335" t="s">
        <v>1199</v>
      </c>
      <c r="I889" s="335"/>
    </row>
    <row r="890">
      <c r="A890" s="321" t="s">
        <v>1200</v>
      </c>
      <c r="B890" s="321" t="s">
        <v>5078</v>
      </c>
      <c r="C890" s="321" t="s">
        <v>5079</v>
      </c>
      <c r="D890" s="321" t="s">
        <v>5080</v>
      </c>
      <c r="E890" s="321" t="s">
        <v>5081</v>
      </c>
      <c r="F890" s="321" t="s">
        <v>1200</v>
      </c>
      <c r="G890" s="321" t="s">
        <v>1200</v>
      </c>
      <c r="H890" s="334" t="s">
        <v>1200</v>
      </c>
      <c r="I890" s="334"/>
    </row>
    <row r="891">
      <c r="A891" s="321" t="s">
        <v>5082</v>
      </c>
      <c r="B891" s="321" t="s">
        <v>5083</v>
      </c>
      <c r="C891" s="321" t="s">
        <v>5084</v>
      </c>
      <c r="D891" s="321" t="s">
        <v>5085</v>
      </c>
      <c r="E891" s="321" t="s">
        <v>5086</v>
      </c>
      <c r="F891" s="321" t="s">
        <v>5082</v>
      </c>
      <c r="G891" s="321" t="s">
        <v>5082</v>
      </c>
      <c r="H891" s="335" t="s">
        <v>5082</v>
      </c>
      <c r="I891" s="335"/>
    </row>
    <row r="892">
      <c r="A892" s="321" t="s">
        <v>5087</v>
      </c>
      <c r="B892" s="321" t="s">
        <v>5088</v>
      </c>
      <c r="C892" s="321" t="s">
        <v>5089</v>
      </c>
      <c r="D892" s="321" t="s">
        <v>5090</v>
      </c>
      <c r="E892" s="321" t="s">
        <v>5091</v>
      </c>
      <c r="F892" s="321" t="s">
        <v>5087</v>
      </c>
      <c r="G892" s="321" t="s">
        <v>5087</v>
      </c>
      <c r="H892" s="334" t="s">
        <v>5087</v>
      </c>
      <c r="I892" s="334"/>
    </row>
    <row r="893">
      <c r="A893" s="321" t="s">
        <v>5092</v>
      </c>
      <c r="B893" s="321" t="s">
        <v>5093</v>
      </c>
      <c r="C893" s="321" t="s">
        <v>5094</v>
      </c>
      <c r="D893" s="321" t="s">
        <v>5095</v>
      </c>
      <c r="E893" s="321" t="s">
        <v>5096</v>
      </c>
      <c r="F893" s="321" t="s">
        <v>5092</v>
      </c>
      <c r="G893" s="321" t="s">
        <v>5092</v>
      </c>
      <c r="H893" s="335" t="s">
        <v>5092</v>
      </c>
      <c r="I893" s="335"/>
    </row>
    <row r="894">
      <c r="A894" s="321" t="s">
        <v>5097</v>
      </c>
      <c r="B894" s="321" t="s">
        <v>5098</v>
      </c>
      <c r="C894" s="321" t="s">
        <v>5099</v>
      </c>
      <c r="D894" s="321" t="s">
        <v>5100</v>
      </c>
      <c r="E894" s="321" t="s">
        <v>5101</v>
      </c>
      <c r="F894" s="321" t="s">
        <v>5097</v>
      </c>
      <c r="G894" s="321" t="s">
        <v>5097</v>
      </c>
      <c r="H894" s="334" t="s">
        <v>5097</v>
      </c>
      <c r="I894" s="334"/>
    </row>
    <row r="895">
      <c r="A895" s="321" t="s">
        <v>5102</v>
      </c>
      <c r="B895" s="321" t="s">
        <v>5103</v>
      </c>
      <c r="C895" s="321" t="s">
        <v>5104</v>
      </c>
      <c r="D895" s="321" t="s">
        <v>5105</v>
      </c>
      <c r="E895" s="321" t="s">
        <v>5106</v>
      </c>
      <c r="F895" s="321" t="s">
        <v>5102</v>
      </c>
      <c r="G895" s="321" t="s">
        <v>5102</v>
      </c>
      <c r="H895" s="335" t="s">
        <v>5102</v>
      </c>
      <c r="I895" s="335"/>
    </row>
    <row r="896">
      <c r="A896" s="321" t="s">
        <v>5107</v>
      </c>
      <c r="B896" s="321" t="s">
        <v>5108</v>
      </c>
      <c r="C896" s="321" t="s">
        <v>5109</v>
      </c>
      <c r="D896" s="321" t="s">
        <v>5110</v>
      </c>
      <c r="E896" s="321" t="s">
        <v>5111</v>
      </c>
      <c r="F896" s="321" t="s">
        <v>5107</v>
      </c>
      <c r="G896" s="321" t="s">
        <v>5107</v>
      </c>
      <c r="H896" s="334" t="s">
        <v>5107</v>
      </c>
      <c r="I896" s="334"/>
    </row>
    <row r="897">
      <c r="A897" s="321" t="s">
        <v>5112</v>
      </c>
      <c r="B897" s="321" t="s">
        <v>5113</v>
      </c>
      <c r="C897" s="321" t="s">
        <v>5114</v>
      </c>
      <c r="D897" s="321" t="s">
        <v>5115</v>
      </c>
      <c r="E897" s="321" t="s">
        <v>5116</v>
      </c>
      <c r="F897" s="321" t="s">
        <v>5112</v>
      </c>
      <c r="G897" s="321" t="s">
        <v>5112</v>
      </c>
      <c r="H897" s="335" t="s">
        <v>5112</v>
      </c>
      <c r="I897" s="335"/>
    </row>
    <row r="898">
      <c r="A898" s="321" t="s">
        <v>5117</v>
      </c>
      <c r="B898" s="321" t="s">
        <v>5118</v>
      </c>
      <c r="C898" s="321" t="s">
        <v>5119</v>
      </c>
      <c r="D898" s="321" t="s">
        <v>5120</v>
      </c>
      <c r="E898" s="321" t="s">
        <v>5121</v>
      </c>
      <c r="F898" s="321" t="s">
        <v>5117</v>
      </c>
      <c r="G898" s="321" t="s">
        <v>5117</v>
      </c>
      <c r="H898" s="334" t="s">
        <v>5117</v>
      </c>
      <c r="I898" s="334"/>
    </row>
    <row r="899">
      <c r="A899" s="321" t="s">
        <v>5122</v>
      </c>
      <c r="B899" s="321" t="s">
        <v>5123</v>
      </c>
      <c r="C899" s="321" t="s">
        <v>5124</v>
      </c>
      <c r="D899" s="321" t="s">
        <v>5125</v>
      </c>
      <c r="E899" s="321" t="s">
        <v>5126</v>
      </c>
      <c r="F899" s="321" t="s">
        <v>5122</v>
      </c>
      <c r="G899" s="321" t="s">
        <v>5122</v>
      </c>
      <c r="H899" s="335" t="s">
        <v>5122</v>
      </c>
      <c r="I899" s="335"/>
    </row>
    <row r="900">
      <c r="A900" s="321" t="s">
        <v>5127</v>
      </c>
      <c r="B900" s="321" t="s">
        <v>5128</v>
      </c>
      <c r="C900" s="321" t="s">
        <v>5129</v>
      </c>
      <c r="D900" s="321" t="s">
        <v>5130</v>
      </c>
      <c r="E900" s="321" t="s">
        <v>5131</v>
      </c>
      <c r="F900" s="321" t="s">
        <v>5127</v>
      </c>
      <c r="G900" s="321" t="s">
        <v>5127</v>
      </c>
      <c r="H900" s="334" t="s">
        <v>5127</v>
      </c>
      <c r="I900" s="334"/>
    </row>
    <row r="901">
      <c r="A901" s="321" t="s">
        <v>5132</v>
      </c>
      <c r="B901" s="321" t="s">
        <v>5133</v>
      </c>
      <c r="C901" s="321" t="s">
        <v>5134</v>
      </c>
      <c r="D901" s="321" t="s">
        <v>5135</v>
      </c>
      <c r="E901" s="321" t="s">
        <v>5136</v>
      </c>
      <c r="F901" s="321" t="s">
        <v>5132</v>
      </c>
      <c r="G901" s="321" t="s">
        <v>5132</v>
      </c>
      <c r="H901" s="335" t="s">
        <v>5132</v>
      </c>
      <c r="I901" s="335"/>
    </row>
    <row r="902">
      <c r="A902" s="321" t="s">
        <v>5137</v>
      </c>
      <c r="B902" s="321" t="s">
        <v>5138</v>
      </c>
      <c r="C902" s="321" t="s">
        <v>5139</v>
      </c>
      <c r="D902" s="321" t="s">
        <v>5140</v>
      </c>
      <c r="E902" s="321" t="s">
        <v>5141</v>
      </c>
      <c r="F902" s="321" t="s">
        <v>5142</v>
      </c>
      <c r="G902" s="321" t="s">
        <v>5142</v>
      </c>
      <c r="H902" s="334" t="s">
        <v>5137</v>
      </c>
      <c r="I902" s="334"/>
    </row>
    <row r="903">
      <c r="A903" s="321" t="s">
        <v>5143</v>
      </c>
      <c r="B903" s="321" t="s">
        <v>5144</v>
      </c>
      <c r="C903" s="321" t="s">
        <v>5145</v>
      </c>
      <c r="D903" s="321" t="s">
        <v>5146</v>
      </c>
      <c r="E903" s="321" t="s">
        <v>5147</v>
      </c>
      <c r="F903" s="321" t="s">
        <v>5143</v>
      </c>
      <c r="G903" s="321" t="s">
        <v>5143</v>
      </c>
      <c r="H903" s="335" t="s">
        <v>5143</v>
      </c>
      <c r="I903" s="335"/>
    </row>
    <row r="904">
      <c r="A904" s="321" t="s">
        <v>5148</v>
      </c>
      <c r="B904" s="321" t="s">
        <v>5149</v>
      </c>
      <c r="C904" s="321" t="s">
        <v>5150</v>
      </c>
      <c r="D904" s="321" t="s">
        <v>5151</v>
      </c>
      <c r="E904" s="321" t="s">
        <v>5152</v>
      </c>
      <c r="F904" s="321" t="s">
        <v>5148</v>
      </c>
      <c r="G904" s="321" t="s">
        <v>5148</v>
      </c>
      <c r="H904" s="334" t="s">
        <v>5148</v>
      </c>
      <c r="I904" s="334"/>
    </row>
    <row r="905">
      <c r="A905" s="321" t="s">
        <v>5153</v>
      </c>
      <c r="B905" s="321" t="s">
        <v>5154</v>
      </c>
      <c r="C905" s="321" t="s">
        <v>5155</v>
      </c>
      <c r="D905" s="321" t="s">
        <v>5156</v>
      </c>
      <c r="E905" s="321" t="s">
        <v>5157</v>
      </c>
      <c r="F905" s="321" t="s">
        <v>5153</v>
      </c>
      <c r="G905" s="321" t="s">
        <v>5153</v>
      </c>
      <c r="H905" s="335" t="s">
        <v>5153</v>
      </c>
      <c r="I905" s="335"/>
    </row>
    <row r="906">
      <c r="A906" s="321" t="s">
        <v>5158</v>
      </c>
      <c r="B906" s="321" t="s">
        <v>5159</v>
      </c>
      <c r="C906" s="321" t="s">
        <v>5160</v>
      </c>
      <c r="D906" s="321" t="s">
        <v>5161</v>
      </c>
      <c r="E906" s="321" t="s">
        <v>5162</v>
      </c>
      <c r="F906" s="321" t="s">
        <v>5158</v>
      </c>
      <c r="G906" s="321" t="s">
        <v>5158</v>
      </c>
      <c r="H906" s="334" t="s">
        <v>5158</v>
      </c>
      <c r="I906" s="334"/>
    </row>
    <row r="907">
      <c r="A907" s="321" t="s">
        <v>5163</v>
      </c>
      <c r="B907" s="321" t="s">
        <v>5164</v>
      </c>
      <c r="C907" s="321" t="s">
        <v>5165</v>
      </c>
      <c r="D907" s="321" t="s">
        <v>5166</v>
      </c>
      <c r="E907" s="321" t="s">
        <v>5167</v>
      </c>
      <c r="F907" s="321" t="s">
        <v>5163</v>
      </c>
      <c r="G907" s="321" t="s">
        <v>5163</v>
      </c>
      <c r="H907" s="335" t="s">
        <v>5163</v>
      </c>
      <c r="I907" s="335"/>
    </row>
    <row r="908">
      <c r="A908" s="321" t="s">
        <v>1153</v>
      </c>
      <c r="B908" s="321" t="s">
        <v>5168</v>
      </c>
      <c r="C908" s="321" t="s">
        <v>5169</v>
      </c>
      <c r="D908" s="321" t="s">
        <v>5170</v>
      </c>
      <c r="E908" s="321" t="s">
        <v>5171</v>
      </c>
      <c r="F908" s="321" t="s">
        <v>1153</v>
      </c>
      <c r="G908" s="321" t="s">
        <v>1153</v>
      </c>
      <c r="H908" s="334" t="s">
        <v>1153</v>
      </c>
      <c r="I908" s="334"/>
    </row>
    <row r="909">
      <c r="A909" s="321" t="s">
        <v>1135</v>
      </c>
      <c r="B909" s="321" t="s">
        <v>5172</v>
      </c>
      <c r="C909" s="321" t="s">
        <v>5173</v>
      </c>
      <c r="D909" s="321" t="s">
        <v>5174</v>
      </c>
      <c r="E909" s="321" t="s">
        <v>5175</v>
      </c>
      <c r="F909" s="321" t="s">
        <v>1135</v>
      </c>
      <c r="G909" s="321" t="s">
        <v>1135</v>
      </c>
      <c r="H909" s="335" t="s">
        <v>1135</v>
      </c>
      <c r="I909" s="335"/>
    </row>
    <row r="910">
      <c r="A910" s="321" t="s">
        <v>1136</v>
      </c>
      <c r="B910" s="321" t="s">
        <v>5176</v>
      </c>
      <c r="C910" s="321" t="s">
        <v>5177</v>
      </c>
      <c r="D910" s="321" t="s">
        <v>5178</v>
      </c>
      <c r="E910" s="321" t="s">
        <v>5179</v>
      </c>
      <c r="F910" s="321" t="s">
        <v>1136</v>
      </c>
      <c r="G910" s="321" t="s">
        <v>1136</v>
      </c>
      <c r="H910" s="334" t="s">
        <v>1136</v>
      </c>
      <c r="I910" s="334"/>
    </row>
    <row r="911">
      <c r="A911" s="321" t="s">
        <v>1308</v>
      </c>
      <c r="B911" s="321" t="s">
        <v>5180</v>
      </c>
      <c r="C911" s="321" t="s">
        <v>5181</v>
      </c>
      <c r="D911" s="321" t="s">
        <v>5182</v>
      </c>
      <c r="E911" s="321" t="s">
        <v>5183</v>
      </c>
      <c r="F911" s="321" t="s">
        <v>1308</v>
      </c>
      <c r="G911" s="321" t="s">
        <v>1308</v>
      </c>
      <c r="H911" s="335" t="s">
        <v>1308</v>
      </c>
      <c r="I911" s="335"/>
    </row>
    <row r="912">
      <c r="A912" s="321" t="s">
        <v>5184</v>
      </c>
      <c r="B912" s="321" t="s">
        <v>5185</v>
      </c>
      <c r="C912" s="321" t="s">
        <v>5186</v>
      </c>
      <c r="D912" s="321" t="s">
        <v>5187</v>
      </c>
      <c r="E912" s="321" t="s">
        <v>5188</v>
      </c>
      <c r="F912" s="321" t="s">
        <v>5184</v>
      </c>
      <c r="G912" s="321" t="s">
        <v>5184</v>
      </c>
      <c r="H912" s="334" t="s">
        <v>5184</v>
      </c>
      <c r="I912" s="334"/>
    </row>
    <row r="913">
      <c r="A913" s="321" t="s">
        <v>5189</v>
      </c>
      <c r="B913" s="321" t="s">
        <v>5190</v>
      </c>
      <c r="C913" s="321" t="s">
        <v>5191</v>
      </c>
      <c r="D913" s="321" t="s">
        <v>5192</v>
      </c>
      <c r="E913" s="321" t="s">
        <v>5193</v>
      </c>
      <c r="F913" s="321" t="s">
        <v>5189</v>
      </c>
      <c r="G913" s="321" t="s">
        <v>5189</v>
      </c>
      <c r="H913" s="335" t="s">
        <v>5189</v>
      </c>
      <c r="I913" s="335"/>
    </row>
    <row r="914">
      <c r="A914" s="321" t="s">
        <v>5194</v>
      </c>
      <c r="B914" s="321" t="s">
        <v>5194</v>
      </c>
      <c r="C914" s="321" t="s">
        <v>5195</v>
      </c>
      <c r="D914" s="321" t="s">
        <v>5196</v>
      </c>
      <c r="E914" s="321" t="s">
        <v>5194</v>
      </c>
      <c r="F914" s="321" t="s">
        <v>5194</v>
      </c>
      <c r="G914" s="321" t="s">
        <v>5194</v>
      </c>
      <c r="H914" s="334" t="s">
        <v>5194</v>
      </c>
      <c r="I914" s="334"/>
    </row>
    <row r="915">
      <c r="A915" s="321" t="s">
        <v>5197</v>
      </c>
      <c r="B915" s="321" t="s">
        <v>5198</v>
      </c>
      <c r="C915" s="321" t="s">
        <v>5199</v>
      </c>
      <c r="D915" s="321" t="s">
        <v>5200</v>
      </c>
      <c r="E915" s="321" t="s">
        <v>5201</v>
      </c>
      <c r="F915" s="321" t="s">
        <v>5197</v>
      </c>
      <c r="G915" s="321" t="s">
        <v>5197</v>
      </c>
      <c r="H915" s="335" t="s">
        <v>5197</v>
      </c>
      <c r="I915" s="335"/>
    </row>
    <row r="916">
      <c r="A916" s="321" t="s">
        <v>5202</v>
      </c>
      <c r="B916" s="321" t="s">
        <v>5203</v>
      </c>
      <c r="C916" s="321" t="s">
        <v>5204</v>
      </c>
      <c r="D916" s="321" t="s">
        <v>5205</v>
      </c>
      <c r="E916" s="321" t="s">
        <v>5206</v>
      </c>
      <c r="F916" s="321" t="s">
        <v>5202</v>
      </c>
      <c r="G916" s="321" t="s">
        <v>5202</v>
      </c>
      <c r="H916" s="334" t="s">
        <v>5202</v>
      </c>
      <c r="I916" s="334"/>
    </row>
    <row r="917">
      <c r="A917" s="321" t="s">
        <v>5207</v>
      </c>
      <c r="B917" s="321" t="s">
        <v>5208</v>
      </c>
      <c r="C917" s="321" t="s">
        <v>5209</v>
      </c>
      <c r="D917" s="321" t="s">
        <v>5210</v>
      </c>
      <c r="E917" s="321" t="s">
        <v>5211</v>
      </c>
      <c r="F917" s="321" t="s">
        <v>5207</v>
      </c>
      <c r="G917" s="321" t="s">
        <v>5207</v>
      </c>
      <c r="H917" s="335" t="s">
        <v>5207</v>
      </c>
      <c r="I917" s="335"/>
    </row>
    <row r="918">
      <c r="A918" s="321" t="s">
        <v>5212</v>
      </c>
      <c r="B918" s="321" t="s">
        <v>5213</v>
      </c>
      <c r="C918" s="321" t="s">
        <v>5214</v>
      </c>
      <c r="D918" s="321" t="s">
        <v>5215</v>
      </c>
      <c r="E918" s="321" t="s">
        <v>5216</v>
      </c>
      <c r="F918" s="321" t="s">
        <v>5212</v>
      </c>
      <c r="G918" s="321" t="s">
        <v>5212</v>
      </c>
      <c r="H918" s="334" t="s">
        <v>5212</v>
      </c>
      <c r="I918" s="334"/>
    </row>
    <row r="919">
      <c r="A919" s="321" t="s">
        <v>5217</v>
      </c>
      <c r="B919" s="321" t="s">
        <v>5218</v>
      </c>
      <c r="C919" s="321" t="s">
        <v>5219</v>
      </c>
      <c r="D919" s="321" t="s">
        <v>5220</v>
      </c>
      <c r="E919" s="321" t="s">
        <v>5221</v>
      </c>
      <c r="F919" s="321" t="s">
        <v>5217</v>
      </c>
      <c r="G919" s="321" t="s">
        <v>5217</v>
      </c>
      <c r="H919" s="335" t="s">
        <v>5217</v>
      </c>
      <c r="I919" s="335"/>
    </row>
    <row r="920">
      <c r="A920" s="321" t="s">
        <v>5222</v>
      </c>
      <c r="B920" s="321" t="s">
        <v>5223</v>
      </c>
      <c r="C920" s="321" t="s">
        <v>5224</v>
      </c>
      <c r="D920" s="321" t="s">
        <v>5225</v>
      </c>
      <c r="E920" s="321" t="s">
        <v>5226</v>
      </c>
      <c r="F920" s="321" t="s">
        <v>5222</v>
      </c>
      <c r="G920" s="321" t="s">
        <v>5222</v>
      </c>
      <c r="H920" s="334" t="s">
        <v>5222</v>
      </c>
      <c r="I920" s="334"/>
    </row>
    <row r="921">
      <c r="A921" s="321" t="s">
        <v>5227</v>
      </c>
      <c r="B921" s="321" t="s">
        <v>5228</v>
      </c>
      <c r="C921" s="321" t="s">
        <v>5229</v>
      </c>
      <c r="D921" s="321" t="s">
        <v>5230</v>
      </c>
      <c r="E921" s="321" t="s">
        <v>5227</v>
      </c>
      <c r="F921" s="321" t="s">
        <v>5227</v>
      </c>
      <c r="G921" s="321" t="s">
        <v>5227</v>
      </c>
      <c r="H921" s="335" t="s">
        <v>5227</v>
      </c>
      <c r="I921" s="335"/>
    </row>
    <row r="922">
      <c r="A922" s="321" t="s">
        <v>5231</v>
      </c>
      <c r="B922" s="321" t="s">
        <v>5232</v>
      </c>
      <c r="C922" s="321" t="s">
        <v>5233</v>
      </c>
      <c r="D922" s="321" t="s">
        <v>5234</v>
      </c>
      <c r="E922" s="321" t="s">
        <v>5235</v>
      </c>
      <c r="F922" s="321" t="s">
        <v>5231</v>
      </c>
      <c r="G922" s="321" t="s">
        <v>5231</v>
      </c>
      <c r="H922" s="334" t="s">
        <v>5231</v>
      </c>
      <c r="I922" s="334"/>
    </row>
    <row r="923">
      <c r="A923" s="321" t="s">
        <v>5236</v>
      </c>
      <c r="B923" s="321" t="s">
        <v>5237</v>
      </c>
      <c r="C923" s="321" t="s">
        <v>5238</v>
      </c>
      <c r="D923" s="321" t="s">
        <v>5239</v>
      </c>
      <c r="E923" s="321" t="s">
        <v>5240</v>
      </c>
      <c r="F923" s="321" t="s">
        <v>5236</v>
      </c>
      <c r="G923" s="321" t="s">
        <v>5236</v>
      </c>
      <c r="H923" s="335" t="s">
        <v>5236</v>
      </c>
      <c r="I923" s="335"/>
    </row>
    <row r="924">
      <c r="A924" s="321" t="s">
        <v>5241</v>
      </c>
      <c r="B924" s="321" t="s">
        <v>5242</v>
      </c>
      <c r="C924" s="321" t="s">
        <v>5243</v>
      </c>
      <c r="D924" s="321" t="s">
        <v>5244</v>
      </c>
      <c r="E924" s="321" t="s">
        <v>5245</v>
      </c>
      <c r="F924" s="321" t="s">
        <v>5241</v>
      </c>
      <c r="G924" s="321" t="s">
        <v>5241</v>
      </c>
      <c r="H924" s="334" t="s">
        <v>5241</v>
      </c>
      <c r="I924" s="334"/>
    </row>
    <row r="925">
      <c r="A925" s="321" t="s">
        <v>5246</v>
      </c>
      <c r="B925" s="321" t="s">
        <v>5246</v>
      </c>
      <c r="C925" s="321" t="s">
        <v>5247</v>
      </c>
      <c r="D925" s="321" t="s">
        <v>5248</v>
      </c>
      <c r="E925" s="321" t="s">
        <v>5246</v>
      </c>
      <c r="F925" s="321" t="s">
        <v>5246</v>
      </c>
      <c r="G925" s="321" t="s">
        <v>5246</v>
      </c>
      <c r="H925" s="335" t="s">
        <v>5246</v>
      </c>
      <c r="I925" s="335"/>
    </row>
    <row r="926">
      <c r="A926" s="321" t="s">
        <v>5249</v>
      </c>
      <c r="B926" s="321" t="s">
        <v>5249</v>
      </c>
      <c r="C926" s="321" t="s">
        <v>5250</v>
      </c>
      <c r="D926" s="321" t="s">
        <v>5249</v>
      </c>
      <c r="E926" s="321" t="s">
        <v>5249</v>
      </c>
      <c r="F926" s="321" t="s">
        <v>5249</v>
      </c>
      <c r="G926" s="321" t="s">
        <v>5249</v>
      </c>
      <c r="H926" s="334" t="s">
        <v>5249</v>
      </c>
      <c r="I926" s="334"/>
    </row>
    <row r="927">
      <c r="A927" s="321" t="s">
        <v>5251</v>
      </c>
      <c r="B927" s="321" t="s">
        <v>5252</v>
      </c>
      <c r="C927" s="321" t="s">
        <v>5253</v>
      </c>
      <c r="D927" s="321" t="s">
        <v>5254</v>
      </c>
      <c r="E927" s="321" t="s">
        <v>5255</v>
      </c>
      <c r="F927" s="321" t="s">
        <v>5251</v>
      </c>
      <c r="G927" s="321" t="s">
        <v>5251</v>
      </c>
      <c r="H927" s="335" t="s">
        <v>5251</v>
      </c>
      <c r="I927" s="335"/>
    </row>
    <row r="928">
      <c r="A928" s="321" t="s">
        <v>5256</v>
      </c>
      <c r="B928" s="321" t="s">
        <v>5257</v>
      </c>
      <c r="C928" s="321" t="s">
        <v>5258</v>
      </c>
      <c r="D928" s="321" t="s">
        <v>5259</v>
      </c>
      <c r="E928" s="321" t="s">
        <v>5259</v>
      </c>
      <c r="F928" s="321" t="s">
        <v>5256</v>
      </c>
      <c r="G928" s="321" t="s">
        <v>5256</v>
      </c>
      <c r="H928" s="334" t="s">
        <v>5256</v>
      </c>
      <c r="I928" s="334"/>
    </row>
    <row r="929">
      <c r="A929" s="321" t="s">
        <v>5260</v>
      </c>
      <c r="B929" s="321" t="s">
        <v>5261</v>
      </c>
      <c r="C929" s="321" t="s">
        <v>5262</v>
      </c>
      <c r="D929" s="321" t="s">
        <v>5263</v>
      </c>
      <c r="E929" s="321" t="s">
        <v>5264</v>
      </c>
      <c r="F929" s="321" t="s">
        <v>5260</v>
      </c>
      <c r="G929" s="321" t="s">
        <v>5260</v>
      </c>
      <c r="H929" s="335" t="s">
        <v>5260</v>
      </c>
      <c r="I929" s="335"/>
    </row>
    <row r="930">
      <c r="A930" s="321" t="s">
        <v>5265</v>
      </c>
      <c r="B930" s="321" t="s">
        <v>5265</v>
      </c>
      <c r="C930" s="321" t="s">
        <v>5266</v>
      </c>
      <c r="D930" s="321" t="s">
        <v>5267</v>
      </c>
      <c r="E930" s="321" t="s">
        <v>5265</v>
      </c>
      <c r="F930" s="321" t="s">
        <v>5265</v>
      </c>
      <c r="G930" s="321" t="s">
        <v>5265</v>
      </c>
      <c r="H930" s="334" t="s">
        <v>5265</v>
      </c>
      <c r="I930" s="334"/>
    </row>
    <row r="931">
      <c r="A931" s="321" t="s">
        <v>5268</v>
      </c>
      <c r="B931" s="321" t="s">
        <v>5268</v>
      </c>
      <c r="C931" s="321" t="s">
        <v>5269</v>
      </c>
      <c r="D931" s="321" t="s">
        <v>5270</v>
      </c>
      <c r="E931" s="321" t="s">
        <v>5268</v>
      </c>
      <c r="F931" s="321" t="s">
        <v>5268</v>
      </c>
      <c r="G931" s="321" t="s">
        <v>5268</v>
      </c>
      <c r="H931" s="335" t="s">
        <v>5268</v>
      </c>
      <c r="I931" s="335"/>
    </row>
    <row r="932">
      <c r="A932" s="321" t="s">
        <v>5271</v>
      </c>
      <c r="B932" s="321" t="s">
        <v>5271</v>
      </c>
      <c r="C932" s="321" t="s">
        <v>5272</v>
      </c>
      <c r="D932" s="321" t="s">
        <v>5273</v>
      </c>
      <c r="E932" s="321" t="s">
        <v>5271</v>
      </c>
      <c r="F932" s="321" t="s">
        <v>5271</v>
      </c>
      <c r="G932" s="321" t="s">
        <v>5271</v>
      </c>
      <c r="H932" s="334" t="s">
        <v>5271</v>
      </c>
      <c r="I932" s="334"/>
    </row>
    <row r="933">
      <c r="A933" s="321" t="s">
        <v>5274</v>
      </c>
      <c r="B933" s="321" t="s">
        <v>5275</v>
      </c>
      <c r="C933" s="321" t="s">
        <v>5276</v>
      </c>
      <c r="D933" s="321" t="s">
        <v>5277</v>
      </c>
      <c r="E933" s="321" t="s">
        <v>5278</v>
      </c>
      <c r="F933" s="321" t="s">
        <v>5274</v>
      </c>
      <c r="G933" s="321" t="s">
        <v>5274</v>
      </c>
      <c r="H933" s="335" t="s">
        <v>5274</v>
      </c>
      <c r="I933" s="335"/>
    </row>
    <row r="934">
      <c r="A934" s="321" t="s">
        <v>5279</v>
      </c>
      <c r="B934" s="321" t="s">
        <v>5280</v>
      </c>
      <c r="C934" s="321" t="s">
        <v>5281</v>
      </c>
      <c r="D934" s="321" t="s">
        <v>5282</v>
      </c>
      <c r="E934" s="321" t="s">
        <v>5283</v>
      </c>
      <c r="F934" s="321" t="s">
        <v>5279</v>
      </c>
      <c r="G934" s="321" t="s">
        <v>5279</v>
      </c>
      <c r="H934" s="334" t="s">
        <v>5279</v>
      </c>
      <c r="I934" s="334"/>
    </row>
    <row r="935">
      <c r="A935" s="321" t="s">
        <v>5284</v>
      </c>
      <c r="B935" s="321" t="s">
        <v>5285</v>
      </c>
      <c r="C935" s="321" t="s">
        <v>5286</v>
      </c>
      <c r="D935" s="321" t="s">
        <v>5287</v>
      </c>
      <c r="E935" s="321" t="s">
        <v>5288</v>
      </c>
      <c r="F935" s="321" t="s">
        <v>5284</v>
      </c>
      <c r="G935" s="321" t="s">
        <v>5284</v>
      </c>
      <c r="H935" s="335" t="s">
        <v>5284</v>
      </c>
      <c r="I935" s="335"/>
    </row>
    <row r="936">
      <c r="A936" s="321" t="s">
        <v>5289</v>
      </c>
      <c r="B936" s="321" t="s">
        <v>5290</v>
      </c>
      <c r="C936" s="321" t="s">
        <v>5291</v>
      </c>
      <c r="D936" s="321" t="s">
        <v>5292</v>
      </c>
      <c r="E936" s="321" t="s">
        <v>5293</v>
      </c>
      <c r="F936" s="321" t="s">
        <v>5289</v>
      </c>
      <c r="G936" s="321" t="s">
        <v>5289</v>
      </c>
      <c r="H936" s="334" t="s">
        <v>5289</v>
      </c>
      <c r="I936" s="334"/>
    </row>
    <row r="937">
      <c r="A937" s="321" t="s">
        <v>5294</v>
      </c>
      <c r="B937" s="321" t="s">
        <v>5295</v>
      </c>
      <c r="C937" s="321" t="s">
        <v>5296</v>
      </c>
      <c r="D937" s="321" t="s">
        <v>5297</v>
      </c>
      <c r="E937" s="321" t="s">
        <v>5298</v>
      </c>
      <c r="F937" s="321" t="s">
        <v>5294</v>
      </c>
      <c r="G937" s="321" t="s">
        <v>5294</v>
      </c>
      <c r="H937" s="335" t="s">
        <v>5294</v>
      </c>
      <c r="I937" s="335"/>
    </row>
    <row r="938">
      <c r="A938" s="321" t="s">
        <v>5299</v>
      </c>
      <c r="B938" s="321" t="s">
        <v>5300</v>
      </c>
      <c r="C938" s="321" t="s">
        <v>5301</v>
      </c>
      <c r="D938" s="321" t="s">
        <v>5302</v>
      </c>
      <c r="E938" s="321" t="s">
        <v>5299</v>
      </c>
      <c r="F938" s="321" t="s">
        <v>5299</v>
      </c>
      <c r="G938" s="321" t="s">
        <v>5299</v>
      </c>
      <c r="H938" s="334" t="s">
        <v>5299</v>
      </c>
      <c r="I938" s="334"/>
    </row>
    <row r="939">
      <c r="A939" s="321" t="s">
        <v>5303</v>
      </c>
      <c r="B939" s="321" t="s">
        <v>5304</v>
      </c>
      <c r="C939" s="321" t="s">
        <v>5305</v>
      </c>
      <c r="D939" s="321" t="s">
        <v>5306</v>
      </c>
      <c r="E939" s="321" t="s">
        <v>5307</v>
      </c>
      <c r="F939" s="321" t="s">
        <v>5303</v>
      </c>
      <c r="G939" s="321" t="s">
        <v>5303</v>
      </c>
      <c r="H939" s="335" t="s">
        <v>5303</v>
      </c>
      <c r="I939" s="335"/>
    </row>
    <row r="940">
      <c r="A940" s="321" t="s">
        <v>5308</v>
      </c>
      <c r="B940" s="321" t="s">
        <v>5309</v>
      </c>
      <c r="C940" s="321" t="s">
        <v>5310</v>
      </c>
      <c r="D940" s="321" t="s">
        <v>5311</v>
      </c>
      <c r="E940" s="321" t="s">
        <v>5312</v>
      </c>
      <c r="F940" s="321" t="s">
        <v>5308</v>
      </c>
      <c r="G940" s="321" t="s">
        <v>5308</v>
      </c>
      <c r="H940" s="334" t="s">
        <v>5308</v>
      </c>
      <c r="I940" s="334"/>
    </row>
    <row r="941">
      <c r="A941" s="321" t="s">
        <v>5313</v>
      </c>
      <c r="B941" s="321" t="s">
        <v>5314</v>
      </c>
      <c r="C941" s="321" t="s">
        <v>5315</v>
      </c>
      <c r="D941" s="321" t="s">
        <v>5316</v>
      </c>
      <c r="E941" s="321" t="s">
        <v>5317</v>
      </c>
      <c r="F941" s="321" t="s">
        <v>5313</v>
      </c>
      <c r="G941" s="321" t="s">
        <v>5313</v>
      </c>
      <c r="H941" s="335" t="s">
        <v>5313</v>
      </c>
      <c r="I941" s="335"/>
    </row>
    <row r="942">
      <c r="A942" s="321" t="s">
        <v>5318</v>
      </c>
      <c r="B942" s="321" t="s">
        <v>5319</v>
      </c>
      <c r="C942" s="321" t="s">
        <v>5320</v>
      </c>
      <c r="D942" s="321" t="s">
        <v>5321</v>
      </c>
      <c r="E942" s="321" t="s">
        <v>5322</v>
      </c>
      <c r="F942" s="321" t="s">
        <v>5318</v>
      </c>
      <c r="G942" s="321" t="s">
        <v>5318</v>
      </c>
      <c r="H942" s="334" t="s">
        <v>5318</v>
      </c>
      <c r="I942" s="334"/>
    </row>
    <row r="943">
      <c r="A943" s="321" t="s">
        <v>1472</v>
      </c>
      <c r="B943" s="321" t="s">
        <v>5323</v>
      </c>
      <c r="C943" s="321" t="s">
        <v>5324</v>
      </c>
      <c r="D943" s="321" t="s">
        <v>5325</v>
      </c>
      <c r="E943" s="321" t="s">
        <v>5326</v>
      </c>
      <c r="F943" s="321" t="s">
        <v>1472</v>
      </c>
      <c r="G943" s="321" t="s">
        <v>1472</v>
      </c>
      <c r="H943" s="335" t="s">
        <v>1472</v>
      </c>
      <c r="I943" s="335"/>
    </row>
    <row r="944">
      <c r="A944" s="321" t="s">
        <v>1473</v>
      </c>
      <c r="B944" s="321" t="s">
        <v>5327</v>
      </c>
      <c r="C944" s="321" t="s">
        <v>5328</v>
      </c>
      <c r="D944" s="321" t="s">
        <v>5329</v>
      </c>
      <c r="E944" s="321" t="s">
        <v>5330</v>
      </c>
      <c r="F944" s="321" t="s">
        <v>1473</v>
      </c>
      <c r="G944" s="321" t="s">
        <v>1473</v>
      </c>
      <c r="H944" s="334" t="s">
        <v>1473</v>
      </c>
      <c r="I944" s="334"/>
    </row>
    <row r="945">
      <c r="A945" s="321" t="s">
        <v>1474</v>
      </c>
      <c r="B945" s="321" t="s">
        <v>5331</v>
      </c>
      <c r="C945" s="321" t="s">
        <v>5332</v>
      </c>
      <c r="D945" s="321" t="s">
        <v>5333</v>
      </c>
      <c r="E945" s="321" t="s">
        <v>5334</v>
      </c>
      <c r="F945" s="321" t="s">
        <v>1474</v>
      </c>
      <c r="G945" s="321" t="s">
        <v>1474</v>
      </c>
      <c r="H945" s="335" t="s">
        <v>1474</v>
      </c>
      <c r="I945" s="335"/>
    </row>
    <row r="946">
      <c r="A946" s="321" t="s">
        <v>5335</v>
      </c>
      <c r="B946" s="321" t="s">
        <v>5336</v>
      </c>
      <c r="C946" s="321" t="s">
        <v>5337</v>
      </c>
      <c r="D946" s="321" t="s">
        <v>5338</v>
      </c>
      <c r="E946" s="321" t="s">
        <v>5339</v>
      </c>
      <c r="F946" s="321" t="s">
        <v>5335</v>
      </c>
      <c r="G946" s="321" t="s">
        <v>5335</v>
      </c>
      <c r="H946" s="334" t="s">
        <v>5335</v>
      </c>
      <c r="I946" s="334"/>
    </row>
    <row r="947">
      <c r="A947" s="321" t="s">
        <v>5340</v>
      </c>
      <c r="B947" s="321" t="s">
        <v>5341</v>
      </c>
      <c r="C947" s="321" t="s">
        <v>5342</v>
      </c>
      <c r="D947" s="321" t="s">
        <v>5343</v>
      </c>
      <c r="E947" s="321" t="s">
        <v>5344</v>
      </c>
      <c r="F947" s="321" t="s">
        <v>5340</v>
      </c>
      <c r="G947" s="321" t="s">
        <v>5340</v>
      </c>
      <c r="H947" s="335" t="s">
        <v>5340</v>
      </c>
      <c r="I947" s="335"/>
    </row>
    <row r="948">
      <c r="A948" s="321" t="s">
        <v>5345</v>
      </c>
      <c r="B948" s="321" t="s">
        <v>5346</v>
      </c>
      <c r="C948" s="321" t="s">
        <v>5347</v>
      </c>
      <c r="D948" s="321" t="s">
        <v>5348</v>
      </c>
      <c r="E948" s="321" t="s">
        <v>5349</v>
      </c>
      <c r="F948" s="321" t="s">
        <v>5345</v>
      </c>
      <c r="G948" s="321" t="s">
        <v>5345</v>
      </c>
      <c r="H948" s="334" t="s">
        <v>5345</v>
      </c>
      <c r="I948" s="334"/>
    </row>
    <row r="949">
      <c r="A949" s="321" t="s">
        <v>5350</v>
      </c>
      <c r="B949" s="321" t="s">
        <v>5351</v>
      </c>
      <c r="C949" s="321" t="s">
        <v>5352</v>
      </c>
      <c r="D949" s="321" t="s">
        <v>5353</v>
      </c>
      <c r="E949" s="321" t="s">
        <v>5354</v>
      </c>
      <c r="F949" s="321" t="s">
        <v>5350</v>
      </c>
      <c r="G949" s="321" t="s">
        <v>5350</v>
      </c>
      <c r="H949" s="335" t="s">
        <v>5350</v>
      </c>
      <c r="I949" s="335"/>
    </row>
    <row r="950">
      <c r="A950" s="321" t="s">
        <v>5355</v>
      </c>
      <c r="B950" s="321" t="s">
        <v>5356</v>
      </c>
      <c r="C950" s="321" t="s">
        <v>5357</v>
      </c>
      <c r="D950" s="321" t="s">
        <v>5358</v>
      </c>
      <c r="E950" s="321" t="s">
        <v>5359</v>
      </c>
      <c r="F950" s="321" t="s">
        <v>5355</v>
      </c>
      <c r="G950" s="321" t="s">
        <v>5355</v>
      </c>
      <c r="H950" s="334" t="s">
        <v>5355</v>
      </c>
      <c r="I950" s="334"/>
    </row>
    <row r="951">
      <c r="A951" s="321" t="s">
        <v>5360</v>
      </c>
      <c r="B951" s="321" t="s">
        <v>5361</v>
      </c>
      <c r="C951" s="321" t="s">
        <v>5362</v>
      </c>
      <c r="D951" s="321" t="s">
        <v>5363</v>
      </c>
      <c r="E951" s="321" t="s">
        <v>5364</v>
      </c>
      <c r="F951" s="321" t="s">
        <v>5360</v>
      </c>
      <c r="G951" s="321" t="s">
        <v>5360</v>
      </c>
      <c r="H951" s="335" t="s">
        <v>5360</v>
      </c>
      <c r="I951" s="335"/>
    </row>
    <row r="952">
      <c r="A952" s="321" t="s">
        <v>5365</v>
      </c>
      <c r="B952" s="321" t="s">
        <v>5366</v>
      </c>
      <c r="C952" s="321" t="s">
        <v>5367</v>
      </c>
      <c r="D952" s="321" t="s">
        <v>5368</v>
      </c>
      <c r="E952" s="321" t="s">
        <v>5369</v>
      </c>
      <c r="F952" s="321" t="s">
        <v>5365</v>
      </c>
      <c r="G952" s="321" t="s">
        <v>5365</v>
      </c>
      <c r="H952" s="334" t="s">
        <v>5365</v>
      </c>
      <c r="I952" s="334"/>
    </row>
    <row r="953">
      <c r="A953" s="321" t="s">
        <v>5370</v>
      </c>
      <c r="B953" s="321" t="s">
        <v>5371</v>
      </c>
      <c r="C953" s="321" t="s">
        <v>5372</v>
      </c>
      <c r="D953" s="321" t="s">
        <v>5373</v>
      </c>
      <c r="E953" s="321" t="s">
        <v>5374</v>
      </c>
      <c r="F953" s="321" t="s">
        <v>5370</v>
      </c>
      <c r="G953" s="321" t="s">
        <v>5370</v>
      </c>
      <c r="H953" s="335" t="s">
        <v>5370</v>
      </c>
      <c r="I953" s="335"/>
    </row>
    <row r="954">
      <c r="A954" s="321" t="s">
        <v>5375</v>
      </c>
      <c r="B954" s="321" t="s">
        <v>5376</v>
      </c>
      <c r="C954" s="321" t="s">
        <v>5377</v>
      </c>
      <c r="D954" s="321" t="s">
        <v>5378</v>
      </c>
      <c r="E954" s="321" t="s">
        <v>5379</v>
      </c>
      <c r="F954" s="321" t="s">
        <v>5375</v>
      </c>
      <c r="G954" s="321" t="s">
        <v>5375</v>
      </c>
      <c r="H954" s="334" t="s">
        <v>5375</v>
      </c>
      <c r="I954" s="334"/>
    </row>
    <row r="955">
      <c r="A955" s="321" t="s">
        <v>5380</v>
      </c>
      <c r="B955" s="321" t="s">
        <v>5381</v>
      </c>
      <c r="C955" s="321" t="s">
        <v>5382</v>
      </c>
      <c r="D955" s="321" t="s">
        <v>5383</v>
      </c>
      <c r="E955" s="321" t="s">
        <v>5384</v>
      </c>
      <c r="F955" s="321" t="s">
        <v>5380</v>
      </c>
      <c r="G955" s="321" t="s">
        <v>5380</v>
      </c>
      <c r="H955" s="335" t="s">
        <v>5380</v>
      </c>
      <c r="I955" s="335"/>
    </row>
    <row r="956">
      <c r="A956" s="321" t="s">
        <v>5385</v>
      </c>
      <c r="B956" s="321" t="s">
        <v>5386</v>
      </c>
      <c r="C956" s="321" t="s">
        <v>5387</v>
      </c>
      <c r="D956" s="321" t="s">
        <v>5388</v>
      </c>
      <c r="E956" s="321" t="s">
        <v>5389</v>
      </c>
      <c r="F956" s="321" t="s">
        <v>5385</v>
      </c>
      <c r="G956" s="321" t="s">
        <v>5385</v>
      </c>
      <c r="H956" s="334" t="s">
        <v>5385</v>
      </c>
      <c r="I956" s="334"/>
    </row>
    <row r="957">
      <c r="A957" s="321" t="s">
        <v>5390</v>
      </c>
      <c r="B957" s="321" t="s">
        <v>5391</v>
      </c>
      <c r="C957" s="321" t="s">
        <v>5392</v>
      </c>
      <c r="D957" s="321" t="s">
        <v>5393</v>
      </c>
      <c r="E957" s="321" t="s">
        <v>5394</v>
      </c>
      <c r="F957" s="321" t="s">
        <v>5390</v>
      </c>
      <c r="G957" s="321" t="s">
        <v>5390</v>
      </c>
      <c r="H957" s="335" t="s">
        <v>5390</v>
      </c>
      <c r="I957" s="335"/>
    </row>
    <row r="958">
      <c r="A958" s="321" t="s">
        <v>1480</v>
      </c>
      <c r="B958" s="321" t="s">
        <v>5395</v>
      </c>
      <c r="C958" s="321" t="s">
        <v>5396</v>
      </c>
      <c r="D958" s="321" t="s">
        <v>5397</v>
      </c>
      <c r="E958" s="321" t="s">
        <v>5397</v>
      </c>
      <c r="F958" s="321" t="s">
        <v>1480</v>
      </c>
      <c r="G958" s="321" t="s">
        <v>1480</v>
      </c>
      <c r="H958" s="334" t="s">
        <v>1480</v>
      </c>
      <c r="I958" s="334"/>
    </row>
    <row r="959">
      <c r="A959" s="321" t="s">
        <v>1481</v>
      </c>
      <c r="B959" s="321" t="s">
        <v>5398</v>
      </c>
      <c r="C959" s="321" t="s">
        <v>5399</v>
      </c>
      <c r="D959" s="321" t="s">
        <v>5400</v>
      </c>
      <c r="E959" s="321" t="s">
        <v>5401</v>
      </c>
      <c r="F959" s="321" t="s">
        <v>1481</v>
      </c>
      <c r="G959" s="321" t="s">
        <v>1481</v>
      </c>
      <c r="H959" s="335" t="s">
        <v>1481</v>
      </c>
      <c r="I959" s="335"/>
    </row>
    <row r="960">
      <c r="A960" s="321" t="s">
        <v>1482</v>
      </c>
      <c r="B960" s="321" t="s">
        <v>5402</v>
      </c>
      <c r="C960" s="321" t="s">
        <v>5403</v>
      </c>
      <c r="D960" s="321" t="s">
        <v>5404</v>
      </c>
      <c r="E960" s="321" t="s">
        <v>5405</v>
      </c>
      <c r="F960" s="321" t="s">
        <v>1482</v>
      </c>
      <c r="G960" s="321" t="s">
        <v>1482</v>
      </c>
      <c r="H960" s="334" t="s">
        <v>1482</v>
      </c>
      <c r="I960" s="334"/>
    </row>
    <row r="961">
      <c r="A961" s="321" t="s">
        <v>5406</v>
      </c>
      <c r="B961" s="321" t="s">
        <v>5407</v>
      </c>
      <c r="C961" s="321" t="s">
        <v>5408</v>
      </c>
      <c r="D961" s="321" t="s">
        <v>5409</v>
      </c>
      <c r="E961" s="321" t="s">
        <v>5410</v>
      </c>
      <c r="F961" s="321" t="s">
        <v>5406</v>
      </c>
      <c r="G961" s="321" t="s">
        <v>5406</v>
      </c>
      <c r="H961" s="335" t="s">
        <v>5406</v>
      </c>
      <c r="I961" s="335"/>
    </row>
    <row r="962">
      <c r="A962" s="321" t="s">
        <v>5411</v>
      </c>
      <c r="B962" s="321" t="s">
        <v>5412</v>
      </c>
      <c r="C962" s="321" t="s">
        <v>5413</v>
      </c>
      <c r="D962" s="321" t="s">
        <v>5414</v>
      </c>
      <c r="E962" s="321" t="s">
        <v>5415</v>
      </c>
      <c r="F962" s="321" t="s">
        <v>5411</v>
      </c>
      <c r="G962" s="321" t="s">
        <v>5411</v>
      </c>
      <c r="H962" s="334" t="s">
        <v>5411</v>
      </c>
      <c r="I962" s="334"/>
    </row>
    <row r="963">
      <c r="A963" s="321" t="s">
        <v>5416</v>
      </c>
      <c r="B963" s="321" t="s">
        <v>5417</v>
      </c>
      <c r="C963" s="321" t="s">
        <v>5418</v>
      </c>
      <c r="D963" s="321" t="s">
        <v>5419</v>
      </c>
      <c r="E963" s="321" t="s">
        <v>5420</v>
      </c>
      <c r="F963" s="321" t="s">
        <v>5416</v>
      </c>
      <c r="G963" s="321" t="s">
        <v>5416</v>
      </c>
      <c r="H963" s="335" t="s">
        <v>5416</v>
      </c>
      <c r="I963" s="335"/>
    </row>
    <row r="964">
      <c r="A964" s="321" t="s">
        <v>5421</v>
      </c>
      <c r="B964" s="321" t="s">
        <v>5422</v>
      </c>
      <c r="C964" s="321" t="s">
        <v>5423</v>
      </c>
      <c r="D964" s="321" t="s">
        <v>5424</v>
      </c>
      <c r="E964" s="321" t="s">
        <v>5425</v>
      </c>
      <c r="F964" s="321" t="s">
        <v>5421</v>
      </c>
      <c r="G964" s="321" t="s">
        <v>5421</v>
      </c>
      <c r="H964" s="334" t="s">
        <v>5421</v>
      </c>
      <c r="I964" s="334"/>
    </row>
    <row r="965">
      <c r="A965" s="321" t="s">
        <v>5426</v>
      </c>
      <c r="B965" s="321" t="s">
        <v>5427</v>
      </c>
      <c r="C965" s="321" t="s">
        <v>5428</v>
      </c>
      <c r="D965" s="321" t="s">
        <v>5429</v>
      </c>
      <c r="E965" s="321" t="s">
        <v>5430</v>
      </c>
      <c r="F965" s="321" t="s">
        <v>5426</v>
      </c>
      <c r="G965" s="321" t="s">
        <v>5426</v>
      </c>
      <c r="H965" s="335" t="s">
        <v>5426</v>
      </c>
      <c r="I965" s="335"/>
    </row>
    <row r="966">
      <c r="A966" s="321" t="s">
        <v>5431</v>
      </c>
      <c r="B966" s="321" t="s">
        <v>5432</v>
      </c>
      <c r="C966" s="321" t="s">
        <v>5433</v>
      </c>
      <c r="D966" s="321" t="s">
        <v>5434</v>
      </c>
      <c r="E966" s="321" t="s">
        <v>5435</v>
      </c>
      <c r="F966" s="321" t="s">
        <v>5431</v>
      </c>
      <c r="G966" s="321" t="s">
        <v>5431</v>
      </c>
      <c r="H966" s="334" t="s">
        <v>5431</v>
      </c>
      <c r="I966" s="334"/>
    </row>
    <row r="967">
      <c r="A967" s="321" t="s">
        <v>5436</v>
      </c>
      <c r="B967" s="321" t="s">
        <v>5436</v>
      </c>
      <c r="C967" s="321" t="s">
        <v>5437</v>
      </c>
      <c r="D967" s="321" t="s">
        <v>5438</v>
      </c>
      <c r="E967" s="321" t="s">
        <v>5439</v>
      </c>
      <c r="F967" s="321" t="s">
        <v>5436</v>
      </c>
      <c r="G967" s="321" t="s">
        <v>5436</v>
      </c>
      <c r="H967" s="335" t="s">
        <v>5436</v>
      </c>
      <c r="I967" s="335"/>
    </row>
    <row r="968">
      <c r="A968" s="321" t="s">
        <v>5440</v>
      </c>
      <c r="B968" s="321" t="s">
        <v>5441</v>
      </c>
      <c r="C968" s="321" t="s">
        <v>5442</v>
      </c>
      <c r="D968" s="321" t="s">
        <v>5443</v>
      </c>
      <c r="E968" s="321" t="s">
        <v>5444</v>
      </c>
      <c r="F968" s="321" t="s">
        <v>5440</v>
      </c>
      <c r="G968" s="321" t="s">
        <v>5440</v>
      </c>
      <c r="H968" s="334" t="s">
        <v>5440</v>
      </c>
      <c r="I968" s="334"/>
    </row>
    <row r="969">
      <c r="A969" s="321" t="s">
        <v>5445</v>
      </c>
      <c r="B969" s="321" t="s">
        <v>5446</v>
      </c>
      <c r="C969" s="321" t="s">
        <v>5447</v>
      </c>
      <c r="D969" s="321" t="s">
        <v>5448</v>
      </c>
      <c r="E969" s="321" t="s">
        <v>5449</v>
      </c>
      <c r="F969" s="321" t="s">
        <v>5445</v>
      </c>
      <c r="G969" s="321" t="s">
        <v>5445</v>
      </c>
      <c r="H969" s="335" t="s">
        <v>5445</v>
      </c>
      <c r="I969" s="335"/>
    </row>
    <row r="970">
      <c r="A970" s="321" t="s">
        <v>5450</v>
      </c>
      <c r="B970" s="321" t="s">
        <v>5451</v>
      </c>
      <c r="C970" s="321" t="s">
        <v>5452</v>
      </c>
      <c r="D970" s="321" t="s">
        <v>5453</v>
      </c>
      <c r="E970" s="321" t="s">
        <v>5454</v>
      </c>
      <c r="F970" s="321" t="s">
        <v>5450</v>
      </c>
      <c r="G970" s="321" t="s">
        <v>5450</v>
      </c>
      <c r="H970" s="334" t="s">
        <v>5450</v>
      </c>
      <c r="I970" s="334"/>
    </row>
    <row r="971">
      <c r="A971" s="321" t="s">
        <v>5455</v>
      </c>
      <c r="B971" s="321" t="s">
        <v>5456</v>
      </c>
      <c r="C971" s="321" t="s">
        <v>5457</v>
      </c>
      <c r="D971" s="321" t="s">
        <v>5458</v>
      </c>
      <c r="E971" s="321" t="s">
        <v>5459</v>
      </c>
      <c r="F971" s="321" t="s">
        <v>5455</v>
      </c>
      <c r="G971" s="321" t="s">
        <v>5455</v>
      </c>
      <c r="H971" s="335" t="s">
        <v>5455</v>
      </c>
      <c r="I971" s="335"/>
    </row>
    <row r="972">
      <c r="A972" s="321" t="s">
        <v>5460</v>
      </c>
      <c r="B972" s="321" t="s">
        <v>5461</v>
      </c>
      <c r="C972" s="321" t="s">
        <v>5462</v>
      </c>
      <c r="D972" s="321" t="s">
        <v>5463</v>
      </c>
      <c r="E972" s="321" t="s">
        <v>5464</v>
      </c>
      <c r="F972" s="321" t="s">
        <v>5460</v>
      </c>
      <c r="G972" s="321" t="s">
        <v>5460</v>
      </c>
      <c r="H972" s="334" t="s">
        <v>5460</v>
      </c>
      <c r="I972" s="334"/>
    </row>
    <row r="973">
      <c r="A973" s="321" t="s">
        <v>5465</v>
      </c>
      <c r="B973" s="321" t="s">
        <v>5466</v>
      </c>
      <c r="C973" s="321" t="s">
        <v>5467</v>
      </c>
      <c r="D973" s="321" t="s">
        <v>5468</v>
      </c>
      <c r="E973" s="321" t="s">
        <v>5469</v>
      </c>
      <c r="F973" s="321" t="s">
        <v>5465</v>
      </c>
      <c r="G973" s="321" t="s">
        <v>5465</v>
      </c>
      <c r="H973" s="335" t="s">
        <v>5465</v>
      </c>
      <c r="I973" s="335"/>
    </row>
    <row r="974">
      <c r="A974" s="321" t="s">
        <v>5470</v>
      </c>
      <c r="B974" s="321" t="s">
        <v>5471</v>
      </c>
      <c r="C974" s="321" t="s">
        <v>5472</v>
      </c>
      <c r="D974" s="321" t="s">
        <v>5473</v>
      </c>
      <c r="E974" s="321" t="s">
        <v>5474</v>
      </c>
      <c r="F974" s="321" t="s">
        <v>5470</v>
      </c>
      <c r="G974" s="321" t="s">
        <v>5470</v>
      </c>
      <c r="H974" s="334" t="s">
        <v>5470</v>
      </c>
      <c r="I974" s="334"/>
    </row>
    <row r="975">
      <c r="A975" s="321" t="s">
        <v>5475</v>
      </c>
      <c r="B975" s="321" t="s">
        <v>5476</v>
      </c>
      <c r="C975" s="321" t="s">
        <v>5477</v>
      </c>
      <c r="D975" s="321" t="s">
        <v>5478</v>
      </c>
      <c r="E975" s="321" t="s">
        <v>5479</v>
      </c>
      <c r="F975" s="321" t="s">
        <v>5475</v>
      </c>
      <c r="G975" s="321" t="s">
        <v>5475</v>
      </c>
      <c r="H975" s="335" t="s">
        <v>5475</v>
      </c>
      <c r="I975" s="335"/>
    </row>
    <row r="976">
      <c r="A976" s="321" t="s">
        <v>5480</v>
      </c>
      <c r="B976" s="321" t="s">
        <v>5481</v>
      </c>
      <c r="C976" s="321" t="s">
        <v>5482</v>
      </c>
      <c r="D976" s="321" t="s">
        <v>5483</v>
      </c>
      <c r="E976" s="321" t="s">
        <v>5484</v>
      </c>
      <c r="F976" s="321" t="s">
        <v>5480</v>
      </c>
      <c r="G976" s="321" t="s">
        <v>5480</v>
      </c>
      <c r="H976" s="334" t="s">
        <v>5480</v>
      </c>
      <c r="I976" s="334"/>
    </row>
    <row r="977">
      <c r="A977" s="321" t="s">
        <v>5485</v>
      </c>
      <c r="B977" s="321" t="s">
        <v>5486</v>
      </c>
      <c r="C977" s="321" t="s">
        <v>5487</v>
      </c>
      <c r="D977" s="321" t="s">
        <v>5488</v>
      </c>
      <c r="E977" s="321" t="s">
        <v>5489</v>
      </c>
      <c r="F977" s="321" t="s">
        <v>5485</v>
      </c>
      <c r="G977" s="321" t="s">
        <v>5485</v>
      </c>
      <c r="H977" s="335" t="s">
        <v>5485</v>
      </c>
      <c r="I977" s="335"/>
    </row>
    <row r="978">
      <c r="A978" s="321" t="s">
        <v>5490</v>
      </c>
      <c r="B978" s="321" t="s">
        <v>5491</v>
      </c>
      <c r="C978" s="321" t="s">
        <v>5492</v>
      </c>
      <c r="D978" s="321" t="s">
        <v>5493</v>
      </c>
      <c r="E978" s="321" t="s">
        <v>5494</v>
      </c>
      <c r="F978" s="321" t="s">
        <v>5490</v>
      </c>
      <c r="G978" s="321" t="s">
        <v>5490</v>
      </c>
      <c r="H978" s="334" t="s">
        <v>5490</v>
      </c>
      <c r="I978" s="334"/>
    </row>
    <row r="979">
      <c r="A979" s="321" t="s">
        <v>5495</v>
      </c>
      <c r="B979" s="321" t="s">
        <v>5496</v>
      </c>
      <c r="C979" s="321" t="s">
        <v>5497</v>
      </c>
      <c r="D979" s="321" t="s">
        <v>5498</v>
      </c>
      <c r="E979" s="321" t="s">
        <v>5499</v>
      </c>
      <c r="F979" s="321" t="s">
        <v>5495</v>
      </c>
      <c r="G979" s="321" t="s">
        <v>5495</v>
      </c>
      <c r="H979" s="335" t="s">
        <v>5495</v>
      </c>
      <c r="I979" s="335"/>
    </row>
    <row r="980">
      <c r="A980" s="321" t="s">
        <v>5500</v>
      </c>
      <c r="B980" s="321" t="s">
        <v>5501</v>
      </c>
      <c r="C980" s="321" t="s">
        <v>5502</v>
      </c>
      <c r="D980" s="321" t="s">
        <v>5503</v>
      </c>
      <c r="E980" s="321" t="s">
        <v>5504</v>
      </c>
      <c r="F980" s="321" t="s">
        <v>5500</v>
      </c>
      <c r="G980" s="321" t="s">
        <v>5500</v>
      </c>
      <c r="H980" s="334" t="s">
        <v>5500</v>
      </c>
      <c r="I980" s="334"/>
    </row>
    <row r="981">
      <c r="A981" s="321" t="s">
        <v>1488</v>
      </c>
      <c r="B981" s="321" t="s">
        <v>5505</v>
      </c>
      <c r="C981" s="321" t="s">
        <v>5506</v>
      </c>
      <c r="D981" s="321" t="s">
        <v>5507</v>
      </c>
      <c r="E981" s="321" t="s">
        <v>5508</v>
      </c>
      <c r="F981" s="321" t="s">
        <v>1488</v>
      </c>
      <c r="G981" s="321" t="s">
        <v>1488</v>
      </c>
      <c r="H981" s="335" t="s">
        <v>1488</v>
      </c>
      <c r="I981" s="335"/>
    </row>
    <row r="982">
      <c r="A982" s="321" t="s">
        <v>1489</v>
      </c>
      <c r="B982" s="321" t="s">
        <v>5509</v>
      </c>
      <c r="C982" s="321" t="s">
        <v>5510</v>
      </c>
      <c r="D982" s="321" t="s">
        <v>5511</v>
      </c>
      <c r="E982" s="321" t="s">
        <v>5512</v>
      </c>
      <c r="F982" s="321" t="s">
        <v>1489</v>
      </c>
      <c r="G982" s="321" t="s">
        <v>1489</v>
      </c>
      <c r="H982" s="334" t="s">
        <v>1489</v>
      </c>
      <c r="I982" s="334"/>
    </row>
    <row r="983">
      <c r="A983" s="321" t="s">
        <v>5513</v>
      </c>
      <c r="B983" s="321" t="s">
        <v>5514</v>
      </c>
      <c r="C983" s="321" t="s">
        <v>5515</v>
      </c>
      <c r="D983" s="321" t="s">
        <v>5516</v>
      </c>
      <c r="E983" s="321" t="s">
        <v>5517</v>
      </c>
      <c r="F983" s="321" t="s">
        <v>5513</v>
      </c>
      <c r="G983" s="321" t="s">
        <v>5513</v>
      </c>
      <c r="H983" s="335" t="s">
        <v>5513</v>
      </c>
      <c r="I983" s="335"/>
    </row>
    <row r="984">
      <c r="A984" s="321" t="s">
        <v>5518</v>
      </c>
      <c r="B984" s="321" t="s">
        <v>5519</v>
      </c>
      <c r="C984" s="321" t="s">
        <v>5520</v>
      </c>
      <c r="D984" s="321" t="s">
        <v>5521</v>
      </c>
      <c r="E984" s="321" t="s">
        <v>5522</v>
      </c>
      <c r="F984" s="321" t="s">
        <v>5518</v>
      </c>
      <c r="G984" s="321" t="s">
        <v>5518</v>
      </c>
      <c r="H984" s="334" t="s">
        <v>5518</v>
      </c>
      <c r="I984" s="334"/>
    </row>
    <row r="985">
      <c r="A985" s="321" t="s">
        <v>5523</v>
      </c>
      <c r="B985" s="321" t="s">
        <v>5524</v>
      </c>
      <c r="C985" s="321" t="s">
        <v>5525</v>
      </c>
      <c r="D985" s="321" t="s">
        <v>5526</v>
      </c>
      <c r="E985" s="321" t="s">
        <v>5527</v>
      </c>
      <c r="F985" s="321" t="s">
        <v>5523</v>
      </c>
      <c r="G985" s="321" t="s">
        <v>5523</v>
      </c>
      <c r="H985" s="335" t="s">
        <v>5523</v>
      </c>
      <c r="I985" s="335"/>
    </row>
    <row r="986">
      <c r="A986" s="321" t="s">
        <v>5528</v>
      </c>
      <c r="B986" s="321" t="s">
        <v>5529</v>
      </c>
      <c r="C986" s="321" t="s">
        <v>5530</v>
      </c>
      <c r="D986" s="321" t="s">
        <v>5531</v>
      </c>
      <c r="E986" s="321" t="s">
        <v>5532</v>
      </c>
      <c r="F986" s="321" t="s">
        <v>5528</v>
      </c>
      <c r="G986" s="321" t="s">
        <v>5528</v>
      </c>
      <c r="H986" s="334" t="s">
        <v>5528</v>
      </c>
      <c r="I986" s="334"/>
    </row>
    <row r="987">
      <c r="A987" s="321" t="s">
        <v>5533</v>
      </c>
      <c r="B987" s="321" t="s">
        <v>5534</v>
      </c>
      <c r="C987" s="321" t="s">
        <v>5535</v>
      </c>
      <c r="D987" s="321" t="s">
        <v>5536</v>
      </c>
      <c r="E987" s="321" t="s">
        <v>5537</v>
      </c>
      <c r="F987" s="321" t="s">
        <v>5533</v>
      </c>
      <c r="G987" s="321" t="s">
        <v>5533</v>
      </c>
      <c r="H987" s="335" t="s">
        <v>5533</v>
      </c>
      <c r="I987" s="335"/>
    </row>
    <row r="988">
      <c r="A988" s="321" t="s">
        <v>5538</v>
      </c>
      <c r="B988" s="321" t="s">
        <v>5539</v>
      </c>
      <c r="C988" s="321" t="s">
        <v>5540</v>
      </c>
      <c r="D988" s="321" t="s">
        <v>5541</v>
      </c>
      <c r="E988" s="321" t="s">
        <v>5542</v>
      </c>
      <c r="F988" s="321" t="s">
        <v>5538</v>
      </c>
      <c r="G988" s="321" t="s">
        <v>5538</v>
      </c>
      <c r="H988" s="334" t="s">
        <v>5538</v>
      </c>
      <c r="I988" s="334"/>
    </row>
    <row r="989">
      <c r="A989" s="321" t="s">
        <v>5543</v>
      </c>
      <c r="B989" s="321" t="s">
        <v>5544</v>
      </c>
      <c r="C989" s="321" t="s">
        <v>5545</v>
      </c>
      <c r="D989" s="321" t="s">
        <v>5546</v>
      </c>
      <c r="E989" s="321" t="s">
        <v>5547</v>
      </c>
      <c r="F989" s="321" t="s">
        <v>5543</v>
      </c>
      <c r="G989" s="321" t="s">
        <v>5543</v>
      </c>
      <c r="H989" s="335" t="s">
        <v>5543</v>
      </c>
      <c r="I989" s="335"/>
    </row>
    <row r="990">
      <c r="A990" s="321" t="s">
        <v>5548</v>
      </c>
      <c r="B990" s="321" t="s">
        <v>5549</v>
      </c>
      <c r="C990" s="321" t="s">
        <v>5550</v>
      </c>
      <c r="D990" s="321" t="s">
        <v>5551</v>
      </c>
      <c r="E990" s="321" t="s">
        <v>5552</v>
      </c>
      <c r="F990" s="321" t="s">
        <v>5548</v>
      </c>
      <c r="G990" s="321" t="s">
        <v>5548</v>
      </c>
      <c r="H990" s="334" t="s">
        <v>5548</v>
      </c>
      <c r="I990" s="334"/>
    </row>
    <row r="991">
      <c r="A991" s="321" t="s">
        <v>5553</v>
      </c>
      <c r="B991" s="321" t="s">
        <v>5554</v>
      </c>
      <c r="C991" s="321" t="s">
        <v>5555</v>
      </c>
      <c r="D991" s="321" t="s">
        <v>5556</v>
      </c>
      <c r="E991" s="321" t="s">
        <v>5557</v>
      </c>
      <c r="F991" s="321" t="s">
        <v>5553</v>
      </c>
      <c r="G991" s="321" t="s">
        <v>5553</v>
      </c>
      <c r="H991" s="335" t="s">
        <v>5553</v>
      </c>
      <c r="I991" s="335"/>
    </row>
    <row r="992">
      <c r="A992" s="321" t="s">
        <v>5558</v>
      </c>
      <c r="B992" s="321" t="s">
        <v>5559</v>
      </c>
      <c r="C992" s="321" t="s">
        <v>5560</v>
      </c>
      <c r="D992" s="321" t="s">
        <v>5561</v>
      </c>
      <c r="E992" s="321" t="s">
        <v>5562</v>
      </c>
      <c r="F992" s="321" t="s">
        <v>5558</v>
      </c>
      <c r="G992" s="321" t="s">
        <v>5558</v>
      </c>
      <c r="H992" s="334" t="s">
        <v>5558</v>
      </c>
      <c r="I992" s="334"/>
    </row>
    <row r="993">
      <c r="A993" s="321" t="s">
        <v>5563</v>
      </c>
      <c r="B993" s="321" t="s">
        <v>5564</v>
      </c>
      <c r="C993" s="321" t="s">
        <v>5565</v>
      </c>
      <c r="D993" s="321" t="s">
        <v>5566</v>
      </c>
      <c r="E993" s="321" t="s">
        <v>5567</v>
      </c>
      <c r="F993" s="321" t="s">
        <v>5563</v>
      </c>
      <c r="G993" s="321" t="s">
        <v>5563</v>
      </c>
      <c r="H993" s="335" t="s">
        <v>5563</v>
      </c>
      <c r="I993" s="335"/>
    </row>
    <row r="994">
      <c r="A994" s="321" t="s">
        <v>1490</v>
      </c>
      <c r="B994" s="321" t="s">
        <v>5568</v>
      </c>
      <c r="C994" s="321" t="s">
        <v>5569</v>
      </c>
      <c r="D994" s="321" t="s">
        <v>5570</v>
      </c>
      <c r="E994" s="321" t="s">
        <v>5571</v>
      </c>
      <c r="F994" s="321" t="s">
        <v>1490</v>
      </c>
      <c r="G994" s="321" t="s">
        <v>1490</v>
      </c>
      <c r="H994" s="334" t="s">
        <v>1490</v>
      </c>
      <c r="I994" s="334"/>
    </row>
    <row r="995">
      <c r="A995" s="321" t="s">
        <v>1491</v>
      </c>
      <c r="B995" s="321" t="s">
        <v>5572</v>
      </c>
      <c r="C995" s="321" t="s">
        <v>5573</v>
      </c>
      <c r="D995" s="321" t="s">
        <v>5574</v>
      </c>
      <c r="E995" s="321" t="s">
        <v>5575</v>
      </c>
      <c r="F995" s="321" t="s">
        <v>1491</v>
      </c>
      <c r="G995" s="321" t="s">
        <v>1491</v>
      </c>
      <c r="H995" s="335" t="s">
        <v>1491</v>
      </c>
      <c r="I995" s="335"/>
    </row>
    <row r="996">
      <c r="A996" s="321" t="s">
        <v>1492</v>
      </c>
      <c r="B996" s="321" t="s">
        <v>5576</v>
      </c>
      <c r="C996" s="321" t="s">
        <v>5577</v>
      </c>
      <c r="D996" s="321" t="s">
        <v>5578</v>
      </c>
      <c r="E996" s="321" t="s">
        <v>5579</v>
      </c>
      <c r="F996" s="321" t="s">
        <v>1492</v>
      </c>
      <c r="G996" s="321" t="s">
        <v>1492</v>
      </c>
      <c r="H996" s="334" t="s">
        <v>1492</v>
      </c>
      <c r="I996" s="334"/>
    </row>
    <row r="997">
      <c r="A997" s="321" t="s">
        <v>1476</v>
      </c>
      <c r="B997" s="321" t="s">
        <v>5580</v>
      </c>
      <c r="C997" s="321" t="s">
        <v>5581</v>
      </c>
      <c r="D997" s="321" t="s">
        <v>5582</v>
      </c>
      <c r="E997" s="321" t="s">
        <v>5583</v>
      </c>
      <c r="F997" s="321" t="s">
        <v>1476</v>
      </c>
      <c r="G997" s="321" t="s">
        <v>1476</v>
      </c>
      <c r="H997" s="335" t="s">
        <v>1476</v>
      </c>
      <c r="I997" s="335"/>
    </row>
    <row r="998">
      <c r="A998" s="321" t="s">
        <v>1477</v>
      </c>
      <c r="B998" s="321" t="s">
        <v>5584</v>
      </c>
      <c r="C998" s="321" t="s">
        <v>5585</v>
      </c>
      <c r="D998" s="321" t="s">
        <v>5586</v>
      </c>
      <c r="E998" s="321" t="s">
        <v>5587</v>
      </c>
      <c r="F998" s="321" t="s">
        <v>1477</v>
      </c>
      <c r="G998" s="321" t="s">
        <v>1477</v>
      </c>
      <c r="H998" s="334" t="s">
        <v>1477</v>
      </c>
      <c r="I998" s="334"/>
    </row>
    <row r="999">
      <c r="A999" s="321" t="s">
        <v>5588</v>
      </c>
      <c r="B999" s="321" t="s">
        <v>5589</v>
      </c>
      <c r="C999" s="321" t="s">
        <v>5590</v>
      </c>
      <c r="D999" s="321" t="s">
        <v>5591</v>
      </c>
      <c r="E999" s="321" t="s">
        <v>5592</v>
      </c>
      <c r="F999" s="321" t="s">
        <v>5588</v>
      </c>
      <c r="G999" s="321" t="s">
        <v>5588</v>
      </c>
      <c r="H999" s="335" t="s">
        <v>5588</v>
      </c>
      <c r="I999" s="335"/>
    </row>
    <row r="1000">
      <c r="A1000" s="321" t="s">
        <v>5593</v>
      </c>
      <c r="B1000" s="321" t="s">
        <v>5594</v>
      </c>
      <c r="C1000" s="321" t="s">
        <v>5595</v>
      </c>
      <c r="D1000" s="321" t="s">
        <v>5596</v>
      </c>
      <c r="E1000" s="321" t="s">
        <v>5597</v>
      </c>
      <c r="F1000" s="321" t="s">
        <v>5593</v>
      </c>
      <c r="G1000" s="321" t="s">
        <v>5593</v>
      </c>
      <c r="H1000" s="334" t="s">
        <v>5593</v>
      </c>
      <c r="I1000" s="334"/>
    </row>
    <row r="1001">
      <c r="A1001" s="321" t="s">
        <v>5598</v>
      </c>
      <c r="B1001" s="321" t="s">
        <v>5599</v>
      </c>
      <c r="C1001" s="321" t="s">
        <v>5600</v>
      </c>
      <c r="D1001" s="321" t="s">
        <v>5601</v>
      </c>
      <c r="E1001" s="321" t="s">
        <v>5602</v>
      </c>
      <c r="F1001" s="321" t="s">
        <v>5598</v>
      </c>
      <c r="G1001" s="321" t="s">
        <v>5598</v>
      </c>
      <c r="H1001" s="335" t="s">
        <v>5598</v>
      </c>
      <c r="I1001" s="335"/>
    </row>
    <row r="1002">
      <c r="A1002" s="321" t="s">
        <v>1493</v>
      </c>
      <c r="B1002" s="321" t="s">
        <v>5603</v>
      </c>
      <c r="C1002" s="321" t="s">
        <v>5604</v>
      </c>
      <c r="D1002" s="321" t="s">
        <v>5605</v>
      </c>
      <c r="E1002" s="321" t="s">
        <v>5606</v>
      </c>
      <c r="F1002" s="321" t="s">
        <v>1493</v>
      </c>
      <c r="G1002" s="321" t="s">
        <v>1493</v>
      </c>
      <c r="H1002" s="334" t="s">
        <v>1493</v>
      </c>
      <c r="I1002" s="334"/>
    </row>
    <row r="1003">
      <c r="A1003" s="321" t="s">
        <v>1494</v>
      </c>
      <c r="B1003" s="321" t="s">
        <v>5607</v>
      </c>
      <c r="C1003" s="321" t="s">
        <v>5608</v>
      </c>
      <c r="D1003" s="321" t="s">
        <v>5609</v>
      </c>
      <c r="E1003" s="321" t="s">
        <v>5610</v>
      </c>
      <c r="F1003" s="321" t="s">
        <v>1494</v>
      </c>
      <c r="G1003" s="321" t="s">
        <v>1494</v>
      </c>
      <c r="H1003" s="335" t="s">
        <v>1494</v>
      </c>
      <c r="I1003" s="335"/>
    </row>
    <row r="1004">
      <c r="A1004" s="321" t="s">
        <v>1496</v>
      </c>
      <c r="B1004" s="321" t="s">
        <v>5611</v>
      </c>
      <c r="C1004" s="321" t="s">
        <v>5612</v>
      </c>
      <c r="D1004" s="321" t="s">
        <v>5613</v>
      </c>
      <c r="E1004" s="321" t="s">
        <v>5614</v>
      </c>
      <c r="F1004" s="321" t="s">
        <v>1496</v>
      </c>
      <c r="G1004" s="321" t="s">
        <v>1496</v>
      </c>
      <c r="H1004" s="334" t="s">
        <v>1496</v>
      </c>
      <c r="I1004" s="334"/>
    </row>
    <row r="1005">
      <c r="A1005" s="321" t="s">
        <v>5615</v>
      </c>
      <c r="B1005" s="321" t="s">
        <v>5616</v>
      </c>
      <c r="C1005" s="321" t="s">
        <v>5617</v>
      </c>
      <c r="D1005" s="321" t="s">
        <v>5618</v>
      </c>
      <c r="E1005" s="321" t="s">
        <v>5619</v>
      </c>
      <c r="F1005" s="321" t="s">
        <v>5615</v>
      </c>
      <c r="G1005" s="321" t="s">
        <v>5615</v>
      </c>
      <c r="H1005" s="335" t="s">
        <v>5615</v>
      </c>
      <c r="I1005" s="335"/>
    </row>
    <row r="1006">
      <c r="A1006" s="321" t="s">
        <v>5620</v>
      </c>
      <c r="B1006" s="321" t="s">
        <v>5621</v>
      </c>
      <c r="C1006" s="321" t="s">
        <v>5622</v>
      </c>
      <c r="D1006" s="321" t="s">
        <v>5623</v>
      </c>
      <c r="E1006" s="321" t="s">
        <v>5624</v>
      </c>
      <c r="F1006" s="321" t="s">
        <v>5620</v>
      </c>
      <c r="G1006" s="321" t="s">
        <v>5620</v>
      </c>
      <c r="H1006" s="334" t="s">
        <v>5620</v>
      </c>
      <c r="I1006" s="334"/>
    </row>
    <row r="1007">
      <c r="A1007" s="321" t="s">
        <v>5625</v>
      </c>
      <c r="B1007" s="321" t="s">
        <v>5626</v>
      </c>
      <c r="C1007" s="321" t="s">
        <v>5627</v>
      </c>
      <c r="D1007" s="321" t="s">
        <v>5628</v>
      </c>
      <c r="E1007" s="321" t="s">
        <v>5629</v>
      </c>
      <c r="F1007" s="321" t="s">
        <v>5625</v>
      </c>
      <c r="G1007" s="321" t="s">
        <v>5625</v>
      </c>
      <c r="H1007" s="335" t="s">
        <v>5625</v>
      </c>
      <c r="I1007" s="335"/>
    </row>
    <row r="1008">
      <c r="A1008" s="321" t="s">
        <v>5630</v>
      </c>
      <c r="B1008" s="321" t="s">
        <v>5631</v>
      </c>
      <c r="C1008" s="321" t="s">
        <v>5632</v>
      </c>
      <c r="D1008" s="321" t="s">
        <v>5633</v>
      </c>
      <c r="E1008" s="321" t="s">
        <v>5634</v>
      </c>
      <c r="F1008" s="321" t="s">
        <v>5630</v>
      </c>
      <c r="G1008" s="321" t="s">
        <v>5630</v>
      </c>
      <c r="H1008" s="334" t="s">
        <v>5630</v>
      </c>
      <c r="I1008" s="334"/>
    </row>
    <row r="1009">
      <c r="A1009" s="321" t="s">
        <v>5635</v>
      </c>
      <c r="B1009" s="321" t="s">
        <v>5636</v>
      </c>
      <c r="C1009" s="321" t="s">
        <v>5637</v>
      </c>
      <c r="D1009" s="321" t="s">
        <v>5638</v>
      </c>
      <c r="E1009" s="321" t="s">
        <v>5639</v>
      </c>
      <c r="F1009" s="321" t="s">
        <v>5635</v>
      </c>
      <c r="G1009" s="321" t="s">
        <v>5635</v>
      </c>
      <c r="H1009" s="335" t="s">
        <v>5635</v>
      </c>
      <c r="I1009" s="335"/>
    </row>
    <row r="1010">
      <c r="A1010" s="321" t="s">
        <v>1484</v>
      </c>
      <c r="B1010" s="321" t="s">
        <v>5640</v>
      </c>
      <c r="C1010" s="321" t="s">
        <v>5641</v>
      </c>
      <c r="D1010" s="321" t="s">
        <v>5642</v>
      </c>
      <c r="E1010" s="321" t="s">
        <v>5643</v>
      </c>
      <c r="F1010" s="321" t="s">
        <v>1484</v>
      </c>
      <c r="G1010" s="321" t="s">
        <v>1484</v>
      </c>
      <c r="H1010" s="334" t="s">
        <v>1484</v>
      </c>
      <c r="I1010" s="334"/>
    </row>
    <row r="1011">
      <c r="A1011" s="321" t="s">
        <v>5644</v>
      </c>
      <c r="B1011" s="321" t="s">
        <v>5645</v>
      </c>
      <c r="C1011" s="321" t="s">
        <v>5646</v>
      </c>
      <c r="D1011" s="321" t="s">
        <v>5647</v>
      </c>
      <c r="E1011" s="321" t="s">
        <v>5648</v>
      </c>
      <c r="F1011" s="321" t="s">
        <v>5644</v>
      </c>
      <c r="G1011" s="321" t="s">
        <v>5644</v>
      </c>
      <c r="H1011" s="335" t="s">
        <v>5644</v>
      </c>
      <c r="I1011" s="335"/>
    </row>
    <row r="1012">
      <c r="A1012" s="321" t="s">
        <v>5649</v>
      </c>
      <c r="B1012" s="321" t="s">
        <v>5650</v>
      </c>
      <c r="C1012" s="321" t="s">
        <v>5651</v>
      </c>
      <c r="D1012" s="321" t="s">
        <v>5652</v>
      </c>
      <c r="E1012" s="321" t="s">
        <v>5653</v>
      </c>
      <c r="F1012" s="321" t="s">
        <v>5649</v>
      </c>
      <c r="G1012" s="321" t="s">
        <v>5649</v>
      </c>
      <c r="H1012" s="334" t="s">
        <v>5649</v>
      </c>
      <c r="I1012" s="334"/>
    </row>
    <row r="1013">
      <c r="A1013" s="321" t="s">
        <v>5654</v>
      </c>
      <c r="B1013" s="321" t="s">
        <v>5655</v>
      </c>
      <c r="C1013" s="321" t="s">
        <v>5656</v>
      </c>
      <c r="D1013" s="321" t="s">
        <v>5657</v>
      </c>
      <c r="E1013" s="321" t="s">
        <v>5658</v>
      </c>
      <c r="F1013" s="321" t="s">
        <v>5654</v>
      </c>
      <c r="G1013" s="321" t="s">
        <v>5654</v>
      </c>
      <c r="H1013" s="335" t="s">
        <v>5654</v>
      </c>
      <c r="I1013" s="335"/>
    </row>
    <row r="1014">
      <c r="A1014" s="321" t="s">
        <v>1478</v>
      </c>
      <c r="B1014" s="321" t="s">
        <v>5659</v>
      </c>
      <c r="C1014" s="321" t="s">
        <v>5660</v>
      </c>
      <c r="D1014" s="321" t="s">
        <v>5661</v>
      </c>
      <c r="E1014" s="321" t="s">
        <v>5662</v>
      </c>
      <c r="F1014" s="321" t="s">
        <v>1478</v>
      </c>
      <c r="G1014" s="321" t="s">
        <v>1478</v>
      </c>
      <c r="H1014" s="334" t="s">
        <v>1478</v>
      </c>
      <c r="I1014" s="334"/>
    </row>
    <row r="1015">
      <c r="A1015" s="321" t="s">
        <v>1479</v>
      </c>
      <c r="B1015" s="321" t="s">
        <v>5663</v>
      </c>
      <c r="C1015" s="321" t="s">
        <v>5664</v>
      </c>
      <c r="D1015" s="321" t="s">
        <v>5665</v>
      </c>
      <c r="E1015" s="321" t="s">
        <v>5666</v>
      </c>
      <c r="F1015" s="321" t="s">
        <v>1479</v>
      </c>
      <c r="G1015" s="321" t="s">
        <v>1479</v>
      </c>
      <c r="H1015" s="335" t="s">
        <v>1479</v>
      </c>
      <c r="I1015" s="335"/>
    </row>
    <row r="1016">
      <c r="A1016" s="321" t="s">
        <v>5667</v>
      </c>
      <c r="B1016" s="321" t="s">
        <v>5668</v>
      </c>
      <c r="C1016" s="321" t="s">
        <v>5669</v>
      </c>
      <c r="D1016" s="321" t="s">
        <v>5670</v>
      </c>
      <c r="E1016" s="321" t="s">
        <v>5671</v>
      </c>
      <c r="F1016" s="321" t="s">
        <v>5667</v>
      </c>
      <c r="G1016" s="321" t="s">
        <v>5667</v>
      </c>
      <c r="H1016" s="334" t="s">
        <v>5667</v>
      </c>
      <c r="I1016" s="334"/>
    </row>
    <row r="1017">
      <c r="A1017" s="321" t="s">
        <v>1487</v>
      </c>
      <c r="B1017" s="321" t="s">
        <v>5672</v>
      </c>
      <c r="C1017" s="321" t="s">
        <v>5673</v>
      </c>
      <c r="D1017" s="321" t="s">
        <v>5674</v>
      </c>
      <c r="E1017" s="321" t="s">
        <v>5675</v>
      </c>
      <c r="F1017" s="321" t="s">
        <v>1487</v>
      </c>
      <c r="G1017" s="321" t="s">
        <v>1487</v>
      </c>
      <c r="H1017" s="335" t="s">
        <v>1487</v>
      </c>
      <c r="I1017" s="335"/>
    </row>
    <row r="1018">
      <c r="A1018" s="321" t="s">
        <v>5676</v>
      </c>
      <c r="B1018" s="321" t="s">
        <v>5676</v>
      </c>
      <c r="C1018" s="321" t="s">
        <v>5677</v>
      </c>
      <c r="D1018" s="321" t="s">
        <v>5678</v>
      </c>
      <c r="E1018" s="321" t="s">
        <v>5676</v>
      </c>
      <c r="F1018" s="321" t="s">
        <v>5676</v>
      </c>
      <c r="G1018" s="321" t="s">
        <v>5676</v>
      </c>
      <c r="H1018" s="334" t="s">
        <v>5676</v>
      </c>
      <c r="I1018" s="334"/>
    </row>
    <row r="1019">
      <c r="A1019" s="321" t="s">
        <v>5679</v>
      </c>
      <c r="B1019" s="321" t="s">
        <v>5680</v>
      </c>
      <c r="C1019" s="321" t="s">
        <v>5681</v>
      </c>
      <c r="D1019" s="321" t="s">
        <v>5682</v>
      </c>
      <c r="E1019" s="321" t="s">
        <v>5683</v>
      </c>
      <c r="F1019" s="321" t="s">
        <v>5679</v>
      </c>
      <c r="G1019" s="321" t="s">
        <v>5679</v>
      </c>
      <c r="H1019" s="335" t="s">
        <v>5679</v>
      </c>
      <c r="I1019" s="335"/>
    </row>
    <row r="1020">
      <c r="A1020" s="321" t="s">
        <v>5684</v>
      </c>
      <c r="B1020" s="321" t="s">
        <v>5685</v>
      </c>
      <c r="C1020" s="321" t="s">
        <v>5686</v>
      </c>
      <c r="D1020" s="321" t="s">
        <v>5687</v>
      </c>
      <c r="E1020" s="321" t="s">
        <v>5688</v>
      </c>
      <c r="F1020" s="321" t="s">
        <v>5684</v>
      </c>
      <c r="G1020" s="321" t="s">
        <v>5684</v>
      </c>
      <c r="H1020" s="334" t="s">
        <v>5684</v>
      </c>
      <c r="I1020" s="334"/>
    </row>
    <row r="1021">
      <c r="A1021" s="321" t="s">
        <v>5689</v>
      </c>
      <c r="B1021" s="321" t="s">
        <v>5690</v>
      </c>
      <c r="C1021" s="321" t="s">
        <v>5691</v>
      </c>
      <c r="D1021" s="321" t="s">
        <v>5692</v>
      </c>
      <c r="E1021" s="321" t="s">
        <v>5693</v>
      </c>
      <c r="F1021" s="321" t="s">
        <v>5694</v>
      </c>
      <c r="G1021" s="321" t="s">
        <v>5695</v>
      </c>
      <c r="H1021" s="335" t="s">
        <v>5689</v>
      </c>
      <c r="I1021" s="335"/>
    </row>
    <row r="1022">
      <c r="A1022" s="321" t="s">
        <v>5696</v>
      </c>
      <c r="B1022" s="321" t="s">
        <v>5697</v>
      </c>
      <c r="C1022" s="321" t="s">
        <v>5698</v>
      </c>
      <c r="D1022" s="321" t="s">
        <v>5699</v>
      </c>
      <c r="E1022" s="321" t="s">
        <v>5700</v>
      </c>
      <c r="F1022" s="321" t="s">
        <v>5701</v>
      </c>
      <c r="G1022" s="321" t="s">
        <v>5702</v>
      </c>
      <c r="H1022" s="334" t="s">
        <v>5696</v>
      </c>
      <c r="I1022" s="334"/>
    </row>
    <row r="1023">
      <c r="A1023" s="321" t="s">
        <v>5703</v>
      </c>
      <c r="B1023" s="321" t="s">
        <v>5704</v>
      </c>
      <c r="C1023" s="321" t="s">
        <v>5705</v>
      </c>
      <c r="D1023" s="321" t="s">
        <v>5706</v>
      </c>
      <c r="E1023" s="321" t="s">
        <v>5707</v>
      </c>
      <c r="F1023" s="321" t="s">
        <v>5708</v>
      </c>
      <c r="G1023" s="321" t="s">
        <v>5709</v>
      </c>
      <c r="H1023" s="335" t="s">
        <v>5703</v>
      </c>
      <c r="I1023" s="335"/>
    </row>
    <row r="1024">
      <c r="A1024" s="321" t="s">
        <v>5710</v>
      </c>
      <c r="B1024" s="321" t="s">
        <v>5711</v>
      </c>
      <c r="C1024" s="321" t="s">
        <v>5712</v>
      </c>
      <c r="D1024" s="321" t="s">
        <v>5713</v>
      </c>
      <c r="E1024" s="321" t="s">
        <v>5714</v>
      </c>
      <c r="F1024" s="321" t="s">
        <v>5715</v>
      </c>
      <c r="G1024" s="321" t="s">
        <v>5716</v>
      </c>
      <c r="H1024" s="334" t="s">
        <v>5710</v>
      </c>
      <c r="I1024" s="334"/>
    </row>
    <row r="1025">
      <c r="A1025" s="321" t="s">
        <v>5717</v>
      </c>
      <c r="B1025" s="321" t="s">
        <v>5718</v>
      </c>
      <c r="C1025" s="321" t="s">
        <v>5719</v>
      </c>
      <c r="D1025" s="321" t="s">
        <v>5720</v>
      </c>
      <c r="E1025" s="321" t="s">
        <v>5721</v>
      </c>
      <c r="F1025" s="321" t="s">
        <v>5722</v>
      </c>
      <c r="G1025" s="321" t="s">
        <v>5723</v>
      </c>
      <c r="H1025" s="335" t="s">
        <v>5717</v>
      </c>
      <c r="I1025" s="335"/>
    </row>
    <row r="1026">
      <c r="A1026" s="321" t="s">
        <v>5724</v>
      </c>
      <c r="B1026" s="321" t="s">
        <v>5725</v>
      </c>
      <c r="C1026" s="321" t="s">
        <v>5726</v>
      </c>
      <c r="D1026" s="321" t="s">
        <v>5727</v>
      </c>
      <c r="E1026" s="321" t="s">
        <v>5728</v>
      </c>
      <c r="F1026" s="321" t="s">
        <v>5729</v>
      </c>
      <c r="G1026" s="321" t="s">
        <v>5730</v>
      </c>
      <c r="H1026" s="334" t="s">
        <v>5724</v>
      </c>
      <c r="I1026" s="334"/>
    </row>
    <row r="1027">
      <c r="A1027" s="321" t="s">
        <v>5731</v>
      </c>
      <c r="B1027" s="321" t="s">
        <v>5732</v>
      </c>
      <c r="C1027" s="321" t="s">
        <v>5733</v>
      </c>
      <c r="D1027" s="321" t="s">
        <v>5734</v>
      </c>
      <c r="E1027" s="321" t="s">
        <v>5735</v>
      </c>
      <c r="F1027" s="321" t="s">
        <v>5736</v>
      </c>
      <c r="G1027" s="321" t="s">
        <v>5737</v>
      </c>
      <c r="H1027" s="335" t="s">
        <v>5731</v>
      </c>
      <c r="I1027" s="335"/>
    </row>
    <row r="1028">
      <c r="A1028" s="321" t="s">
        <v>5738</v>
      </c>
      <c r="B1028" s="321" t="s">
        <v>5739</v>
      </c>
      <c r="C1028" s="321" t="s">
        <v>5740</v>
      </c>
      <c r="D1028" s="321" t="s">
        <v>5741</v>
      </c>
      <c r="E1028" s="321" t="s">
        <v>5742</v>
      </c>
      <c r="F1028" s="321" t="s">
        <v>5743</v>
      </c>
      <c r="G1028" s="321" t="s">
        <v>5744</v>
      </c>
      <c r="H1028" s="334" t="s">
        <v>5738</v>
      </c>
      <c r="I1028" s="334"/>
    </row>
    <row r="1029">
      <c r="A1029" s="321" t="s">
        <v>5745</v>
      </c>
      <c r="B1029" s="321" t="s">
        <v>5746</v>
      </c>
      <c r="C1029" s="321" t="s">
        <v>5747</v>
      </c>
      <c r="D1029" s="321" t="s">
        <v>5748</v>
      </c>
      <c r="E1029" s="321" t="s">
        <v>5749</v>
      </c>
      <c r="F1029" s="321" t="s">
        <v>5750</v>
      </c>
      <c r="G1029" s="321" t="s">
        <v>5751</v>
      </c>
      <c r="H1029" s="335" t="s">
        <v>5745</v>
      </c>
      <c r="I1029" s="335"/>
    </row>
    <row r="1030">
      <c r="A1030" s="321" t="s">
        <v>5752</v>
      </c>
      <c r="B1030" s="321" t="s">
        <v>5753</v>
      </c>
      <c r="C1030" s="321" t="s">
        <v>5754</v>
      </c>
      <c r="D1030" s="321" t="s">
        <v>5755</v>
      </c>
      <c r="E1030" s="321" t="s">
        <v>5756</v>
      </c>
      <c r="F1030" s="321" t="s">
        <v>5757</v>
      </c>
      <c r="G1030" s="321" t="s">
        <v>5758</v>
      </c>
      <c r="H1030" s="334" t="s">
        <v>5752</v>
      </c>
      <c r="I1030" s="334"/>
    </row>
    <row r="1031">
      <c r="A1031" s="321" t="s">
        <v>5759</v>
      </c>
      <c r="B1031" s="321" t="s">
        <v>5760</v>
      </c>
      <c r="C1031" s="321" t="s">
        <v>5761</v>
      </c>
      <c r="D1031" s="321" t="s">
        <v>5762</v>
      </c>
      <c r="E1031" s="321" t="s">
        <v>5763</v>
      </c>
      <c r="F1031" s="321" t="s">
        <v>5764</v>
      </c>
      <c r="G1031" s="321" t="s">
        <v>5765</v>
      </c>
      <c r="H1031" s="335" t="s">
        <v>5759</v>
      </c>
      <c r="I1031" s="335"/>
    </row>
    <row r="1032">
      <c r="A1032" s="321" t="s">
        <v>5766</v>
      </c>
      <c r="B1032" s="321" t="s">
        <v>5767</v>
      </c>
      <c r="C1032" s="321" t="s">
        <v>5768</v>
      </c>
      <c r="D1032" s="321" t="s">
        <v>5769</v>
      </c>
      <c r="E1032" s="321" t="s">
        <v>5770</v>
      </c>
      <c r="F1032" s="321" t="s">
        <v>5771</v>
      </c>
      <c r="G1032" s="321" t="s">
        <v>5772</v>
      </c>
      <c r="H1032" s="334" t="s">
        <v>5766</v>
      </c>
      <c r="I1032" s="334"/>
    </row>
    <row r="1033">
      <c r="A1033" s="321" t="s">
        <v>5773</v>
      </c>
      <c r="B1033" s="321" t="s">
        <v>5774</v>
      </c>
      <c r="C1033" s="321" t="s">
        <v>5775</v>
      </c>
      <c r="D1033" s="321" t="s">
        <v>5776</v>
      </c>
      <c r="E1033" s="321" t="s">
        <v>5777</v>
      </c>
      <c r="F1033" s="321" t="s">
        <v>5773</v>
      </c>
      <c r="G1033" s="321" t="s">
        <v>5773</v>
      </c>
      <c r="H1033" s="335" t="s">
        <v>5773</v>
      </c>
      <c r="I1033" s="335"/>
    </row>
    <row r="1034">
      <c r="A1034" s="321" t="s">
        <v>5778</v>
      </c>
      <c r="B1034" s="321" t="s">
        <v>5779</v>
      </c>
      <c r="C1034" s="321" t="s">
        <v>5780</v>
      </c>
      <c r="D1034" s="321" t="s">
        <v>5781</v>
      </c>
      <c r="E1034" s="321" t="s">
        <v>5782</v>
      </c>
      <c r="F1034" s="321" t="s">
        <v>5778</v>
      </c>
      <c r="G1034" s="321" t="s">
        <v>5778</v>
      </c>
      <c r="H1034" s="334" t="s">
        <v>5778</v>
      </c>
      <c r="I1034" s="334"/>
    </row>
    <row r="1035">
      <c r="A1035" s="321" t="s">
        <v>5783</v>
      </c>
      <c r="B1035" s="321" t="s">
        <v>5784</v>
      </c>
      <c r="C1035" s="321" t="s">
        <v>5785</v>
      </c>
      <c r="D1035" s="321" t="s">
        <v>5786</v>
      </c>
      <c r="E1035" s="321" t="s">
        <v>5787</v>
      </c>
      <c r="F1035" s="321" t="s">
        <v>5783</v>
      </c>
      <c r="G1035" s="321" t="s">
        <v>5783</v>
      </c>
      <c r="H1035" s="335" t="s">
        <v>5783</v>
      </c>
      <c r="I1035" s="335"/>
    </row>
    <row r="1036">
      <c r="A1036" s="321" t="s">
        <v>1483</v>
      </c>
      <c r="B1036" s="321" t="s">
        <v>5788</v>
      </c>
      <c r="C1036" s="321" t="s">
        <v>5789</v>
      </c>
      <c r="D1036" s="321" t="s">
        <v>5790</v>
      </c>
      <c r="E1036" s="321" t="s">
        <v>5791</v>
      </c>
      <c r="F1036" s="321" t="s">
        <v>1483</v>
      </c>
      <c r="G1036" s="321" t="s">
        <v>1483</v>
      </c>
      <c r="H1036" s="334" t="s">
        <v>1483</v>
      </c>
      <c r="I1036" s="334"/>
    </row>
    <row r="1037">
      <c r="A1037" s="321" t="s">
        <v>1495</v>
      </c>
      <c r="B1037" s="321" t="s">
        <v>5792</v>
      </c>
      <c r="C1037" s="321" t="s">
        <v>5793</v>
      </c>
      <c r="D1037" s="321" t="s">
        <v>5794</v>
      </c>
      <c r="E1037" s="321" t="s">
        <v>5795</v>
      </c>
      <c r="F1037" s="321" t="s">
        <v>1495</v>
      </c>
      <c r="G1037" s="321" t="s">
        <v>1495</v>
      </c>
      <c r="H1037" s="335" t="s">
        <v>1495</v>
      </c>
      <c r="I1037" s="335"/>
    </row>
    <row r="1038">
      <c r="A1038" s="321" t="s">
        <v>5796</v>
      </c>
      <c r="B1038" s="321" t="s">
        <v>5797</v>
      </c>
      <c r="C1038" s="321" t="s">
        <v>5798</v>
      </c>
      <c r="D1038" s="321" t="s">
        <v>5799</v>
      </c>
      <c r="E1038" s="321" t="s">
        <v>5797</v>
      </c>
      <c r="F1038" s="321" t="s">
        <v>5796</v>
      </c>
      <c r="G1038" s="321" t="s">
        <v>5796</v>
      </c>
      <c r="H1038" s="334" t="s">
        <v>5796</v>
      </c>
      <c r="I1038" s="334"/>
    </row>
    <row r="1039">
      <c r="A1039" s="321" t="s">
        <v>5800</v>
      </c>
      <c r="B1039" s="321" t="s">
        <v>5801</v>
      </c>
      <c r="C1039" s="321" t="s">
        <v>5802</v>
      </c>
      <c r="D1039" s="321" t="s">
        <v>5803</v>
      </c>
      <c r="E1039" s="321" t="s">
        <v>5801</v>
      </c>
      <c r="F1039" s="321" t="s">
        <v>5800</v>
      </c>
      <c r="G1039" s="321" t="s">
        <v>5800</v>
      </c>
      <c r="H1039" s="335" t="s">
        <v>5800</v>
      </c>
      <c r="I1039" s="335"/>
    </row>
    <row r="1040">
      <c r="A1040" s="321" t="s">
        <v>5804</v>
      </c>
      <c r="B1040" s="321" t="s">
        <v>5805</v>
      </c>
      <c r="C1040" s="321" t="s">
        <v>5806</v>
      </c>
      <c r="D1040" s="321" t="s">
        <v>5807</v>
      </c>
      <c r="E1040" s="321" t="s">
        <v>5805</v>
      </c>
      <c r="F1040" s="321" t="s">
        <v>5804</v>
      </c>
      <c r="G1040" s="321" t="s">
        <v>5804</v>
      </c>
      <c r="H1040" s="334" t="s">
        <v>5804</v>
      </c>
      <c r="I1040" s="334"/>
    </row>
    <row r="1041">
      <c r="A1041" s="321" t="s">
        <v>5808</v>
      </c>
      <c r="B1041" s="321" t="s">
        <v>5809</v>
      </c>
      <c r="C1041" s="321" t="s">
        <v>5810</v>
      </c>
      <c r="D1041" s="321" t="s">
        <v>5811</v>
      </c>
      <c r="E1041" s="321" t="s">
        <v>5809</v>
      </c>
      <c r="F1041" s="321" t="s">
        <v>5808</v>
      </c>
      <c r="G1041" s="321" t="s">
        <v>5808</v>
      </c>
      <c r="H1041" s="335" t="s">
        <v>5808</v>
      </c>
      <c r="I1041" s="335"/>
    </row>
    <row r="1042">
      <c r="A1042" s="321" t="s">
        <v>5812</v>
      </c>
      <c r="B1042" s="321" t="s">
        <v>5813</v>
      </c>
      <c r="C1042" s="321" t="s">
        <v>5814</v>
      </c>
      <c r="D1042" s="321" t="s">
        <v>5815</v>
      </c>
      <c r="E1042" s="321" t="s">
        <v>5816</v>
      </c>
      <c r="F1042" s="321" t="s">
        <v>5817</v>
      </c>
      <c r="G1042" s="321" t="s">
        <v>5818</v>
      </c>
      <c r="H1042" s="334" t="s">
        <v>5812</v>
      </c>
      <c r="I1042" s="334"/>
    </row>
    <row r="1043">
      <c r="A1043" s="321" t="s">
        <v>5819</v>
      </c>
      <c r="B1043" s="321" t="s">
        <v>5820</v>
      </c>
      <c r="C1043" s="321" t="s">
        <v>5821</v>
      </c>
      <c r="D1043" s="321" t="s">
        <v>5822</v>
      </c>
      <c r="E1043" s="321" t="s">
        <v>5823</v>
      </c>
      <c r="F1043" s="321" t="s">
        <v>5824</v>
      </c>
      <c r="G1043" s="321" t="s">
        <v>5825</v>
      </c>
      <c r="H1043" s="335" t="s">
        <v>5819</v>
      </c>
      <c r="I1043" s="335"/>
    </row>
    <row r="1044">
      <c r="A1044" s="321" t="s">
        <v>5826</v>
      </c>
      <c r="B1044" s="321" t="s">
        <v>5826</v>
      </c>
      <c r="C1044" s="321" t="s">
        <v>5827</v>
      </c>
      <c r="D1044" s="321" t="s">
        <v>5826</v>
      </c>
      <c r="E1044" s="321" t="s">
        <v>5826</v>
      </c>
      <c r="F1044" s="321" t="s">
        <v>5826</v>
      </c>
      <c r="G1044" s="321" t="s">
        <v>5826</v>
      </c>
      <c r="H1044" s="334" t="s">
        <v>5826</v>
      </c>
      <c r="I1044" s="334"/>
    </row>
    <row r="1045">
      <c r="A1045" s="321" t="s">
        <v>5828</v>
      </c>
      <c r="B1045" s="321" t="s">
        <v>5828</v>
      </c>
      <c r="C1045" s="321" t="s">
        <v>5829</v>
      </c>
      <c r="D1045" s="321" t="s">
        <v>5828</v>
      </c>
      <c r="E1045" s="321" t="s">
        <v>5828</v>
      </c>
      <c r="F1045" s="321" t="s">
        <v>5828</v>
      </c>
      <c r="G1045" s="321" t="s">
        <v>5828</v>
      </c>
      <c r="H1045" s="335" t="s">
        <v>5828</v>
      </c>
      <c r="I1045" s="335"/>
    </row>
    <row r="1046">
      <c r="A1046" s="321" t="s">
        <v>5830</v>
      </c>
      <c r="B1046" s="321" t="s">
        <v>5831</v>
      </c>
      <c r="C1046" s="321" t="s">
        <v>5832</v>
      </c>
      <c r="D1046" s="321" t="s">
        <v>5833</v>
      </c>
      <c r="E1046" s="321" t="s">
        <v>5834</v>
      </c>
      <c r="F1046" s="321" t="s">
        <v>5835</v>
      </c>
      <c r="G1046" s="321" t="s">
        <v>5836</v>
      </c>
      <c r="H1046" s="334" t="s">
        <v>5830</v>
      </c>
      <c r="I1046" s="334"/>
    </row>
    <row r="1047">
      <c r="A1047" s="321" t="s">
        <v>5837</v>
      </c>
      <c r="B1047" s="321" t="s">
        <v>5838</v>
      </c>
      <c r="C1047" s="321" t="s">
        <v>5839</v>
      </c>
      <c r="D1047" s="321" t="s">
        <v>5840</v>
      </c>
      <c r="E1047" s="321" t="s">
        <v>5841</v>
      </c>
      <c r="F1047" s="321" t="s">
        <v>5842</v>
      </c>
      <c r="G1047" s="321" t="s">
        <v>5843</v>
      </c>
      <c r="H1047" s="335" t="s">
        <v>5837</v>
      </c>
      <c r="I1047" s="335"/>
    </row>
    <row r="1048">
      <c r="A1048" s="321" t="s">
        <v>5844</v>
      </c>
      <c r="B1048" s="321" t="s">
        <v>5845</v>
      </c>
      <c r="C1048" s="321" t="s">
        <v>5846</v>
      </c>
      <c r="D1048" s="321" t="s">
        <v>5847</v>
      </c>
      <c r="E1048" s="321" t="s">
        <v>5848</v>
      </c>
      <c r="F1048" s="321" t="s">
        <v>5844</v>
      </c>
      <c r="G1048" s="321" t="s">
        <v>5844</v>
      </c>
      <c r="H1048" s="334" t="s">
        <v>5844</v>
      </c>
      <c r="I1048" s="334"/>
    </row>
    <row r="1049">
      <c r="A1049" s="321" t="s">
        <v>5849</v>
      </c>
      <c r="B1049" s="321" t="s">
        <v>5849</v>
      </c>
      <c r="C1049" s="321" t="s">
        <v>5850</v>
      </c>
      <c r="D1049" s="321" t="s">
        <v>5851</v>
      </c>
      <c r="E1049" s="321" t="s">
        <v>5852</v>
      </c>
      <c r="F1049" s="321" t="s">
        <v>5849</v>
      </c>
      <c r="G1049" s="321" t="s">
        <v>5849</v>
      </c>
      <c r="H1049" s="335" t="s">
        <v>5849</v>
      </c>
      <c r="I1049" s="335"/>
    </row>
    <row r="1050">
      <c r="A1050" s="321" t="s">
        <v>5853</v>
      </c>
      <c r="B1050" s="321" t="s">
        <v>5854</v>
      </c>
      <c r="C1050" s="321" t="s">
        <v>5855</v>
      </c>
      <c r="D1050" s="321" t="s">
        <v>5856</v>
      </c>
      <c r="E1050" s="321" t="s">
        <v>5857</v>
      </c>
      <c r="F1050" s="321" t="s">
        <v>5853</v>
      </c>
      <c r="G1050" s="321" t="s">
        <v>5853</v>
      </c>
      <c r="H1050" s="334" t="s">
        <v>5853</v>
      </c>
      <c r="I1050" s="334"/>
    </row>
    <row r="1051">
      <c r="A1051" s="321" t="s">
        <v>5858</v>
      </c>
      <c r="B1051" s="321" t="s">
        <v>5859</v>
      </c>
      <c r="C1051" s="321" t="s">
        <v>5860</v>
      </c>
      <c r="D1051" s="321" t="s">
        <v>5861</v>
      </c>
      <c r="E1051" s="321" t="s">
        <v>5862</v>
      </c>
      <c r="F1051" s="321" t="s">
        <v>5858</v>
      </c>
      <c r="G1051" s="321" t="s">
        <v>5858</v>
      </c>
      <c r="H1051" s="335" t="s">
        <v>5858</v>
      </c>
      <c r="I1051" s="335"/>
    </row>
    <row r="1052">
      <c r="A1052" s="321" t="s">
        <v>5863</v>
      </c>
      <c r="B1052" s="321" t="s">
        <v>5864</v>
      </c>
      <c r="C1052" s="321" t="s">
        <v>5865</v>
      </c>
      <c r="D1052" s="321" t="s">
        <v>5866</v>
      </c>
      <c r="E1052" s="321" t="s">
        <v>5867</v>
      </c>
      <c r="F1052" s="321" t="s">
        <v>5863</v>
      </c>
      <c r="G1052" s="321" t="s">
        <v>5863</v>
      </c>
      <c r="H1052" s="334" t="s">
        <v>5863</v>
      </c>
      <c r="I1052" s="334"/>
    </row>
    <row r="1053">
      <c r="A1053" s="321" t="s">
        <v>5868</v>
      </c>
      <c r="B1053" s="321" t="s">
        <v>5869</v>
      </c>
      <c r="C1053" s="321" t="s">
        <v>5870</v>
      </c>
      <c r="D1053" s="321" t="s">
        <v>5871</v>
      </c>
      <c r="E1053" s="321" t="s">
        <v>5872</v>
      </c>
      <c r="F1053" s="321" t="s">
        <v>5868</v>
      </c>
      <c r="G1053" s="321" t="s">
        <v>5868</v>
      </c>
      <c r="H1053" s="335" t="s">
        <v>5868</v>
      </c>
      <c r="I1053" s="335"/>
    </row>
    <row r="1054">
      <c r="A1054" s="321" t="s">
        <v>5873</v>
      </c>
      <c r="B1054" s="321" t="s">
        <v>5873</v>
      </c>
      <c r="C1054" s="321" t="s">
        <v>5874</v>
      </c>
      <c r="D1054" s="321" t="s">
        <v>5873</v>
      </c>
      <c r="E1054" s="321" t="s">
        <v>5873</v>
      </c>
      <c r="F1054" s="321" t="s">
        <v>5873</v>
      </c>
      <c r="G1054" s="321" t="s">
        <v>5873</v>
      </c>
      <c r="H1054" s="334" t="s">
        <v>5873</v>
      </c>
      <c r="I1054" s="334"/>
    </row>
    <row r="1055">
      <c r="A1055" s="321" t="s">
        <v>5875</v>
      </c>
      <c r="B1055" s="321" t="s">
        <v>5876</v>
      </c>
      <c r="C1055" s="321" t="s">
        <v>5877</v>
      </c>
      <c r="D1055" s="321" t="s">
        <v>5878</v>
      </c>
      <c r="E1055" s="321" t="s">
        <v>5879</v>
      </c>
      <c r="F1055" s="321" t="s">
        <v>5875</v>
      </c>
      <c r="G1055" s="321" t="s">
        <v>5875</v>
      </c>
      <c r="H1055" s="335" t="s">
        <v>5875</v>
      </c>
      <c r="I1055" s="335"/>
    </row>
    <row r="1056">
      <c r="A1056" s="321" t="s">
        <v>5880</v>
      </c>
      <c r="B1056" s="321" t="s">
        <v>5881</v>
      </c>
      <c r="C1056" s="321" t="s">
        <v>5882</v>
      </c>
      <c r="D1056" s="321" t="s">
        <v>5883</v>
      </c>
      <c r="E1056" s="321" t="s">
        <v>5884</v>
      </c>
      <c r="F1056" s="321" t="s">
        <v>5880</v>
      </c>
      <c r="G1056" s="321" t="s">
        <v>5880</v>
      </c>
      <c r="H1056" s="334" t="s">
        <v>5880</v>
      </c>
      <c r="I1056" s="334"/>
    </row>
    <row r="1057">
      <c r="A1057" s="321" t="s">
        <v>5885</v>
      </c>
      <c r="B1057" s="321" t="s">
        <v>5886</v>
      </c>
      <c r="C1057" s="321" t="s">
        <v>5887</v>
      </c>
      <c r="D1057" s="321" t="s">
        <v>5888</v>
      </c>
      <c r="E1057" s="321" t="s">
        <v>5889</v>
      </c>
      <c r="F1057" s="321" t="s">
        <v>5890</v>
      </c>
      <c r="G1057" s="321" t="s">
        <v>5891</v>
      </c>
      <c r="H1057" s="335" t="s">
        <v>5885</v>
      </c>
      <c r="I1057" s="335"/>
    </row>
    <row r="1058">
      <c r="A1058" s="321" t="s">
        <v>5892</v>
      </c>
      <c r="B1058" s="321" t="s">
        <v>5893</v>
      </c>
      <c r="C1058" s="321" t="s">
        <v>5894</v>
      </c>
      <c r="D1058" s="321" t="s">
        <v>5895</v>
      </c>
      <c r="E1058" s="321" t="s">
        <v>5896</v>
      </c>
      <c r="F1058" s="321" t="s">
        <v>5897</v>
      </c>
      <c r="G1058" s="321" t="s">
        <v>5898</v>
      </c>
      <c r="H1058" s="334" t="s">
        <v>5892</v>
      </c>
      <c r="I1058" s="334"/>
    </row>
    <row r="1059">
      <c r="A1059" s="321" t="s">
        <v>5899</v>
      </c>
      <c r="B1059" s="321" t="s">
        <v>5900</v>
      </c>
      <c r="C1059" s="321" t="s">
        <v>5901</v>
      </c>
      <c r="D1059" s="321" t="s">
        <v>5902</v>
      </c>
      <c r="E1059" s="321" t="s">
        <v>5903</v>
      </c>
      <c r="F1059" s="321" t="s">
        <v>5904</v>
      </c>
      <c r="G1059" s="321" t="s">
        <v>5905</v>
      </c>
      <c r="H1059" s="335" t="s">
        <v>5899</v>
      </c>
      <c r="I1059" s="335"/>
    </row>
    <row r="1060">
      <c r="A1060" s="321" t="s">
        <v>5906</v>
      </c>
      <c r="B1060" s="321" t="s">
        <v>5907</v>
      </c>
      <c r="C1060" s="321" t="s">
        <v>5908</v>
      </c>
      <c r="D1060" s="321" t="s">
        <v>5909</v>
      </c>
      <c r="E1060" s="321" t="s">
        <v>5910</v>
      </c>
      <c r="F1060" s="321" t="s">
        <v>5911</v>
      </c>
      <c r="G1060" s="321" t="s">
        <v>5912</v>
      </c>
      <c r="H1060" s="334" t="s">
        <v>5906</v>
      </c>
      <c r="I1060" s="334"/>
    </row>
    <row r="1061">
      <c r="A1061" s="321" t="s">
        <v>5913</v>
      </c>
      <c r="B1061" s="321" t="s">
        <v>5913</v>
      </c>
      <c r="C1061" s="321" t="s">
        <v>5914</v>
      </c>
      <c r="D1061" s="321" t="s">
        <v>5913</v>
      </c>
      <c r="E1061" s="321" t="s">
        <v>5913</v>
      </c>
      <c r="F1061" s="321" t="s">
        <v>5913</v>
      </c>
      <c r="G1061" s="321" t="s">
        <v>5913</v>
      </c>
      <c r="H1061" s="335" t="s">
        <v>5913</v>
      </c>
      <c r="I1061" s="335"/>
    </row>
    <row r="1062">
      <c r="A1062" s="321" t="s">
        <v>5915</v>
      </c>
      <c r="B1062" s="321" t="s">
        <v>5916</v>
      </c>
      <c r="C1062" s="321" t="s">
        <v>5917</v>
      </c>
      <c r="D1062" s="321" t="s">
        <v>5918</v>
      </c>
      <c r="E1062" s="321" t="s">
        <v>5919</v>
      </c>
      <c r="F1062" s="321" t="s">
        <v>5915</v>
      </c>
      <c r="G1062" s="321" t="s">
        <v>5915</v>
      </c>
      <c r="H1062" s="334" t="s">
        <v>5915</v>
      </c>
      <c r="I1062" s="334"/>
    </row>
    <row r="1063">
      <c r="A1063" s="323" t="s">
        <v>1250</v>
      </c>
      <c r="B1063" s="321" t="s">
        <v>5920</v>
      </c>
      <c r="C1063" s="321" t="s">
        <v>5921</v>
      </c>
      <c r="D1063" s="321" t="s">
        <v>5922</v>
      </c>
      <c r="E1063" s="337" t="s">
        <v>5923</v>
      </c>
      <c r="F1063" s="321" t="s">
        <v>5924</v>
      </c>
      <c r="G1063" s="321" t="s">
        <v>5925</v>
      </c>
      <c r="H1063" s="335" t="s">
        <v>5926</v>
      </c>
      <c r="I1063" s="335"/>
    </row>
    <row r="1064">
      <c r="A1064" s="323" t="s">
        <v>1251</v>
      </c>
      <c r="B1064" s="321" t="s">
        <v>5927</v>
      </c>
      <c r="C1064" s="321" t="s">
        <v>5928</v>
      </c>
      <c r="D1064" s="321" t="s">
        <v>5929</v>
      </c>
      <c r="E1064" s="321" t="s">
        <v>5930</v>
      </c>
      <c r="F1064" s="321" t="s">
        <v>5931</v>
      </c>
      <c r="G1064" s="321" t="s">
        <v>5932</v>
      </c>
      <c r="H1064" s="334" t="s">
        <v>5933</v>
      </c>
      <c r="I1064" s="334"/>
    </row>
    <row r="1065">
      <c r="A1065" s="321" t="s">
        <v>1429</v>
      </c>
      <c r="B1065" s="321" t="s">
        <v>5934</v>
      </c>
      <c r="C1065" s="321" t="s">
        <v>5935</v>
      </c>
      <c r="D1065" s="321" t="s">
        <v>5936</v>
      </c>
      <c r="E1065" s="321" t="s">
        <v>5937</v>
      </c>
      <c r="F1065" s="321" t="s">
        <v>5938</v>
      </c>
      <c r="G1065" s="321" t="s">
        <v>5939</v>
      </c>
      <c r="H1065" s="335" t="s">
        <v>5940</v>
      </c>
      <c r="I1065" s="335"/>
    </row>
    <row r="1066">
      <c r="A1066" s="321" t="s">
        <v>1430</v>
      </c>
      <c r="B1066" s="321" t="s">
        <v>5941</v>
      </c>
      <c r="C1066" s="321" t="s">
        <v>5942</v>
      </c>
      <c r="D1066" s="321" t="s">
        <v>5943</v>
      </c>
      <c r="E1066" s="321" t="s">
        <v>5944</v>
      </c>
      <c r="F1066" s="321" t="s">
        <v>5945</v>
      </c>
      <c r="G1066" s="321" t="s">
        <v>5946</v>
      </c>
      <c r="H1066" s="334" t="s">
        <v>5947</v>
      </c>
      <c r="I1066" s="334"/>
    </row>
    <row r="1067">
      <c r="A1067" s="323" t="s">
        <v>1252</v>
      </c>
      <c r="B1067" s="321" t="s">
        <v>5948</v>
      </c>
      <c r="C1067" s="321" t="s">
        <v>5949</v>
      </c>
      <c r="D1067" s="321" t="s">
        <v>5950</v>
      </c>
      <c r="E1067" s="321" t="s">
        <v>5951</v>
      </c>
      <c r="F1067" s="321" t="s">
        <v>5952</v>
      </c>
      <c r="G1067" s="321" t="s">
        <v>5953</v>
      </c>
      <c r="H1067" s="335" t="s">
        <v>5954</v>
      </c>
      <c r="I1067" s="335"/>
    </row>
    <row r="1068">
      <c r="A1068" s="321" t="s">
        <v>1317</v>
      </c>
      <c r="B1068" s="321" t="s">
        <v>5955</v>
      </c>
      <c r="C1068" s="338" t="s">
        <v>5956</v>
      </c>
      <c r="D1068" s="321" t="s">
        <v>5957</v>
      </c>
      <c r="E1068" s="321" t="s">
        <v>5958</v>
      </c>
      <c r="F1068" s="321" t="s">
        <v>5959</v>
      </c>
      <c r="G1068" s="321" t="s">
        <v>5960</v>
      </c>
      <c r="H1068" s="334" t="s">
        <v>5961</v>
      </c>
      <c r="I1068" s="334"/>
    </row>
    <row r="1069">
      <c r="A1069" s="323" t="s">
        <v>1253</v>
      </c>
      <c r="B1069" s="321" t="s">
        <v>1253</v>
      </c>
      <c r="C1069" s="321" t="s">
        <v>5962</v>
      </c>
      <c r="D1069" s="321" t="s">
        <v>1253</v>
      </c>
      <c r="E1069" s="321" t="s">
        <v>1253</v>
      </c>
      <c r="F1069" s="321" t="s">
        <v>1253</v>
      </c>
      <c r="G1069" s="321" t="s">
        <v>1253</v>
      </c>
      <c r="H1069" s="335" t="s">
        <v>5963</v>
      </c>
      <c r="I1069" s="335"/>
    </row>
    <row r="1070">
      <c r="A1070" s="323" t="s">
        <v>1254</v>
      </c>
      <c r="B1070" s="321" t="s">
        <v>5964</v>
      </c>
      <c r="C1070" s="321" t="s">
        <v>5965</v>
      </c>
      <c r="D1070" s="321" t="s">
        <v>5966</v>
      </c>
      <c r="E1070" s="323" t="s">
        <v>1254</v>
      </c>
      <c r="F1070" s="323" t="s">
        <v>1254</v>
      </c>
      <c r="G1070" s="323" t="s">
        <v>1254</v>
      </c>
      <c r="H1070" s="334" t="s">
        <v>1254</v>
      </c>
      <c r="I1070" s="334"/>
    </row>
    <row r="1071">
      <c r="A1071" s="323" t="s">
        <v>1255</v>
      </c>
      <c r="B1071" s="321" t="s">
        <v>5967</v>
      </c>
      <c r="C1071" s="321" t="s">
        <v>5968</v>
      </c>
      <c r="D1071" s="321" t="s">
        <v>5969</v>
      </c>
      <c r="E1071" s="337" t="s">
        <v>5970</v>
      </c>
      <c r="F1071" s="321" t="s">
        <v>1255</v>
      </c>
      <c r="G1071" s="321" t="s">
        <v>1255</v>
      </c>
      <c r="H1071" s="335" t="s">
        <v>1255</v>
      </c>
      <c r="I1071" s="335"/>
    </row>
    <row r="1072">
      <c r="A1072" s="323" t="s">
        <v>1256</v>
      </c>
      <c r="B1072" s="321" t="s">
        <v>1256</v>
      </c>
      <c r="C1072" s="321" t="s">
        <v>5971</v>
      </c>
      <c r="D1072" s="321" t="s">
        <v>5972</v>
      </c>
      <c r="E1072" s="321" t="s">
        <v>1256</v>
      </c>
      <c r="F1072" s="321" t="s">
        <v>1256</v>
      </c>
      <c r="G1072" s="321" t="s">
        <v>1256</v>
      </c>
      <c r="H1072" s="334" t="s">
        <v>1256</v>
      </c>
      <c r="I1072" s="334"/>
    </row>
    <row r="1073">
      <c r="A1073" s="323" t="s">
        <v>1257</v>
      </c>
      <c r="B1073" s="321" t="s">
        <v>1257</v>
      </c>
      <c r="C1073" s="321" t="s">
        <v>5973</v>
      </c>
      <c r="D1073" s="321" t="s">
        <v>5974</v>
      </c>
      <c r="E1073" s="321" t="s">
        <v>1257</v>
      </c>
      <c r="F1073" s="321" t="s">
        <v>1257</v>
      </c>
      <c r="G1073" s="321" t="s">
        <v>1257</v>
      </c>
      <c r="H1073" s="335" t="s">
        <v>1257</v>
      </c>
      <c r="I1073" s="335"/>
    </row>
    <row r="1074">
      <c r="A1074" s="323" t="s">
        <v>1258</v>
      </c>
      <c r="B1074" s="321" t="s">
        <v>5975</v>
      </c>
      <c r="C1074" s="321" t="s">
        <v>5976</v>
      </c>
      <c r="D1074" s="321" t="s">
        <v>5977</v>
      </c>
      <c r="E1074" s="321" t="s">
        <v>5978</v>
      </c>
      <c r="F1074" s="321" t="s">
        <v>1258</v>
      </c>
      <c r="G1074" s="321" t="s">
        <v>1258</v>
      </c>
      <c r="H1074" s="334" t="s">
        <v>1258</v>
      </c>
      <c r="I1074" s="334"/>
    </row>
    <row r="1075">
      <c r="A1075" s="323" t="s">
        <v>1259</v>
      </c>
      <c r="B1075" s="321" t="s">
        <v>5979</v>
      </c>
      <c r="C1075" s="321" t="s">
        <v>5980</v>
      </c>
      <c r="D1075" s="321" t="s">
        <v>5981</v>
      </c>
      <c r="E1075" s="323" t="s">
        <v>1259</v>
      </c>
      <c r="F1075" s="323" t="s">
        <v>1259</v>
      </c>
      <c r="G1075" s="323" t="s">
        <v>1259</v>
      </c>
      <c r="H1075" s="335" t="s">
        <v>1259</v>
      </c>
      <c r="I1075" s="335"/>
    </row>
    <row r="1076">
      <c r="A1076" s="323" t="s">
        <v>1260</v>
      </c>
      <c r="B1076" s="321" t="s">
        <v>5982</v>
      </c>
      <c r="C1076" s="321" t="s">
        <v>5983</v>
      </c>
      <c r="D1076" s="321" t="s">
        <v>5984</v>
      </c>
      <c r="E1076" s="321" t="s">
        <v>5982</v>
      </c>
      <c r="F1076" s="321" t="s">
        <v>5985</v>
      </c>
      <c r="G1076" s="321" t="s">
        <v>1260</v>
      </c>
      <c r="H1076" s="334" t="s">
        <v>5986</v>
      </c>
      <c r="I1076" s="334"/>
    </row>
    <row r="1077">
      <c r="A1077" s="321" t="s">
        <v>1318</v>
      </c>
      <c r="B1077" s="321" t="s">
        <v>5987</v>
      </c>
      <c r="C1077" s="321" t="s">
        <v>5988</v>
      </c>
      <c r="D1077" s="321" t="s">
        <v>5989</v>
      </c>
      <c r="E1077" s="321" t="s">
        <v>5990</v>
      </c>
      <c r="F1077" s="321" t="s">
        <v>5991</v>
      </c>
      <c r="G1077" s="321" t="s">
        <v>5992</v>
      </c>
      <c r="H1077" s="336" t="s">
        <v>5993</v>
      </c>
      <c r="I1077" s="335"/>
    </row>
    <row r="1078">
      <c r="A1078" s="321" t="s">
        <v>1319</v>
      </c>
      <c r="B1078" s="321" t="s">
        <v>1319</v>
      </c>
      <c r="C1078" s="321" t="s">
        <v>5994</v>
      </c>
      <c r="D1078" s="321" t="s">
        <v>5995</v>
      </c>
      <c r="E1078" s="321" t="s">
        <v>5996</v>
      </c>
      <c r="F1078" s="321" t="s">
        <v>5997</v>
      </c>
      <c r="G1078" s="321" t="s">
        <v>5998</v>
      </c>
      <c r="H1078" s="334" t="s">
        <v>1319</v>
      </c>
      <c r="I1078" s="334"/>
    </row>
    <row r="1079">
      <c r="A1079" s="321" t="s">
        <v>1320</v>
      </c>
      <c r="B1079" s="337" t="s">
        <v>1320</v>
      </c>
      <c r="C1079" s="321" t="s">
        <v>5999</v>
      </c>
      <c r="D1079" s="321" t="s">
        <v>6000</v>
      </c>
      <c r="E1079" s="337" t="s">
        <v>1320</v>
      </c>
      <c r="F1079" s="321" t="s">
        <v>6001</v>
      </c>
      <c r="G1079" s="337" t="s">
        <v>1320</v>
      </c>
      <c r="H1079" s="335" t="s">
        <v>1320</v>
      </c>
      <c r="I1079" s="335"/>
    </row>
    <row r="1080">
      <c r="A1080" s="321" t="s">
        <v>1435</v>
      </c>
      <c r="B1080" s="337" t="s">
        <v>6002</v>
      </c>
      <c r="C1080" s="321" t="s">
        <v>6003</v>
      </c>
      <c r="D1080" s="321" t="s">
        <v>6004</v>
      </c>
      <c r="E1080" s="337" t="s">
        <v>6005</v>
      </c>
      <c r="F1080" s="321" t="s">
        <v>6006</v>
      </c>
      <c r="G1080" s="337" t="s">
        <v>1435</v>
      </c>
      <c r="H1080" s="334" t="s">
        <v>1435</v>
      </c>
      <c r="I1080" s="334"/>
    </row>
    <row r="1081">
      <c r="A1081" s="321" t="s">
        <v>1436</v>
      </c>
      <c r="B1081" s="337" t="s">
        <v>6007</v>
      </c>
      <c r="C1081" s="321" t="s">
        <v>6008</v>
      </c>
      <c r="D1081" s="321" t="s">
        <v>6009</v>
      </c>
      <c r="E1081" s="337" t="s">
        <v>6010</v>
      </c>
      <c r="F1081" s="321" t="s">
        <v>6011</v>
      </c>
      <c r="G1081" s="339" t="s">
        <v>6012</v>
      </c>
      <c r="H1081" s="335" t="s">
        <v>6013</v>
      </c>
      <c r="I1081" s="335"/>
    </row>
    <row r="1082">
      <c r="A1082" s="321" t="s">
        <v>1437</v>
      </c>
      <c r="B1082" s="337" t="s">
        <v>1437</v>
      </c>
      <c r="C1082" s="321" t="s">
        <v>6014</v>
      </c>
      <c r="D1082" s="321" t="s">
        <v>6015</v>
      </c>
      <c r="E1082" s="321" t="s">
        <v>1437</v>
      </c>
      <c r="F1082" s="321" t="s">
        <v>6016</v>
      </c>
      <c r="G1082" s="337" t="s">
        <v>6017</v>
      </c>
      <c r="H1082" s="334" t="s">
        <v>6018</v>
      </c>
      <c r="I1082" s="334"/>
    </row>
    <row r="1083">
      <c r="A1083" s="321" t="s">
        <v>1438</v>
      </c>
      <c r="B1083" s="337" t="s">
        <v>6019</v>
      </c>
      <c r="C1083" s="321" t="s">
        <v>6020</v>
      </c>
      <c r="D1083" s="321" t="s">
        <v>6021</v>
      </c>
      <c r="E1083" s="337" t="s">
        <v>1438</v>
      </c>
      <c r="F1083" s="321" t="s">
        <v>6022</v>
      </c>
      <c r="G1083" s="337" t="s">
        <v>6023</v>
      </c>
      <c r="H1083" s="335" t="s">
        <v>1438</v>
      </c>
      <c r="I1083" s="335"/>
    </row>
    <row r="1084">
      <c r="A1084" s="321" t="s">
        <v>1439</v>
      </c>
      <c r="B1084" s="337" t="s">
        <v>6024</v>
      </c>
      <c r="C1084" s="321" t="s">
        <v>6025</v>
      </c>
      <c r="D1084" s="321" t="s">
        <v>6026</v>
      </c>
      <c r="E1084" s="337" t="s">
        <v>6027</v>
      </c>
      <c r="F1084" s="321" t="s">
        <v>6028</v>
      </c>
      <c r="G1084" s="337" t="s">
        <v>6029</v>
      </c>
      <c r="H1084" s="334" t="s">
        <v>1439</v>
      </c>
      <c r="I1084" s="334"/>
    </row>
    <row r="1085">
      <c r="A1085" s="321" t="s">
        <v>1440</v>
      </c>
      <c r="B1085" s="337" t="s">
        <v>1440</v>
      </c>
      <c r="C1085" s="321" t="s">
        <v>6030</v>
      </c>
      <c r="D1085" s="321" t="s">
        <v>1440</v>
      </c>
      <c r="E1085" s="321" t="s">
        <v>1440</v>
      </c>
      <c r="F1085" s="321" t="s">
        <v>6031</v>
      </c>
      <c r="G1085" s="337" t="s">
        <v>6032</v>
      </c>
      <c r="H1085" s="335" t="s">
        <v>6033</v>
      </c>
      <c r="I1085" s="335"/>
    </row>
    <row r="1086">
      <c r="A1086" s="321" t="s">
        <v>1468</v>
      </c>
      <c r="B1086" s="337" t="s">
        <v>6034</v>
      </c>
      <c r="C1086" s="321" t="s">
        <v>6035</v>
      </c>
      <c r="D1086" s="321" t="s">
        <v>6036</v>
      </c>
      <c r="E1086" s="321" t="s">
        <v>6037</v>
      </c>
      <c r="F1086" s="321" t="s">
        <v>6038</v>
      </c>
      <c r="G1086" s="337" t="s">
        <v>6039</v>
      </c>
      <c r="H1086" s="321" t="s">
        <v>1468</v>
      </c>
      <c r="I1086" s="335"/>
    </row>
    <row r="1087">
      <c r="A1087" s="321" t="s">
        <v>1469</v>
      </c>
      <c r="B1087" s="339" t="s">
        <v>6040</v>
      </c>
      <c r="C1087" s="321"/>
      <c r="D1087" s="321"/>
      <c r="E1087" s="321" t="s">
        <v>6041</v>
      </c>
      <c r="F1087" s="321" t="s">
        <v>6042</v>
      </c>
      <c r="G1087" s="337" t="s">
        <v>6043</v>
      </c>
      <c r="H1087" s="336" t="s">
        <v>6044</v>
      </c>
      <c r="I1087" s="335"/>
    </row>
    <row r="1088">
      <c r="A1088" s="321" t="s">
        <v>1470</v>
      </c>
      <c r="B1088" s="339" t="s">
        <v>6045</v>
      </c>
      <c r="C1088" s="321" t="s">
        <v>6046</v>
      </c>
      <c r="D1088" s="321" t="s">
        <v>6047</v>
      </c>
      <c r="E1088" s="321" t="s">
        <v>1470</v>
      </c>
      <c r="F1088" s="321" t="s">
        <v>6048</v>
      </c>
      <c r="G1088" s="321" t="s">
        <v>1470</v>
      </c>
      <c r="H1088" s="321" t="s">
        <v>1470</v>
      </c>
      <c r="I1088" s="335"/>
    </row>
    <row r="1089">
      <c r="A1089" s="321" t="s">
        <v>1471</v>
      </c>
      <c r="B1089" s="339" t="s">
        <v>6049</v>
      </c>
      <c r="C1089" s="321" t="s">
        <v>6050</v>
      </c>
      <c r="D1089" s="321" t="s">
        <v>6051</v>
      </c>
      <c r="E1089" s="321" t="s">
        <v>6052</v>
      </c>
      <c r="F1089" s="321" t="s">
        <v>6053</v>
      </c>
      <c r="G1089" s="337" t="s">
        <v>6054</v>
      </c>
      <c r="H1089" s="336" t="s">
        <v>6055</v>
      </c>
      <c r="I1089" s="335"/>
    </row>
    <row r="1090">
      <c r="A1090" s="321" t="s">
        <v>1497</v>
      </c>
      <c r="B1090" s="339" t="s">
        <v>6056</v>
      </c>
      <c r="C1090" s="321" t="s">
        <v>6057</v>
      </c>
      <c r="D1090" s="321" t="s">
        <v>6058</v>
      </c>
      <c r="E1090" s="321" t="s">
        <v>6059</v>
      </c>
      <c r="F1090" s="321" t="s">
        <v>6060</v>
      </c>
      <c r="G1090" s="337" t="s">
        <v>6061</v>
      </c>
      <c r="H1090" s="336"/>
      <c r="I1090" s="335"/>
    </row>
    <row r="1091">
      <c r="A1091" s="321" t="s">
        <v>1501</v>
      </c>
      <c r="B1091" s="339" t="s">
        <v>6062</v>
      </c>
      <c r="C1091" s="321" t="s">
        <v>6063</v>
      </c>
      <c r="D1091" s="321" t="s">
        <v>6064</v>
      </c>
      <c r="E1091" s="321" t="s">
        <v>6065</v>
      </c>
      <c r="F1091" s="321" t="s">
        <v>6066</v>
      </c>
      <c r="G1091" s="337" t="s">
        <v>6067</v>
      </c>
      <c r="H1091" s="336"/>
      <c r="I1091" s="335"/>
    </row>
    <row r="1092">
      <c r="A1092" s="321" t="s">
        <v>1499</v>
      </c>
      <c r="B1092" s="321" t="s">
        <v>1499</v>
      </c>
      <c r="C1092" s="321" t="s">
        <v>6068</v>
      </c>
      <c r="D1092" s="321" t="s">
        <v>1499</v>
      </c>
      <c r="E1092" s="321" t="s">
        <v>6069</v>
      </c>
      <c r="F1092" s="321" t="s">
        <v>6070</v>
      </c>
      <c r="G1092" s="337" t="s">
        <v>6071</v>
      </c>
      <c r="H1092" s="336"/>
      <c r="I1092" s="335"/>
    </row>
    <row r="1093">
      <c r="A1093" s="321" t="s">
        <v>1500</v>
      </c>
      <c r="B1093" s="339" t="s">
        <v>6072</v>
      </c>
      <c r="C1093" s="321" t="s">
        <v>6073</v>
      </c>
      <c r="D1093" s="321" t="s">
        <v>6074</v>
      </c>
      <c r="E1093" s="321" t="s">
        <v>6075</v>
      </c>
      <c r="F1093" s="321" t="s">
        <v>6076</v>
      </c>
      <c r="G1093" s="337" t="s">
        <v>6077</v>
      </c>
      <c r="H1093" s="336"/>
      <c r="I1093" s="335"/>
    </row>
    <row r="1094">
      <c r="A1094" s="323" t="s">
        <v>1261</v>
      </c>
      <c r="B1094" s="321" t="s">
        <v>1261</v>
      </c>
      <c r="C1094" s="321" t="s">
        <v>6078</v>
      </c>
      <c r="D1094" s="321" t="s">
        <v>6079</v>
      </c>
      <c r="E1094" s="321" t="s">
        <v>6080</v>
      </c>
      <c r="F1094" s="321" t="s">
        <v>6081</v>
      </c>
      <c r="G1094" s="321" t="s">
        <v>6082</v>
      </c>
      <c r="H1094" s="334" t="s">
        <v>6083</v>
      </c>
      <c r="I1094" s="334"/>
    </row>
    <row r="1095">
      <c r="A1095" s="323" t="s">
        <v>1262</v>
      </c>
      <c r="B1095" s="321" t="s">
        <v>6084</v>
      </c>
      <c r="C1095" s="321" t="s">
        <v>6085</v>
      </c>
      <c r="D1095" s="321" t="s">
        <v>6086</v>
      </c>
      <c r="E1095" s="321" t="s">
        <v>6087</v>
      </c>
      <c r="F1095" s="321" t="s">
        <v>6088</v>
      </c>
      <c r="G1095" s="321" t="s">
        <v>6089</v>
      </c>
      <c r="H1095" s="336" t="s">
        <v>6090</v>
      </c>
      <c r="I1095" s="336"/>
    </row>
    <row r="1096">
      <c r="A1096" s="323" t="s">
        <v>1263</v>
      </c>
      <c r="B1096" s="321" t="s">
        <v>6091</v>
      </c>
      <c r="C1096" s="321" t="s">
        <v>6092</v>
      </c>
      <c r="D1096" s="321" t="s">
        <v>6093</v>
      </c>
      <c r="E1096" s="321" t="s">
        <v>6094</v>
      </c>
      <c r="F1096" s="321" t="s">
        <v>6095</v>
      </c>
      <c r="G1096" s="321" t="s">
        <v>6096</v>
      </c>
      <c r="H1096" s="334" t="s">
        <v>6097</v>
      </c>
      <c r="I1096" s="334"/>
    </row>
    <row r="1097">
      <c r="A1097" s="323" t="s">
        <v>1264</v>
      </c>
      <c r="B1097" s="321" t="s">
        <v>6098</v>
      </c>
      <c r="C1097" s="321" t="s">
        <v>6099</v>
      </c>
      <c r="D1097" s="321" t="s">
        <v>6100</v>
      </c>
      <c r="E1097" s="321" t="s">
        <v>6098</v>
      </c>
      <c r="F1097" s="321" t="s">
        <v>6098</v>
      </c>
      <c r="G1097" s="321" t="s">
        <v>6098</v>
      </c>
      <c r="H1097" s="335" t="s">
        <v>6098</v>
      </c>
      <c r="I1097" s="335"/>
    </row>
    <row r="1098">
      <c r="A1098" s="323" t="s">
        <v>1265</v>
      </c>
      <c r="B1098" s="321" t="s">
        <v>6101</v>
      </c>
      <c r="C1098" s="321" t="s">
        <v>6102</v>
      </c>
      <c r="D1098" s="321" t="s">
        <v>6103</v>
      </c>
      <c r="E1098" s="321" t="s">
        <v>6104</v>
      </c>
      <c r="F1098" s="321" t="s">
        <v>6101</v>
      </c>
      <c r="G1098" s="321" t="s">
        <v>6101</v>
      </c>
      <c r="H1098" s="334" t="s">
        <v>6105</v>
      </c>
      <c r="I1098" s="334"/>
    </row>
    <row r="1099">
      <c r="A1099" s="323" t="s">
        <v>1266</v>
      </c>
      <c r="B1099" s="321" t="s">
        <v>6106</v>
      </c>
      <c r="C1099" s="321" t="s">
        <v>6107</v>
      </c>
      <c r="D1099" s="321" t="s">
        <v>6108</v>
      </c>
      <c r="E1099" s="321" t="s">
        <v>6109</v>
      </c>
      <c r="F1099" s="321" t="s">
        <v>6110</v>
      </c>
      <c r="G1099" s="321" t="s">
        <v>6111</v>
      </c>
      <c r="H1099" s="335" t="s">
        <v>6112</v>
      </c>
      <c r="I1099" s="335"/>
    </row>
    <row r="1100">
      <c r="A1100" s="323" t="s">
        <v>1267</v>
      </c>
      <c r="B1100" s="321" t="s">
        <v>6113</v>
      </c>
      <c r="C1100" s="338" t="s">
        <v>6114</v>
      </c>
      <c r="D1100" s="321" t="s">
        <v>6115</v>
      </c>
      <c r="E1100" s="321" t="s">
        <v>6116</v>
      </c>
      <c r="F1100" s="321" t="s">
        <v>6117</v>
      </c>
      <c r="G1100" s="321" t="s">
        <v>6118</v>
      </c>
      <c r="H1100" s="334" t="s">
        <v>6119</v>
      </c>
      <c r="I1100" s="334"/>
    </row>
    <row r="1101">
      <c r="A1101" s="321" t="s">
        <v>1316</v>
      </c>
      <c r="B1101" s="321" t="s">
        <v>6120</v>
      </c>
      <c r="C1101" s="321" t="s">
        <v>6121</v>
      </c>
      <c r="D1101" s="321" t="s">
        <v>6122</v>
      </c>
      <c r="E1101" s="321" t="s">
        <v>6123</v>
      </c>
      <c r="F1101" s="321" t="s">
        <v>6124</v>
      </c>
      <c r="G1101" s="321" t="s">
        <v>6125</v>
      </c>
      <c r="H1101" s="335" t="s">
        <v>6126</v>
      </c>
      <c r="I1101" s="335"/>
    </row>
    <row r="1102">
      <c r="A1102" s="321" t="s">
        <v>1431</v>
      </c>
      <c r="B1102" s="321" t="s">
        <v>6127</v>
      </c>
      <c r="C1102" s="321" t="s">
        <v>6128</v>
      </c>
      <c r="D1102" s="321" t="s">
        <v>6129</v>
      </c>
      <c r="E1102" s="321" t="s">
        <v>6130</v>
      </c>
      <c r="F1102" s="321" t="s">
        <v>6131</v>
      </c>
      <c r="G1102" s="321" t="s">
        <v>6132</v>
      </c>
      <c r="H1102" s="334" t="s">
        <v>6133</v>
      </c>
      <c r="I1102" s="334"/>
    </row>
    <row r="1103">
      <c r="A1103" s="321" t="s">
        <v>1432</v>
      </c>
      <c r="B1103" s="321" t="s">
        <v>6134</v>
      </c>
      <c r="C1103" s="321" t="s">
        <v>6135</v>
      </c>
      <c r="D1103" s="321" t="s">
        <v>6136</v>
      </c>
      <c r="E1103" s="321" t="s">
        <v>6137</v>
      </c>
      <c r="F1103" s="321" t="s">
        <v>6138</v>
      </c>
      <c r="G1103" s="321" t="s">
        <v>6139</v>
      </c>
      <c r="H1103" s="335" t="s">
        <v>6138</v>
      </c>
      <c r="I1103" s="335"/>
    </row>
    <row r="1104">
      <c r="A1104" s="321" t="s">
        <v>1433</v>
      </c>
      <c r="B1104" s="321" t="s">
        <v>6140</v>
      </c>
      <c r="C1104" s="321" t="s">
        <v>6141</v>
      </c>
      <c r="D1104" s="321" t="s">
        <v>6142</v>
      </c>
      <c r="E1104" s="321" t="s">
        <v>6143</v>
      </c>
      <c r="F1104" s="321" t="s">
        <v>6144</v>
      </c>
      <c r="G1104" s="321" t="s">
        <v>6145</v>
      </c>
      <c r="H1104" s="334" t="s">
        <v>6146</v>
      </c>
      <c r="I1104" s="334"/>
    </row>
    <row r="1105">
      <c r="A1105" s="321" t="s">
        <v>1434</v>
      </c>
      <c r="B1105" s="321" t="s">
        <v>6147</v>
      </c>
      <c r="C1105" s="321" t="s">
        <v>6148</v>
      </c>
      <c r="D1105" s="321" t="s">
        <v>6149</v>
      </c>
      <c r="E1105" s="321" t="s">
        <v>6150</v>
      </c>
      <c r="F1105" s="321" t="s">
        <v>6151</v>
      </c>
      <c r="G1105" s="321" t="s">
        <v>6152</v>
      </c>
      <c r="H1105" s="335" t="s">
        <v>6153</v>
      </c>
      <c r="I1105" s="335"/>
    </row>
    <row r="1106">
      <c r="A1106" s="323" t="s">
        <v>1038</v>
      </c>
      <c r="B1106" s="321" t="s">
        <v>1038</v>
      </c>
      <c r="C1106" s="321" t="s">
        <v>1038</v>
      </c>
      <c r="D1106" s="321" t="s">
        <v>1038</v>
      </c>
      <c r="E1106" s="321" t="s">
        <v>1038</v>
      </c>
      <c r="F1106" s="321" t="s">
        <v>1038</v>
      </c>
      <c r="G1106" s="321" t="s">
        <v>1038</v>
      </c>
      <c r="H1106" s="334" t="s">
        <v>1038</v>
      </c>
      <c r="I1106" s="334"/>
    </row>
  </sheetData>
  <drawing r:id="rId1"/>
  <tableParts count="1">
    <tablePart r:id="rId3"/>
  </tableParts>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workbookViewId="0"/>
  </sheetViews>
  <sheetFormatPr customHeight="1" defaultColWidth="12.63" defaultRowHeight="15.75"/>
  <cols>
    <col customWidth="1" min="1" max="1" width="19.0"/>
  </cols>
  <sheetData>
    <row r="1">
      <c r="A1" s="340" t="s">
        <v>6154</v>
      </c>
      <c r="D1" s="340" t="s">
        <v>6155</v>
      </c>
    </row>
    <row r="2">
      <c r="A2" s="124" t="s">
        <v>1027</v>
      </c>
      <c r="B2" s="124" t="str">
        <f t="array" ref="B2:B287">SUBSTITUTE(SUBSTITUTE(SUBSTITUTE('Genetic Apex'!C2:C1000, "♂", "male"), "♀", "female"), " ex", "")</f>
        <v>Bulbasaur</v>
      </c>
      <c r="D2" s="341" t="str">
        <f t="array" ref="D2">INDEX('language&amp;DataTest'!A:J, MATCH(PointerTest!D3, 'language&amp;DataTest'!A:A, 0), MATCH(HOME!$A$25, 'language&amp;DataTest'!$A$1:$H$1, 0))</f>
        <v>All</v>
      </c>
    </row>
    <row r="3">
      <c r="B3" s="341" t="s">
        <v>1053</v>
      </c>
    </row>
    <row r="4">
      <c r="B4" s="341" t="s">
        <v>1054</v>
      </c>
    </row>
    <row r="5">
      <c r="B5" s="341" t="s">
        <v>1054</v>
      </c>
    </row>
    <row r="6">
      <c r="B6" s="341" t="s">
        <v>1056</v>
      </c>
    </row>
    <row r="7">
      <c r="B7" s="341" t="s">
        <v>1057</v>
      </c>
    </row>
    <row r="8">
      <c r="B8" s="341" t="s">
        <v>1058</v>
      </c>
    </row>
    <row r="9">
      <c r="B9" s="341" t="s">
        <v>1059</v>
      </c>
    </row>
    <row r="10">
      <c r="B10" s="341" t="s">
        <v>1060</v>
      </c>
    </row>
    <row r="11">
      <c r="B11" s="341" t="s">
        <v>1061</v>
      </c>
    </row>
    <row r="12">
      <c r="B12" s="341" t="s">
        <v>1062</v>
      </c>
    </row>
    <row r="13">
      <c r="B13" s="341" t="s">
        <v>1063</v>
      </c>
    </row>
    <row r="14">
      <c r="B14" s="341" t="s">
        <v>1064</v>
      </c>
    </row>
    <row r="15">
      <c r="B15" s="341" t="s">
        <v>1065</v>
      </c>
    </row>
    <row r="16">
      <c r="B16" s="341" t="s">
        <v>1066</v>
      </c>
    </row>
    <row r="17">
      <c r="B17" s="341" t="s">
        <v>1067</v>
      </c>
    </row>
    <row r="18">
      <c r="B18" s="341" t="s">
        <v>1068</v>
      </c>
    </row>
    <row r="19">
      <c r="B19" s="341" t="s">
        <v>1069</v>
      </c>
    </row>
    <row r="20">
      <c r="B20" s="341" t="s">
        <v>1070</v>
      </c>
    </row>
    <row r="21">
      <c r="B21" s="341" t="s">
        <v>1071</v>
      </c>
    </row>
    <row r="22">
      <c r="B22" s="341" t="s">
        <v>1072</v>
      </c>
    </row>
    <row r="23">
      <c r="B23" s="341" t="s">
        <v>1073</v>
      </c>
    </row>
    <row r="24">
      <c r="B24" s="341" t="s">
        <v>1073</v>
      </c>
    </row>
    <row r="25">
      <c r="B25" s="341" t="s">
        <v>1074</v>
      </c>
    </row>
    <row r="26">
      <c r="B26" s="341" t="s">
        <v>1075</v>
      </c>
    </row>
    <row r="27">
      <c r="B27" s="341" t="s">
        <v>1076</v>
      </c>
    </row>
    <row r="28">
      <c r="B28" s="341" t="s">
        <v>1077</v>
      </c>
    </row>
    <row r="29">
      <c r="B29" s="341" t="s">
        <v>1078</v>
      </c>
    </row>
    <row r="30">
      <c r="B30" s="341" t="s">
        <v>1079</v>
      </c>
    </row>
    <row r="31">
      <c r="B31" s="341" t="s">
        <v>1080</v>
      </c>
    </row>
    <row r="32">
      <c r="B32" s="341" t="s">
        <v>1081</v>
      </c>
    </row>
    <row r="33">
      <c r="B33" s="341" t="s">
        <v>1082</v>
      </c>
    </row>
    <row r="34">
      <c r="B34" s="341" t="s">
        <v>1083</v>
      </c>
    </row>
    <row r="35">
      <c r="B35" s="341" t="s">
        <v>1084</v>
      </c>
    </row>
    <row r="36">
      <c r="B36" s="341" t="s">
        <v>25</v>
      </c>
    </row>
    <row r="37">
      <c r="B37" s="341" t="s">
        <v>25</v>
      </c>
    </row>
    <row r="38">
      <c r="B38" s="341" t="s">
        <v>1085</v>
      </c>
    </row>
    <row r="39">
      <c r="B39" s="341" t="s">
        <v>1086</v>
      </c>
    </row>
    <row r="40">
      <c r="B40" s="341" t="s">
        <v>1087</v>
      </c>
    </row>
    <row r="41">
      <c r="B41" s="341" t="s">
        <v>1088</v>
      </c>
    </row>
    <row r="42">
      <c r="B42" s="341" t="s">
        <v>1088</v>
      </c>
    </row>
    <row r="43">
      <c r="B43" s="341" t="s">
        <v>1089</v>
      </c>
    </row>
    <row r="44">
      <c r="B44" s="341" t="s">
        <v>1090</v>
      </c>
    </row>
    <row r="45">
      <c r="B45" s="341" t="s">
        <v>1091</v>
      </c>
    </row>
    <row r="46">
      <c r="B46" s="341" t="s">
        <v>1092</v>
      </c>
    </row>
    <row r="47">
      <c r="B47" s="341" t="s">
        <v>1093</v>
      </c>
    </row>
    <row r="48">
      <c r="B48" s="341" t="s">
        <v>1093</v>
      </c>
    </row>
    <row r="49">
      <c r="B49" s="341" t="s">
        <v>1094</v>
      </c>
    </row>
    <row r="50">
      <c r="B50" s="341" t="s">
        <v>1095</v>
      </c>
    </row>
    <row r="51">
      <c r="B51" s="341" t="s">
        <v>1096</v>
      </c>
    </row>
    <row r="52">
      <c r="B52" s="341" t="s">
        <v>1097</v>
      </c>
    </row>
    <row r="53">
      <c r="B53" s="341" t="s">
        <v>1098</v>
      </c>
    </row>
    <row r="54">
      <c r="B54" s="341" t="s">
        <v>1099</v>
      </c>
    </row>
    <row r="55">
      <c r="B55" s="341" t="s">
        <v>1100</v>
      </c>
    </row>
    <row r="56">
      <c r="B56" s="341" t="s">
        <v>1101</v>
      </c>
    </row>
    <row r="57">
      <c r="B57" s="341" t="s">
        <v>1101</v>
      </c>
    </row>
    <row r="58">
      <c r="B58" s="341" t="s">
        <v>1102</v>
      </c>
    </row>
    <row r="59">
      <c r="B59" s="341" t="s">
        <v>1103</v>
      </c>
    </row>
    <row r="60">
      <c r="B60" s="341" t="s">
        <v>1104</v>
      </c>
    </row>
    <row r="61">
      <c r="B61" s="341" t="s">
        <v>1105</v>
      </c>
    </row>
    <row r="62">
      <c r="B62" s="341" t="s">
        <v>1106</v>
      </c>
    </row>
    <row r="63">
      <c r="B63" s="341" t="s">
        <v>1107</v>
      </c>
    </row>
    <row r="64">
      <c r="B64" s="341" t="s">
        <v>1108</v>
      </c>
    </row>
    <row r="65">
      <c r="B65" s="341" t="s">
        <v>1109</v>
      </c>
    </row>
    <row r="66">
      <c r="B66" s="341" t="s">
        <v>1110</v>
      </c>
    </row>
    <row r="67">
      <c r="B67" s="341" t="s">
        <v>1111</v>
      </c>
    </row>
    <row r="68">
      <c r="B68" s="341" t="s">
        <v>1112</v>
      </c>
    </row>
    <row r="69">
      <c r="B69" s="341" t="s">
        <v>1113</v>
      </c>
    </row>
    <row r="70">
      <c r="B70" s="341" t="s">
        <v>1114</v>
      </c>
    </row>
    <row r="71">
      <c r="B71" s="341" t="s">
        <v>1115</v>
      </c>
    </row>
    <row r="72">
      <c r="B72" s="341" t="s">
        <v>1116</v>
      </c>
    </row>
    <row r="73">
      <c r="B73" s="341" t="s">
        <v>1117</v>
      </c>
    </row>
    <row r="74">
      <c r="B74" s="341" t="s">
        <v>1118</v>
      </c>
    </row>
    <row r="75">
      <c r="B75" s="341" t="s">
        <v>1119</v>
      </c>
    </row>
    <row r="76">
      <c r="B76" s="341" t="s">
        <v>1120</v>
      </c>
    </row>
    <row r="77">
      <c r="B77" s="341" t="s">
        <v>1120</v>
      </c>
    </row>
    <row r="78">
      <c r="B78" s="341" t="s">
        <v>1121</v>
      </c>
    </row>
    <row r="79">
      <c r="B79" s="341" t="s">
        <v>1122</v>
      </c>
    </row>
    <row r="80">
      <c r="B80" s="341" t="s">
        <v>1123</v>
      </c>
    </row>
    <row r="81">
      <c r="B81" s="341" t="s">
        <v>1124</v>
      </c>
    </row>
    <row r="82">
      <c r="B82" s="341" t="s">
        <v>1125</v>
      </c>
    </row>
    <row r="83">
      <c r="B83" s="341" t="s">
        <v>1126</v>
      </c>
    </row>
    <row r="84">
      <c r="B84" s="341" t="s">
        <v>1127</v>
      </c>
    </row>
    <row r="85">
      <c r="B85" s="341" t="s">
        <v>1127</v>
      </c>
    </row>
    <row r="86">
      <c r="B86" s="341" t="s">
        <v>1128</v>
      </c>
    </row>
    <row r="87">
      <c r="B87" s="341" t="s">
        <v>1129</v>
      </c>
    </row>
    <row r="88">
      <c r="B88" s="341" t="s">
        <v>1130</v>
      </c>
    </row>
    <row r="89">
      <c r="B89" s="341" t="s">
        <v>1131</v>
      </c>
    </row>
    <row r="90">
      <c r="B90" s="341" t="s">
        <v>1132</v>
      </c>
    </row>
    <row r="91">
      <c r="B91" s="341" t="s">
        <v>1133</v>
      </c>
    </row>
    <row r="92">
      <c r="B92" s="341" t="s">
        <v>1134</v>
      </c>
    </row>
    <row r="93">
      <c r="B93" s="341" t="s">
        <v>1135</v>
      </c>
    </row>
    <row r="94">
      <c r="B94" s="341" t="s">
        <v>1136</v>
      </c>
    </row>
    <row r="95">
      <c r="B95" s="341" t="s">
        <v>1137</v>
      </c>
    </row>
    <row r="96">
      <c r="B96" s="341" t="s">
        <v>1138</v>
      </c>
    </row>
    <row r="97">
      <c r="B97" s="341" t="s">
        <v>1137</v>
      </c>
    </row>
    <row r="98">
      <c r="B98" s="341" t="s">
        <v>1139</v>
      </c>
    </row>
    <row r="99">
      <c r="B99" s="341" t="s">
        <v>1140</v>
      </c>
    </row>
    <row r="100">
      <c r="B100" s="341" t="s">
        <v>1141</v>
      </c>
    </row>
    <row r="101">
      <c r="B101" s="341" t="s">
        <v>1142</v>
      </c>
    </row>
    <row r="102">
      <c r="B102" s="341" t="s">
        <v>1143</v>
      </c>
    </row>
    <row r="103">
      <c r="B103" s="341" t="s">
        <v>1144</v>
      </c>
    </row>
    <row r="104">
      <c r="B104" s="341" t="s">
        <v>1145</v>
      </c>
    </row>
    <row r="105">
      <c r="B105" s="341" t="s">
        <v>1145</v>
      </c>
    </row>
    <row r="106">
      <c r="B106" s="341" t="s">
        <v>1146</v>
      </c>
    </row>
    <row r="107">
      <c r="B107" s="341" t="s">
        <v>1147</v>
      </c>
    </row>
    <row r="108">
      <c r="B108" s="341" t="s">
        <v>1148</v>
      </c>
    </row>
    <row r="109">
      <c r="B109" s="341" t="s">
        <v>1149</v>
      </c>
    </row>
    <row r="110">
      <c r="B110" s="341" t="s">
        <v>1150</v>
      </c>
    </row>
    <row r="111">
      <c r="B111" s="341" t="s">
        <v>1151</v>
      </c>
    </row>
    <row r="112">
      <c r="B112" s="341" t="s">
        <v>1152</v>
      </c>
    </row>
    <row r="113">
      <c r="B113" s="341" t="s">
        <v>1153</v>
      </c>
    </row>
    <row r="114">
      <c r="B114" s="341" t="s">
        <v>1154</v>
      </c>
    </row>
    <row r="115">
      <c r="B115" s="341" t="s">
        <v>1155</v>
      </c>
    </row>
    <row r="116">
      <c r="B116" s="341" t="s">
        <v>1156</v>
      </c>
    </row>
    <row r="117">
      <c r="B117" s="341" t="s">
        <v>1157</v>
      </c>
    </row>
    <row r="118">
      <c r="B118" s="341" t="s">
        <v>1158</v>
      </c>
    </row>
    <row r="119">
      <c r="B119" s="341" t="s">
        <v>1159</v>
      </c>
    </row>
    <row r="120">
      <c r="B120" s="341" t="s">
        <v>1160</v>
      </c>
    </row>
    <row r="121">
      <c r="B121" s="341" t="s">
        <v>1161</v>
      </c>
    </row>
    <row r="122">
      <c r="B122" s="341" t="s">
        <v>1162</v>
      </c>
    </row>
    <row r="123">
      <c r="B123" s="341" t="s">
        <v>1163</v>
      </c>
    </row>
    <row r="124">
      <c r="B124" s="341" t="s">
        <v>1163</v>
      </c>
    </row>
    <row r="125">
      <c r="B125" s="341" t="s">
        <v>1164</v>
      </c>
    </row>
    <row r="126">
      <c r="B126" s="341" t="s">
        <v>1165</v>
      </c>
    </row>
    <row r="127">
      <c r="B127" s="341" t="s">
        <v>1166</v>
      </c>
    </row>
    <row r="128">
      <c r="B128" s="341" t="s">
        <v>1167</v>
      </c>
    </row>
    <row r="129">
      <c r="B129" s="341" t="s">
        <v>1168</v>
      </c>
    </row>
    <row r="130">
      <c r="B130" s="341" t="s">
        <v>1168</v>
      </c>
    </row>
    <row r="131">
      <c r="B131" s="341" t="s">
        <v>1169</v>
      </c>
    </row>
    <row r="132">
      <c r="B132" s="341" t="s">
        <v>1170</v>
      </c>
    </row>
    <row r="133">
      <c r="B133" s="341" t="s">
        <v>1171</v>
      </c>
    </row>
    <row r="134">
      <c r="B134" s="341" t="s">
        <v>1172</v>
      </c>
    </row>
    <row r="135">
      <c r="B135" s="341" t="s">
        <v>1173</v>
      </c>
    </row>
    <row r="136">
      <c r="B136" s="341" t="s">
        <v>1174</v>
      </c>
    </row>
    <row r="137">
      <c r="B137" s="341" t="s">
        <v>1175</v>
      </c>
    </row>
    <row r="138">
      <c r="B138" s="341" t="s">
        <v>1176</v>
      </c>
    </row>
    <row r="139">
      <c r="B139" s="341" t="s">
        <v>1177</v>
      </c>
    </row>
    <row r="140">
      <c r="B140" s="341" t="s">
        <v>1178</v>
      </c>
    </row>
    <row r="141">
      <c r="B141" s="341" t="s">
        <v>1179</v>
      </c>
    </row>
    <row r="142">
      <c r="B142" s="341" t="s">
        <v>1180</v>
      </c>
    </row>
    <row r="143">
      <c r="B143" s="341" t="s">
        <v>1181</v>
      </c>
    </row>
    <row r="144">
      <c r="B144" s="341" t="s">
        <v>1182</v>
      </c>
    </row>
    <row r="145">
      <c r="B145" s="341" t="s">
        <v>1183</v>
      </c>
    </row>
    <row r="146">
      <c r="B146" s="341" t="s">
        <v>1184</v>
      </c>
    </row>
    <row r="147">
      <c r="B147" s="341" t="s">
        <v>1184</v>
      </c>
    </row>
    <row r="148">
      <c r="B148" s="341" t="s">
        <v>1185</v>
      </c>
    </row>
    <row r="149">
      <c r="B149" s="341" t="s">
        <v>1186</v>
      </c>
    </row>
    <row r="150">
      <c r="B150" s="341" t="s">
        <v>1187</v>
      </c>
    </row>
    <row r="151">
      <c r="B151" s="341" t="s">
        <v>1188</v>
      </c>
    </row>
    <row r="152">
      <c r="B152" s="341" t="s">
        <v>1189</v>
      </c>
    </row>
    <row r="153">
      <c r="B153" s="341" t="s">
        <v>1190</v>
      </c>
    </row>
    <row r="154">
      <c r="B154" s="341" t="s">
        <v>1190</v>
      </c>
    </row>
    <row r="155">
      <c r="B155" s="341" t="s">
        <v>1191</v>
      </c>
    </row>
    <row r="156">
      <c r="B156" s="341" t="s">
        <v>1192</v>
      </c>
    </row>
    <row r="157">
      <c r="B157" s="341" t="s">
        <v>1193</v>
      </c>
    </row>
    <row r="158">
      <c r="B158" s="341" t="s">
        <v>1194</v>
      </c>
    </row>
    <row r="159">
      <c r="B159" s="341" t="s">
        <v>1195</v>
      </c>
    </row>
    <row r="160">
      <c r="B160" s="341" t="s">
        <v>1196</v>
      </c>
    </row>
    <row r="161">
      <c r="B161" s="341" t="s">
        <v>1197</v>
      </c>
    </row>
    <row r="162">
      <c r="B162" s="341" t="s">
        <v>1198</v>
      </c>
    </row>
    <row r="163">
      <c r="B163" s="341" t="s">
        <v>1199</v>
      </c>
    </row>
    <row r="164">
      <c r="B164" s="341" t="s">
        <v>1200</v>
      </c>
    </row>
    <row r="165">
      <c r="B165" s="341" t="s">
        <v>1201</v>
      </c>
    </row>
    <row r="166">
      <c r="B166" s="341" t="s">
        <v>1202</v>
      </c>
    </row>
    <row r="167">
      <c r="B167" s="341" t="s">
        <v>6156</v>
      </c>
    </row>
    <row r="168">
      <c r="B168" s="341" t="s">
        <v>1204</v>
      </c>
    </row>
    <row r="169">
      <c r="B169" s="341" t="s">
        <v>1205</v>
      </c>
    </row>
    <row r="170">
      <c r="B170" s="341" t="s">
        <v>6157</v>
      </c>
    </row>
    <row r="171">
      <c r="B171" s="341" t="s">
        <v>1207</v>
      </c>
    </row>
    <row r="172">
      <c r="B172" s="341" t="s">
        <v>1208</v>
      </c>
    </row>
    <row r="173">
      <c r="B173" s="341" t="s">
        <v>1209</v>
      </c>
    </row>
    <row r="174">
      <c r="B174" s="341" t="s">
        <v>1210</v>
      </c>
    </row>
    <row r="175">
      <c r="B175" s="341" t="s">
        <v>1211</v>
      </c>
    </row>
    <row r="176">
      <c r="B176" s="341" t="s">
        <v>1212</v>
      </c>
    </row>
    <row r="177">
      <c r="B177" s="341" t="s">
        <v>1213</v>
      </c>
    </row>
    <row r="178">
      <c r="B178" s="341" t="s">
        <v>1214</v>
      </c>
    </row>
    <row r="179">
      <c r="B179" s="341" t="s">
        <v>1215</v>
      </c>
    </row>
    <row r="180">
      <c r="B180" s="341" t="s">
        <v>1216</v>
      </c>
    </row>
    <row r="181">
      <c r="B181" s="341" t="s">
        <v>1217</v>
      </c>
    </row>
    <row r="182">
      <c r="B182" s="341" t="s">
        <v>1218</v>
      </c>
    </row>
    <row r="183">
      <c r="B183" s="341" t="s">
        <v>1219</v>
      </c>
    </row>
    <row r="184">
      <c r="B184" s="341" t="s">
        <v>1220</v>
      </c>
    </row>
    <row r="185">
      <c r="B185" s="341" t="s">
        <v>1221</v>
      </c>
    </row>
    <row r="186">
      <c r="B186" s="341" t="s">
        <v>1222</v>
      </c>
    </row>
    <row r="187">
      <c r="B187" s="341" t="s">
        <v>1223</v>
      </c>
    </row>
    <row r="188">
      <c r="B188" s="341" t="s">
        <v>1224</v>
      </c>
    </row>
    <row r="189">
      <c r="B189" s="341" t="s">
        <v>1225</v>
      </c>
    </row>
    <row r="190">
      <c r="B190" s="341" t="s">
        <v>1226</v>
      </c>
    </row>
    <row r="191">
      <c r="B191" s="341" t="s">
        <v>1227</v>
      </c>
    </row>
    <row r="192">
      <c r="B192" s="341" t="s">
        <v>1228</v>
      </c>
    </row>
    <row r="193">
      <c r="B193" s="341" t="s">
        <v>1229</v>
      </c>
    </row>
    <row r="194">
      <c r="B194" s="341" t="s">
        <v>1230</v>
      </c>
    </row>
    <row r="195">
      <c r="B195" s="341" t="s">
        <v>1231</v>
      </c>
    </row>
    <row r="196">
      <c r="B196" s="341" t="s">
        <v>1231</v>
      </c>
    </row>
    <row r="197">
      <c r="B197" s="341" t="s">
        <v>1232</v>
      </c>
    </row>
    <row r="198">
      <c r="B198" s="341" t="s">
        <v>1233</v>
      </c>
    </row>
    <row r="199">
      <c r="B199" s="341" t="s">
        <v>1234</v>
      </c>
    </row>
    <row r="200">
      <c r="B200" s="341" t="s">
        <v>1235</v>
      </c>
    </row>
    <row r="201">
      <c r="B201" s="341" t="s">
        <v>1236</v>
      </c>
    </row>
    <row r="202">
      <c r="B202" s="341" t="s">
        <v>1237</v>
      </c>
    </row>
    <row r="203">
      <c r="B203" s="341" t="s">
        <v>1238</v>
      </c>
    </row>
    <row r="204">
      <c r="B204" s="341" t="s">
        <v>1239</v>
      </c>
    </row>
    <row r="205">
      <c r="B205" s="341" t="s">
        <v>1240</v>
      </c>
    </row>
    <row r="206">
      <c r="B206" s="341" t="s">
        <v>1241</v>
      </c>
    </row>
    <row r="207">
      <c r="B207" s="341" t="s">
        <v>1242</v>
      </c>
    </row>
    <row r="208">
      <c r="B208" s="341" t="s">
        <v>1242</v>
      </c>
    </row>
    <row r="209">
      <c r="B209" s="341" t="s">
        <v>1242</v>
      </c>
    </row>
    <row r="210">
      <c r="B210" s="341" t="s">
        <v>1243</v>
      </c>
    </row>
    <row r="211">
      <c r="B211" s="341" t="s">
        <v>1244</v>
      </c>
    </row>
    <row r="212">
      <c r="B212" s="341" t="s">
        <v>1245</v>
      </c>
    </row>
    <row r="213">
      <c r="B213" s="341" t="s">
        <v>1246</v>
      </c>
    </row>
    <row r="214">
      <c r="B214" s="341" t="s">
        <v>1247</v>
      </c>
    </row>
    <row r="215">
      <c r="B215" s="341" t="s">
        <v>1248</v>
      </c>
    </row>
    <row r="216">
      <c r="B216" s="341" t="s">
        <v>1249</v>
      </c>
    </row>
    <row r="217">
      <c r="B217" s="341" t="s">
        <v>1250</v>
      </c>
    </row>
    <row r="218">
      <c r="B218" s="341" t="s">
        <v>1251</v>
      </c>
    </row>
    <row r="219">
      <c r="B219" s="341" t="s">
        <v>1252</v>
      </c>
    </row>
    <row r="220">
      <c r="B220" s="341" t="s">
        <v>1253</v>
      </c>
    </row>
    <row r="221">
      <c r="B221" s="341" t="s">
        <v>1254</v>
      </c>
    </row>
    <row r="222">
      <c r="B222" s="341" t="s">
        <v>1255</v>
      </c>
    </row>
    <row r="223">
      <c r="B223" s="341" t="s">
        <v>1256</v>
      </c>
    </row>
    <row r="224">
      <c r="B224" s="341" t="s">
        <v>1257</v>
      </c>
    </row>
    <row r="225">
      <c r="B225" s="341" t="s">
        <v>1258</v>
      </c>
    </row>
    <row r="226">
      <c r="B226" s="341" t="s">
        <v>1259</v>
      </c>
    </row>
    <row r="227">
      <c r="B227" s="341" t="s">
        <v>1260</v>
      </c>
    </row>
    <row r="228">
      <c r="B228" s="341" t="s">
        <v>1052</v>
      </c>
    </row>
    <row r="229">
      <c r="B229" s="341" t="s">
        <v>1063</v>
      </c>
    </row>
    <row r="230">
      <c r="B230" s="341" t="s">
        <v>1076</v>
      </c>
    </row>
    <row r="231">
      <c r="B231" s="341" t="s">
        <v>1083</v>
      </c>
    </row>
    <row r="232">
      <c r="B232" s="341" t="s">
        <v>1090</v>
      </c>
    </row>
    <row r="233">
      <c r="B233" s="341" t="s">
        <v>1099</v>
      </c>
    </row>
    <row r="234">
      <c r="B234" s="341" t="s">
        <v>1122</v>
      </c>
    </row>
    <row r="235">
      <c r="B235" s="341" t="s">
        <v>1123</v>
      </c>
    </row>
    <row r="236">
      <c r="B236" s="341" t="s">
        <v>1142</v>
      </c>
    </row>
    <row r="237">
      <c r="B237" s="341" t="s">
        <v>1158</v>
      </c>
    </row>
    <row r="238">
      <c r="B238" s="341" t="s">
        <v>1159</v>
      </c>
    </row>
    <row r="239">
      <c r="B239" s="341" t="s">
        <v>1178</v>
      </c>
    </row>
    <row r="240">
      <c r="B240" s="341" t="s">
        <v>1189</v>
      </c>
    </row>
    <row r="241">
      <c r="B241" s="341" t="s">
        <v>1205</v>
      </c>
    </row>
    <row r="242">
      <c r="B242" s="341" t="s">
        <v>1208</v>
      </c>
    </row>
    <row r="243">
      <c r="B243" s="341" t="s">
        <v>1210</v>
      </c>
    </row>
    <row r="244">
      <c r="B244" s="341" t="s">
        <v>1214</v>
      </c>
    </row>
    <row r="245">
      <c r="B245" s="341" t="s">
        <v>1222</v>
      </c>
    </row>
    <row r="246">
      <c r="B246" s="341" t="s">
        <v>1225</v>
      </c>
    </row>
    <row r="247">
      <c r="B247" s="341" t="s">
        <v>1232</v>
      </c>
    </row>
    <row r="248">
      <c r="B248" s="341" t="s">
        <v>1241</v>
      </c>
    </row>
    <row r="249">
      <c r="B249" s="341" t="s">
        <v>1242</v>
      </c>
    </row>
    <row r="250">
      <c r="B250" s="341" t="s">
        <v>1243</v>
      </c>
    </row>
    <row r="251">
      <c r="B251" s="341" t="s">
        <v>1245</v>
      </c>
    </row>
    <row r="252">
      <c r="B252" s="341" t="s">
        <v>1054</v>
      </c>
    </row>
    <row r="253">
      <c r="B253" s="341" t="s">
        <v>1073</v>
      </c>
    </row>
    <row r="254">
      <c r="B254" s="341" t="s">
        <v>25</v>
      </c>
    </row>
    <row r="255">
      <c r="B255" s="341" t="s">
        <v>1088</v>
      </c>
    </row>
    <row r="256">
      <c r="B256" s="341" t="s">
        <v>1093</v>
      </c>
    </row>
    <row r="257">
      <c r="B257" s="341" t="s">
        <v>1101</v>
      </c>
    </row>
    <row r="258">
      <c r="B258" s="341" t="s">
        <v>1120</v>
      </c>
    </row>
    <row r="259">
      <c r="B259" s="341" t="s">
        <v>1127</v>
      </c>
    </row>
    <row r="260">
      <c r="B260" s="341" t="s">
        <v>1137</v>
      </c>
    </row>
    <row r="261">
      <c r="B261" s="341" t="s">
        <v>1145</v>
      </c>
    </row>
    <row r="262">
      <c r="B262" s="341" t="s">
        <v>1163</v>
      </c>
    </row>
    <row r="263">
      <c r="B263" s="341" t="s">
        <v>1168</v>
      </c>
    </row>
    <row r="264">
      <c r="B264" s="341" t="s">
        <v>1184</v>
      </c>
    </row>
    <row r="265">
      <c r="B265" s="341" t="s">
        <v>1190</v>
      </c>
    </row>
    <row r="266">
      <c r="B266" s="341" t="s">
        <v>1231</v>
      </c>
    </row>
    <row r="267">
      <c r="B267" s="341" t="s">
        <v>1253</v>
      </c>
    </row>
    <row r="268">
      <c r="B268" s="341" t="s">
        <v>1254</v>
      </c>
    </row>
    <row r="269">
      <c r="B269" s="341" t="s">
        <v>1255</v>
      </c>
    </row>
    <row r="270">
      <c r="B270" s="341" t="s">
        <v>1256</v>
      </c>
    </row>
    <row r="271">
      <c r="B271" s="341" t="s">
        <v>1257</v>
      </c>
    </row>
    <row r="272">
      <c r="B272" s="341" t="s">
        <v>1258</v>
      </c>
    </row>
    <row r="273">
      <c r="B273" s="341" t="s">
        <v>1259</v>
      </c>
    </row>
    <row r="274">
      <c r="B274" s="341" t="s">
        <v>1260</v>
      </c>
    </row>
    <row r="275">
      <c r="B275" s="341" t="s">
        <v>1093</v>
      </c>
    </row>
    <row r="276">
      <c r="B276" s="341" t="s">
        <v>1127</v>
      </c>
    </row>
    <row r="277">
      <c r="B277" s="341" t="s">
        <v>1145</v>
      </c>
    </row>
    <row r="278">
      <c r="B278" s="341" t="s">
        <v>1163</v>
      </c>
    </row>
    <row r="279">
      <c r="B279" s="341" t="s">
        <v>1184</v>
      </c>
    </row>
    <row r="280">
      <c r="B280" s="341" t="s">
        <v>1231</v>
      </c>
    </row>
    <row r="281">
      <c r="B281" s="341" t="s">
        <v>25</v>
      </c>
    </row>
    <row r="282">
      <c r="B282" s="341" t="s">
        <v>1137</v>
      </c>
    </row>
    <row r="283">
      <c r="B283" s="341" t="s">
        <v>1168</v>
      </c>
    </row>
    <row r="284">
      <c r="B284" s="341" t="s">
        <v>27</v>
      </c>
    </row>
    <row r="285">
      <c r="B285" s="341" t="s">
        <v>25</v>
      </c>
    </row>
    <row r="286">
      <c r="B286" s="341" t="s">
        <v>1137</v>
      </c>
    </row>
    <row r="287">
      <c r="B287" s="341" t="s">
        <v>1168</v>
      </c>
    </row>
  </sheetData>
  <mergeCells count="1">
    <mergeCell ref="D1:E1"/>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workbookViewId="0"/>
  </sheetViews>
  <sheetFormatPr customHeight="1" defaultColWidth="12.63" defaultRowHeight="15.75"/>
  <cols>
    <col customWidth="1" min="6" max="6" width="20.5"/>
    <col customWidth="1" min="7" max="7" width="1.88"/>
    <col customWidth="1" min="8" max="8" width="7.25"/>
    <col customWidth="1" min="9" max="9" width="16.88"/>
    <col customWidth="1" min="10" max="10" width="1.88"/>
    <col customWidth="1" min="11" max="11" width="12.63"/>
    <col customWidth="1" min="12" max="12" width="15.88"/>
    <col customWidth="1" min="13" max="13" width="1.88"/>
    <col customWidth="1" min="14" max="14" width="4.5"/>
    <col customWidth="1" min="15" max="15" width="22.75"/>
    <col customWidth="1" min="16" max="16" width="1.88"/>
    <col customWidth="1" min="17" max="17" width="8.0"/>
    <col customWidth="1" min="18" max="18" width="17.25"/>
    <col customWidth="1" min="19" max="19" width="1.88"/>
    <col customWidth="1" min="21" max="21" width="17.63"/>
    <col customWidth="1" min="22" max="22" width="1.88"/>
  </cols>
  <sheetData>
    <row r="1">
      <c r="A1" s="130" t="s">
        <v>6158</v>
      </c>
      <c r="B1" s="192">
        <f>1-RarePackProbability</f>
        <v>0.9995</v>
      </c>
      <c r="C1" s="130"/>
      <c r="D1" s="130"/>
      <c r="E1" s="55"/>
      <c r="F1" s="342" t="s">
        <v>6159</v>
      </c>
      <c r="G1" s="343"/>
      <c r="H1" s="343"/>
      <c r="I1" s="343"/>
      <c r="J1" s="343"/>
      <c r="K1" s="343"/>
      <c r="L1" s="343"/>
      <c r="M1" s="343"/>
      <c r="N1" s="343"/>
      <c r="O1" s="343"/>
      <c r="P1" s="343"/>
      <c r="Q1" s="343"/>
      <c r="R1" s="343"/>
      <c r="S1" s="343"/>
      <c r="T1" s="343"/>
      <c r="U1" s="343"/>
      <c r="V1" s="343"/>
      <c r="W1" s="343"/>
      <c r="X1" s="55"/>
      <c r="Y1" s="55"/>
      <c r="Z1" s="55"/>
      <c r="AA1" s="55"/>
    </row>
    <row r="2">
      <c r="A2" s="344" t="s">
        <v>68</v>
      </c>
      <c r="B2" s="75">
        <v>45294.0</v>
      </c>
      <c r="C2" s="345">
        <v>4.0</v>
      </c>
      <c r="D2" s="346">
        <v>5.0</v>
      </c>
      <c r="E2" s="55"/>
      <c r="F2" s="347" t="s">
        <v>17</v>
      </c>
      <c r="I2" s="348" t="s">
        <v>18</v>
      </c>
      <c r="L2" s="348" t="s">
        <v>21</v>
      </c>
      <c r="O2" s="349" t="s">
        <v>23</v>
      </c>
      <c r="R2" s="349" t="s">
        <v>19</v>
      </c>
      <c r="S2" s="55"/>
      <c r="T2" s="350"/>
      <c r="U2" s="269" t="s">
        <v>28</v>
      </c>
      <c r="V2" s="55"/>
      <c r="W2" s="55"/>
      <c r="X2" s="55"/>
      <c r="Y2" s="55"/>
      <c r="Z2" s="55"/>
      <c r="AA2" s="55"/>
    </row>
    <row r="3">
      <c r="A3" s="351" t="s">
        <v>71</v>
      </c>
      <c r="B3" s="352">
        <v>1.0</v>
      </c>
      <c r="C3" s="353">
        <v>0.0</v>
      </c>
      <c r="D3" s="354">
        <v>0.0</v>
      </c>
      <c r="E3" s="55"/>
      <c r="F3" s="355" t="str">
        <f t="array" ref="F3:F9">UNIQUE('PROMO-A'!C2:C8)</f>
        <v>Potion</v>
      </c>
      <c r="G3" s="341">
        <f t="array" ref="G3:G9">SUMIF('PROMO-A'!C2:C50, F3:F9, 'PROMO-A'!F2:F50)</f>
        <v>0</v>
      </c>
      <c r="H3" s="341" t="str">
        <f t="array" ref="H3:H9">VSTACK('PROMO-A'!D2:D8)</f>
        <v>Shop</v>
      </c>
      <c r="I3" s="356" t="str">
        <f t="array" ref="I3:I229">VSTACK('Genetic Apex'!C2:C227, 'Genetic Apex'!C284)</f>
        <v>Bulbasaur</v>
      </c>
      <c r="J3" s="341">
        <f t="array" ref="J3:J229">SUMIF('Genetic Apex'!C2:C287, I3:I229, 'Genetic Apex'!J2:J287)</f>
        <v>0</v>
      </c>
      <c r="K3" s="124" t="str">
        <f t="array" ref="K3:K229">VSTACK('Genetic Apex'!D2:D227, 'Genetic Apex'!D284)</f>
        <v>Mewtwo</v>
      </c>
      <c r="L3" s="356" t="str">
        <f t="array" ref="L3:L70">VSTACK('Mythical Island'!C2:C69)</f>
        <v>Exeggcute</v>
      </c>
      <c r="M3" s="341">
        <f t="array" ref="M3:M70">SUMIF('Mythical Island'!C2:C87, L3:L70, 'Mythical Island'!J2:J87)</f>
        <v>0</v>
      </c>
      <c r="N3" s="341" t="str">
        <f t="array" ref="N3:N70">VSTACK('Mythical Island'!D2:D69)</f>
        <v>Mew</v>
      </c>
      <c r="O3" s="356" t="str">
        <f t="array" ref="O3:O157">VSTACK('Space-Time Smackdown'!C2:C156)</f>
        <v>Oddish</v>
      </c>
      <c r="P3" s="341">
        <f t="array" ref="P3:P157">SUMIF('Space-Time Smackdown'!C2:C208, O3:O157, 'Space-Time Smackdown'!J2:J208)</f>
        <v>0</v>
      </c>
      <c r="Q3" s="341" t="str">
        <f t="array" ref="Q3:Q157">VSTACK('Space-Time Smackdown'!D2:D156)</f>
        <v>All</v>
      </c>
      <c r="R3" s="356" t="str">
        <f t="array" ref="R3:R77">VSTACK('Triumphant Light'!C2:C76)</f>
        <v>Heracross</v>
      </c>
      <c r="S3" s="55">
        <f t="array" ref="S3:S77">SUMIF('Triumphant Light'!C2:C97, R3:R77, 'Triumphant Light'!J2:J97)</f>
        <v>0</v>
      </c>
      <c r="T3" s="350" t="str">
        <f t="array" ref="T3:T77">VSTACK('Triumphant Light'!D2:D76)</f>
        <v>Arceus</v>
      </c>
      <c r="U3" s="55" t="str">
        <f t="array" ref="U3:U75">VSTACK('Shining Revelry'!C2:C73, 'Shining Revelry'!C112)</f>
        <v>Weedle</v>
      </c>
      <c r="V3" s="55">
        <f t="array" ref="V3:V75">SUMIF('Shining Revelry'!C2:C112, U3:U75, 'Shining Revelry'!J2:J112)</f>
        <v>0</v>
      </c>
      <c r="W3" s="55" t="str">
        <f t="array" ref="W3:W75">VSTACK('Shining Revelry'!D2:D73, 'Shining Revelry'!D112)</f>
        <v>Lucario ex</v>
      </c>
      <c r="X3" s="55"/>
      <c r="Y3" s="55"/>
      <c r="Z3" s="55"/>
      <c r="AA3" s="55"/>
    </row>
    <row r="4">
      <c r="A4" s="351" t="s">
        <v>73</v>
      </c>
      <c r="B4" s="353">
        <v>0.0</v>
      </c>
      <c r="C4" s="352">
        <v>0.9</v>
      </c>
      <c r="D4" s="357">
        <v>0.6</v>
      </c>
      <c r="E4" s="55"/>
      <c r="F4" s="358" t="s">
        <v>1262</v>
      </c>
      <c r="G4" s="341">
        <v>0.0</v>
      </c>
      <c r="H4" s="341" t="s">
        <v>1030</v>
      </c>
      <c r="I4" s="359" t="s">
        <v>1053</v>
      </c>
      <c r="J4" s="341">
        <v>0.0</v>
      </c>
      <c r="K4" s="341" t="s">
        <v>1168</v>
      </c>
      <c r="L4" s="360" t="s">
        <v>1073</v>
      </c>
      <c r="M4" s="55">
        <v>0.0</v>
      </c>
      <c r="N4" s="55" t="s">
        <v>27</v>
      </c>
      <c r="O4" s="360" t="s">
        <v>1063</v>
      </c>
      <c r="P4" s="55">
        <v>0.0</v>
      </c>
      <c r="Q4" s="55" t="s">
        <v>1040</v>
      </c>
      <c r="R4" s="360" t="s">
        <v>1331</v>
      </c>
      <c r="S4" s="55">
        <v>0.0</v>
      </c>
      <c r="T4" s="350" t="s">
        <v>20</v>
      </c>
      <c r="U4" s="55" t="s">
        <v>1060</v>
      </c>
      <c r="V4" s="55">
        <v>0.0</v>
      </c>
      <c r="W4" s="55" t="s">
        <v>6160</v>
      </c>
      <c r="X4" s="55"/>
      <c r="Y4" s="55"/>
      <c r="Z4" s="55"/>
      <c r="AA4" s="55"/>
    </row>
    <row r="5">
      <c r="A5" s="351" t="s">
        <v>75</v>
      </c>
      <c r="B5" s="353">
        <v>0.0</v>
      </c>
      <c r="C5" s="240">
        <v>0.05</v>
      </c>
      <c r="D5" s="357">
        <v>0.2</v>
      </c>
      <c r="E5" s="55"/>
      <c r="F5" s="358" t="s">
        <v>1263</v>
      </c>
      <c r="G5" s="341">
        <v>0.0</v>
      </c>
      <c r="H5" s="341" t="s">
        <v>1030</v>
      </c>
      <c r="I5" s="359" t="s">
        <v>1054</v>
      </c>
      <c r="J5" s="55">
        <v>0.0</v>
      </c>
      <c r="K5" s="55" t="s">
        <v>1168</v>
      </c>
      <c r="L5" s="360" t="s">
        <v>6161</v>
      </c>
      <c r="M5" s="55">
        <v>0.0</v>
      </c>
      <c r="N5" s="55" t="s">
        <v>27</v>
      </c>
      <c r="O5" s="360" t="s">
        <v>1321</v>
      </c>
      <c r="P5" s="55">
        <v>0.0</v>
      </c>
      <c r="Q5" s="55" t="s">
        <v>1040</v>
      </c>
      <c r="R5" s="360" t="s">
        <v>1442</v>
      </c>
      <c r="S5" s="55">
        <v>0.0</v>
      </c>
      <c r="T5" s="350" t="s">
        <v>20</v>
      </c>
      <c r="U5" s="55" t="s">
        <v>6162</v>
      </c>
      <c r="V5" s="55">
        <v>0.0</v>
      </c>
      <c r="W5" s="55" t="s">
        <v>6160</v>
      </c>
      <c r="X5" s="55"/>
      <c r="Y5" s="55"/>
      <c r="Z5" s="55"/>
      <c r="AA5" s="55"/>
    </row>
    <row r="6">
      <c r="A6" s="351" t="s">
        <v>77</v>
      </c>
      <c r="B6" s="353">
        <v>0.0</v>
      </c>
      <c r="C6" s="83">
        <v>0.01666</v>
      </c>
      <c r="D6" s="361">
        <v>0.06664</v>
      </c>
      <c r="E6" s="55"/>
      <c r="F6" s="358" t="s">
        <v>1264</v>
      </c>
      <c r="G6" s="341">
        <v>0.0</v>
      </c>
      <c r="H6" s="341" t="s">
        <v>1030</v>
      </c>
      <c r="I6" s="360" t="s">
        <v>6163</v>
      </c>
      <c r="J6" s="55">
        <v>0.0</v>
      </c>
      <c r="K6" s="55" t="s">
        <v>1168</v>
      </c>
      <c r="L6" s="360" t="s">
        <v>1268</v>
      </c>
      <c r="M6" s="55">
        <v>0.0</v>
      </c>
      <c r="N6" s="55" t="s">
        <v>27</v>
      </c>
      <c r="O6" s="360" t="s">
        <v>1074</v>
      </c>
      <c r="P6" s="55">
        <v>0.0</v>
      </c>
      <c r="Q6" s="55" t="s">
        <v>6164</v>
      </c>
      <c r="R6" s="360" t="s">
        <v>1333</v>
      </c>
      <c r="S6" s="55">
        <v>0.0</v>
      </c>
      <c r="T6" s="350" t="s">
        <v>20</v>
      </c>
      <c r="U6" s="55" t="s">
        <v>1076</v>
      </c>
      <c r="V6" s="55">
        <v>0.0</v>
      </c>
      <c r="W6" s="55" t="s">
        <v>6160</v>
      </c>
      <c r="X6" s="55"/>
      <c r="Y6" s="55"/>
      <c r="Z6" s="55"/>
      <c r="AA6" s="55"/>
    </row>
    <row r="7">
      <c r="A7" s="362" t="s">
        <v>79</v>
      </c>
      <c r="B7" s="353">
        <v>0.0</v>
      </c>
      <c r="C7" s="363">
        <v>0.02572</v>
      </c>
      <c r="D7" s="364">
        <v>0.10288</v>
      </c>
      <c r="E7" s="55"/>
      <c r="F7" s="358" t="s">
        <v>1265</v>
      </c>
      <c r="G7" s="55">
        <v>0.0</v>
      </c>
      <c r="H7" s="55" t="s">
        <v>1030</v>
      </c>
      <c r="I7" s="360" t="s">
        <v>1056</v>
      </c>
      <c r="J7" s="55">
        <v>0.0</v>
      </c>
      <c r="K7" s="55" t="s">
        <v>1137</v>
      </c>
      <c r="L7" s="360" t="s">
        <v>1285</v>
      </c>
      <c r="M7" s="55">
        <v>0.0</v>
      </c>
      <c r="N7" s="55" t="s">
        <v>27</v>
      </c>
      <c r="O7" s="360" t="s">
        <v>1322</v>
      </c>
      <c r="P7" s="55">
        <v>0.0</v>
      </c>
      <c r="Q7" s="55" t="s">
        <v>6164</v>
      </c>
      <c r="R7" s="360" t="s">
        <v>1334</v>
      </c>
      <c r="S7" s="55">
        <v>0.0</v>
      </c>
      <c r="T7" s="350" t="s">
        <v>20</v>
      </c>
      <c r="U7" s="55" t="s">
        <v>1472</v>
      </c>
      <c r="V7" s="55">
        <v>0.0</v>
      </c>
      <c r="W7" s="55" t="s">
        <v>6160</v>
      </c>
      <c r="X7" s="55"/>
      <c r="Y7" s="55"/>
      <c r="Z7" s="55"/>
      <c r="AA7" s="55"/>
    </row>
    <row r="8">
      <c r="A8" s="362" t="s">
        <v>81</v>
      </c>
      <c r="B8" s="353">
        <v>0.0</v>
      </c>
      <c r="C8" s="363">
        <v>0.005</v>
      </c>
      <c r="D8" s="357">
        <v>0.02</v>
      </c>
      <c r="E8" s="55"/>
      <c r="F8" s="365" t="s">
        <v>1266</v>
      </c>
      <c r="G8" s="341">
        <v>0.0</v>
      </c>
      <c r="H8" s="341" t="s">
        <v>1030</v>
      </c>
      <c r="I8" s="360" t="s">
        <v>1057</v>
      </c>
      <c r="J8" s="55">
        <v>0.0</v>
      </c>
      <c r="K8" s="55" t="s">
        <v>1137</v>
      </c>
      <c r="L8" s="360" t="s">
        <v>1286</v>
      </c>
      <c r="M8" s="55">
        <v>0.0</v>
      </c>
      <c r="N8" s="55" t="s">
        <v>27</v>
      </c>
      <c r="O8" s="360" t="s">
        <v>1323</v>
      </c>
      <c r="P8" s="55">
        <v>0.0</v>
      </c>
      <c r="Q8" s="55" t="s">
        <v>6164</v>
      </c>
      <c r="R8" s="360" t="s">
        <v>1443</v>
      </c>
      <c r="S8" s="55">
        <v>0.0</v>
      </c>
      <c r="T8" s="350" t="s">
        <v>20</v>
      </c>
      <c r="U8" s="55" t="s">
        <v>1473</v>
      </c>
      <c r="V8" s="55">
        <v>0.0</v>
      </c>
      <c r="W8" s="55" t="s">
        <v>6160</v>
      </c>
      <c r="X8" s="55"/>
      <c r="Y8" s="55"/>
      <c r="Z8" s="55"/>
      <c r="AA8" s="55"/>
    </row>
    <row r="9">
      <c r="A9" s="362" t="s">
        <v>83</v>
      </c>
      <c r="B9" s="353">
        <v>0.0</v>
      </c>
      <c r="C9" s="363">
        <v>0.00222</v>
      </c>
      <c r="D9" s="361">
        <v>0.00888</v>
      </c>
      <c r="E9" s="55"/>
      <c r="F9" s="365" t="s">
        <v>1267</v>
      </c>
      <c r="G9" s="55">
        <v>0.0</v>
      </c>
      <c r="H9" s="55" t="s">
        <v>1030</v>
      </c>
      <c r="I9" s="360" t="s">
        <v>1058</v>
      </c>
      <c r="J9" s="55">
        <v>0.0</v>
      </c>
      <c r="K9" s="55" t="s">
        <v>1137</v>
      </c>
      <c r="L9" s="360" t="s">
        <v>1287</v>
      </c>
      <c r="M9" s="55">
        <v>0.0</v>
      </c>
      <c r="N9" s="55" t="s">
        <v>27</v>
      </c>
      <c r="O9" s="360" t="s">
        <v>6165</v>
      </c>
      <c r="P9" s="55">
        <v>0.0</v>
      </c>
      <c r="Q9" s="55" t="s">
        <v>6164</v>
      </c>
      <c r="R9" s="360" t="s">
        <v>1279</v>
      </c>
      <c r="S9" s="55">
        <v>0.0</v>
      </c>
      <c r="T9" s="350" t="s">
        <v>20</v>
      </c>
      <c r="U9" s="55" t="s">
        <v>1474</v>
      </c>
      <c r="V9" s="55">
        <v>0.0</v>
      </c>
      <c r="W9" s="55" t="s">
        <v>6160</v>
      </c>
      <c r="X9" s="55"/>
      <c r="Y9" s="55"/>
      <c r="Z9" s="55"/>
      <c r="AA9" s="55"/>
    </row>
    <row r="10">
      <c r="A10" s="366" t="s">
        <v>85</v>
      </c>
      <c r="B10" s="367">
        <v>0.0</v>
      </c>
      <c r="C10" s="247">
        <v>4.0E-4</v>
      </c>
      <c r="D10" s="368">
        <v>0.0016</v>
      </c>
      <c r="E10" s="55"/>
      <c r="F10" s="365"/>
      <c r="G10" s="55"/>
      <c r="H10" s="55"/>
      <c r="I10" s="360" t="s">
        <v>1059</v>
      </c>
      <c r="J10" s="55">
        <v>0.0</v>
      </c>
      <c r="K10" s="55" t="s">
        <v>1168</v>
      </c>
      <c r="L10" s="360" t="s">
        <v>1288</v>
      </c>
      <c r="M10" s="55">
        <v>0.0</v>
      </c>
      <c r="N10" s="55" t="s">
        <v>27</v>
      </c>
      <c r="O10" s="360" t="s">
        <v>1325</v>
      </c>
      <c r="P10" s="55">
        <v>0.0</v>
      </c>
      <c r="Q10" s="55" t="s">
        <v>1040</v>
      </c>
      <c r="R10" s="360" t="s">
        <v>1279</v>
      </c>
      <c r="S10" s="55">
        <v>0.0</v>
      </c>
      <c r="T10" s="350" t="s">
        <v>20</v>
      </c>
      <c r="U10" s="55" t="s">
        <v>1083</v>
      </c>
      <c r="V10" s="55">
        <v>0.0</v>
      </c>
      <c r="W10" s="55" t="s">
        <v>6160</v>
      </c>
      <c r="X10" s="55"/>
      <c r="Y10" s="55"/>
      <c r="Z10" s="55"/>
      <c r="AA10" s="55"/>
    </row>
    <row r="11">
      <c r="A11" s="55"/>
      <c r="B11" s="55"/>
      <c r="C11" s="55"/>
      <c r="D11" s="55"/>
      <c r="E11" s="55"/>
      <c r="F11" s="365"/>
      <c r="G11" s="55"/>
      <c r="H11" s="55"/>
      <c r="I11" s="360" t="s">
        <v>1060</v>
      </c>
      <c r="J11" s="55">
        <v>0.0</v>
      </c>
      <c r="K11" s="55" t="s">
        <v>1168</v>
      </c>
      <c r="L11" s="360" t="s">
        <v>1289</v>
      </c>
      <c r="M11" s="55">
        <v>0.0</v>
      </c>
      <c r="N11" s="55" t="s">
        <v>27</v>
      </c>
      <c r="O11" s="360" t="s">
        <v>1326</v>
      </c>
      <c r="P11" s="55">
        <v>0.0</v>
      </c>
      <c r="Q11" s="55" t="s">
        <v>1040</v>
      </c>
      <c r="R11" s="360" t="s">
        <v>1335</v>
      </c>
      <c r="S11" s="55">
        <v>0.0</v>
      </c>
      <c r="T11" s="350" t="s">
        <v>20</v>
      </c>
      <c r="U11" s="55" t="s">
        <v>1084</v>
      </c>
      <c r="V11" s="55">
        <v>0.0</v>
      </c>
      <c r="W11" s="55" t="s">
        <v>6160</v>
      </c>
      <c r="X11" s="55"/>
      <c r="Y11" s="55"/>
      <c r="Z11" s="55"/>
      <c r="AA11" s="55"/>
    </row>
    <row r="12">
      <c r="A12" s="130" t="s">
        <v>6166</v>
      </c>
      <c r="B12" s="132">
        <f>0.0005</f>
        <v>0.0005</v>
      </c>
      <c r="C12" s="55"/>
      <c r="D12" s="55"/>
      <c r="E12" s="55"/>
      <c r="F12" s="365"/>
      <c r="G12" s="55"/>
      <c r="H12" s="55"/>
      <c r="I12" s="360" t="s">
        <v>1061</v>
      </c>
      <c r="J12" s="55">
        <v>0.0</v>
      </c>
      <c r="K12" s="55" t="s">
        <v>1168</v>
      </c>
      <c r="L12" s="360" t="s">
        <v>1089</v>
      </c>
      <c r="M12" s="55">
        <v>0.0</v>
      </c>
      <c r="N12" s="55" t="s">
        <v>27</v>
      </c>
      <c r="O12" s="360" t="s">
        <v>1271</v>
      </c>
      <c r="P12" s="55">
        <v>0.0</v>
      </c>
      <c r="Q12" s="55" t="s">
        <v>24</v>
      </c>
      <c r="R12" s="360" t="s">
        <v>6167</v>
      </c>
      <c r="S12" s="55">
        <v>0.0</v>
      </c>
      <c r="T12" s="350" t="s">
        <v>20</v>
      </c>
      <c r="U12" s="55" t="s">
        <v>6168</v>
      </c>
      <c r="V12" s="55">
        <v>0.0</v>
      </c>
      <c r="W12" s="55" t="s">
        <v>6160</v>
      </c>
      <c r="X12" s="55"/>
      <c r="Y12" s="55"/>
      <c r="Z12" s="55"/>
      <c r="AA12" s="55"/>
    </row>
    <row r="13">
      <c r="A13" s="344" t="s">
        <v>68</v>
      </c>
      <c r="B13" s="369" t="s">
        <v>6169</v>
      </c>
      <c r="C13" s="55"/>
      <c r="D13" s="55"/>
      <c r="E13" s="55"/>
      <c r="F13" s="365"/>
      <c r="G13" s="55"/>
      <c r="H13" s="55"/>
      <c r="I13" s="360" t="s">
        <v>1062</v>
      </c>
      <c r="J13" s="55">
        <v>0.0</v>
      </c>
      <c r="K13" s="55" t="s">
        <v>25</v>
      </c>
      <c r="L13" s="360" t="s">
        <v>1090</v>
      </c>
      <c r="M13" s="55">
        <v>0.0</v>
      </c>
      <c r="N13" s="55" t="s">
        <v>27</v>
      </c>
      <c r="O13" s="360" t="s">
        <v>1327</v>
      </c>
      <c r="P13" s="55">
        <v>0.0</v>
      </c>
      <c r="Q13" s="55" t="s">
        <v>24</v>
      </c>
      <c r="R13" s="360" t="s">
        <v>1444</v>
      </c>
      <c r="S13" s="55">
        <v>0.0</v>
      </c>
      <c r="T13" s="350" t="s">
        <v>20</v>
      </c>
      <c r="U13" s="55" t="s">
        <v>1091</v>
      </c>
      <c r="V13" s="55">
        <v>0.0</v>
      </c>
      <c r="W13" s="55" t="s">
        <v>6160</v>
      </c>
      <c r="X13" s="55"/>
      <c r="Y13" s="55"/>
      <c r="Z13" s="55"/>
      <c r="AA13" s="55"/>
    </row>
    <row r="14">
      <c r="A14" s="351" t="s">
        <v>71</v>
      </c>
      <c r="B14" s="354">
        <v>0.0</v>
      </c>
      <c r="C14" s="55"/>
      <c r="D14" s="55"/>
      <c r="E14" s="55"/>
      <c r="F14" s="365"/>
      <c r="G14" s="55"/>
      <c r="H14" s="55"/>
      <c r="I14" s="360" t="s">
        <v>1063</v>
      </c>
      <c r="J14" s="55">
        <v>0.0</v>
      </c>
      <c r="K14" s="55" t="s">
        <v>25</v>
      </c>
      <c r="L14" s="360" t="s">
        <v>1091</v>
      </c>
      <c r="M14" s="55">
        <v>0.0</v>
      </c>
      <c r="N14" s="55" t="s">
        <v>27</v>
      </c>
      <c r="O14" s="360" t="s">
        <v>1328</v>
      </c>
      <c r="P14" s="55">
        <v>0.0</v>
      </c>
      <c r="Q14" s="55" t="s">
        <v>24</v>
      </c>
      <c r="R14" s="360" t="s">
        <v>1445</v>
      </c>
      <c r="S14" s="55">
        <v>0.0</v>
      </c>
      <c r="T14" s="350" t="s">
        <v>20</v>
      </c>
      <c r="U14" s="55" t="s">
        <v>1339</v>
      </c>
      <c r="V14" s="55">
        <v>0.0</v>
      </c>
      <c r="W14" s="55" t="s">
        <v>6160</v>
      </c>
      <c r="X14" s="55"/>
      <c r="Y14" s="55"/>
      <c r="Z14" s="55"/>
      <c r="AA14" s="55"/>
    </row>
    <row r="15">
      <c r="A15" s="351" t="s">
        <v>73</v>
      </c>
      <c r="B15" s="354">
        <v>0.0</v>
      </c>
      <c r="C15" s="55"/>
      <c r="D15" s="55"/>
      <c r="E15" s="55"/>
      <c r="F15" s="365"/>
      <c r="G15" s="55"/>
      <c r="H15" s="55"/>
      <c r="I15" s="360" t="s">
        <v>1064</v>
      </c>
      <c r="J15" s="55">
        <v>0.0</v>
      </c>
      <c r="K15" s="55" t="s">
        <v>25</v>
      </c>
      <c r="L15" s="360" t="s">
        <v>1290</v>
      </c>
      <c r="M15" s="55">
        <v>0.0</v>
      </c>
      <c r="N15" s="55" t="s">
        <v>27</v>
      </c>
      <c r="O15" s="360" t="s">
        <v>1329</v>
      </c>
      <c r="P15" s="55">
        <v>0.0</v>
      </c>
      <c r="Q15" s="55" t="s">
        <v>24</v>
      </c>
      <c r="R15" s="360" t="s">
        <v>1411</v>
      </c>
      <c r="S15" s="55">
        <v>0.0</v>
      </c>
      <c r="T15" s="350" t="s">
        <v>20</v>
      </c>
      <c r="U15" s="55" t="s">
        <v>1240</v>
      </c>
      <c r="V15" s="55">
        <v>0.0</v>
      </c>
      <c r="W15" s="55" t="s">
        <v>6160</v>
      </c>
      <c r="X15" s="55"/>
      <c r="Y15" s="55"/>
      <c r="Z15" s="55"/>
      <c r="AA15" s="55"/>
    </row>
    <row r="16">
      <c r="A16" s="351" t="s">
        <v>75</v>
      </c>
      <c r="B16" s="354">
        <v>0.0</v>
      </c>
      <c r="C16" s="55"/>
      <c r="D16" s="55"/>
      <c r="E16" s="55"/>
      <c r="F16" s="365"/>
      <c r="G16" s="55"/>
      <c r="H16" s="55"/>
      <c r="I16" s="360" t="s">
        <v>1065</v>
      </c>
      <c r="J16" s="55">
        <v>0.0</v>
      </c>
      <c r="K16" s="55" t="s">
        <v>1137</v>
      </c>
      <c r="L16" s="360" t="s">
        <v>1269</v>
      </c>
      <c r="M16" s="55">
        <v>0.0</v>
      </c>
      <c r="N16" s="55" t="s">
        <v>27</v>
      </c>
      <c r="O16" s="360" t="s">
        <v>1330</v>
      </c>
      <c r="P16" s="55">
        <v>0.0</v>
      </c>
      <c r="Q16" s="55" t="s">
        <v>24</v>
      </c>
      <c r="R16" s="360" t="s">
        <v>1446</v>
      </c>
      <c r="S16" s="55">
        <v>0.0</v>
      </c>
      <c r="T16" s="350" t="s">
        <v>20</v>
      </c>
      <c r="U16" s="55" t="s">
        <v>1107</v>
      </c>
      <c r="V16" s="55">
        <v>0.0</v>
      </c>
      <c r="W16" s="55" t="s">
        <v>6160</v>
      </c>
      <c r="X16" s="55"/>
      <c r="Y16" s="55"/>
      <c r="Z16" s="55"/>
      <c r="AA16" s="55"/>
    </row>
    <row r="17">
      <c r="A17" s="351" t="s">
        <v>77</v>
      </c>
      <c r="B17" s="354">
        <v>0.0</v>
      </c>
      <c r="C17" s="55"/>
      <c r="D17" s="55"/>
      <c r="E17" s="55"/>
      <c r="F17" s="365"/>
      <c r="G17" s="55"/>
      <c r="H17" s="55"/>
      <c r="I17" s="360" t="s">
        <v>1066</v>
      </c>
      <c r="J17" s="55">
        <v>0.0</v>
      </c>
      <c r="K17" s="55" t="s">
        <v>1137</v>
      </c>
      <c r="L17" s="360" t="s">
        <v>1095</v>
      </c>
      <c r="M17" s="55">
        <v>0.0</v>
      </c>
      <c r="N17" s="55" t="s">
        <v>27</v>
      </c>
      <c r="O17" s="360" t="s">
        <v>1331</v>
      </c>
      <c r="P17" s="55">
        <v>0.0</v>
      </c>
      <c r="Q17" s="55" t="s">
        <v>1040</v>
      </c>
      <c r="R17" s="360" t="s">
        <v>1447</v>
      </c>
      <c r="S17" s="55">
        <v>0.0</v>
      </c>
      <c r="T17" s="350" t="s">
        <v>20</v>
      </c>
      <c r="U17" s="55" t="s">
        <v>1108</v>
      </c>
      <c r="V17" s="55">
        <v>0.0</v>
      </c>
      <c r="W17" s="55" t="s">
        <v>6160</v>
      </c>
      <c r="X17" s="55"/>
      <c r="Y17" s="55"/>
      <c r="Z17" s="55"/>
      <c r="AA17" s="55"/>
    </row>
    <row r="18">
      <c r="A18" s="362" t="s">
        <v>79</v>
      </c>
      <c r="B18" s="370">
        <v>0.46153</v>
      </c>
      <c r="C18" s="55"/>
      <c r="D18" s="55"/>
      <c r="E18" s="55"/>
      <c r="F18" s="365"/>
      <c r="G18" s="55"/>
      <c r="H18" s="55"/>
      <c r="I18" s="360" t="s">
        <v>1067</v>
      </c>
      <c r="J18" s="55">
        <v>0.0</v>
      </c>
      <c r="K18" s="55" t="s">
        <v>1168</v>
      </c>
      <c r="L18" s="360" t="s">
        <v>1096</v>
      </c>
      <c r="M18" s="55">
        <v>0.0</v>
      </c>
      <c r="N18" s="55" t="s">
        <v>27</v>
      </c>
      <c r="O18" s="360" t="s">
        <v>1332</v>
      </c>
      <c r="P18" s="55">
        <v>0.0</v>
      </c>
      <c r="Q18" s="55" t="s">
        <v>1040</v>
      </c>
      <c r="R18" s="360" t="s">
        <v>1448</v>
      </c>
      <c r="S18" s="55">
        <v>0.0</v>
      </c>
      <c r="T18" s="350" t="s">
        <v>20</v>
      </c>
      <c r="U18" s="55" t="s">
        <v>1351</v>
      </c>
      <c r="V18" s="55">
        <v>0.0</v>
      </c>
      <c r="W18" s="55" t="s">
        <v>6160</v>
      </c>
      <c r="X18" s="55"/>
      <c r="Y18" s="55"/>
      <c r="Z18" s="55"/>
      <c r="AA18" s="55"/>
    </row>
    <row r="19">
      <c r="A19" s="362" t="s">
        <v>81</v>
      </c>
      <c r="B19" s="370">
        <v>0.46153</v>
      </c>
      <c r="C19" s="55"/>
      <c r="D19" s="55"/>
      <c r="E19" s="55"/>
      <c r="F19" s="365"/>
      <c r="G19" s="55"/>
      <c r="H19" s="55"/>
      <c r="I19" s="360" t="s">
        <v>1068</v>
      </c>
      <c r="J19" s="55">
        <v>0.0</v>
      </c>
      <c r="K19" s="55" t="s">
        <v>1168</v>
      </c>
      <c r="L19" s="360" t="s">
        <v>1121</v>
      </c>
      <c r="M19" s="55">
        <v>0.0</v>
      </c>
      <c r="N19" s="55" t="s">
        <v>27</v>
      </c>
      <c r="O19" s="360" t="s">
        <v>1333</v>
      </c>
      <c r="P19" s="55">
        <v>0.0</v>
      </c>
      <c r="Q19" s="55" t="s">
        <v>6164</v>
      </c>
      <c r="R19" s="360" t="s">
        <v>1449</v>
      </c>
      <c r="S19" s="55">
        <v>0.0</v>
      </c>
      <c r="T19" s="350" t="s">
        <v>20</v>
      </c>
      <c r="U19" s="55" t="s">
        <v>1352</v>
      </c>
      <c r="V19" s="55">
        <v>0.0</v>
      </c>
      <c r="W19" s="55" t="s">
        <v>6160</v>
      </c>
      <c r="X19" s="55"/>
      <c r="Y19" s="55"/>
      <c r="Z19" s="55"/>
      <c r="AA19" s="55"/>
    </row>
    <row r="20">
      <c r="A20" s="362" t="s">
        <v>83</v>
      </c>
      <c r="B20" s="370">
        <v>0.03846</v>
      </c>
      <c r="C20" s="55"/>
      <c r="D20" s="55"/>
      <c r="E20" s="55"/>
      <c r="F20" s="365"/>
      <c r="G20" s="55"/>
      <c r="H20" s="55"/>
      <c r="I20" s="360" t="s">
        <v>1069</v>
      </c>
      <c r="J20" s="55">
        <v>0.0</v>
      </c>
      <c r="K20" s="55" t="s">
        <v>25</v>
      </c>
      <c r="L20" s="360" t="s">
        <v>6170</v>
      </c>
      <c r="M20" s="55">
        <v>0.0</v>
      </c>
      <c r="N20" s="55" t="s">
        <v>27</v>
      </c>
      <c r="O20" s="360" t="s">
        <v>1334</v>
      </c>
      <c r="P20" s="55">
        <v>0.0</v>
      </c>
      <c r="Q20" s="55" t="s">
        <v>6164</v>
      </c>
      <c r="R20" s="360" t="s">
        <v>1450</v>
      </c>
      <c r="S20" s="55">
        <v>0.0</v>
      </c>
      <c r="T20" s="350" t="s">
        <v>20</v>
      </c>
      <c r="U20" s="55" t="s">
        <v>1476</v>
      </c>
      <c r="V20" s="55">
        <v>0.0</v>
      </c>
      <c r="W20" s="55" t="s">
        <v>6160</v>
      </c>
      <c r="X20" s="55"/>
      <c r="Y20" s="55"/>
      <c r="Z20" s="55"/>
      <c r="AA20" s="55"/>
    </row>
    <row r="21">
      <c r="A21" s="366" t="s">
        <v>85</v>
      </c>
      <c r="B21" s="371">
        <v>0.03846</v>
      </c>
      <c r="C21" s="55"/>
      <c r="D21" s="55"/>
      <c r="E21" s="55"/>
      <c r="F21" s="365"/>
      <c r="G21" s="55"/>
      <c r="H21" s="55"/>
      <c r="I21" s="360" t="s">
        <v>1070</v>
      </c>
      <c r="J21" s="55">
        <v>0.0</v>
      </c>
      <c r="K21" s="55" t="s">
        <v>25</v>
      </c>
      <c r="L21" s="360" t="s">
        <v>1124</v>
      </c>
      <c r="M21" s="55">
        <v>0.0</v>
      </c>
      <c r="N21" s="55" t="s">
        <v>27</v>
      </c>
      <c r="O21" s="360" t="s">
        <v>1335</v>
      </c>
      <c r="P21" s="55">
        <v>0.0</v>
      </c>
      <c r="Q21" s="55" t="s">
        <v>24</v>
      </c>
      <c r="R21" s="360" t="s">
        <v>1451</v>
      </c>
      <c r="S21" s="55">
        <v>0.0</v>
      </c>
      <c r="T21" s="350" t="s">
        <v>20</v>
      </c>
      <c r="U21" s="55" t="s">
        <v>6171</v>
      </c>
      <c r="V21" s="55">
        <v>0.0</v>
      </c>
      <c r="W21" s="55" t="s">
        <v>6160</v>
      </c>
      <c r="X21" s="55"/>
      <c r="Y21" s="55"/>
      <c r="Z21" s="55"/>
      <c r="AA21" s="55"/>
    </row>
    <row r="22">
      <c r="A22" s="55"/>
      <c r="B22" s="55"/>
      <c r="C22" s="55"/>
      <c r="D22" s="55"/>
      <c r="E22" s="55"/>
      <c r="F22" s="365"/>
      <c r="G22" s="55"/>
      <c r="H22" s="55"/>
      <c r="I22" s="360" t="s">
        <v>1071</v>
      </c>
      <c r="J22" s="55">
        <v>0.0</v>
      </c>
      <c r="K22" s="55" t="s">
        <v>25</v>
      </c>
      <c r="L22" s="360" t="s">
        <v>1291</v>
      </c>
      <c r="M22" s="55">
        <v>0.0</v>
      </c>
      <c r="N22" s="55" t="s">
        <v>27</v>
      </c>
      <c r="O22" s="360" t="s">
        <v>1336</v>
      </c>
      <c r="P22" s="55">
        <v>0.0</v>
      </c>
      <c r="Q22" s="55" t="s">
        <v>6164</v>
      </c>
      <c r="R22" s="360" t="s">
        <v>1355</v>
      </c>
      <c r="S22" s="55">
        <v>0.0</v>
      </c>
      <c r="T22" s="350" t="s">
        <v>20</v>
      </c>
      <c r="U22" s="55" t="s">
        <v>1478</v>
      </c>
      <c r="V22" s="55">
        <v>0.0</v>
      </c>
      <c r="W22" s="55" t="s">
        <v>6160</v>
      </c>
      <c r="X22" s="55"/>
      <c r="Y22" s="55"/>
      <c r="Z22" s="55"/>
      <c r="AA22" s="55"/>
    </row>
    <row r="23">
      <c r="A23" s="55" t="s">
        <v>6172</v>
      </c>
      <c r="B23" s="55"/>
      <c r="C23" s="55"/>
      <c r="D23" s="55"/>
      <c r="E23" s="55"/>
      <c r="F23" s="365"/>
      <c r="G23" s="55"/>
      <c r="H23" s="55"/>
      <c r="I23" s="360" t="s">
        <v>1072</v>
      </c>
      <c r="J23" s="55">
        <v>0.0</v>
      </c>
      <c r="K23" s="55" t="s">
        <v>25</v>
      </c>
      <c r="L23" s="360" t="s">
        <v>1292</v>
      </c>
      <c r="M23" s="55">
        <v>0.0</v>
      </c>
      <c r="N23" s="55" t="s">
        <v>27</v>
      </c>
      <c r="O23" s="360" t="s">
        <v>1337</v>
      </c>
      <c r="P23" s="55">
        <v>0.0</v>
      </c>
      <c r="Q23" s="55" t="s">
        <v>1040</v>
      </c>
      <c r="R23" s="360" t="s">
        <v>1356</v>
      </c>
      <c r="S23" s="55">
        <v>0.0</v>
      </c>
      <c r="T23" s="350" t="s">
        <v>20</v>
      </c>
      <c r="U23" s="55" t="s">
        <v>1479</v>
      </c>
      <c r="V23" s="55">
        <v>0.0</v>
      </c>
      <c r="W23" s="55" t="s">
        <v>6160</v>
      </c>
      <c r="X23" s="55"/>
      <c r="Y23" s="55"/>
      <c r="Z23" s="55"/>
      <c r="AA23" s="55"/>
    </row>
    <row r="24">
      <c r="A24" s="344" t="s">
        <v>68</v>
      </c>
      <c r="B24" s="75">
        <v>45294.0</v>
      </c>
      <c r="C24" s="345">
        <v>4.0</v>
      </c>
      <c r="D24" s="346">
        <v>5.0</v>
      </c>
      <c r="E24" s="55"/>
      <c r="F24" s="365"/>
      <c r="G24" s="55"/>
      <c r="H24" s="55"/>
      <c r="I24" s="360" t="s">
        <v>1073</v>
      </c>
      <c r="J24" s="55">
        <v>0.0</v>
      </c>
      <c r="K24" s="55" t="s">
        <v>25</v>
      </c>
      <c r="L24" s="360" t="s">
        <v>1293</v>
      </c>
      <c r="M24" s="55">
        <v>0.0</v>
      </c>
      <c r="N24" s="55" t="s">
        <v>27</v>
      </c>
      <c r="O24" s="360" t="s">
        <v>1338</v>
      </c>
      <c r="P24" s="55">
        <v>0.0</v>
      </c>
      <c r="Q24" s="55" t="s">
        <v>6164</v>
      </c>
      <c r="R24" s="360" t="s">
        <v>6173</v>
      </c>
      <c r="S24" s="55">
        <v>0.0</v>
      </c>
      <c r="T24" s="350" t="s">
        <v>20</v>
      </c>
      <c r="U24" s="55" t="s">
        <v>6174</v>
      </c>
      <c r="V24" s="55">
        <v>0.0</v>
      </c>
      <c r="W24" s="55" t="s">
        <v>6160</v>
      </c>
      <c r="X24" s="55"/>
      <c r="Y24" s="55"/>
      <c r="Z24" s="55"/>
      <c r="AA24" s="55"/>
    </row>
    <row r="25">
      <c r="A25" s="351" t="s">
        <v>71</v>
      </c>
      <c r="B25" s="372">
        <f t="array" ref="B25:B32">RegularPackProbability*B3:B10+RarePackProbability*$B$14:$B$21</f>
        <v>0.9995</v>
      </c>
      <c r="C25" s="353">
        <f t="array" ref="C25:C32">RegularPackProbability*C3:C10+RarePackProbability*$B$14:$B$21</f>
        <v>0</v>
      </c>
      <c r="D25" s="354">
        <f t="array" ref="D25:D32">RegularPackProbability*D3:D10+RarePackProbability*$B$14:$B$21</f>
        <v>0</v>
      </c>
      <c r="E25" s="55"/>
      <c r="F25" s="365"/>
      <c r="G25" s="55"/>
      <c r="H25" s="55"/>
      <c r="I25" s="360" t="s">
        <v>6175</v>
      </c>
      <c r="J25" s="55">
        <v>0.0</v>
      </c>
      <c r="K25" s="55" t="s">
        <v>25</v>
      </c>
      <c r="L25" s="360" t="s">
        <v>1294</v>
      </c>
      <c r="M25" s="55">
        <v>0.0</v>
      </c>
      <c r="N25" s="55" t="s">
        <v>27</v>
      </c>
      <c r="O25" s="360" t="s">
        <v>1091</v>
      </c>
      <c r="P25" s="55">
        <v>0.0</v>
      </c>
      <c r="Q25" s="55" t="s">
        <v>24</v>
      </c>
      <c r="R25" s="360" t="s">
        <v>1360</v>
      </c>
      <c r="S25" s="55">
        <v>0.0</v>
      </c>
      <c r="T25" s="350" t="s">
        <v>20</v>
      </c>
      <c r="U25" s="55" t="s">
        <v>1141</v>
      </c>
      <c r="V25" s="55">
        <v>0.0</v>
      </c>
      <c r="W25" s="55" t="s">
        <v>6160</v>
      </c>
      <c r="X25" s="55"/>
      <c r="Y25" s="55"/>
      <c r="Z25" s="55"/>
      <c r="AA25" s="55"/>
    </row>
    <row r="26">
      <c r="A26" s="351" t="s">
        <v>73</v>
      </c>
      <c r="B26" s="353">
        <v>0.0</v>
      </c>
      <c r="C26" s="372">
        <v>0.8995500000000001</v>
      </c>
      <c r="D26" s="370">
        <v>0.5997</v>
      </c>
      <c r="E26" s="55"/>
      <c r="F26" s="365"/>
      <c r="G26" s="55"/>
      <c r="H26" s="55"/>
      <c r="I26" s="360" t="s">
        <v>1074</v>
      </c>
      <c r="J26" s="55">
        <v>0.0</v>
      </c>
      <c r="K26" s="55" t="s">
        <v>25</v>
      </c>
      <c r="L26" s="360" t="s">
        <v>1295</v>
      </c>
      <c r="M26" s="55">
        <v>0.0</v>
      </c>
      <c r="N26" s="55" t="s">
        <v>27</v>
      </c>
      <c r="O26" s="360" t="s">
        <v>1339</v>
      </c>
      <c r="P26" s="55">
        <v>0.0</v>
      </c>
      <c r="Q26" s="55" t="s">
        <v>24</v>
      </c>
      <c r="R26" s="360" t="s">
        <v>1453</v>
      </c>
      <c r="S26" s="55">
        <v>0.0</v>
      </c>
      <c r="T26" s="350" t="s">
        <v>20</v>
      </c>
      <c r="U26" s="55" t="s">
        <v>1142</v>
      </c>
      <c r="V26" s="55">
        <v>0.0</v>
      </c>
      <c r="W26" s="55" t="s">
        <v>6160</v>
      </c>
      <c r="X26" s="55"/>
      <c r="Y26" s="55"/>
      <c r="Z26" s="55"/>
      <c r="AA26" s="55"/>
    </row>
    <row r="27">
      <c r="A27" s="351" t="s">
        <v>75</v>
      </c>
      <c r="B27" s="353">
        <v>0.0</v>
      </c>
      <c r="C27" s="372">
        <v>0.049975000000000006</v>
      </c>
      <c r="D27" s="370">
        <v>0.19990000000000002</v>
      </c>
      <c r="E27" s="55"/>
      <c r="F27" s="365"/>
      <c r="G27" s="55"/>
      <c r="H27" s="55"/>
      <c r="I27" s="360" t="s">
        <v>1075</v>
      </c>
      <c r="J27" s="55">
        <v>0.0</v>
      </c>
      <c r="K27" s="55" t="s">
        <v>1168</v>
      </c>
      <c r="L27" s="360" t="s">
        <v>1137</v>
      </c>
      <c r="M27" s="55">
        <v>0.0</v>
      </c>
      <c r="N27" s="55" t="s">
        <v>27</v>
      </c>
      <c r="O27" s="360" t="s">
        <v>1340</v>
      </c>
      <c r="P27" s="55">
        <v>0.0</v>
      </c>
      <c r="Q27" s="55" t="s">
        <v>1040</v>
      </c>
      <c r="R27" s="360" t="s">
        <v>1137</v>
      </c>
      <c r="S27" s="55">
        <v>0.0</v>
      </c>
      <c r="T27" s="350" t="s">
        <v>20</v>
      </c>
      <c r="U27" s="55" t="s">
        <v>1365</v>
      </c>
      <c r="V27" s="55">
        <v>0.0</v>
      </c>
      <c r="W27" s="55" t="s">
        <v>6160</v>
      </c>
      <c r="X27" s="55"/>
      <c r="Y27" s="55"/>
      <c r="Z27" s="55"/>
      <c r="AA27" s="55"/>
    </row>
    <row r="28">
      <c r="A28" s="351" t="s">
        <v>77</v>
      </c>
      <c r="B28" s="353">
        <v>0.0</v>
      </c>
      <c r="C28" s="372">
        <v>0.016651670000000004</v>
      </c>
      <c r="D28" s="370">
        <v>0.06660668000000002</v>
      </c>
      <c r="E28" s="55"/>
      <c r="F28" s="365"/>
      <c r="G28" s="55"/>
      <c r="H28" s="55"/>
      <c r="I28" s="360" t="s">
        <v>1076</v>
      </c>
      <c r="J28" s="55">
        <v>0.0</v>
      </c>
      <c r="K28" s="55" t="s">
        <v>1040</v>
      </c>
      <c r="L28" s="360" t="s">
        <v>1138</v>
      </c>
      <c r="M28" s="55">
        <v>0.0</v>
      </c>
      <c r="N28" s="55" t="s">
        <v>27</v>
      </c>
      <c r="O28" s="360" t="s">
        <v>1341</v>
      </c>
      <c r="P28" s="55">
        <v>0.0</v>
      </c>
      <c r="Q28" s="55" t="s">
        <v>1040</v>
      </c>
      <c r="R28" s="360" t="s">
        <v>1138</v>
      </c>
      <c r="S28" s="55">
        <v>0.0</v>
      </c>
      <c r="T28" s="350" t="s">
        <v>20</v>
      </c>
      <c r="U28" s="55" t="s">
        <v>1480</v>
      </c>
      <c r="V28" s="55">
        <v>0.0</v>
      </c>
      <c r="W28" s="55" t="s">
        <v>6160</v>
      </c>
      <c r="X28" s="55"/>
      <c r="Y28" s="55"/>
      <c r="Z28" s="55"/>
      <c r="AA28" s="55"/>
    </row>
    <row r="29">
      <c r="A29" s="362" t="s">
        <v>79</v>
      </c>
      <c r="B29" s="353">
        <v>2.30765E-4</v>
      </c>
      <c r="C29" s="372">
        <v>0.025937905</v>
      </c>
      <c r="D29" s="370">
        <v>0.103059325</v>
      </c>
      <c r="E29" s="55"/>
      <c r="F29" s="365"/>
      <c r="G29" s="55"/>
      <c r="H29" s="55"/>
      <c r="I29" s="360" t="s">
        <v>1077</v>
      </c>
      <c r="J29" s="55">
        <v>0.0</v>
      </c>
      <c r="K29" s="55" t="s">
        <v>1040</v>
      </c>
      <c r="L29" s="360" t="s">
        <v>1143</v>
      </c>
      <c r="M29" s="55">
        <v>0.0</v>
      </c>
      <c r="N29" s="55" t="s">
        <v>27</v>
      </c>
      <c r="O29" s="360" t="s">
        <v>1276</v>
      </c>
      <c r="P29" s="55">
        <v>0.0</v>
      </c>
      <c r="Q29" s="55" t="s">
        <v>24</v>
      </c>
      <c r="R29" s="360" t="s">
        <v>1454</v>
      </c>
      <c r="S29" s="55">
        <v>0.0</v>
      </c>
      <c r="T29" s="350" t="s">
        <v>20</v>
      </c>
      <c r="U29" s="55" t="s">
        <v>1481</v>
      </c>
      <c r="V29" s="55">
        <v>0.0</v>
      </c>
      <c r="W29" s="55" t="s">
        <v>6160</v>
      </c>
      <c r="X29" s="55"/>
      <c r="Y29" s="55"/>
      <c r="Z29" s="55"/>
      <c r="AA29" s="55"/>
    </row>
    <row r="30">
      <c r="A30" s="362" t="s">
        <v>81</v>
      </c>
      <c r="B30" s="353">
        <v>2.30765E-4</v>
      </c>
      <c r="C30" s="372">
        <v>0.005228265</v>
      </c>
      <c r="D30" s="370">
        <v>0.020220765</v>
      </c>
      <c r="E30" s="55"/>
      <c r="F30" s="365"/>
      <c r="G30" s="55"/>
      <c r="H30" s="55"/>
      <c r="I30" s="360" t="s">
        <v>1078</v>
      </c>
      <c r="J30" s="55">
        <v>0.0</v>
      </c>
      <c r="K30" s="55" t="s">
        <v>1040</v>
      </c>
      <c r="L30" s="360" t="s">
        <v>1296</v>
      </c>
      <c r="M30" s="55">
        <v>0.0</v>
      </c>
      <c r="N30" s="55" t="s">
        <v>27</v>
      </c>
      <c r="O30" s="360" t="s">
        <v>1342</v>
      </c>
      <c r="P30" s="55">
        <v>0.0</v>
      </c>
      <c r="Q30" s="55" t="s">
        <v>24</v>
      </c>
      <c r="R30" s="360" t="s">
        <v>1455</v>
      </c>
      <c r="S30" s="55">
        <v>0.0</v>
      </c>
      <c r="T30" s="350" t="s">
        <v>20</v>
      </c>
      <c r="U30" s="55" t="s">
        <v>1482</v>
      </c>
      <c r="V30" s="55">
        <v>0.0</v>
      </c>
      <c r="W30" s="55" t="s">
        <v>6160</v>
      </c>
      <c r="X30" s="55"/>
      <c r="Y30" s="55"/>
      <c r="Z30" s="55"/>
      <c r="AA30" s="55"/>
    </row>
    <row r="31">
      <c r="A31" s="362" t="s">
        <v>83</v>
      </c>
      <c r="B31" s="353">
        <v>1.923E-5</v>
      </c>
      <c r="C31" s="372">
        <v>0.00223812</v>
      </c>
      <c r="D31" s="370">
        <v>0.008894790000000001</v>
      </c>
      <c r="E31" s="55"/>
      <c r="F31" s="365"/>
      <c r="G31" s="55"/>
      <c r="H31" s="55"/>
      <c r="I31" s="360" t="s">
        <v>1079</v>
      </c>
      <c r="J31" s="55">
        <v>0.0</v>
      </c>
      <c r="K31" s="55" t="s">
        <v>1040</v>
      </c>
      <c r="L31" s="360" t="s">
        <v>1297</v>
      </c>
      <c r="M31" s="55">
        <v>0.0</v>
      </c>
      <c r="N31" s="55" t="s">
        <v>27</v>
      </c>
      <c r="O31" s="360" t="s">
        <v>6176</v>
      </c>
      <c r="P31" s="55">
        <v>0.0</v>
      </c>
      <c r="Q31" s="55" t="s">
        <v>24</v>
      </c>
      <c r="R31" s="360" t="s">
        <v>1154</v>
      </c>
      <c r="S31" s="55">
        <v>0.0</v>
      </c>
      <c r="T31" s="350" t="s">
        <v>20</v>
      </c>
      <c r="U31" s="55" t="s">
        <v>1156</v>
      </c>
      <c r="V31" s="55">
        <v>0.0</v>
      </c>
      <c r="W31" s="55" t="s">
        <v>6160</v>
      </c>
      <c r="X31" s="55"/>
      <c r="Y31" s="55"/>
      <c r="Z31" s="55"/>
      <c r="AA31" s="55"/>
    </row>
    <row r="32">
      <c r="A32" s="366" t="s">
        <v>85</v>
      </c>
      <c r="B32" s="367">
        <v>1.923E-5</v>
      </c>
      <c r="C32" s="373">
        <v>4.1903000000000003E-4</v>
      </c>
      <c r="D32" s="371">
        <v>0.0016184300000000001</v>
      </c>
      <c r="E32" s="55"/>
      <c r="F32" s="365"/>
      <c r="G32" s="55"/>
      <c r="H32" s="55"/>
      <c r="I32" s="360" t="s">
        <v>1080</v>
      </c>
      <c r="J32" s="55">
        <v>0.0</v>
      </c>
      <c r="K32" s="55" t="s">
        <v>1040</v>
      </c>
      <c r="L32" s="360" t="s">
        <v>1298</v>
      </c>
      <c r="M32" s="55">
        <v>0.0</v>
      </c>
      <c r="N32" s="55" t="s">
        <v>27</v>
      </c>
      <c r="O32" s="360" t="s">
        <v>1344</v>
      </c>
      <c r="P32" s="55">
        <v>0.0</v>
      </c>
      <c r="Q32" s="55" t="s">
        <v>1040</v>
      </c>
      <c r="R32" s="360" t="s">
        <v>1155</v>
      </c>
      <c r="S32" s="55">
        <v>0.0</v>
      </c>
      <c r="T32" s="350" t="s">
        <v>20</v>
      </c>
      <c r="U32" s="55" t="s">
        <v>1157</v>
      </c>
      <c r="V32" s="55">
        <v>0.0</v>
      </c>
      <c r="W32" s="55" t="s">
        <v>6160</v>
      </c>
      <c r="X32" s="55"/>
      <c r="Y32" s="55"/>
      <c r="Z32" s="55"/>
      <c r="AA32" s="55"/>
    </row>
    <row r="33">
      <c r="A33" s="55"/>
      <c r="B33" s="55"/>
      <c r="C33" s="55"/>
      <c r="D33" s="55"/>
      <c r="E33" s="55"/>
      <c r="F33" s="365"/>
      <c r="G33" s="55"/>
      <c r="H33" s="55"/>
      <c r="I33" s="360" t="s">
        <v>1081</v>
      </c>
      <c r="J33" s="55">
        <v>0.0</v>
      </c>
      <c r="K33" s="55" t="s">
        <v>25</v>
      </c>
      <c r="L33" s="360" t="s">
        <v>27</v>
      </c>
      <c r="M33" s="55">
        <v>0.0</v>
      </c>
      <c r="N33" s="55" t="s">
        <v>27</v>
      </c>
      <c r="O33" s="360" t="s">
        <v>1345</v>
      </c>
      <c r="P33" s="55">
        <v>0.0</v>
      </c>
      <c r="Q33" s="55" t="s">
        <v>6164</v>
      </c>
      <c r="R33" s="360" t="s">
        <v>1161</v>
      </c>
      <c r="S33" s="55">
        <v>0.0</v>
      </c>
      <c r="T33" s="350" t="s">
        <v>20</v>
      </c>
      <c r="U33" s="55" t="s">
        <v>1158</v>
      </c>
      <c r="V33" s="55">
        <v>0.0</v>
      </c>
      <c r="W33" s="55" t="s">
        <v>6160</v>
      </c>
      <c r="X33" s="55"/>
      <c r="Y33" s="55"/>
      <c r="Z33" s="55"/>
      <c r="AA33" s="55"/>
    </row>
    <row r="34">
      <c r="A34" s="269" t="s">
        <v>6177</v>
      </c>
      <c r="B34" s="55"/>
      <c r="C34" s="55"/>
      <c r="D34" s="55"/>
      <c r="E34" s="55"/>
      <c r="F34" s="365"/>
      <c r="G34" s="55"/>
      <c r="H34" s="55"/>
      <c r="I34" s="360" t="s">
        <v>1082</v>
      </c>
      <c r="J34" s="55">
        <v>0.0</v>
      </c>
      <c r="K34" s="55" t="s">
        <v>25</v>
      </c>
      <c r="L34" s="360" t="s">
        <v>6178</v>
      </c>
      <c r="M34" s="55">
        <v>0.0</v>
      </c>
      <c r="N34" s="55" t="s">
        <v>27</v>
      </c>
      <c r="O34" s="360" t="s">
        <v>1346</v>
      </c>
      <c r="P34" s="55">
        <v>0.0</v>
      </c>
      <c r="Q34" s="55" t="s">
        <v>6164</v>
      </c>
      <c r="R34" s="360" t="s">
        <v>1162</v>
      </c>
      <c r="S34" s="55">
        <v>0.0</v>
      </c>
      <c r="T34" s="350" t="s">
        <v>20</v>
      </c>
      <c r="U34" s="55" t="s">
        <v>1166</v>
      </c>
      <c r="V34" s="55">
        <v>0.0</v>
      </c>
      <c r="W34" s="55" t="s">
        <v>6160</v>
      </c>
      <c r="X34" s="55"/>
      <c r="Y34" s="55"/>
      <c r="Z34" s="55"/>
      <c r="AA34" s="55"/>
    </row>
    <row r="35">
      <c r="A35" s="344" t="s">
        <v>68</v>
      </c>
      <c r="B35" s="75">
        <v>45294.0</v>
      </c>
      <c r="C35" s="345">
        <v>4.0</v>
      </c>
      <c r="D35" s="346">
        <v>5.0</v>
      </c>
      <c r="E35" s="55"/>
      <c r="F35" s="365"/>
      <c r="G35" s="55"/>
      <c r="H35" s="55"/>
      <c r="I35" s="360" t="s">
        <v>1083</v>
      </c>
      <c r="J35" s="55">
        <v>0.0</v>
      </c>
      <c r="K35" s="55" t="s">
        <v>25</v>
      </c>
      <c r="L35" s="360" t="s">
        <v>1299</v>
      </c>
      <c r="M35" s="55">
        <v>0.0</v>
      </c>
      <c r="N35" s="55" t="s">
        <v>27</v>
      </c>
      <c r="O35" s="360" t="s">
        <v>1347</v>
      </c>
      <c r="P35" s="55">
        <v>0.0</v>
      </c>
      <c r="Q35" s="55" t="s">
        <v>6164</v>
      </c>
      <c r="R35" s="360" t="s">
        <v>1163</v>
      </c>
      <c r="S35" s="55">
        <v>0.0</v>
      </c>
      <c r="T35" s="350" t="s">
        <v>20</v>
      </c>
      <c r="U35" s="55" t="s">
        <v>1373</v>
      </c>
      <c r="V35" s="55">
        <v>0.0</v>
      </c>
      <c r="W35" s="55" t="s">
        <v>6160</v>
      </c>
      <c r="X35" s="55"/>
      <c r="Y35" s="55"/>
      <c r="Z35" s="55"/>
      <c r="AA35" s="55"/>
    </row>
    <row r="36">
      <c r="A36" s="351" t="s">
        <v>71</v>
      </c>
      <c r="B36" s="352">
        <v>1.0</v>
      </c>
      <c r="C36" s="353">
        <v>0.0</v>
      </c>
      <c r="D36" s="354">
        <v>0.0</v>
      </c>
      <c r="E36" s="55"/>
      <c r="F36" s="365"/>
      <c r="G36" s="55"/>
      <c r="H36" s="55"/>
      <c r="I36" s="360" t="s">
        <v>1084</v>
      </c>
      <c r="J36" s="55">
        <v>0.0</v>
      </c>
      <c r="K36" s="55" t="s">
        <v>25</v>
      </c>
      <c r="L36" s="360" t="s">
        <v>1300</v>
      </c>
      <c r="M36" s="55">
        <v>0.0</v>
      </c>
      <c r="N36" s="55" t="s">
        <v>27</v>
      </c>
      <c r="O36" s="360" t="s">
        <v>1348</v>
      </c>
      <c r="P36" s="55">
        <v>0.0</v>
      </c>
      <c r="Q36" s="55" t="s">
        <v>24</v>
      </c>
      <c r="R36" s="360" t="s">
        <v>1456</v>
      </c>
      <c r="S36" s="55">
        <v>0.0</v>
      </c>
      <c r="T36" s="350" t="s">
        <v>20</v>
      </c>
      <c r="U36" s="55" t="s">
        <v>1374</v>
      </c>
      <c r="V36" s="55">
        <v>0.0</v>
      </c>
      <c r="W36" s="55" t="s">
        <v>6160</v>
      </c>
      <c r="X36" s="55"/>
      <c r="Y36" s="55"/>
      <c r="Z36" s="55"/>
      <c r="AA36" s="55"/>
    </row>
    <row r="37">
      <c r="A37" s="351" t="s">
        <v>73</v>
      </c>
      <c r="B37" s="353">
        <v>0.0</v>
      </c>
      <c r="C37" s="374">
        <v>0.89</v>
      </c>
      <c r="D37" s="375">
        <v>0.56</v>
      </c>
      <c r="E37" s="55"/>
      <c r="F37" s="365"/>
      <c r="G37" s="55"/>
      <c r="H37" s="55"/>
      <c r="I37" s="360" t="s">
        <v>25</v>
      </c>
      <c r="J37" s="55">
        <v>0.0</v>
      </c>
      <c r="K37" s="55" t="s">
        <v>25</v>
      </c>
      <c r="L37" s="360" t="s">
        <v>1301</v>
      </c>
      <c r="M37" s="55">
        <v>0.0</v>
      </c>
      <c r="N37" s="55" t="s">
        <v>27</v>
      </c>
      <c r="O37" s="360" t="s">
        <v>1270</v>
      </c>
      <c r="P37" s="55">
        <v>0.0</v>
      </c>
      <c r="Q37" s="55" t="s">
        <v>24</v>
      </c>
      <c r="R37" s="360" t="s">
        <v>1366</v>
      </c>
      <c r="S37" s="55">
        <v>0.0</v>
      </c>
      <c r="T37" s="350" t="s">
        <v>20</v>
      </c>
      <c r="U37" s="55" t="s">
        <v>6179</v>
      </c>
      <c r="V37" s="55">
        <v>0.0</v>
      </c>
      <c r="W37" s="55" t="s">
        <v>6160</v>
      </c>
      <c r="X37" s="55"/>
      <c r="Y37" s="55"/>
      <c r="Z37" s="55"/>
      <c r="AA37" s="55"/>
    </row>
    <row r="38">
      <c r="A38" s="351" t="s">
        <v>75</v>
      </c>
      <c r="B38" s="353">
        <v>0.0</v>
      </c>
      <c r="C38" s="376">
        <v>0.04952</v>
      </c>
      <c r="D38" s="375">
        <v>0.1981</v>
      </c>
      <c r="E38" s="55"/>
      <c r="F38" s="365"/>
      <c r="G38" s="55"/>
      <c r="H38" s="55"/>
      <c r="I38" s="360" t="s">
        <v>6168</v>
      </c>
      <c r="J38" s="55">
        <v>0.0</v>
      </c>
      <c r="K38" s="55" t="s">
        <v>25</v>
      </c>
      <c r="L38" s="360" t="s">
        <v>1302</v>
      </c>
      <c r="M38" s="55">
        <v>0.0</v>
      </c>
      <c r="N38" s="55" t="s">
        <v>27</v>
      </c>
      <c r="O38" s="360" t="s">
        <v>1349</v>
      </c>
      <c r="P38" s="55">
        <v>0.0</v>
      </c>
      <c r="Q38" s="55" t="s">
        <v>24</v>
      </c>
      <c r="R38" s="360" t="s">
        <v>1457</v>
      </c>
      <c r="S38" s="55">
        <v>0.0</v>
      </c>
      <c r="T38" s="350" t="s">
        <v>20</v>
      </c>
      <c r="U38" s="55" t="s">
        <v>1483</v>
      </c>
      <c r="V38" s="55">
        <v>0.0</v>
      </c>
      <c r="W38" s="55" t="s">
        <v>6160</v>
      </c>
      <c r="X38" s="55"/>
      <c r="Y38" s="55"/>
      <c r="Z38" s="55"/>
      <c r="AA38" s="55"/>
    </row>
    <row r="39">
      <c r="A39" s="351" t="s">
        <v>77</v>
      </c>
      <c r="B39" s="353">
        <v>0.0</v>
      </c>
      <c r="C39" s="83">
        <v>0.01666</v>
      </c>
      <c r="D39" s="377">
        <v>0.06664</v>
      </c>
      <c r="E39" s="55"/>
      <c r="F39" s="365"/>
      <c r="G39" s="55"/>
      <c r="H39" s="55"/>
      <c r="I39" s="360" t="s">
        <v>1085</v>
      </c>
      <c r="J39" s="55">
        <v>0.0</v>
      </c>
      <c r="K39" s="55" t="s">
        <v>25</v>
      </c>
      <c r="L39" s="360" t="s">
        <v>1303</v>
      </c>
      <c r="M39" s="55">
        <v>0.0</v>
      </c>
      <c r="N39" s="55" t="s">
        <v>27</v>
      </c>
      <c r="O39" s="360" t="s">
        <v>1350</v>
      </c>
      <c r="P39" s="55">
        <v>0.0</v>
      </c>
      <c r="Q39" s="55" t="s">
        <v>24</v>
      </c>
      <c r="R39" s="360" t="s">
        <v>1458</v>
      </c>
      <c r="S39" s="55">
        <v>0.0</v>
      </c>
      <c r="T39" s="350" t="s">
        <v>20</v>
      </c>
      <c r="U39" s="55" t="s">
        <v>1182</v>
      </c>
      <c r="V39" s="55">
        <v>0.0</v>
      </c>
      <c r="W39" s="55" t="s">
        <v>6160</v>
      </c>
      <c r="X39" s="55"/>
      <c r="Y39" s="55"/>
      <c r="Z39" s="55"/>
      <c r="AA39" s="55"/>
    </row>
    <row r="40">
      <c r="A40" s="362" t="s">
        <v>79</v>
      </c>
      <c r="B40" s="353">
        <v>0.0</v>
      </c>
      <c r="C40" s="363">
        <v>0.02572</v>
      </c>
      <c r="D40" s="364">
        <v>0.10288</v>
      </c>
      <c r="E40" s="55"/>
      <c r="F40" s="365"/>
      <c r="G40" s="55"/>
      <c r="H40" s="55"/>
      <c r="I40" s="360" t="s">
        <v>1086</v>
      </c>
      <c r="J40" s="55">
        <v>0.0</v>
      </c>
      <c r="K40" s="55" t="s">
        <v>25</v>
      </c>
      <c r="L40" s="360" t="s">
        <v>1304</v>
      </c>
      <c r="M40" s="55">
        <v>0.0</v>
      </c>
      <c r="N40" s="55" t="s">
        <v>27</v>
      </c>
      <c r="O40" s="360" t="s">
        <v>1351</v>
      </c>
      <c r="P40" s="55">
        <v>0.0</v>
      </c>
      <c r="Q40" s="55" t="s">
        <v>1040</v>
      </c>
      <c r="R40" s="360" t="s">
        <v>1459</v>
      </c>
      <c r="S40" s="55">
        <v>0.0</v>
      </c>
      <c r="T40" s="350" t="s">
        <v>20</v>
      </c>
      <c r="U40" s="55" t="s">
        <v>1183</v>
      </c>
      <c r="V40" s="55">
        <v>0.0</v>
      </c>
      <c r="W40" s="55" t="s">
        <v>6160</v>
      </c>
      <c r="X40" s="55"/>
      <c r="Y40" s="55"/>
      <c r="Z40" s="55"/>
      <c r="AA40" s="55"/>
    </row>
    <row r="41">
      <c r="A41" s="362" t="s">
        <v>81</v>
      </c>
      <c r="B41" s="353">
        <v>0.0</v>
      </c>
      <c r="C41" s="378">
        <v>0.005</v>
      </c>
      <c r="D41" s="357">
        <v>0.02</v>
      </c>
      <c r="E41" s="55"/>
      <c r="F41" s="365"/>
      <c r="G41" s="55"/>
      <c r="H41" s="55"/>
      <c r="I41" s="360" t="s">
        <v>1087</v>
      </c>
      <c r="J41" s="55">
        <v>0.0</v>
      </c>
      <c r="K41" s="55" t="s">
        <v>1137</v>
      </c>
      <c r="L41" s="360" t="s">
        <v>1305</v>
      </c>
      <c r="M41" s="55">
        <v>0.0</v>
      </c>
      <c r="N41" s="55" t="s">
        <v>27</v>
      </c>
      <c r="O41" s="360" t="s">
        <v>1352</v>
      </c>
      <c r="P41" s="55">
        <v>0.0</v>
      </c>
      <c r="Q41" s="55" t="s">
        <v>1040</v>
      </c>
      <c r="R41" s="360" t="s">
        <v>1460</v>
      </c>
      <c r="S41" s="55">
        <v>0.0</v>
      </c>
      <c r="T41" s="350" t="s">
        <v>20</v>
      </c>
      <c r="U41" s="55" t="s">
        <v>1184</v>
      </c>
      <c r="V41" s="55">
        <v>0.0</v>
      </c>
      <c r="W41" s="55" t="s">
        <v>6160</v>
      </c>
      <c r="X41" s="55"/>
      <c r="Y41" s="55"/>
      <c r="Z41" s="55"/>
      <c r="AA41" s="55"/>
    </row>
    <row r="42">
      <c r="A42" s="362" t="s">
        <v>83</v>
      </c>
      <c r="B42" s="353">
        <v>0.0</v>
      </c>
      <c r="C42" s="363">
        <v>0.00222</v>
      </c>
      <c r="D42" s="361">
        <v>0.00888</v>
      </c>
      <c r="E42" s="55"/>
      <c r="F42" s="365"/>
      <c r="G42" s="55"/>
      <c r="H42" s="55"/>
      <c r="I42" s="360" t="s">
        <v>1088</v>
      </c>
      <c r="J42" s="55">
        <v>0.0</v>
      </c>
      <c r="K42" s="55" t="s">
        <v>1137</v>
      </c>
      <c r="L42" s="360" t="s">
        <v>1306</v>
      </c>
      <c r="M42" s="55">
        <v>0.0</v>
      </c>
      <c r="N42" s="55" t="s">
        <v>27</v>
      </c>
      <c r="O42" s="360" t="s">
        <v>1353</v>
      </c>
      <c r="P42" s="55">
        <v>0.0</v>
      </c>
      <c r="Q42" s="55" t="s">
        <v>24</v>
      </c>
      <c r="R42" s="360" t="s">
        <v>1461</v>
      </c>
      <c r="S42" s="55">
        <v>0.0</v>
      </c>
      <c r="T42" s="350" t="s">
        <v>20</v>
      </c>
      <c r="U42" s="55" t="s">
        <v>1191</v>
      </c>
      <c r="V42" s="55">
        <v>0.0</v>
      </c>
      <c r="W42" s="55" t="s">
        <v>6160</v>
      </c>
      <c r="X42" s="55"/>
      <c r="Y42" s="55"/>
      <c r="Z42" s="55"/>
      <c r="AA42" s="55"/>
    </row>
    <row r="43">
      <c r="A43" s="379" t="s">
        <v>861</v>
      </c>
      <c r="B43" s="353">
        <v>0.0</v>
      </c>
      <c r="C43" s="378">
        <v>0.00714</v>
      </c>
      <c r="D43" s="377">
        <v>0.02857</v>
      </c>
      <c r="E43" s="55"/>
      <c r="F43" s="365"/>
      <c r="G43" s="55"/>
      <c r="H43" s="55"/>
      <c r="I43" s="360" t="s">
        <v>6180</v>
      </c>
      <c r="J43" s="55">
        <v>0.0</v>
      </c>
      <c r="K43" s="55" t="s">
        <v>1137</v>
      </c>
      <c r="L43" s="360" t="s">
        <v>1180</v>
      </c>
      <c r="M43" s="55">
        <v>0.0</v>
      </c>
      <c r="N43" s="55" t="s">
        <v>27</v>
      </c>
      <c r="O43" s="360" t="s">
        <v>1354</v>
      </c>
      <c r="P43" s="55">
        <v>0.0</v>
      </c>
      <c r="Q43" s="55" t="s">
        <v>24</v>
      </c>
      <c r="R43" s="360" t="s">
        <v>1462</v>
      </c>
      <c r="S43" s="55">
        <v>0.0</v>
      </c>
      <c r="T43" s="350" t="s">
        <v>20</v>
      </c>
      <c r="U43" s="55" t="s">
        <v>1192</v>
      </c>
      <c r="V43" s="55">
        <v>0.0</v>
      </c>
      <c r="W43" s="55" t="s">
        <v>6160</v>
      </c>
      <c r="X43" s="55"/>
      <c r="Y43" s="55"/>
      <c r="Z43" s="55"/>
      <c r="AA43" s="55"/>
    </row>
    <row r="44">
      <c r="A44" s="379" t="s">
        <v>863</v>
      </c>
      <c r="B44" s="353">
        <v>0.0</v>
      </c>
      <c r="C44" s="378">
        <v>0.00333</v>
      </c>
      <c r="D44" s="377">
        <v>0.01333</v>
      </c>
      <c r="E44" s="55"/>
      <c r="F44" s="365"/>
      <c r="G44" s="55"/>
      <c r="H44" s="55"/>
      <c r="I44" s="360" t="s">
        <v>1089</v>
      </c>
      <c r="J44" s="55">
        <v>0.0</v>
      </c>
      <c r="K44" s="55" t="s">
        <v>1040</v>
      </c>
      <c r="L44" s="360" t="s">
        <v>1181</v>
      </c>
      <c r="M44" s="55">
        <v>0.0</v>
      </c>
      <c r="N44" s="55" t="s">
        <v>27</v>
      </c>
      <c r="O44" s="360" t="s">
        <v>1291</v>
      </c>
      <c r="P44" s="55">
        <v>0.0</v>
      </c>
      <c r="Q44" s="55" t="s">
        <v>1040</v>
      </c>
      <c r="R44" s="360" t="s">
        <v>1280</v>
      </c>
      <c r="S44" s="55">
        <v>0.0</v>
      </c>
      <c r="T44" s="350" t="s">
        <v>20</v>
      </c>
      <c r="U44" s="55" t="s">
        <v>1386</v>
      </c>
      <c r="V44" s="55">
        <v>0.0</v>
      </c>
      <c r="W44" s="55" t="s">
        <v>6160</v>
      </c>
      <c r="X44" s="55"/>
      <c r="Y44" s="55"/>
      <c r="Z44" s="55"/>
      <c r="AA44" s="55"/>
    </row>
    <row r="45">
      <c r="A45" s="366" t="s">
        <v>85</v>
      </c>
      <c r="B45" s="367">
        <v>0.0</v>
      </c>
      <c r="C45" s="247">
        <v>4.0E-4</v>
      </c>
      <c r="D45" s="368">
        <v>0.0016</v>
      </c>
      <c r="E45" s="55"/>
      <c r="F45" s="365"/>
      <c r="G45" s="55"/>
      <c r="H45" s="55"/>
      <c r="I45" s="360" t="s">
        <v>1090</v>
      </c>
      <c r="J45" s="55">
        <v>0.0</v>
      </c>
      <c r="K45" s="55" t="s">
        <v>1040</v>
      </c>
      <c r="L45" s="360" t="s">
        <v>1185</v>
      </c>
      <c r="M45" s="55">
        <v>0.0</v>
      </c>
      <c r="N45" s="55" t="s">
        <v>27</v>
      </c>
      <c r="O45" s="360" t="s">
        <v>1292</v>
      </c>
      <c r="P45" s="55">
        <v>0.0</v>
      </c>
      <c r="Q45" s="55" t="s">
        <v>1040</v>
      </c>
      <c r="R45" s="360" t="s">
        <v>1463</v>
      </c>
      <c r="S45" s="55">
        <v>0.0</v>
      </c>
      <c r="T45" s="350" t="s">
        <v>20</v>
      </c>
      <c r="U45" s="55" t="s">
        <v>6160</v>
      </c>
      <c r="V45" s="55">
        <v>0.0</v>
      </c>
      <c r="W45" s="55" t="s">
        <v>6160</v>
      </c>
      <c r="X45" s="55"/>
      <c r="Y45" s="55"/>
      <c r="Z45" s="55"/>
      <c r="AA45" s="55"/>
    </row>
    <row r="46">
      <c r="A46" s="55"/>
      <c r="B46" s="55"/>
      <c r="C46" s="55"/>
      <c r="D46" s="55"/>
      <c r="E46" s="55"/>
      <c r="F46" s="365"/>
      <c r="G46" s="55"/>
      <c r="H46" s="55"/>
      <c r="I46" s="360" t="s">
        <v>1091</v>
      </c>
      <c r="J46" s="55">
        <v>0.0</v>
      </c>
      <c r="K46" s="55" t="s">
        <v>25</v>
      </c>
      <c r="L46" s="360" t="s">
        <v>1186</v>
      </c>
      <c r="M46" s="55">
        <v>0.0</v>
      </c>
      <c r="N46" s="55" t="s">
        <v>27</v>
      </c>
      <c r="O46" s="360" t="s">
        <v>1355</v>
      </c>
      <c r="P46" s="55">
        <v>0.0</v>
      </c>
      <c r="Q46" s="55" t="s">
        <v>1040</v>
      </c>
      <c r="R46" s="360" t="s">
        <v>1464</v>
      </c>
      <c r="S46" s="55">
        <v>0.0</v>
      </c>
      <c r="T46" s="350" t="s">
        <v>20</v>
      </c>
      <c r="U46" s="55" t="s">
        <v>1484</v>
      </c>
      <c r="V46" s="55">
        <v>0.0</v>
      </c>
      <c r="W46" s="55" t="s">
        <v>6160</v>
      </c>
      <c r="X46" s="55"/>
      <c r="Y46" s="55"/>
      <c r="Z46" s="55"/>
      <c r="AA46" s="55"/>
    </row>
    <row r="47">
      <c r="A47" s="249" t="s">
        <v>6181</v>
      </c>
      <c r="B47" s="132"/>
      <c r="E47" s="55"/>
      <c r="F47" s="365"/>
      <c r="G47" s="55"/>
      <c r="H47" s="55"/>
      <c r="I47" s="360" t="s">
        <v>1092</v>
      </c>
      <c r="J47" s="55">
        <v>0.0</v>
      </c>
      <c r="K47" s="55" t="s">
        <v>25</v>
      </c>
      <c r="L47" s="360" t="s">
        <v>1187</v>
      </c>
      <c r="M47" s="55">
        <v>0.0</v>
      </c>
      <c r="N47" s="55" t="s">
        <v>27</v>
      </c>
      <c r="O47" s="360" t="s">
        <v>1356</v>
      </c>
      <c r="P47" s="55">
        <v>0.0</v>
      </c>
      <c r="Q47" s="55" t="s">
        <v>1040</v>
      </c>
      <c r="R47" s="360" t="s">
        <v>1281</v>
      </c>
      <c r="S47" s="55">
        <v>0.0</v>
      </c>
      <c r="T47" s="350" t="s">
        <v>20</v>
      </c>
      <c r="U47" s="55" t="s">
        <v>1201</v>
      </c>
      <c r="V47" s="55">
        <v>0.0</v>
      </c>
      <c r="W47" s="55" t="s">
        <v>6160</v>
      </c>
      <c r="X47" s="55"/>
      <c r="Y47" s="55"/>
      <c r="Z47" s="55"/>
      <c r="AA47" s="55"/>
    </row>
    <row r="48">
      <c r="A48" s="344" t="s">
        <v>68</v>
      </c>
      <c r="B48" s="369" t="s">
        <v>6169</v>
      </c>
      <c r="E48" s="55"/>
      <c r="F48" s="365"/>
      <c r="G48" s="55"/>
      <c r="H48" s="55"/>
      <c r="I48" s="360" t="s">
        <v>1093</v>
      </c>
      <c r="J48" s="55">
        <v>0.0</v>
      </c>
      <c r="K48" s="55" t="s">
        <v>25</v>
      </c>
      <c r="L48" s="360" t="s">
        <v>6182</v>
      </c>
      <c r="M48" s="55">
        <v>0.0</v>
      </c>
      <c r="N48" s="55" t="s">
        <v>27</v>
      </c>
      <c r="O48" s="360" t="s">
        <v>1357</v>
      </c>
      <c r="P48" s="55">
        <v>0.0</v>
      </c>
      <c r="Q48" s="55" t="s">
        <v>24</v>
      </c>
      <c r="R48" s="360" t="s">
        <v>1412</v>
      </c>
      <c r="S48" s="55">
        <v>0.0</v>
      </c>
      <c r="T48" s="350" t="s">
        <v>20</v>
      </c>
      <c r="U48" s="55" t="s">
        <v>1202</v>
      </c>
      <c r="V48" s="55">
        <v>0.0</v>
      </c>
      <c r="W48" s="55" t="s">
        <v>6160</v>
      </c>
      <c r="X48" s="55"/>
      <c r="Y48" s="55"/>
      <c r="Z48" s="55"/>
      <c r="AA48" s="55"/>
    </row>
    <row r="49">
      <c r="A49" s="351" t="s">
        <v>71</v>
      </c>
      <c r="B49" s="354">
        <v>0.0</v>
      </c>
      <c r="E49" s="55"/>
      <c r="F49" s="365"/>
      <c r="G49" s="55"/>
      <c r="H49" s="55"/>
      <c r="I49" s="360" t="s">
        <v>6183</v>
      </c>
      <c r="J49" s="55">
        <v>0.0</v>
      </c>
      <c r="K49" s="55" t="s">
        <v>25</v>
      </c>
      <c r="L49" s="360" t="s">
        <v>1307</v>
      </c>
      <c r="M49" s="55">
        <v>0.0</v>
      </c>
      <c r="N49" s="55" t="s">
        <v>27</v>
      </c>
      <c r="O49" s="360" t="s">
        <v>1358</v>
      </c>
      <c r="P49" s="55">
        <v>0.0</v>
      </c>
      <c r="Q49" s="55" t="s">
        <v>1040</v>
      </c>
      <c r="R49" s="360" t="s">
        <v>6184</v>
      </c>
      <c r="S49" s="55">
        <v>0.0</v>
      </c>
      <c r="T49" s="350" t="s">
        <v>20</v>
      </c>
      <c r="U49" s="55" t="s">
        <v>6185</v>
      </c>
      <c r="V49" s="55">
        <v>0.0</v>
      </c>
      <c r="W49" s="55" t="s">
        <v>6160</v>
      </c>
      <c r="X49" s="55"/>
      <c r="Y49" s="55"/>
      <c r="Z49" s="55"/>
      <c r="AA49" s="55"/>
    </row>
    <row r="50">
      <c r="A50" s="351" t="s">
        <v>73</v>
      </c>
      <c r="B50" s="354">
        <v>0.0</v>
      </c>
      <c r="E50" s="55"/>
      <c r="F50" s="365"/>
      <c r="G50" s="55"/>
      <c r="H50" s="55"/>
      <c r="I50" s="360" t="s">
        <v>1094</v>
      </c>
      <c r="J50" s="55">
        <v>0.0</v>
      </c>
      <c r="K50" s="55" t="s">
        <v>1040</v>
      </c>
      <c r="L50" s="360" t="s">
        <v>1308</v>
      </c>
      <c r="M50" s="55">
        <v>0.0</v>
      </c>
      <c r="N50" s="55" t="s">
        <v>27</v>
      </c>
      <c r="O50" s="360" t="s">
        <v>1359</v>
      </c>
      <c r="P50" s="55">
        <v>0.0</v>
      </c>
      <c r="Q50" s="55" t="s">
        <v>1040</v>
      </c>
      <c r="R50" s="360" t="s">
        <v>1209</v>
      </c>
      <c r="S50" s="55">
        <v>0.0</v>
      </c>
      <c r="T50" s="350" t="s">
        <v>20</v>
      </c>
      <c r="U50" s="55" t="s">
        <v>6186</v>
      </c>
      <c r="V50" s="55">
        <v>0.0</v>
      </c>
      <c r="W50" s="55" t="s">
        <v>6160</v>
      </c>
      <c r="X50" s="55"/>
      <c r="Y50" s="55"/>
      <c r="Z50" s="55"/>
      <c r="AA50" s="55"/>
    </row>
    <row r="51">
      <c r="A51" s="351" t="s">
        <v>75</v>
      </c>
      <c r="B51" s="354">
        <v>0.0</v>
      </c>
      <c r="E51" s="55"/>
      <c r="F51" s="365"/>
      <c r="G51" s="55"/>
      <c r="H51" s="55"/>
      <c r="I51" s="360" t="s">
        <v>1095</v>
      </c>
      <c r="J51" s="55">
        <v>0.0</v>
      </c>
      <c r="K51" s="55" t="s">
        <v>1168</v>
      </c>
      <c r="L51" s="360" t="s">
        <v>1213</v>
      </c>
      <c r="M51" s="55">
        <v>0.0</v>
      </c>
      <c r="N51" s="55" t="s">
        <v>27</v>
      </c>
      <c r="O51" s="360" t="s">
        <v>24</v>
      </c>
      <c r="P51" s="55">
        <v>0.0</v>
      </c>
      <c r="Q51" s="55" t="s">
        <v>24</v>
      </c>
      <c r="R51" s="360" t="s">
        <v>1210</v>
      </c>
      <c r="S51" s="55">
        <v>0.0</v>
      </c>
      <c r="T51" s="350" t="s">
        <v>20</v>
      </c>
      <c r="U51" s="55" t="s">
        <v>1399</v>
      </c>
      <c r="V51" s="55">
        <v>0.0</v>
      </c>
      <c r="W51" s="55" t="s">
        <v>6160</v>
      </c>
      <c r="X51" s="55"/>
      <c r="Y51" s="55"/>
      <c r="Z51" s="55"/>
      <c r="AA51" s="55"/>
    </row>
    <row r="52">
      <c r="A52" s="351" t="s">
        <v>77</v>
      </c>
      <c r="B52" s="354">
        <v>0.0</v>
      </c>
      <c r="E52" s="55"/>
      <c r="F52" s="365"/>
      <c r="G52" s="55"/>
      <c r="H52" s="55"/>
      <c r="I52" s="360" t="s">
        <v>1096</v>
      </c>
      <c r="J52" s="55">
        <v>0.0</v>
      </c>
      <c r="K52" s="55" t="s">
        <v>1168</v>
      </c>
      <c r="L52" s="360" t="s">
        <v>1214</v>
      </c>
      <c r="M52" s="55">
        <v>0.0</v>
      </c>
      <c r="N52" s="55" t="s">
        <v>27</v>
      </c>
      <c r="O52" s="360" t="s">
        <v>1283</v>
      </c>
      <c r="P52" s="55">
        <v>0.0</v>
      </c>
      <c r="Q52" s="55" t="s">
        <v>24</v>
      </c>
      <c r="R52" s="360" t="s">
        <v>1465</v>
      </c>
      <c r="S52" s="55">
        <v>0.0</v>
      </c>
      <c r="T52" s="350" t="s">
        <v>20</v>
      </c>
      <c r="U52" s="55" t="s">
        <v>1488</v>
      </c>
      <c r="V52" s="55">
        <v>0.0</v>
      </c>
      <c r="W52" s="55" t="s">
        <v>6160</v>
      </c>
      <c r="X52" s="55"/>
      <c r="Y52" s="55"/>
      <c r="Z52" s="55"/>
      <c r="AA52" s="55"/>
    </row>
    <row r="53">
      <c r="A53" s="362" t="s">
        <v>79</v>
      </c>
      <c r="B53" s="380">
        <v>0.15384</v>
      </c>
      <c r="E53" s="55"/>
      <c r="F53" s="365"/>
      <c r="G53" s="55"/>
      <c r="H53" s="55"/>
      <c r="I53" s="360" t="s">
        <v>1097</v>
      </c>
      <c r="J53" s="55">
        <v>0.0</v>
      </c>
      <c r="K53" s="55" t="s">
        <v>1040</v>
      </c>
      <c r="L53" s="360" t="s">
        <v>1309</v>
      </c>
      <c r="M53" s="55">
        <v>0.0</v>
      </c>
      <c r="N53" s="55" t="s">
        <v>27</v>
      </c>
      <c r="O53" s="360" t="s">
        <v>1139</v>
      </c>
      <c r="P53" s="55">
        <v>0.0</v>
      </c>
      <c r="Q53" s="55" t="s">
        <v>1040</v>
      </c>
      <c r="R53" s="360" t="s">
        <v>1402</v>
      </c>
      <c r="S53" s="55">
        <v>0.0</v>
      </c>
      <c r="T53" s="350" t="s">
        <v>20</v>
      </c>
      <c r="U53" s="55" t="s">
        <v>1489</v>
      </c>
      <c r="V53" s="55">
        <v>0.0</v>
      </c>
      <c r="W53" s="55" t="s">
        <v>6160</v>
      </c>
      <c r="X53" s="55"/>
      <c r="Y53" s="55"/>
      <c r="Z53" s="55"/>
      <c r="AA53" s="55"/>
    </row>
    <row r="54">
      <c r="A54" s="362" t="s">
        <v>81</v>
      </c>
      <c r="B54" s="380">
        <v>0.43589</v>
      </c>
      <c r="E54" s="55"/>
      <c r="F54" s="365"/>
      <c r="G54" s="55"/>
      <c r="H54" s="55"/>
      <c r="I54" s="360" t="s">
        <v>1098</v>
      </c>
      <c r="J54" s="55">
        <v>0.0</v>
      </c>
      <c r="K54" s="55" t="s">
        <v>1040</v>
      </c>
      <c r="L54" s="360" t="s">
        <v>1310</v>
      </c>
      <c r="M54" s="55">
        <v>0.0</v>
      </c>
      <c r="N54" s="55" t="s">
        <v>27</v>
      </c>
      <c r="O54" s="360" t="s">
        <v>1140</v>
      </c>
      <c r="P54" s="55">
        <v>0.0</v>
      </c>
      <c r="Q54" s="55" t="s">
        <v>1040</v>
      </c>
      <c r="R54" s="360" t="s">
        <v>1403</v>
      </c>
      <c r="S54" s="55">
        <v>0.0</v>
      </c>
      <c r="T54" s="350" t="s">
        <v>20</v>
      </c>
      <c r="U54" s="55" t="s">
        <v>1490</v>
      </c>
      <c r="V54" s="55">
        <v>0.0</v>
      </c>
      <c r="W54" s="55" t="s">
        <v>6160</v>
      </c>
      <c r="X54" s="55"/>
      <c r="Y54" s="55"/>
      <c r="Z54" s="55"/>
      <c r="AA54" s="55"/>
    </row>
    <row r="55">
      <c r="A55" s="362" t="s">
        <v>83</v>
      </c>
      <c r="B55" s="380">
        <v>0.02564</v>
      </c>
      <c r="E55" s="55"/>
      <c r="F55" s="365"/>
      <c r="G55" s="55"/>
      <c r="H55" s="55"/>
      <c r="I55" s="360" t="s">
        <v>1099</v>
      </c>
      <c r="J55" s="55">
        <v>0.0</v>
      </c>
      <c r="K55" s="55" t="s">
        <v>1137</v>
      </c>
      <c r="L55" s="360" t="s">
        <v>1311</v>
      </c>
      <c r="M55" s="55">
        <v>0.0</v>
      </c>
      <c r="N55" s="55" t="s">
        <v>27</v>
      </c>
      <c r="O55" s="360" t="s">
        <v>1361</v>
      </c>
      <c r="P55" s="55">
        <v>0.0</v>
      </c>
      <c r="Q55" s="55" t="s">
        <v>1040</v>
      </c>
      <c r="R55" s="360" t="s">
        <v>1139</v>
      </c>
      <c r="S55" s="55">
        <v>0.0</v>
      </c>
      <c r="T55" s="350" t="s">
        <v>20</v>
      </c>
      <c r="U55" s="55" t="s">
        <v>1491</v>
      </c>
      <c r="V55" s="55">
        <v>0.0</v>
      </c>
      <c r="W55" s="55" t="s">
        <v>6160</v>
      </c>
      <c r="X55" s="55"/>
      <c r="Y55" s="55"/>
      <c r="Z55" s="55"/>
      <c r="AA55" s="55"/>
    </row>
    <row r="56">
      <c r="A56" s="362" t="s">
        <v>83</v>
      </c>
      <c r="B56" s="380">
        <v>0.25641</v>
      </c>
      <c r="E56" s="55"/>
      <c r="F56" s="365"/>
      <c r="G56" s="55"/>
      <c r="H56" s="55"/>
      <c r="I56" s="360" t="s">
        <v>1100</v>
      </c>
      <c r="J56" s="55">
        <v>0.0</v>
      </c>
      <c r="K56" s="55" t="s">
        <v>1137</v>
      </c>
      <c r="L56" s="360" t="s">
        <v>1312</v>
      </c>
      <c r="M56" s="55">
        <v>0.0</v>
      </c>
      <c r="N56" s="55" t="s">
        <v>27</v>
      </c>
      <c r="O56" s="360" t="s">
        <v>1141</v>
      </c>
      <c r="P56" s="55">
        <v>0.0</v>
      </c>
      <c r="Q56" s="55" t="s">
        <v>1040</v>
      </c>
      <c r="R56" s="360" t="s">
        <v>1140</v>
      </c>
      <c r="S56" s="55">
        <v>0.0</v>
      </c>
      <c r="T56" s="350" t="s">
        <v>20</v>
      </c>
      <c r="U56" s="55" t="s">
        <v>6187</v>
      </c>
      <c r="V56" s="55">
        <v>0.0</v>
      </c>
      <c r="W56" s="55" t="s">
        <v>6160</v>
      </c>
      <c r="X56" s="55"/>
      <c r="Y56" s="55"/>
      <c r="Z56" s="55"/>
      <c r="AA56" s="55"/>
    </row>
    <row r="57">
      <c r="A57" s="362" t="s">
        <v>83</v>
      </c>
      <c r="B57" s="380">
        <v>0.10256</v>
      </c>
      <c r="E57" s="55"/>
      <c r="F57" s="365"/>
      <c r="G57" s="55"/>
      <c r="H57" s="55"/>
      <c r="I57" s="360" t="s">
        <v>1101</v>
      </c>
      <c r="J57" s="55">
        <v>0.0</v>
      </c>
      <c r="K57" s="55" t="s">
        <v>1137</v>
      </c>
      <c r="L57" s="360" t="s">
        <v>1313</v>
      </c>
      <c r="M57" s="55">
        <v>0.0</v>
      </c>
      <c r="N57" s="55" t="s">
        <v>27</v>
      </c>
      <c r="O57" s="360" t="s">
        <v>1142</v>
      </c>
      <c r="P57" s="55">
        <v>0.0</v>
      </c>
      <c r="Q57" s="55" t="s">
        <v>1040</v>
      </c>
      <c r="R57" s="360" t="s">
        <v>1361</v>
      </c>
      <c r="S57" s="55">
        <v>0.0</v>
      </c>
      <c r="T57" s="350" t="s">
        <v>20</v>
      </c>
      <c r="U57" s="55" t="s">
        <v>1493</v>
      </c>
      <c r="V57" s="55">
        <v>0.0</v>
      </c>
      <c r="W57" s="55" t="s">
        <v>6160</v>
      </c>
      <c r="X57" s="55"/>
      <c r="Y57" s="55"/>
      <c r="Z57" s="55"/>
      <c r="AA57" s="55"/>
    </row>
    <row r="58">
      <c r="A58" s="366" t="s">
        <v>85</v>
      </c>
      <c r="B58" s="381">
        <v>0.02564</v>
      </c>
      <c r="E58" s="55"/>
      <c r="F58" s="365"/>
      <c r="G58" s="55"/>
      <c r="H58" s="55"/>
      <c r="I58" s="360" t="s">
        <v>6188</v>
      </c>
      <c r="J58" s="55">
        <v>0.0</v>
      </c>
      <c r="K58" s="55" t="s">
        <v>1137</v>
      </c>
      <c r="L58" s="360" t="s">
        <v>1314</v>
      </c>
      <c r="M58" s="55">
        <v>0.0</v>
      </c>
      <c r="N58" s="55" t="s">
        <v>27</v>
      </c>
      <c r="O58" s="360" t="s">
        <v>1143</v>
      </c>
      <c r="P58" s="55">
        <v>0.0</v>
      </c>
      <c r="Q58" s="55" t="s">
        <v>6164</v>
      </c>
      <c r="R58" s="360" t="s">
        <v>1215</v>
      </c>
      <c r="S58" s="55">
        <v>0.0</v>
      </c>
      <c r="T58" s="350" t="s">
        <v>20</v>
      </c>
      <c r="U58" s="55" t="s">
        <v>1494</v>
      </c>
      <c r="V58" s="55">
        <v>0.0</v>
      </c>
      <c r="W58" s="55" t="s">
        <v>6160</v>
      </c>
      <c r="X58" s="55"/>
      <c r="Y58" s="55"/>
      <c r="Z58" s="55"/>
      <c r="AA58" s="55"/>
    </row>
    <row r="59">
      <c r="E59" s="55"/>
      <c r="F59" s="365"/>
      <c r="G59" s="55"/>
      <c r="H59" s="55"/>
      <c r="I59" s="360" t="s">
        <v>1102</v>
      </c>
      <c r="J59" s="55">
        <v>0.0</v>
      </c>
      <c r="K59" s="55" t="s">
        <v>1040</v>
      </c>
      <c r="L59" s="360" t="s">
        <v>1223</v>
      </c>
      <c r="M59" s="55">
        <v>0.0</v>
      </c>
      <c r="N59" s="55" t="s">
        <v>27</v>
      </c>
      <c r="O59" s="360" t="s">
        <v>1272</v>
      </c>
      <c r="P59" s="55">
        <v>0.0</v>
      </c>
      <c r="Q59" s="55" t="s">
        <v>6164</v>
      </c>
      <c r="R59" s="360" t="s">
        <v>6189</v>
      </c>
      <c r="S59" s="55">
        <v>0.0</v>
      </c>
      <c r="T59" s="350" t="s">
        <v>20</v>
      </c>
      <c r="U59" s="55" t="s">
        <v>1495</v>
      </c>
      <c r="V59" s="55">
        <v>0.0</v>
      </c>
      <c r="W59" s="55" t="s">
        <v>6160</v>
      </c>
      <c r="X59" s="55"/>
      <c r="Y59" s="55"/>
      <c r="Z59" s="55"/>
      <c r="AA59" s="55"/>
    </row>
    <row r="60">
      <c r="A60" s="269" t="s">
        <v>6190</v>
      </c>
      <c r="B60" s="55"/>
      <c r="C60" s="55"/>
      <c r="D60" s="55"/>
      <c r="E60" s="55"/>
      <c r="F60" s="365"/>
      <c r="G60" s="55"/>
      <c r="H60" s="55"/>
      <c r="I60" s="360" t="s">
        <v>1103</v>
      </c>
      <c r="J60" s="55">
        <v>0.0</v>
      </c>
      <c r="K60" s="55" t="s">
        <v>1040</v>
      </c>
      <c r="L60" s="360" t="s">
        <v>1224</v>
      </c>
      <c r="M60" s="55">
        <v>0.0</v>
      </c>
      <c r="N60" s="55" t="s">
        <v>27</v>
      </c>
      <c r="O60" s="360" t="s">
        <v>1362</v>
      </c>
      <c r="P60" s="55">
        <v>0.0</v>
      </c>
      <c r="Q60" s="55" t="s">
        <v>6164</v>
      </c>
      <c r="R60" s="360" t="s">
        <v>1407</v>
      </c>
      <c r="S60" s="55">
        <v>0.0</v>
      </c>
      <c r="T60" s="350" t="s">
        <v>20</v>
      </c>
      <c r="U60" s="55" t="s">
        <v>1226</v>
      </c>
      <c r="V60" s="55">
        <v>0.0</v>
      </c>
      <c r="W60" s="55" t="s">
        <v>6160</v>
      </c>
      <c r="X60" s="55"/>
      <c r="Y60" s="55"/>
      <c r="Z60" s="55"/>
      <c r="AA60" s="55"/>
    </row>
    <row r="61">
      <c r="A61" s="344" t="s">
        <v>68</v>
      </c>
      <c r="B61" s="75">
        <v>45294.0</v>
      </c>
      <c r="C61" s="345">
        <v>4.0</v>
      </c>
      <c r="D61" s="346">
        <v>5.0</v>
      </c>
      <c r="E61" s="55"/>
      <c r="F61" s="365"/>
      <c r="G61" s="55"/>
      <c r="H61" s="55"/>
      <c r="I61" s="360" t="s">
        <v>1104</v>
      </c>
      <c r="J61" s="55">
        <v>0.0</v>
      </c>
      <c r="K61" s="55" t="s">
        <v>25</v>
      </c>
      <c r="L61" s="360" t="s">
        <v>6191</v>
      </c>
      <c r="M61" s="55">
        <v>0.0</v>
      </c>
      <c r="N61" s="55" t="s">
        <v>27</v>
      </c>
      <c r="O61" s="360" t="s">
        <v>1363</v>
      </c>
      <c r="P61" s="55">
        <v>0.0</v>
      </c>
      <c r="Q61" s="55" t="s">
        <v>6164</v>
      </c>
      <c r="R61" s="360" t="s">
        <v>1408</v>
      </c>
      <c r="S61" s="55">
        <v>0.0</v>
      </c>
      <c r="T61" s="350" t="s">
        <v>20</v>
      </c>
      <c r="U61" s="55" t="s">
        <v>1227</v>
      </c>
      <c r="V61" s="55">
        <v>0.0</v>
      </c>
      <c r="W61" s="55" t="s">
        <v>6160</v>
      </c>
      <c r="X61" s="55"/>
      <c r="Y61" s="55"/>
      <c r="Z61" s="55"/>
      <c r="AA61" s="55"/>
    </row>
    <row r="62">
      <c r="A62" s="351" t="s">
        <v>71</v>
      </c>
      <c r="B62" s="372">
        <f t="array" ref="B62:B71">RegularPackProbability*B36:B45+RarePackProbability*$B$49:$B$58</f>
        <v>0.9995</v>
      </c>
      <c r="C62" s="353">
        <f t="array" ref="C62:C71">RegularPackProbability*C36:C45+RarePackProbability*$B$49:$B$58</f>
        <v>0</v>
      </c>
      <c r="D62" s="354">
        <f t="array" ref="D62:D71">RegularPackProbability*D36:D45+RarePackProbability*$B$49:$B$58</f>
        <v>0</v>
      </c>
      <c r="E62" s="55"/>
      <c r="F62" s="365"/>
      <c r="G62" s="55"/>
      <c r="H62" s="55"/>
      <c r="I62" s="360" t="s">
        <v>1105</v>
      </c>
      <c r="J62" s="55">
        <v>0.0</v>
      </c>
      <c r="K62" s="55" t="s">
        <v>25</v>
      </c>
      <c r="L62" s="360" t="s">
        <v>1240</v>
      </c>
      <c r="M62" s="55">
        <v>0.0</v>
      </c>
      <c r="N62" s="55" t="s">
        <v>27</v>
      </c>
      <c r="O62" s="360" t="s">
        <v>1364</v>
      </c>
      <c r="P62" s="55">
        <v>0.0</v>
      </c>
      <c r="Q62" s="55" t="s">
        <v>6164</v>
      </c>
      <c r="R62" s="360" t="s">
        <v>1410</v>
      </c>
      <c r="S62" s="55">
        <v>0.0</v>
      </c>
      <c r="T62" s="350" t="s">
        <v>20</v>
      </c>
      <c r="U62" s="55" t="s">
        <v>1230</v>
      </c>
      <c r="V62" s="55">
        <v>0.0</v>
      </c>
      <c r="W62" s="55" t="s">
        <v>6160</v>
      </c>
      <c r="X62" s="55"/>
      <c r="Y62" s="55"/>
      <c r="Z62" s="55"/>
      <c r="AA62" s="55"/>
    </row>
    <row r="63">
      <c r="A63" s="351" t="s">
        <v>73</v>
      </c>
      <c r="B63" s="353">
        <v>0.0</v>
      </c>
      <c r="C63" s="382">
        <v>0.8895550000000001</v>
      </c>
      <c r="D63" s="361">
        <v>0.5597200000000001</v>
      </c>
      <c r="E63" s="55"/>
      <c r="F63" s="365"/>
      <c r="G63" s="55"/>
      <c r="H63" s="55"/>
      <c r="I63" s="360" t="s">
        <v>1106</v>
      </c>
      <c r="J63" s="55">
        <v>0.0</v>
      </c>
      <c r="K63" s="55" t="s">
        <v>25</v>
      </c>
      <c r="L63" s="360" t="s">
        <v>1242</v>
      </c>
      <c r="M63" s="55">
        <v>0.0</v>
      </c>
      <c r="N63" s="55" t="s">
        <v>27</v>
      </c>
      <c r="O63" s="360" t="s">
        <v>6192</v>
      </c>
      <c r="P63" s="55">
        <v>0.0</v>
      </c>
      <c r="Q63" s="55" t="s">
        <v>6164</v>
      </c>
      <c r="R63" s="360" t="s">
        <v>1378</v>
      </c>
      <c r="S63" s="55">
        <v>0.0</v>
      </c>
      <c r="T63" s="350" t="s">
        <v>20</v>
      </c>
      <c r="U63" s="55" t="s">
        <v>1231</v>
      </c>
      <c r="V63" s="55">
        <v>0.0</v>
      </c>
      <c r="W63" s="55" t="s">
        <v>6160</v>
      </c>
      <c r="X63" s="55"/>
      <c r="Y63" s="55"/>
      <c r="Z63" s="55"/>
      <c r="AA63" s="55"/>
    </row>
    <row r="64">
      <c r="A64" s="351" t="s">
        <v>75</v>
      </c>
      <c r="B64" s="353">
        <v>0.0</v>
      </c>
      <c r="C64" s="132">
        <v>0.04949524</v>
      </c>
      <c r="D64" s="361">
        <v>0.19800095</v>
      </c>
      <c r="E64" s="55"/>
      <c r="F64" s="365"/>
      <c r="G64" s="55"/>
      <c r="H64" s="55"/>
      <c r="I64" s="360" t="s">
        <v>1107</v>
      </c>
      <c r="J64" s="55">
        <v>0.0</v>
      </c>
      <c r="K64" s="55" t="s">
        <v>1168</v>
      </c>
      <c r="L64" s="360" t="s">
        <v>1315</v>
      </c>
      <c r="M64" s="55">
        <v>0.0</v>
      </c>
      <c r="N64" s="55" t="s">
        <v>27</v>
      </c>
      <c r="O64" s="360" t="s">
        <v>1366</v>
      </c>
      <c r="P64" s="55">
        <v>0.0</v>
      </c>
      <c r="Q64" s="55" t="s">
        <v>24</v>
      </c>
      <c r="R64" s="360" t="s">
        <v>1242</v>
      </c>
      <c r="S64" s="55">
        <v>0.0</v>
      </c>
      <c r="T64" s="350" t="s">
        <v>20</v>
      </c>
      <c r="U64" s="55" t="s">
        <v>1237</v>
      </c>
      <c r="V64" s="55">
        <v>0.0</v>
      </c>
      <c r="W64" s="55" t="s">
        <v>6160</v>
      </c>
      <c r="X64" s="55"/>
      <c r="Y64" s="55"/>
      <c r="Z64" s="55"/>
      <c r="AA64" s="55"/>
    </row>
    <row r="65">
      <c r="A65" s="351" t="s">
        <v>77</v>
      </c>
      <c r="B65" s="353">
        <v>0.0</v>
      </c>
      <c r="C65" s="132">
        <v>0.016651670000000004</v>
      </c>
      <c r="D65" s="361">
        <v>0.06660668000000002</v>
      </c>
      <c r="E65" s="55"/>
      <c r="F65" s="365"/>
      <c r="G65" s="55"/>
      <c r="H65" s="55"/>
      <c r="I65" s="360" t="s">
        <v>1108</v>
      </c>
      <c r="J65" s="55">
        <v>0.0</v>
      </c>
      <c r="K65" s="55" t="s">
        <v>1168</v>
      </c>
      <c r="L65" s="360" t="s">
        <v>1252</v>
      </c>
      <c r="M65" s="55">
        <v>0.0</v>
      </c>
      <c r="N65" s="55" t="s">
        <v>27</v>
      </c>
      <c r="O65" s="360" t="s">
        <v>1277</v>
      </c>
      <c r="P65" s="55">
        <v>0.0</v>
      </c>
      <c r="Q65" s="55" t="s">
        <v>1040</v>
      </c>
      <c r="R65" s="360" t="s">
        <v>1245</v>
      </c>
      <c r="S65" s="55">
        <v>0.0</v>
      </c>
      <c r="T65" s="350" t="s">
        <v>20</v>
      </c>
      <c r="U65" s="55" t="s">
        <v>1414</v>
      </c>
      <c r="V65" s="55">
        <v>0.0</v>
      </c>
      <c r="W65" s="55" t="s">
        <v>6160</v>
      </c>
      <c r="X65" s="55"/>
      <c r="Y65" s="55"/>
      <c r="Z65" s="55"/>
      <c r="AA65" s="55"/>
    </row>
    <row r="66">
      <c r="A66" s="362" t="s">
        <v>79</v>
      </c>
      <c r="B66" s="353">
        <v>7.692E-5</v>
      </c>
      <c r="C66" s="132">
        <v>0.02578406</v>
      </c>
      <c r="D66" s="361">
        <v>0.10290548</v>
      </c>
      <c r="E66" s="55"/>
      <c r="F66" s="365"/>
      <c r="G66" s="55"/>
      <c r="H66" s="55"/>
      <c r="I66" s="360" t="s">
        <v>1109</v>
      </c>
      <c r="J66" s="55">
        <v>0.0</v>
      </c>
      <c r="K66" s="55" t="s">
        <v>1137</v>
      </c>
      <c r="L66" s="360" t="s">
        <v>1316</v>
      </c>
      <c r="M66" s="55">
        <v>0.0</v>
      </c>
      <c r="N66" s="55" t="s">
        <v>27</v>
      </c>
      <c r="O66" s="360" t="s">
        <v>1367</v>
      </c>
      <c r="P66" s="55">
        <v>0.0</v>
      </c>
      <c r="Q66" s="55" t="s">
        <v>1040</v>
      </c>
      <c r="R66" s="360" t="s">
        <v>1466</v>
      </c>
      <c r="S66" s="55">
        <v>0.0</v>
      </c>
      <c r="T66" s="350" t="s">
        <v>20</v>
      </c>
      <c r="U66" s="55" t="s">
        <v>1421</v>
      </c>
      <c r="V66" s="55">
        <v>0.0</v>
      </c>
      <c r="W66" s="55" t="s">
        <v>6160</v>
      </c>
      <c r="X66" s="55"/>
      <c r="Y66" s="55"/>
      <c r="Z66" s="55"/>
      <c r="AA66" s="55"/>
    </row>
    <row r="67">
      <c r="A67" s="362" t="s">
        <v>81</v>
      </c>
      <c r="B67" s="353">
        <v>2.1794500000000001E-4</v>
      </c>
      <c r="C67" s="132">
        <v>0.005215445</v>
      </c>
      <c r="D67" s="361">
        <v>0.020207945</v>
      </c>
      <c r="E67" s="55"/>
      <c r="F67" s="365"/>
      <c r="G67" s="55"/>
      <c r="H67" s="55"/>
      <c r="I67" s="360" t="s">
        <v>1110</v>
      </c>
      <c r="J67" s="55">
        <v>0.0</v>
      </c>
      <c r="K67" s="55" t="s">
        <v>1137</v>
      </c>
      <c r="L67" s="360" t="s">
        <v>1317</v>
      </c>
      <c r="M67" s="55">
        <v>0.0</v>
      </c>
      <c r="N67" s="55" t="s">
        <v>27</v>
      </c>
      <c r="O67" s="360" t="s">
        <v>1368</v>
      </c>
      <c r="P67" s="55">
        <v>0.0</v>
      </c>
      <c r="Q67" s="55" t="s">
        <v>1040</v>
      </c>
      <c r="R67" s="360" t="s">
        <v>1467</v>
      </c>
      <c r="S67" s="55">
        <v>0.0</v>
      </c>
      <c r="T67" s="350" t="s">
        <v>20</v>
      </c>
      <c r="U67" s="55" t="s">
        <v>6193</v>
      </c>
      <c r="V67" s="55">
        <v>0.0</v>
      </c>
      <c r="W67" s="55" t="s">
        <v>6160</v>
      </c>
      <c r="X67" s="55"/>
      <c r="Y67" s="55"/>
      <c r="Z67" s="55"/>
      <c r="AA67" s="55"/>
    </row>
    <row r="68">
      <c r="A68" s="362" t="s">
        <v>83</v>
      </c>
      <c r="B68" s="353">
        <v>1.282E-5</v>
      </c>
      <c r="C68" s="132">
        <v>0.0022317100000000005</v>
      </c>
      <c r="D68" s="361">
        <v>0.008888380000000001</v>
      </c>
      <c r="E68" s="55"/>
      <c r="F68" s="365"/>
      <c r="G68" s="55"/>
      <c r="H68" s="55"/>
      <c r="I68" s="360" t="s">
        <v>1111</v>
      </c>
      <c r="J68" s="55">
        <v>0.0</v>
      </c>
      <c r="K68" s="55" t="s">
        <v>1168</v>
      </c>
      <c r="L68" s="360" t="s">
        <v>1318</v>
      </c>
      <c r="M68" s="55">
        <v>0.0</v>
      </c>
      <c r="N68" s="55" t="s">
        <v>27</v>
      </c>
      <c r="O68" s="360" t="s">
        <v>1274</v>
      </c>
      <c r="P68" s="55">
        <v>0.0</v>
      </c>
      <c r="Q68" s="55" t="s">
        <v>24</v>
      </c>
      <c r="R68" s="360" t="s">
        <v>1419</v>
      </c>
      <c r="S68" s="55">
        <v>0.0</v>
      </c>
      <c r="T68" s="350" t="s">
        <v>20</v>
      </c>
      <c r="U68" s="55" t="s">
        <v>1423</v>
      </c>
      <c r="V68" s="55">
        <v>0.0</v>
      </c>
      <c r="W68" s="55" t="s">
        <v>6160</v>
      </c>
      <c r="X68" s="55"/>
      <c r="Y68" s="55"/>
      <c r="Z68" s="55"/>
      <c r="AA68" s="55"/>
    </row>
    <row r="69">
      <c r="A69" s="379" t="s">
        <v>861</v>
      </c>
      <c r="B69" s="353">
        <v>1.2820500000000002E-4</v>
      </c>
      <c r="C69" s="132">
        <v>0.007264635</v>
      </c>
      <c r="D69" s="361">
        <v>0.02868392</v>
      </c>
      <c r="E69" s="55"/>
      <c r="F69" s="365"/>
      <c r="G69" s="55"/>
      <c r="H69" s="55"/>
      <c r="I69" s="360" t="s">
        <v>1112</v>
      </c>
      <c r="J69" s="55">
        <v>0.0</v>
      </c>
      <c r="K69" s="55" t="s">
        <v>1168</v>
      </c>
      <c r="L69" s="360" t="s">
        <v>1319</v>
      </c>
      <c r="M69" s="55">
        <v>0.0</v>
      </c>
      <c r="N69" s="55" t="s">
        <v>27</v>
      </c>
      <c r="O69" s="360" t="s">
        <v>6194</v>
      </c>
      <c r="P69" s="55">
        <v>0.0</v>
      </c>
      <c r="Q69" s="55" t="s">
        <v>24</v>
      </c>
      <c r="R69" s="360" t="s">
        <v>1420</v>
      </c>
      <c r="S69" s="55">
        <v>0.0</v>
      </c>
      <c r="T69" s="350" t="s">
        <v>20</v>
      </c>
      <c r="U69" s="55" t="s">
        <v>1424</v>
      </c>
      <c r="V69" s="55">
        <v>0.0</v>
      </c>
      <c r="W69" s="55" t="s">
        <v>6160</v>
      </c>
      <c r="X69" s="55"/>
      <c r="Y69" s="55"/>
      <c r="Z69" s="55"/>
      <c r="AA69" s="55"/>
    </row>
    <row r="70">
      <c r="A70" s="379" t="s">
        <v>863</v>
      </c>
      <c r="B70" s="353">
        <v>5.128E-5</v>
      </c>
      <c r="C70" s="132">
        <v>0.0033796150000000003</v>
      </c>
      <c r="D70" s="361">
        <v>0.013374615000000001</v>
      </c>
      <c r="E70" s="55"/>
      <c r="F70" s="365"/>
      <c r="G70" s="55"/>
      <c r="H70" s="55"/>
      <c r="I70" s="360" t="s">
        <v>1113</v>
      </c>
      <c r="J70" s="55">
        <v>0.0</v>
      </c>
      <c r="K70" s="55" t="s">
        <v>1168</v>
      </c>
      <c r="L70" s="360" t="s">
        <v>1320</v>
      </c>
      <c r="M70" s="55">
        <v>0.0</v>
      </c>
      <c r="N70" s="55" t="s">
        <v>27</v>
      </c>
      <c r="O70" s="360" t="s">
        <v>1169</v>
      </c>
      <c r="P70" s="55">
        <v>0.0</v>
      </c>
      <c r="Q70" s="55" t="s">
        <v>6164</v>
      </c>
      <c r="R70" s="360" t="s">
        <v>1282</v>
      </c>
      <c r="S70" s="55">
        <v>0.0</v>
      </c>
      <c r="T70" s="350" t="s">
        <v>20</v>
      </c>
      <c r="U70" s="55" t="s">
        <v>1496</v>
      </c>
      <c r="V70" s="55">
        <v>0.0</v>
      </c>
      <c r="W70" s="55" t="s">
        <v>6160</v>
      </c>
      <c r="X70" s="55"/>
      <c r="Y70" s="55"/>
      <c r="Z70" s="55"/>
      <c r="AA70" s="55"/>
    </row>
    <row r="71">
      <c r="A71" s="366" t="s">
        <v>85</v>
      </c>
      <c r="B71" s="367">
        <v>1.282E-5</v>
      </c>
      <c r="C71" s="247">
        <v>4.1262E-4</v>
      </c>
      <c r="D71" s="368">
        <v>0.00161202</v>
      </c>
      <c r="E71" s="55"/>
      <c r="F71" s="365"/>
      <c r="G71" s="55"/>
      <c r="H71" s="55"/>
      <c r="I71" s="360" t="s">
        <v>1114</v>
      </c>
      <c r="J71" s="55">
        <v>0.0</v>
      </c>
      <c r="K71" s="55" t="s">
        <v>1168</v>
      </c>
      <c r="L71" s="360"/>
      <c r="M71" s="55"/>
      <c r="N71" s="55"/>
      <c r="O71" s="360" t="s">
        <v>1170</v>
      </c>
      <c r="P71" s="55">
        <v>0.0</v>
      </c>
      <c r="Q71" s="55" t="s">
        <v>6164</v>
      </c>
      <c r="R71" s="360" t="s">
        <v>1338</v>
      </c>
      <c r="S71" s="55">
        <v>0.0</v>
      </c>
      <c r="T71" s="350" t="s">
        <v>20</v>
      </c>
      <c r="U71" s="55" t="s">
        <v>1497</v>
      </c>
      <c r="V71" s="55">
        <v>0.0</v>
      </c>
      <c r="W71" s="55" t="s">
        <v>6160</v>
      </c>
      <c r="X71" s="55"/>
      <c r="Y71" s="55"/>
      <c r="Z71" s="55"/>
      <c r="AA71" s="55"/>
    </row>
    <row r="72">
      <c r="E72" s="55"/>
      <c r="F72" s="365"/>
      <c r="G72" s="55"/>
      <c r="H72" s="55"/>
      <c r="I72" s="360" t="s">
        <v>1115</v>
      </c>
      <c r="J72" s="55">
        <v>0.0</v>
      </c>
      <c r="K72" s="55" t="s">
        <v>1137</v>
      </c>
      <c r="L72" s="360"/>
      <c r="M72" s="55"/>
      <c r="N72" s="55"/>
      <c r="O72" s="360" t="s">
        <v>1370</v>
      </c>
      <c r="P72" s="55">
        <v>0.0</v>
      </c>
      <c r="Q72" s="55" t="s">
        <v>6164</v>
      </c>
      <c r="R72" s="360" t="s">
        <v>20</v>
      </c>
      <c r="S72" s="55">
        <v>0.0</v>
      </c>
      <c r="T72" s="350" t="s">
        <v>20</v>
      </c>
      <c r="U72" s="55" t="s">
        <v>1501</v>
      </c>
      <c r="V72" s="55">
        <v>0.0</v>
      </c>
      <c r="W72" s="55" t="s">
        <v>6160</v>
      </c>
      <c r="X72" s="55"/>
      <c r="Y72" s="55"/>
      <c r="Z72" s="55"/>
      <c r="AA72" s="55"/>
    </row>
    <row r="73">
      <c r="E73" s="55"/>
      <c r="F73" s="365"/>
      <c r="G73" s="55"/>
      <c r="H73" s="55"/>
      <c r="I73" s="360" t="s">
        <v>1116</v>
      </c>
      <c r="J73" s="55">
        <v>0.0</v>
      </c>
      <c r="K73" s="55" t="s">
        <v>1137</v>
      </c>
      <c r="L73" s="360"/>
      <c r="M73" s="55"/>
      <c r="N73" s="55"/>
      <c r="O73" s="360" t="s">
        <v>1371</v>
      </c>
      <c r="P73" s="55">
        <v>0.0</v>
      </c>
      <c r="Q73" s="55" t="s">
        <v>6164</v>
      </c>
      <c r="R73" s="360" t="s">
        <v>6195</v>
      </c>
      <c r="S73" s="55">
        <v>0.0</v>
      </c>
      <c r="T73" s="350" t="s">
        <v>20</v>
      </c>
      <c r="U73" s="55" t="s">
        <v>1499</v>
      </c>
      <c r="V73" s="55">
        <v>0.0</v>
      </c>
      <c r="W73" s="55" t="s">
        <v>6160</v>
      </c>
      <c r="X73" s="55"/>
      <c r="Y73" s="55"/>
      <c r="Z73" s="55"/>
      <c r="AA73" s="55"/>
    </row>
    <row r="74">
      <c r="A74" s="55"/>
      <c r="B74" s="55"/>
      <c r="C74" s="55"/>
      <c r="D74" s="55"/>
      <c r="E74" s="55"/>
      <c r="F74" s="365"/>
      <c r="G74" s="55"/>
      <c r="H74" s="55"/>
      <c r="I74" s="360" t="s">
        <v>1117</v>
      </c>
      <c r="J74" s="55">
        <v>0.0</v>
      </c>
      <c r="K74" s="55" t="s">
        <v>1137</v>
      </c>
      <c r="L74" s="360"/>
      <c r="M74" s="55"/>
      <c r="N74" s="55"/>
      <c r="O74" s="360" t="s">
        <v>1372</v>
      </c>
      <c r="P74" s="55">
        <v>0.0</v>
      </c>
      <c r="Q74" s="55" t="s">
        <v>6164</v>
      </c>
      <c r="R74" s="360" t="s">
        <v>1468</v>
      </c>
      <c r="S74" s="55">
        <v>0.0</v>
      </c>
      <c r="T74" s="350" t="s">
        <v>20</v>
      </c>
      <c r="U74" s="55" t="s">
        <v>1500</v>
      </c>
      <c r="V74" s="55">
        <v>0.0</v>
      </c>
      <c r="W74" s="55" t="s">
        <v>6160</v>
      </c>
      <c r="X74" s="55"/>
      <c r="Y74" s="55"/>
      <c r="Z74" s="55"/>
      <c r="AA74" s="55"/>
    </row>
    <row r="75">
      <c r="A75" s="55"/>
      <c r="B75" s="55"/>
      <c r="C75" s="55"/>
      <c r="D75" s="55"/>
      <c r="E75" s="55"/>
      <c r="F75" s="365"/>
      <c r="G75" s="55"/>
      <c r="H75" s="55"/>
      <c r="I75" s="360" t="s">
        <v>1118</v>
      </c>
      <c r="J75" s="55">
        <v>0.0</v>
      </c>
      <c r="K75" s="55" t="s">
        <v>1137</v>
      </c>
      <c r="L75" s="360"/>
      <c r="M75" s="55"/>
      <c r="N75" s="55"/>
      <c r="O75" s="360" t="s">
        <v>1373</v>
      </c>
      <c r="P75" s="55">
        <v>0.0</v>
      </c>
      <c r="Q75" s="55" t="s">
        <v>6164</v>
      </c>
      <c r="R75" s="360" t="s">
        <v>1469</v>
      </c>
      <c r="S75" s="55">
        <v>0.0</v>
      </c>
      <c r="T75" s="350" t="s">
        <v>20</v>
      </c>
      <c r="U75" s="55" t="s">
        <v>1265</v>
      </c>
      <c r="V75" s="55">
        <v>0.0</v>
      </c>
      <c r="W75" s="55" t="s">
        <v>6160</v>
      </c>
      <c r="X75" s="55"/>
      <c r="Y75" s="55"/>
      <c r="Z75" s="55"/>
      <c r="AA75" s="55"/>
    </row>
    <row r="76">
      <c r="A76" s="55"/>
      <c r="B76" s="55"/>
      <c r="C76" s="55"/>
      <c r="D76" s="55"/>
      <c r="E76" s="55"/>
      <c r="F76" s="365"/>
      <c r="G76" s="55"/>
      <c r="H76" s="55"/>
      <c r="I76" s="360" t="s">
        <v>1119</v>
      </c>
      <c r="J76" s="55">
        <v>0.0</v>
      </c>
      <c r="K76" s="55" t="s">
        <v>25</v>
      </c>
      <c r="L76" s="360"/>
      <c r="M76" s="55"/>
      <c r="N76" s="55"/>
      <c r="O76" s="360" t="s">
        <v>1374</v>
      </c>
      <c r="P76" s="55">
        <v>0.0</v>
      </c>
      <c r="Q76" s="55" t="s">
        <v>6164</v>
      </c>
      <c r="R76" s="360" t="s">
        <v>1470</v>
      </c>
      <c r="S76" s="55">
        <v>0.0</v>
      </c>
      <c r="T76" s="350" t="s">
        <v>20</v>
      </c>
      <c r="U76" s="55"/>
      <c r="V76" s="55"/>
      <c r="W76" s="55"/>
      <c r="X76" s="55"/>
      <c r="Y76" s="55"/>
      <c r="Z76" s="55"/>
      <c r="AA76" s="55"/>
    </row>
    <row r="77">
      <c r="A77" s="55"/>
      <c r="B77" s="55"/>
      <c r="C77" s="55"/>
      <c r="D77" s="55"/>
      <c r="E77" s="55"/>
      <c r="F77" s="365"/>
      <c r="G77" s="55"/>
      <c r="H77" s="55"/>
      <c r="I77" s="360" t="s">
        <v>1120</v>
      </c>
      <c r="J77" s="55">
        <v>0.0</v>
      </c>
      <c r="K77" s="55" t="s">
        <v>25</v>
      </c>
      <c r="L77" s="360"/>
      <c r="M77" s="55"/>
      <c r="N77" s="55"/>
      <c r="O77" s="360" t="s">
        <v>1375</v>
      </c>
      <c r="P77" s="55">
        <v>0.0</v>
      </c>
      <c r="Q77" s="55" t="s">
        <v>1040</v>
      </c>
      <c r="R77" s="360" t="s">
        <v>1471</v>
      </c>
      <c r="S77" s="55">
        <v>0.0</v>
      </c>
      <c r="T77" s="350" t="s">
        <v>20</v>
      </c>
      <c r="U77" s="55"/>
      <c r="V77" s="55"/>
      <c r="W77" s="55"/>
      <c r="X77" s="55"/>
      <c r="Y77" s="55"/>
      <c r="Z77" s="55"/>
      <c r="AA77" s="55"/>
    </row>
    <row r="78">
      <c r="A78" s="55"/>
      <c r="B78" s="55"/>
      <c r="C78" s="55"/>
      <c r="D78" s="55"/>
      <c r="E78" s="55"/>
      <c r="F78" s="365"/>
      <c r="G78" s="55"/>
      <c r="H78" s="55"/>
      <c r="I78" s="360" t="s">
        <v>6196</v>
      </c>
      <c r="J78" s="55">
        <v>0.0</v>
      </c>
      <c r="K78" s="55" t="s">
        <v>25</v>
      </c>
      <c r="L78" s="360"/>
      <c r="M78" s="55"/>
      <c r="N78" s="55"/>
      <c r="O78" s="360" t="s">
        <v>1376</v>
      </c>
      <c r="P78" s="55">
        <v>0.0</v>
      </c>
      <c r="Q78" s="55" t="s">
        <v>1040</v>
      </c>
      <c r="R78" s="360"/>
      <c r="S78" s="55"/>
      <c r="T78" s="350"/>
      <c r="U78" s="55"/>
      <c r="V78" s="55"/>
      <c r="W78" s="55"/>
      <c r="X78" s="55"/>
      <c r="Y78" s="55"/>
      <c r="Z78" s="55"/>
      <c r="AA78" s="55"/>
    </row>
    <row r="79">
      <c r="A79" s="55"/>
      <c r="B79" s="55"/>
      <c r="C79" s="55"/>
      <c r="D79" s="55"/>
      <c r="E79" s="55"/>
      <c r="F79" s="365"/>
      <c r="G79" s="55"/>
      <c r="H79" s="55"/>
      <c r="I79" s="360" t="s">
        <v>1121</v>
      </c>
      <c r="J79" s="55">
        <v>0.0</v>
      </c>
      <c r="K79" s="55" t="s">
        <v>1137</v>
      </c>
      <c r="L79" s="360"/>
      <c r="M79" s="55"/>
      <c r="N79" s="55"/>
      <c r="O79" s="360" t="s">
        <v>1377</v>
      </c>
      <c r="P79" s="55">
        <v>0.0</v>
      </c>
      <c r="Q79" s="55" t="s">
        <v>1040</v>
      </c>
      <c r="R79" s="360"/>
      <c r="S79" s="55"/>
      <c r="T79" s="350"/>
      <c r="U79" s="55"/>
      <c r="V79" s="55"/>
      <c r="W79" s="55"/>
      <c r="X79" s="55"/>
      <c r="Y79" s="55"/>
      <c r="Z79" s="55"/>
      <c r="AA79" s="55"/>
    </row>
    <row r="80">
      <c r="A80" s="55"/>
      <c r="B80" s="55"/>
      <c r="C80" s="55"/>
      <c r="D80" s="55"/>
      <c r="E80" s="55"/>
      <c r="F80" s="365"/>
      <c r="G80" s="55"/>
      <c r="H80" s="55"/>
      <c r="I80" s="360" t="s">
        <v>1122</v>
      </c>
      <c r="J80" s="55">
        <v>0.0</v>
      </c>
      <c r="K80" s="55" t="s">
        <v>1137</v>
      </c>
      <c r="L80" s="360"/>
      <c r="M80" s="55"/>
      <c r="N80" s="55"/>
      <c r="O80" s="360" t="s">
        <v>1378</v>
      </c>
      <c r="P80" s="55">
        <v>0.0</v>
      </c>
      <c r="Q80" s="55" t="s">
        <v>24</v>
      </c>
      <c r="R80" s="360"/>
      <c r="S80" s="55"/>
      <c r="T80" s="350"/>
      <c r="U80" s="55"/>
      <c r="V80" s="55"/>
      <c r="W80" s="55"/>
      <c r="X80" s="55"/>
      <c r="Y80" s="55"/>
      <c r="Z80" s="55"/>
      <c r="AA80" s="55"/>
    </row>
    <row r="81">
      <c r="A81" s="55"/>
      <c r="B81" s="55"/>
      <c r="C81" s="55"/>
      <c r="D81" s="55"/>
      <c r="E81" s="55"/>
      <c r="F81" s="365"/>
      <c r="G81" s="55"/>
      <c r="H81" s="55"/>
      <c r="I81" s="360" t="s">
        <v>1123</v>
      </c>
      <c r="J81" s="55">
        <v>0.0</v>
      </c>
      <c r="K81" s="55" t="s">
        <v>25</v>
      </c>
      <c r="L81" s="360"/>
      <c r="M81" s="55"/>
      <c r="N81" s="55"/>
      <c r="O81" s="360" t="s">
        <v>1273</v>
      </c>
      <c r="P81" s="55">
        <v>0.0</v>
      </c>
      <c r="Q81" s="55" t="s">
        <v>24</v>
      </c>
      <c r="R81" s="360"/>
      <c r="S81" s="55"/>
      <c r="T81" s="350"/>
      <c r="U81" s="55"/>
      <c r="V81" s="55"/>
      <c r="W81" s="55"/>
      <c r="X81" s="55"/>
      <c r="Y81" s="55"/>
      <c r="Z81" s="55"/>
      <c r="AA81" s="55"/>
    </row>
    <row r="82">
      <c r="A82" s="55"/>
      <c r="B82" s="55"/>
      <c r="C82" s="55"/>
      <c r="D82" s="55"/>
      <c r="E82" s="55"/>
      <c r="F82" s="365"/>
      <c r="G82" s="55"/>
      <c r="H82" s="55"/>
      <c r="I82" s="360" t="s">
        <v>1124</v>
      </c>
      <c r="J82" s="55">
        <v>0.0</v>
      </c>
      <c r="K82" s="55" t="s">
        <v>1168</v>
      </c>
      <c r="L82" s="360"/>
      <c r="M82" s="55"/>
      <c r="N82" s="55"/>
      <c r="O82" s="360" t="s">
        <v>1193</v>
      </c>
      <c r="P82" s="55">
        <v>0.0</v>
      </c>
      <c r="Q82" s="55" t="s">
        <v>24</v>
      </c>
      <c r="R82" s="360"/>
      <c r="S82" s="55"/>
      <c r="T82" s="350"/>
      <c r="U82" s="55"/>
      <c r="V82" s="55"/>
      <c r="W82" s="55"/>
      <c r="X82" s="55"/>
      <c r="Y82" s="55"/>
      <c r="Z82" s="55"/>
      <c r="AA82" s="55"/>
    </row>
    <row r="83">
      <c r="A83" s="55"/>
      <c r="B83" s="55"/>
      <c r="C83" s="55"/>
      <c r="D83" s="55"/>
      <c r="E83" s="55"/>
      <c r="F83" s="365"/>
      <c r="G83" s="55"/>
      <c r="H83" s="55"/>
      <c r="I83" s="360" t="s">
        <v>1125</v>
      </c>
      <c r="J83" s="55">
        <v>0.0</v>
      </c>
      <c r="K83" s="55" t="s">
        <v>1137</v>
      </c>
      <c r="L83" s="360"/>
      <c r="M83" s="55"/>
      <c r="N83" s="55"/>
      <c r="O83" s="360" t="s">
        <v>1194</v>
      </c>
      <c r="P83" s="55">
        <v>0.0</v>
      </c>
      <c r="Q83" s="55" t="s">
        <v>24</v>
      </c>
      <c r="R83" s="360"/>
      <c r="S83" s="55"/>
      <c r="T83" s="350"/>
      <c r="U83" s="55"/>
      <c r="V83" s="55"/>
      <c r="W83" s="55"/>
      <c r="X83" s="55"/>
      <c r="Y83" s="55"/>
      <c r="Z83" s="55"/>
      <c r="AA83" s="55"/>
    </row>
    <row r="84">
      <c r="A84" s="55"/>
      <c r="B84" s="55"/>
      <c r="C84" s="55"/>
      <c r="D84" s="55"/>
      <c r="E84" s="55"/>
      <c r="F84" s="365"/>
      <c r="G84" s="55"/>
      <c r="H84" s="55"/>
      <c r="I84" s="360" t="s">
        <v>1126</v>
      </c>
      <c r="J84" s="55">
        <v>0.0</v>
      </c>
      <c r="K84" s="55" t="s">
        <v>1137</v>
      </c>
      <c r="L84" s="360"/>
      <c r="M84" s="55"/>
      <c r="N84" s="55"/>
      <c r="O84" s="360" t="s">
        <v>1379</v>
      </c>
      <c r="P84" s="55">
        <v>0.0</v>
      </c>
      <c r="Q84" s="55" t="s">
        <v>24</v>
      </c>
      <c r="R84" s="360"/>
      <c r="S84" s="55"/>
      <c r="T84" s="350"/>
      <c r="U84" s="55"/>
      <c r="V84" s="55"/>
      <c r="W84" s="55"/>
      <c r="X84" s="55"/>
      <c r="Y84" s="55"/>
      <c r="Z84" s="55"/>
      <c r="AA84" s="55"/>
    </row>
    <row r="85">
      <c r="A85" s="55"/>
      <c r="B85" s="55"/>
      <c r="C85" s="55"/>
      <c r="D85" s="55"/>
      <c r="E85" s="55"/>
      <c r="F85" s="365"/>
      <c r="G85" s="55"/>
      <c r="H85" s="55"/>
      <c r="I85" s="360" t="s">
        <v>1127</v>
      </c>
      <c r="J85" s="55">
        <v>0.0</v>
      </c>
      <c r="K85" s="55" t="s">
        <v>1168</v>
      </c>
      <c r="L85" s="360"/>
      <c r="M85" s="55"/>
      <c r="N85" s="55"/>
      <c r="O85" s="360" t="s">
        <v>1380</v>
      </c>
      <c r="P85" s="55">
        <v>0.0</v>
      </c>
      <c r="Q85" s="55" t="s">
        <v>6164</v>
      </c>
      <c r="R85" s="360"/>
      <c r="S85" s="55"/>
      <c r="T85" s="350"/>
      <c r="U85" s="55"/>
      <c r="V85" s="55"/>
      <c r="W85" s="55"/>
      <c r="X85" s="55"/>
      <c r="Y85" s="55"/>
      <c r="Z85" s="55"/>
      <c r="AA85" s="55"/>
    </row>
    <row r="86">
      <c r="A86" s="55"/>
      <c r="B86" s="55"/>
      <c r="C86" s="55"/>
      <c r="D86" s="55"/>
      <c r="E86" s="55"/>
      <c r="F86" s="365"/>
      <c r="G86" s="55"/>
      <c r="H86" s="55"/>
      <c r="I86" s="360" t="s">
        <v>6197</v>
      </c>
      <c r="J86" s="55">
        <v>0.0</v>
      </c>
      <c r="K86" s="55" t="s">
        <v>1168</v>
      </c>
      <c r="L86" s="360"/>
      <c r="M86" s="55"/>
      <c r="N86" s="55"/>
      <c r="O86" s="360" t="s">
        <v>1381</v>
      </c>
      <c r="P86" s="55">
        <v>0.0</v>
      </c>
      <c r="Q86" s="55" t="s">
        <v>6164</v>
      </c>
      <c r="R86" s="360"/>
      <c r="S86" s="55"/>
      <c r="T86" s="350"/>
      <c r="U86" s="55"/>
      <c r="V86" s="55"/>
      <c r="W86" s="55"/>
      <c r="X86" s="55"/>
      <c r="Y86" s="55"/>
      <c r="Z86" s="55"/>
      <c r="AA86" s="55"/>
    </row>
    <row r="87">
      <c r="A87" s="55"/>
      <c r="B87" s="55"/>
      <c r="C87" s="55"/>
      <c r="D87" s="55"/>
      <c r="E87" s="55"/>
      <c r="F87" s="365"/>
      <c r="G87" s="55"/>
      <c r="H87" s="55"/>
      <c r="I87" s="360" t="s">
        <v>1128</v>
      </c>
      <c r="J87" s="55">
        <v>0.0</v>
      </c>
      <c r="K87" s="55" t="s">
        <v>25</v>
      </c>
      <c r="L87" s="360"/>
      <c r="M87" s="55"/>
      <c r="N87" s="55"/>
      <c r="O87" s="360" t="s">
        <v>1382</v>
      </c>
      <c r="P87" s="55">
        <v>0.0</v>
      </c>
      <c r="Q87" s="55" t="s">
        <v>6164</v>
      </c>
      <c r="R87" s="360"/>
      <c r="S87" s="55"/>
      <c r="T87" s="350"/>
      <c r="U87" s="55"/>
      <c r="V87" s="55"/>
      <c r="W87" s="55"/>
      <c r="X87" s="55"/>
      <c r="Y87" s="55"/>
      <c r="Z87" s="55"/>
      <c r="AA87" s="55"/>
    </row>
    <row r="88">
      <c r="A88" s="55"/>
      <c r="B88" s="55"/>
      <c r="C88" s="55"/>
      <c r="D88" s="55"/>
      <c r="E88" s="55"/>
      <c r="F88" s="365"/>
      <c r="G88" s="55"/>
      <c r="H88" s="55"/>
      <c r="I88" s="360" t="s">
        <v>1129</v>
      </c>
      <c r="J88" s="55">
        <v>0.0</v>
      </c>
      <c r="K88" s="55" t="s">
        <v>25</v>
      </c>
      <c r="L88" s="360"/>
      <c r="M88" s="55"/>
      <c r="N88" s="55"/>
      <c r="O88" s="360" t="s">
        <v>1280</v>
      </c>
      <c r="P88" s="55">
        <v>0.0</v>
      </c>
      <c r="Q88" s="55" t="s">
        <v>1040</v>
      </c>
      <c r="R88" s="360"/>
      <c r="S88" s="55"/>
      <c r="T88" s="350"/>
      <c r="U88" s="55"/>
      <c r="V88" s="55"/>
      <c r="W88" s="55"/>
      <c r="X88" s="55"/>
      <c r="Y88" s="55"/>
      <c r="Z88" s="55"/>
      <c r="AA88" s="55"/>
    </row>
    <row r="89">
      <c r="A89" s="55"/>
      <c r="B89" s="55"/>
      <c r="C89" s="55"/>
      <c r="D89" s="55"/>
      <c r="E89" s="55"/>
      <c r="F89" s="365"/>
      <c r="G89" s="55"/>
      <c r="H89" s="55"/>
      <c r="I89" s="360" t="s">
        <v>1130</v>
      </c>
      <c r="J89" s="55">
        <v>0.0</v>
      </c>
      <c r="K89" s="55" t="s">
        <v>25</v>
      </c>
      <c r="L89" s="360"/>
      <c r="M89" s="55"/>
      <c r="N89" s="55"/>
      <c r="O89" s="360" t="s">
        <v>1383</v>
      </c>
      <c r="P89" s="55">
        <v>0.0</v>
      </c>
      <c r="Q89" s="55" t="s">
        <v>1040</v>
      </c>
      <c r="R89" s="360"/>
      <c r="S89" s="55"/>
      <c r="T89" s="350"/>
      <c r="U89" s="55"/>
      <c r="V89" s="55"/>
      <c r="W89" s="55"/>
      <c r="X89" s="55"/>
      <c r="Y89" s="55"/>
      <c r="Z89" s="55"/>
      <c r="AA89" s="55"/>
    </row>
    <row r="90">
      <c r="A90" s="55"/>
      <c r="B90" s="55"/>
      <c r="C90" s="55"/>
      <c r="D90" s="55"/>
      <c r="E90" s="55"/>
      <c r="F90" s="365"/>
      <c r="G90" s="55"/>
      <c r="H90" s="55"/>
      <c r="I90" s="360" t="s">
        <v>1131</v>
      </c>
      <c r="J90" s="55">
        <v>0.0</v>
      </c>
      <c r="K90" s="55" t="s">
        <v>25</v>
      </c>
      <c r="L90" s="360"/>
      <c r="M90" s="55"/>
      <c r="N90" s="55"/>
      <c r="O90" s="360" t="s">
        <v>1384</v>
      </c>
      <c r="P90" s="55">
        <v>0.0</v>
      </c>
      <c r="Q90" s="55" t="s">
        <v>6164</v>
      </c>
      <c r="R90" s="360"/>
      <c r="S90" s="55"/>
      <c r="T90" s="350"/>
      <c r="U90" s="55"/>
      <c r="V90" s="55"/>
      <c r="W90" s="55"/>
      <c r="X90" s="55"/>
      <c r="Y90" s="55"/>
      <c r="Z90" s="55"/>
      <c r="AA90" s="55"/>
    </row>
    <row r="91">
      <c r="A91" s="55"/>
      <c r="B91" s="55"/>
      <c r="C91" s="55"/>
      <c r="D91" s="55"/>
      <c r="E91" s="55"/>
      <c r="F91" s="365"/>
      <c r="G91" s="55"/>
      <c r="H91" s="55"/>
      <c r="I91" s="360" t="s">
        <v>1132</v>
      </c>
      <c r="J91" s="55">
        <v>0.0</v>
      </c>
      <c r="K91" s="55" t="s">
        <v>25</v>
      </c>
      <c r="L91" s="360"/>
      <c r="M91" s="55"/>
      <c r="N91" s="55"/>
      <c r="O91" s="360" t="s">
        <v>1385</v>
      </c>
      <c r="P91" s="55">
        <v>0.0</v>
      </c>
      <c r="Q91" s="55" t="s">
        <v>6164</v>
      </c>
      <c r="R91" s="360"/>
      <c r="S91" s="55"/>
      <c r="T91" s="350"/>
      <c r="U91" s="55"/>
      <c r="V91" s="55"/>
      <c r="W91" s="55"/>
      <c r="X91" s="55"/>
      <c r="Y91" s="55"/>
      <c r="Z91" s="55"/>
      <c r="AA91" s="55"/>
    </row>
    <row r="92">
      <c r="A92" s="55"/>
      <c r="B92" s="55"/>
      <c r="C92" s="55"/>
      <c r="D92" s="55"/>
      <c r="E92" s="55"/>
      <c r="F92" s="365"/>
      <c r="G92" s="55"/>
      <c r="H92" s="55"/>
      <c r="I92" s="360" t="s">
        <v>1133</v>
      </c>
      <c r="J92" s="55">
        <v>0.0</v>
      </c>
      <c r="K92" s="55" t="s">
        <v>25</v>
      </c>
      <c r="L92" s="360"/>
      <c r="M92" s="55"/>
      <c r="N92" s="55"/>
      <c r="O92" s="360" t="s">
        <v>1332</v>
      </c>
      <c r="P92" s="55">
        <v>0.0</v>
      </c>
      <c r="Q92" s="55" t="s">
        <v>6164</v>
      </c>
      <c r="R92" s="360"/>
      <c r="S92" s="55"/>
      <c r="T92" s="350"/>
      <c r="U92" s="55"/>
      <c r="V92" s="55"/>
      <c r="W92" s="55"/>
      <c r="X92" s="55"/>
      <c r="Y92" s="55"/>
      <c r="Z92" s="55"/>
      <c r="AA92" s="55"/>
    </row>
    <row r="93">
      <c r="A93" s="55"/>
      <c r="B93" s="55"/>
      <c r="C93" s="55"/>
      <c r="D93" s="55"/>
      <c r="E93" s="55"/>
      <c r="F93" s="365"/>
      <c r="G93" s="55"/>
      <c r="H93" s="55"/>
      <c r="I93" s="360" t="s">
        <v>1134</v>
      </c>
      <c r="J93" s="55">
        <v>0.0</v>
      </c>
      <c r="K93" s="55" t="s">
        <v>1040</v>
      </c>
      <c r="L93" s="360"/>
      <c r="M93" s="55"/>
      <c r="N93" s="55"/>
      <c r="O93" s="360" t="s">
        <v>1386</v>
      </c>
      <c r="P93" s="55">
        <v>0.0</v>
      </c>
      <c r="Q93" s="55" t="s">
        <v>6164</v>
      </c>
      <c r="R93" s="360"/>
      <c r="S93" s="55"/>
      <c r="T93" s="350"/>
      <c r="U93" s="55"/>
      <c r="V93" s="55"/>
      <c r="W93" s="55"/>
      <c r="X93" s="55"/>
      <c r="Y93" s="55"/>
      <c r="Z93" s="55"/>
      <c r="AA93" s="55"/>
    </row>
    <row r="94">
      <c r="A94" s="55"/>
      <c r="B94" s="55"/>
      <c r="C94" s="55"/>
      <c r="D94" s="55"/>
      <c r="E94" s="55"/>
      <c r="F94" s="365"/>
      <c r="G94" s="55"/>
      <c r="H94" s="55"/>
      <c r="I94" s="360" t="s">
        <v>1135</v>
      </c>
      <c r="J94" s="55">
        <v>0.0</v>
      </c>
      <c r="K94" s="55" t="s">
        <v>1040</v>
      </c>
      <c r="L94" s="360"/>
      <c r="M94" s="55"/>
      <c r="N94" s="55"/>
      <c r="O94" s="360" t="s">
        <v>1387</v>
      </c>
      <c r="P94" s="55">
        <v>0.0</v>
      </c>
      <c r="Q94" s="55" t="s">
        <v>6164</v>
      </c>
      <c r="R94" s="360"/>
      <c r="S94" s="55"/>
      <c r="T94" s="350"/>
      <c r="U94" s="55"/>
      <c r="V94" s="55"/>
      <c r="W94" s="55"/>
      <c r="X94" s="55"/>
      <c r="Y94" s="55"/>
      <c r="Z94" s="55"/>
      <c r="AA94" s="55"/>
    </row>
    <row r="95">
      <c r="A95" s="55"/>
      <c r="B95" s="55"/>
      <c r="C95" s="55"/>
      <c r="D95" s="55"/>
      <c r="E95" s="55"/>
      <c r="F95" s="365"/>
      <c r="G95" s="55"/>
      <c r="H95" s="55"/>
      <c r="I95" s="360" t="s">
        <v>1136</v>
      </c>
      <c r="J95" s="55">
        <v>0.0</v>
      </c>
      <c r="K95" s="55" t="s">
        <v>1040</v>
      </c>
      <c r="L95" s="360"/>
      <c r="M95" s="55"/>
      <c r="N95" s="55"/>
      <c r="O95" s="360" t="s">
        <v>1388</v>
      </c>
      <c r="P95" s="55">
        <v>0.0</v>
      </c>
      <c r="Q95" s="55" t="s">
        <v>24</v>
      </c>
      <c r="R95" s="360"/>
      <c r="S95" s="55"/>
      <c r="T95" s="350"/>
      <c r="U95" s="55"/>
      <c r="V95" s="55"/>
      <c r="W95" s="55"/>
      <c r="X95" s="55"/>
      <c r="Y95" s="55"/>
      <c r="Z95" s="55"/>
      <c r="AA95" s="55"/>
    </row>
    <row r="96">
      <c r="A96" s="55"/>
      <c r="B96" s="55"/>
      <c r="C96" s="55"/>
      <c r="D96" s="55"/>
      <c r="E96" s="55"/>
      <c r="F96" s="365"/>
      <c r="G96" s="55"/>
      <c r="H96" s="55"/>
      <c r="I96" s="360" t="s">
        <v>1137</v>
      </c>
      <c r="J96" s="55">
        <v>0.0</v>
      </c>
      <c r="K96" s="55" t="s">
        <v>1137</v>
      </c>
      <c r="L96" s="360"/>
      <c r="M96" s="55"/>
      <c r="N96" s="55"/>
      <c r="O96" s="360" t="s">
        <v>1389</v>
      </c>
      <c r="P96" s="55">
        <v>0.0</v>
      </c>
      <c r="Q96" s="55" t="s">
        <v>24</v>
      </c>
      <c r="R96" s="360"/>
      <c r="S96" s="55"/>
      <c r="T96" s="350"/>
      <c r="U96" s="55"/>
      <c r="V96" s="55"/>
      <c r="W96" s="55"/>
      <c r="X96" s="55"/>
      <c r="Y96" s="55"/>
      <c r="Z96" s="55"/>
      <c r="AA96" s="55"/>
    </row>
    <row r="97">
      <c r="A97" s="55"/>
      <c r="B97" s="55"/>
      <c r="C97" s="55"/>
      <c r="D97" s="55"/>
      <c r="E97" s="55"/>
      <c r="F97" s="365"/>
      <c r="G97" s="55"/>
      <c r="H97" s="55"/>
      <c r="I97" s="360" t="s">
        <v>1138</v>
      </c>
      <c r="J97" s="55">
        <v>0.0</v>
      </c>
      <c r="K97" s="55" t="s">
        <v>1137</v>
      </c>
      <c r="L97" s="360"/>
      <c r="M97" s="55"/>
      <c r="N97" s="55"/>
      <c r="O97" s="360" t="s">
        <v>6198</v>
      </c>
      <c r="P97" s="55">
        <v>0.0</v>
      </c>
      <c r="Q97" s="55" t="s">
        <v>6164</v>
      </c>
      <c r="R97" s="360"/>
      <c r="S97" s="55"/>
      <c r="T97" s="350"/>
      <c r="U97" s="55"/>
      <c r="V97" s="55"/>
      <c r="W97" s="55"/>
      <c r="X97" s="55"/>
      <c r="Y97" s="55"/>
      <c r="Z97" s="55"/>
      <c r="AA97" s="55"/>
    </row>
    <row r="98">
      <c r="A98" s="55"/>
      <c r="B98" s="55"/>
      <c r="C98" s="55"/>
      <c r="D98" s="55"/>
      <c r="E98" s="55"/>
      <c r="F98" s="365"/>
      <c r="G98" s="55"/>
      <c r="H98" s="55"/>
      <c r="I98" s="360" t="s">
        <v>6174</v>
      </c>
      <c r="J98" s="55">
        <v>0.0</v>
      </c>
      <c r="K98" s="55" t="s">
        <v>1137</v>
      </c>
      <c r="L98" s="360"/>
      <c r="M98" s="55"/>
      <c r="N98" s="55"/>
      <c r="O98" s="360" t="s">
        <v>1391</v>
      </c>
      <c r="P98" s="55">
        <v>0.0</v>
      </c>
      <c r="Q98" s="55" t="s">
        <v>6164</v>
      </c>
      <c r="R98" s="360"/>
      <c r="S98" s="55"/>
      <c r="T98" s="350"/>
      <c r="U98" s="55"/>
      <c r="V98" s="55"/>
      <c r="W98" s="55"/>
      <c r="X98" s="55"/>
      <c r="Y98" s="55"/>
      <c r="Z98" s="55"/>
      <c r="AA98" s="55"/>
    </row>
    <row r="99">
      <c r="A99" s="55"/>
      <c r="B99" s="55"/>
      <c r="C99" s="55"/>
      <c r="D99" s="55"/>
      <c r="E99" s="55"/>
      <c r="F99" s="365"/>
      <c r="G99" s="55"/>
      <c r="H99" s="55"/>
      <c r="I99" s="360" t="s">
        <v>1139</v>
      </c>
      <c r="J99" s="55">
        <v>0.0</v>
      </c>
      <c r="K99" s="55" t="s">
        <v>1137</v>
      </c>
      <c r="L99" s="360"/>
      <c r="M99" s="55"/>
      <c r="N99" s="55"/>
      <c r="O99" s="360" t="s">
        <v>1392</v>
      </c>
      <c r="P99" s="55">
        <v>0.0</v>
      </c>
      <c r="Q99" s="55" t="s">
        <v>6164</v>
      </c>
      <c r="R99" s="360"/>
      <c r="S99" s="55"/>
      <c r="T99" s="350"/>
      <c r="U99" s="55"/>
      <c r="V99" s="55"/>
      <c r="W99" s="55"/>
      <c r="X99" s="55"/>
      <c r="Y99" s="55"/>
      <c r="Z99" s="55"/>
      <c r="AA99" s="55"/>
    </row>
    <row r="100">
      <c r="A100" s="55"/>
      <c r="B100" s="55"/>
      <c r="C100" s="55"/>
      <c r="D100" s="55"/>
      <c r="E100" s="55"/>
      <c r="F100" s="365"/>
      <c r="G100" s="55"/>
      <c r="H100" s="55"/>
      <c r="I100" s="360" t="s">
        <v>1140</v>
      </c>
      <c r="J100" s="55">
        <v>0.0</v>
      </c>
      <c r="K100" s="55" t="s">
        <v>1137</v>
      </c>
      <c r="L100" s="360"/>
      <c r="M100" s="55"/>
      <c r="N100" s="55"/>
      <c r="O100" s="360" t="s">
        <v>1393</v>
      </c>
      <c r="P100" s="55">
        <v>0.0</v>
      </c>
      <c r="Q100" s="55" t="s">
        <v>24</v>
      </c>
      <c r="R100" s="360"/>
      <c r="S100" s="55"/>
      <c r="T100" s="350"/>
      <c r="U100" s="55"/>
      <c r="V100" s="55"/>
      <c r="W100" s="55"/>
      <c r="X100" s="55"/>
      <c r="Y100" s="55"/>
      <c r="Z100" s="55"/>
      <c r="AA100" s="55"/>
    </row>
    <row r="101">
      <c r="A101" s="55"/>
      <c r="B101" s="55"/>
      <c r="C101" s="55"/>
      <c r="D101" s="55"/>
      <c r="E101" s="55"/>
      <c r="F101" s="365"/>
      <c r="G101" s="55"/>
      <c r="H101" s="55"/>
      <c r="I101" s="360" t="s">
        <v>1141</v>
      </c>
      <c r="J101" s="55">
        <v>0.0</v>
      </c>
      <c r="K101" s="55" t="s">
        <v>1137</v>
      </c>
      <c r="L101" s="360"/>
      <c r="M101" s="55"/>
      <c r="N101" s="55"/>
      <c r="O101" s="360" t="s">
        <v>6199</v>
      </c>
      <c r="P101" s="55">
        <v>0.0</v>
      </c>
      <c r="Q101" s="55" t="s">
        <v>24</v>
      </c>
      <c r="R101" s="360"/>
      <c r="S101" s="55"/>
      <c r="T101" s="350"/>
      <c r="U101" s="55"/>
      <c r="V101" s="55"/>
      <c r="W101" s="55"/>
      <c r="X101" s="55"/>
      <c r="Y101" s="55"/>
      <c r="Z101" s="55"/>
      <c r="AA101" s="55"/>
    </row>
    <row r="102">
      <c r="A102" s="55"/>
      <c r="B102" s="55"/>
      <c r="C102" s="55"/>
      <c r="D102" s="55"/>
      <c r="E102" s="55"/>
      <c r="F102" s="365"/>
      <c r="G102" s="55"/>
      <c r="H102" s="55"/>
      <c r="I102" s="360" t="s">
        <v>1142</v>
      </c>
      <c r="J102" s="55">
        <v>0.0</v>
      </c>
      <c r="K102" s="55" t="s">
        <v>1137</v>
      </c>
      <c r="L102" s="360"/>
      <c r="M102" s="55"/>
      <c r="N102" s="55"/>
      <c r="O102" s="360" t="s">
        <v>1395</v>
      </c>
      <c r="P102" s="55">
        <v>0.0</v>
      </c>
      <c r="Q102" s="55" t="s">
        <v>1040</v>
      </c>
      <c r="R102" s="360"/>
      <c r="S102" s="55"/>
      <c r="T102" s="350"/>
      <c r="U102" s="55"/>
      <c r="V102" s="55"/>
      <c r="W102" s="55"/>
      <c r="X102" s="55"/>
      <c r="Y102" s="55"/>
      <c r="Z102" s="55"/>
      <c r="AA102" s="55"/>
    </row>
    <row r="103">
      <c r="A103" s="55"/>
      <c r="B103" s="55"/>
      <c r="C103" s="55"/>
      <c r="D103" s="55"/>
      <c r="E103" s="55"/>
      <c r="F103" s="365"/>
      <c r="G103" s="55"/>
      <c r="H103" s="55"/>
      <c r="I103" s="360" t="s">
        <v>1143</v>
      </c>
      <c r="J103" s="55">
        <v>0.0</v>
      </c>
      <c r="K103" s="55" t="s">
        <v>1137</v>
      </c>
      <c r="L103" s="360"/>
      <c r="M103" s="55"/>
      <c r="N103" s="55"/>
      <c r="O103" s="360" t="s">
        <v>1396</v>
      </c>
      <c r="P103" s="55">
        <v>0.0</v>
      </c>
      <c r="Q103" s="55" t="s">
        <v>1040</v>
      </c>
      <c r="R103" s="360"/>
      <c r="S103" s="55"/>
      <c r="T103" s="350"/>
      <c r="U103" s="55"/>
      <c r="V103" s="55"/>
      <c r="W103" s="55"/>
      <c r="X103" s="55"/>
      <c r="Y103" s="55"/>
      <c r="Z103" s="55"/>
      <c r="AA103" s="55"/>
    </row>
    <row r="104">
      <c r="A104" s="55"/>
      <c r="B104" s="55"/>
      <c r="C104" s="55"/>
      <c r="D104" s="55"/>
      <c r="E104" s="55"/>
      <c r="F104" s="365"/>
      <c r="G104" s="55"/>
      <c r="H104" s="55"/>
      <c r="I104" s="360" t="s">
        <v>1144</v>
      </c>
      <c r="J104" s="55">
        <v>0.0</v>
      </c>
      <c r="K104" s="55" t="s">
        <v>1137</v>
      </c>
      <c r="L104" s="360"/>
      <c r="M104" s="55"/>
      <c r="N104" s="55"/>
      <c r="O104" s="360" t="s">
        <v>1397</v>
      </c>
      <c r="P104" s="55">
        <v>0.0</v>
      </c>
      <c r="Q104" s="55" t="s">
        <v>6164</v>
      </c>
      <c r="R104" s="360"/>
      <c r="S104" s="55"/>
      <c r="T104" s="350"/>
      <c r="U104" s="55"/>
      <c r="V104" s="55"/>
      <c r="W104" s="55"/>
      <c r="X104" s="55"/>
      <c r="Y104" s="55"/>
      <c r="Z104" s="55"/>
      <c r="AA104" s="55"/>
    </row>
    <row r="105">
      <c r="A105" s="55"/>
      <c r="B105" s="55"/>
      <c r="C105" s="55"/>
      <c r="D105" s="55"/>
      <c r="E105" s="55"/>
      <c r="F105" s="365"/>
      <c r="G105" s="55"/>
      <c r="H105" s="55"/>
      <c r="I105" s="360" t="s">
        <v>1145</v>
      </c>
      <c r="J105" s="55">
        <v>0.0</v>
      </c>
      <c r="K105" s="55" t="s">
        <v>1137</v>
      </c>
      <c r="L105" s="360"/>
      <c r="M105" s="55"/>
      <c r="N105" s="55"/>
      <c r="O105" s="360" t="s">
        <v>1398</v>
      </c>
      <c r="P105" s="55">
        <v>0.0</v>
      </c>
      <c r="Q105" s="55" t="s">
        <v>6164</v>
      </c>
      <c r="R105" s="360"/>
      <c r="S105" s="55"/>
      <c r="T105" s="350"/>
      <c r="U105" s="55"/>
      <c r="V105" s="55"/>
      <c r="W105" s="55"/>
      <c r="X105" s="55"/>
      <c r="Y105" s="55"/>
      <c r="Z105" s="55"/>
      <c r="AA105" s="55"/>
    </row>
    <row r="106">
      <c r="A106" s="55"/>
      <c r="B106" s="55"/>
      <c r="C106" s="55"/>
      <c r="D106" s="55"/>
      <c r="E106" s="55"/>
      <c r="F106" s="365"/>
      <c r="G106" s="55"/>
      <c r="H106" s="55"/>
      <c r="I106" s="360" t="s">
        <v>6200</v>
      </c>
      <c r="J106" s="55">
        <v>0.0</v>
      </c>
      <c r="K106" s="55" t="s">
        <v>1137</v>
      </c>
      <c r="L106" s="360"/>
      <c r="M106" s="55"/>
      <c r="N106" s="55"/>
      <c r="O106" s="360" t="s">
        <v>1399</v>
      </c>
      <c r="P106" s="55">
        <v>0.0</v>
      </c>
      <c r="Q106" s="55" t="s">
        <v>24</v>
      </c>
      <c r="R106" s="360"/>
      <c r="S106" s="55"/>
      <c r="T106" s="350"/>
      <c r="U106" s="55"/>
      <c r="V106" s="55"/>
      <c r="W106" s="55"/>
      <c r="X106" s="55"/>
      <c r="Y106" s="55"/>
      <c r="Z106" s="55"/>
      <c r="AA106" s="55"/>
    </row>
    <row r="107">
      <c r="A107" s="55"/>
      <c r="B107" s="55"/>
      <c r="C107" s="55"/>
      <c r="D107" s="55"/>
      <c r="E107" s="55"/>
      <c r="F107" s="365"/>
      <c r="G107" s="55"/>
      <c r="H107" s="55"/>
      <c r="I107" s="360" t="s">
        <v>1146</v>
      </c>
      <c r="J107" s="55">
        <v>0.0</v>
      </c>
      <c r="K107" s="55" t="s">
        <v>1040</v>
      </c>
      <c r="L107" s="360"/>
      <c r="M107" s="55"/>
      <c r="N107" s="55"/>
      <c r="O107" s="360" t="s">
        <v>1400</v>
      </c>
      <c r="P107" s="55">
        <v>0.0</v>
      </c>
      <c r="Q107" s="55" t="s">
        <v>1040</v>
      </c>
      <c r="R107" s="360"/>
      <c r="S107" s="55"/>
      <c r="T107" s="350"/>
      <c r="U107" s="55"/>
      <c r="V107" s="55"/>
      <c r="W107" s="55"/>
      <c r="X107" s="55"/>
      <c r="Y107" s="55"/>
      <c r="Z107" s="55"/>
      <c r="AA107" s="55"/>
    </row>
    <row r="108">
      <c r="A108" s="55"/>
      <c r="B108" s="55"/>
      <c r="C108" s="55"/>
      <c r="D108" s="55"/>
      <c r="E108" s="55"/>
      <c r="F108" s="365"/>
      <c r="G108" s="55"/>
      <c r="H108" s="55"/>
      <c r="I108" s="360" t="s">
        <v>1147</v>
      </c>
      <c r="J108" s="55">
        <v>0.0</v>
      </c>
      <c r="K108" s="55" t="s">
        <v>1040</v>
      </c>
      <c r="L108" s="360"/>
      <c r="M108" s="55"/>
      <c r="N108" s="55"/>
      <c r="O108" s="360" t="s">
        <v>1401</v>
      </c>
      <c r="P108" s="55">
        <v>0.0</v>
      </c>
      <c r="Q108" s="55" t="s">
        <v>1040</v>
      </c>
      <c r="R108" s="360"/>
      <c r="S108" s="55"/>
      <c r="T108" s="350"/>
      <c r="U108" s="55"/>
      <c r="V108" s="55"/>
      <c r="W108" s="55"/>
      <c r="X108" s="55"/>
      <c r="Y108" s="55"/>
      <c r="Z108" s="55"/>
      <c r="AA108" s="55"/>
    </row>
    <row r="109">
      <c r="A109" s="55"/>
      <c r="B109" s="55"/>
      <c r="C109" s="55"/>
      <c r="D109" s="55"/>
      <c r="E109" s="55"/>
      <c r="F109" s="365"/>
      <c r="G109" s="55"/>
      <c r="H109" s="55"/>
      <c r="I109" s="360" t="s">
        <v>1148</v>
      </c>
      <c r="J109" s="55">
        <v>0.0</v>
      </c>
      <c r="K109" s="55" t="s">
        <v>1168</v>
      </c>
      <c r="L109" s="360"/>
      <c r="M109" s="55"/>
      <c r="N109" s="55"/>
      <c r="O109" s="360" t="s">
        <v>1402</v>
      </c>
      <c r="P109" s="55">
        <v>0.0</v>
      </c>
      <c r="Q109" s="55" t="s">
        <v>6164</v>
      </c>
      <c r="R109" s="360"/>
      <c r="S109" s="55"/>
      <c r="T109" s="350"/>
      <c r="U109" s="55"/>
      <c r="V109" s="55"/>
      <c r="W109" s="55"/>
      <c r="X109" s="55"/>
      <c r="Y109" s="55"/>
      <c r="Z109" s="55"/>
      <c r="AA109" s="55"/>
    </row>
    <row r="110">
      <c r="A110" s="55"/>
      <c r="B110" s="55"/>
      <c r="C110" s="55"/>
      <c r="D110" s="55"/>
      <c r="E110" s="55"/>
      <c r="F110" s="365"/>
      <c r="G110" s="55"/>
      <c r="H110" s="55"/>
      <c r="I110" s="360" t="s">
        <v>1149</v>
      </c>
      <c r="J110" s="55">
        <v>0.0</v>
      </c>
      <c r="K110" s="55" t="s">
        <v>1168</v>
      </c>
      <c r="L110" s="360"/>
      <c r="M110" s="55"/>
      <c r="N110" s="55"/>
      <c r="O110" s="360" t="s">
        <v>1403</v>
      </c>
      <c r="P110" s="55">
        <v>0.0</v>
      </c>
      <c r="Q110" s="55" t="s">
        <v>6164</v>
      </c>
      <c r="R110" s="360"/>
      <c r="S110" s="55"/>
      <c r="T110" s="350"/>
      <c r="U110" s="55"/>
      <c r="V110" s="55"/>
      <c r="W110" s="55"/>
      <c r="X110" s="55"/>
      <c r="Y110" s="55"/>
      <c r="Z110" s="55"/>
      <c r="AA110" s="55"/>
    </row>
    <row r="111">
      <c r="A111" s="55"/>
      <c r="B111" s="55"/>
      <c r="C111" s="55"/>
      <c r="D111" s="55"/>
      <c r="E111" s="55"/>
      <c r="F111" s="365"/>
      <c r="G111" s="55"/>
      <c r="H111" s="55"/>
      <c r="I111" s="360" t="s">
        <v>1150</v>
      </c>
      <c r="J111" s="55">
        <v>0.0</v>
      </c>
      <c r="K111" s="55" t="s">
        <v>1168</v>
      </c>
      <c r="L111" s="360"/>
      <c r="M111" s="55"/>
      <c r="N111" s="55"/>
      <c r="O111" s="360" t="s">
        <v>1278</v>
      </c>
      <c r="P111" s="55">
        <v>0.0</v>
      </c>
      <c r="Q111" s="55" t="s">
        <v>6164</v>
      </c>
      <c r="R111" s="360"/>
      <c r="S111" s="55"/>
      <c r="T111" s="350"/>
      <c r="U111" s="55"/>
      <c r="V111" s="55"/>
      <c r="W111" s="55"/>
      <c r="X111" s="55"/>
      <c r="Y111" s="55"/>
      <c r="Z111" s="55"/>
      <c r="AA111" s="55"/>
    </row>
    <row r="112">
      <c r="A112" s="55"/>
      <c r="B112" s="55"/>
      <c r="C112" s="55"/>
      <c r="D112" s="55"/>
      <c r="E112" s="55"/>
      <c r="F112" s="365"/>
      <c r="G112" s="55"/>
      <c r="H112" s="55"/>
      <c r="I112" s="360" t="s">
        <v>1151</v>
      </c>
      <c r="J112" s="55">
        <v>0.0</v>
      </c>
      <c r="K112" s="55" t="s">
        <v>1040</v>
      </c>
      <c r="L112" s="360"/>
      <c r="M112" s="55"/>
      <c r="N112" s="55"/>
      <c r="O112" s="360" t="s">
        <v>6201</v>
      </c>
      <c r="P112" s="55">
        <v>0.0</v>
      </c>
      <c r="Q112" s="55" t="s">
        <v>6164</v>
      </c>
      <c r="R112" s="360"/>
      <c r="S112" s="55"/>
      <c r="T112" s="350"/>
      <c r="U112" s="55"/>
      <c r="V112" s="55"/>
      <c r="W112" s="55"/>
      <c r="X112" s="55"/>
      <c r="Y112" s="55"/>
      <c r="Z112" s="55"/>
      <c r="AA112" s="55"/>
    </row>
    <row r="113">
      <c r="A113" s="55"/>
      <c r="B113" s="55"/>
      <c r="C113" s="55"/>
      <c r="D113" s="55"/>
      <c r="E113" s="55"/>
      <c r="F113" s="365"/>
      <c r="G113" s="55"/>
      <c r="H113" s="55"/>
      <c r="I113" s="360" t="s">
        <v>1152</v>
      </c>
      <c r="J113" s="55">
        <v>0.0</v>
      </c>
      <c r="K113" s="55" t="s">
        <v>1040</v>
      </c>
      <c r="L113" s="360"/>
      <c r="M113" s="55"/>
      <c r="N113" s="55"/>
      <c r="O113" s="360" t="s">
        <v>1275</v>
      </c>
      <c r="P113" s="55">
        <v>0.0</v>
      </c>
      <c r="Q113" s="55" t="s">
        <v>1040</v>
      </c>
      <c r="R113" s="360"/>
      <c r="S113" s="55"/>
      <c r="T113" s="350"/>
      <c r="U113" s="55"/>
      <c r="V113" s="55"/>
      <c r="W113" s="55"/>
      <c r="X113" s="55"/>
      <c r="Y113" s="55"/>
      <c r="Z113" s="55"/>
      <c r="AA113" s="55"/>
    </row>
    <row r="114">
      <c r="A114" s="55"/>
      <c r="B114" s="55"/>
      <c r="C114" s="55"/>
      <c r="D114" s="55"/>
      <c r="E114" s="55"/>
      <c r="F114" s="365"/>
      <c r="G114" s="55"/>
      <c r="H114" s="55"/>
      <c r="I114" s="360" t="s">
        <v>1153</v>
      </c>
      <c r="J114" s="55">
        <v>0.0</v>
      </c>
      <c r="K114" s="55" t="s">
        <v>1040</v>
      </c>
      <c r="L114" s="360"/>
      <c r="M114" s="55"/>
      <c r="N114" s="55"/>
      <c r="O114" s="360" t="s">
        <v>1404</v>
      </c>
      <c r="P114" s="55">
        <v>0.0</v>
      </c>
      <c r="Q114" s="55" t="s">
        <v>6164</v>
      </c>
      <c r="R114" s="360"/>
      <c r="S114" s="55"/>
      <c r="T114" s="350"/>
      <c r="U114" s="55"/>
      <c r="V114" s="55"/>
      <c r="W114" s="55"/>
      <c r="X114" s="55"/>
      <c r="Y114" s="55"/>
      <c r="Z114" s="55"/>
      <c r="AA114" s="55"/>
    </row>
    <row r="115">
      <c r="A115" s="55"/>
      <c r="B115" s="55"/>
      <c r="C115" s="55"/>
      <c r="D115" s="55"/>
      <c r="E115" s="55"/>
      <c r="F115" s="365"/>
      <c r="G115" s="55"/>
      <c r="H115" s="55"/>
      <c r="I115" s="360" t="s">
        <v>1154</v>
      </c>
      <c r="J115" s="55">
        <v>0.0</v>
      </c>
      <c r="K115" s="55" t="s">
        <v>1137</v>
      </c>
      <c r="L115" s="360"/>
      <c r="M115" s="55"/>
      <c r="N115" s="55"/>
      <c r="O115" s="360" t="s">
        <v>1405</v>
      </c>
      <c r="P115" s="55">
        <v>0.0</v>
      </c>
      <c r="Q115" s="55" t="s">
        <v>24</v>
      </c>
      <c r="R115" s="360"/>
      <c r="S115" s="55"/>
      <c r="T115" s="350"/>
      <c r="U115" s="55"/>
      <c r="V115" s="55"/>
      <c r="W115" s="55"/>
      <c r="X115" s="55"/>
      <c r="Y115" s="55"/>
      <c r="Z115" s="55"/>
      <c r="AA115" s="55"/>
    </row>
    <row r="116">
      <c r="A116" s="55"/>
      <c r="B116" s="55"/>
      <c r="C116" s="55"/>
      <c r="D116" s="55"/>
      <c r="E116" s="55"/>
      <c r="F116" s="365"/>
      <c r="G116" s="55"/>
      <c r="H116" s="55"/>
      <c r="I116" s="360" t="s">
        <v>1155</v>
      </c>
      <c r="J116" s="55">
        <v>0.0</v>
      </c>
      <c r="K116" s="55" t="s">
        <v>1137</v>
      </c>
      <c r="L116" s="360"/>
      <c r="M116" s="55"/>
      <c r="N116" s="55"/>
      <c r="O116" s="360" t="s">
        <v>1406</v>
      </c>
      <c r="P116" s="55">
        <v>0.0</v>
      </c>
      <c r="Q116" s="55" t="s">
        <v>24</v>
      </c>
      <c r="R116" s="360"/>
      <c r="S116" s="55"/>
      <c r="T116" s="350"/>
      <c r="U116" s="55"/>
      <c r="V116" s="55"/>
      <c r="W116" s="55"/>
      <c r="X116" s="55"/>
      <c r="Y116" s="55"/>
      <c r="Z116" s="55"/>
      <c r="AA116" s="55"/>
    </row>
    <row r="117">
      <c r="A117" s="55"/>
      <c r="B117" s="55"/>
      <c r="C117" s="55"/>
      <c r="D117" s="55"/>
      <c r="E117" s="55"/>
      <c r="F117" s="365"/>
      <c r="G117" s="55"/>
      <c r="H117" s="55"/>
      <c r="I117" s="360" t="s">
        <v>1156</v>
      </c>
      <c r="J117" s="55">
        <v>0.0</v>
      </c>
      <c r="K117" s="55" t="s">
        <v>25</v>
      </c>
      <c r="L117" s="360"/>
      <c r="M117" s="55"/>
      <c r="N117" s="55"/>
      <c r="O117" s="360" t="s">
        <v>1332</v>
      </c>
      <c r="P117" s="55">
        <v>0.0</v>
      </c>
      <c r="Q117" s="55" t="s">
        <v>24</v>
      </c>
      <c r="R117" s="360"/>
      <c r="S117" s="55"/>
      <c r="T117" s="350"/>
      <c r="U117" s="55"/>
      <c r="V117" s="55"/>
      <c r="W117" s="55"/>
      <c r="X117" s="55"/>
      <c r="Y117" s="55"/>
      <c r="Z117" s="55"/>
      <c r="AA117" s="55"/>
    </row>
    <row r="118">
      <c r="A118" s="55"/>
      <c r="B118" s="55"/>
      <c r="C118" s="55"/>
      <c r="D118" s="55"/>
      <c r="E118" s="55"/>
      <c r="F118" s="365"/>
      <c r="G118" s="55"/>
      <c r="H118" s="55"/>
      <c r="I118" s="360" t="s">
        <v>1157</v>
      </c>
      <c r="J118" s="55">
        <v>0.0</v>
      </c>
      <c r="K118" s="55" t="s">
        <v>25</v>
      </c>
      <c r="L118" s="360"/>
      <c r="M118" s="55"/>
      <c r="N118" s="55"/>
      <c r="O118" s="360" t="s">
        <v>1407</v>
      </c>
      <c r="P118" s="55">
        <v>0.0</v>
      </c>
      <c r="Q118" s="55" t="s">
        <v>6164</v>
      </c>
      <c r="R118" s="360"/>
      <c r="S118" s="55"/>
      <c r="T118" s="350"/>
      <c r="U118" s="55"/>
      <c r="V118" s="55"/>
      <c r="W118" s="55"/>
      <c r="X118" s="55"/>
      <c r="Y118" s="55"/>
      <c r="Z118" s="55"/>
      <c r="AA118" s="55"/>
    </row>
    <row r="119">
      <c r="A119" s="55"/>
      <c r="B119" s="55"/>
      <c r="C119" s="55"/>
      <c r="D119" s="55"/>
      <c r="E119" s="55"/>
      <c r="F119" s="365"/>
      <c r="G119" s="55"/>
      <c r="H119" s="55"/>
      <c r="I119" s="360" t="s">
        <v>1158</v>
      </c>
      <c r="J119" s="55">
        <v>0.0</v>
      </c>
      <c r="K119" s="55" t="s">
        <v>25</v>
      </c>
      <c r="L119" s="360"/>
      <c r="M119" s="55"/>
      <c r="N119" s="55"/>
      <c r="O119" s="360" t="s">
        <v>1408</v>
      </c>
      <c r="P119" s="55">
        <v>0.0</v>
      </c>
      <c r="Q119" s="55" t="s">
        <v>6164</v>
      </c>
      <c r="R119" s="360"/>
      <c r="S119" s="55"/>
      <c r="T119" s="350"/>
      <c r="U119" s="55"/>
      <c r="V119" s="55"/>
      <c r="W119" s="55"/>
      <c r="X119" s="55"/>
      <c r="Y119" s="55"/>
      <c r="Z119" s="55"/>
      <c r="AA119" s="55"/>
    </row>
    <row r="120">
      <c r="A120" s="55"/>
      <c r="B120" s="55"/>
      <c r="C120" s="55"/>
      <c r="D120" s="55"/>
      <c r="E120" s="55"/>
      <c r="F120" s="365"/>
      <c r="G120" s="55"/>
      <c r="H120" s="55"/>
      <c r="I120" s="360" t="s">
        <v>1159</v>
      </c>
      <c r="J120" s="55">
        <v>0.0</v>
      </c>
      <c r="K120" s="55" t="s">
        <v>1040</v>
      </c>
      <c r="L120" s="360"/>
      <c r="M120" s="55"/>
      <c r="N120" s="55"/>
      <c r="O120" s="360" t="s">
        <v>1409</v>
      </c>
      <c r="P120" s="55">
        <v>0.0</v>
      </c>
      <c r="Q120" s="55" t="s">
        <v>1040</v>
      </c>
      <c r="R120" s="360"/>
      <c r="S120" s="55"/>
      <c r="T120" s="350"/>
      <c r="U120" s="55"/>
      <c r="V120" s="55"/>
      <c r="W120" s="55"/>
      <c r="X120" s="55"/>
      <c r="Y120" s="55"/>
      <c r="Z120" s="55"/>
      <c r="AA120" s="55"/>
    </row>
    <row r="121">
      <c r="A121" s="55"/>
      <c r="B121" s="55"/>
      <c r="C121" s="55"/>
      <c r="D121" s="55"/>
      <c r="E121" s="55"/>
      <c r="F121" s="365"/>
      <c r="G121" s="55"/>
      <c r="H121" s="55"/>
      <c r="I121" s="360" t="s">
        <v>1160</v>
      </c>
      <c r="J121" s="55">
        <v>0.0</v>
      </c>
      <c r="K121" s="55" t="s">
        <v>1040</v>
      </c>
      <c r="L121" s="360"/>
      <c r="M121" s="55"/>
      <c r="N121" s="55"/>
      <c r="O121" s="360" t="s">
        <v>6164</v>
      </c>
      <c r="P121" s="55">
        <v>0.0</v>
      </c>
      <c r="Q121" s="55" t="s">
        <v>6164</v>
      </c>
      <c r="R121" s="360"/>
      <c r="S121" s="55"/>
      <c r="T121" s="350"/>
      <c r="U121" s="55"/>
      <c r="V121" s="55"/>
      <c r="W121" s="55"/>
      <c r="X121" s="55"/>
      <c r="Y121" s="55"/>
      <c r="Z121" s="55"/>
      <c r="AA121" s="55"/>
    </row>
    <row r="122">
      <c r="A122" s="55"/>
      <c r="B122" s="55"/>
      <c r="C122" s="55"/>
      <c r="D122" s="55"/>
      <c r="E122" s="55"/>
      <c r="F122" s="365"/>
      <c r="G122" s="55"/>
      <c r="H122" s="55"/>
      <c r="I122" s="360" t="s">
        <v>1161</v>
      </c>
      <c r="J122" s="55">
        <v>0.0</v>
      </c>
      <c r="K122" s="55" t="s">
        <v>1168</v>
      </c>
      <c r="L122" s="360"/>
      <c r="M122" s="55"/>
      <c r="N122" s="55"/>
      <c r="O122" s="360" t="s">
        <v>1411</v>
      </c>
      <c r="P122" s="55">
        <v>0.0</v>
      </c>
      <c r="Q122" s="55" t="s">
        <v>6164</v>
      </c>
      <c r="R122" s="360"/>
      <c r="S122" s="55"/>
      <c r="T122" s="350"/>
      <c r="U122" s="55"/>
      <c r="V122" s="55"/>
      <c r="W122" s="55"/>
      <c r="X122" s="55"/>
      <c r="Y122" s="55"/>
      <c r="Z122" s="55"/>
      <c r="AA122" s="55"/>
    </row>
    <row r="123">
      <c r="A123" s="55"/>
      <c r="B123" s="55"/>
      <c r="C123" s="55"/>
      <c r="D123" s="55"/>
      <c r="E123" s="55"/>
      <c r="F123" s="365"/>
      <c r="G123" s="55"/>
      <c r="H123" s="55"/>
      <c r="I123" s="360" t="s">
        <v>1162</v>
      </c>
      <c r="J123" s="55">
        <v>0.0</v>
      </c>
      <c r="K123" s="55" t="s">
        <v>1168</v>
      </c>
      <c r="L123" s="360"/>
      <c r="M123" s="55"/>
      <c r="N123" s="55"/>
      <c r="O123" s="360" t="s">
        <v>1281</v>
      </c>
      <c r="P123" s="55">
        <v>0.0</v>
      </c>
      <c r="Q123" s="55" t="s">
        <v>24</v>
      </c>
      <c r="R123" s="360"/>
      <c r="S123" s="55"/>
      <c r="T123" s="350"/>
      <c r="U123" s="55"/>
      <c r="V123" s="55"/>
      <c r="W123" s="55"/>
      <c r="X123" s="55"/>
      <c r="Y123" s="55"/>
      <c r="Z123" s="55"/>
      <c r="AA123" s="55"/>
    </row>
    <row r="124">
      <c r="A124" s="55"/>
      <c r="B124" s="55"/>
      <c r="C124" s="55"/>
      <c r="D124" s="55"/>
      <c r="E124" s="55"/>
      <c r="F124" s="365"/>
      <c r="G124" s="55"/>
      <c r="H124" s="55"/>
      <c r="I124" s="360" t="s">
        <v>1163</v>
      </c>
      <c r="J124" s="55">
        <v>0.0</v>
      </c>
      <c r="K124" s="55" t="s">
        <v>1168</v>
      </c>
      <c r="L124" s="360"/>
      <c r="M124" s="55"/>
      <c r="N124" s="55"/>
      <c r="O124" s="360" t="s">
        <v>1412</v>
      </c>
      <c r="P124" s="55">
        <v>0.0</v>
      </c>
      <c r="Q124" s="55" t="s">
        <v>24</v>
      </c>
      <c r="R124" s="360"/>
      <c r="S124" s="55"/>
      <c r="T124" s="350"/>
      <c r="U124" s="55"/>
      <c r="V124" s="55"/>
      <c r="W124" s="55"/>
      <c r="X124" s="55"/>
      <c r="Y124" s="55"/>
      <c r="Z124" s="55"/>
      <c r="AA124" s="55"/>
    </row>
    <row r="125">
      <c r="A125" s="55"/>
      <c r="B125" s="55"/>
      <c r="C125" s="55"/>
      <c r="D125" s="55"/>
      <c r="E125" s="55"/>
      <c r="F125" s="365"/>
      <c r="G125" s="55"/>
      <c r="H125" s="55"/>
      <c r="I125" s="360" t="s">
        <v>6202</v>
      </c>
      <c r="J125" s="55">
        <v>0.0</v>
      </c>
      <c r="K125" s="55" t="s">
        <v>1168</v>
      </c>
      <c r="L125" s="360"/>
      <c r="M125" s="55"/>
      <c r="N125" s="55"/>
      <c r="O125" s="360" t="s">
        <v>1413</v>
      </c>
      <c r="P125" s="55">
        <v>0.0</v>
      </c>
      <c r="Q125" s="55" t="s">
        <v>24</v>
      </c>
      <c r="R125" s="360"/>
      <c r="S125" s="55"/>
      <c r="T125" s="350"/>
      <c r="U125" s="55"/>
      <c r="V125" s="55"/>
      <c r="W125" s="55"/>
      <c r="X125" s="55"/>
      <c r="Y125" s="55"/>
      <c r="Z125" s="55"/>
      <c r="AA125" s="55"/>
    </row>
    <row r="126">
      <c r="A126" s="55"/>
      <c r="B126" s="55"/>
      <c r="C126" s="55"/>
      <c r="D126" s="55"/>
      <c r="E126" s="55"/>
      <c r="F126" s="365"/>
      <c r="G126" s="55"/>
      <c r="H126" s="55"/>
      <c r="I126" s="360" t="s">
        <v>1164</v>
      </c>
      <c r="J126" s="55">
        <v>0.0</v>
      </c>
      <c r="K126" s="55" t="s">
        <v>1137</v>
      </c>
      <c r="L126" s="360"/>
      <c r="M126" s="55"/>
      <c r="N126" s="55"/>
      <c r="O126" s="360" t="s">
        <v>1237</v>
      </c>
      <c r="P126" s="55">
        <v>0.0</v>
      </c>
      <c r="Q126" s="55" t="s">
        <v>24</v>
      </c>
      <c r="R126" s="360"/>
      <c r="S126" s="55"/>
      <c r="T126" s="350"/>
      <c r="U126" s="55"/>
      <c r="V126" s="55"/>
      <c r="W126" s="55"/>
      <c r="X126" s="55"/>
      <c r="Y126" s="55"/>
      <c r="Z126" s="55"/>
      <c r="AA126" s="55"/>
    </row>
    <row r="127">
      <c r="A127" s="55"/>
      <c r="B127" s="55"/>
      <c r="C127" s="55"/>
      <c r="D127" s="55"/>
      <c r="E127" s="55"/>
      <c r="F127" s="365"/>
      <c r="G127" s="55"/>
      <c r="H127" s="55"/>
      <c r="I127" s="360" t="s">
        <v>1165</v>
      </c>
      <c r="J127" s="55">
        <v>0.0</v>
      </c>
      <c r="K127" s="55" t="s">
        <v>1137</v>
      </c>
      <c r="L127" s="360"/>
      <c r="M127" s="55"/>
      <c r="N127" s="55"/>
      <c r="O127" s="360" t="s">
        <v>6203</v>
      </c>
      <c r="P127" s="55">
        <v>0.0</v>
      </c>
      <c r="Q127" s="55" t="s">
        <v>24</v>
      </c>
      <c r="R127" s="360"/>
      <c r="S127" s="55"/>
      <c r="T127" s="350"/>
      <c r="U127" s="55"/>
      <c r="V127" s="55"/>
      <c r="W127" s="55"/>
      <c r="X127" s="55"/>
      <c r="Y127" s="55"/>
      <c r="Z127" s="55"/>
      <c r="AA127" s="55"/>
    </row>
    <row r="128">
      <c r="A128" s="55"/>
      <c r="B128" s="55"/>
      <c r="C128" s="55"/>
      <c r="D128" s="55"/>
      <c r="E128" s="55"/>
      <c r="F128" s="365"/>
      <c r="G128" s="55"/>
      <c r="H128" s="55"/>
      <c r="I128" s="360" t="s">
        <v>1166</v>
      </c>
      <c r="J128" s="55">
        <v>0.0</v>
      </c>
      <c r="K128" s="55" t="s">
        <v>1168</v>
      </c>
      <c r="L128" s="360"/>
      <c r="M128" s="55"/>
      <c r="N128" s="55"/>
      <c r="O128" s="360" t="s">
        <v>1242</v>
      </c>
      <c r="P128" s="55">
        <v>0.0</v>
      </c>
      <c r="Q128" s="55" t="s">
        <v>1040</v>
      </c>
      <c r="R128" s="360"/>
      <c r="S128" s="55"/>
      <c r="T128" s="350"/>
      <c r="U128" s="55"/>
      <c r="V128" s="55"/>
      <c r="W128" s="55"/>
      <c r="X128" s="55"/>
      <c r="Y128" s="55"/>
      <c r="Z128" s="55"/>
      <c r="AA128" s="55"/>
    </row>
    <row r="129">
      <c r="A129" s="55"/>
      <c r="B129" s="55"/>
      <c r="C129" s="55"/>
      <c r="D129" s="55"/>
      <c r="E129" s="55"/>
      <c r="F129" s="365"/>
      <c r="G129" s="55"/>
      <c r="H129" s="55"/>
      <c r="I129" s="360" t="s">
        <v>1167</v>
      </c>
      <c r="J129" s="55">
        <v>0.0</v>
      </c>
      <c r="K129" s="55" t="s">
        <v>1168</v>
      </c>
      <c r="L129" s="360"/>
      <c r="M129" s="55"/>
      <c r="N129" s="55"/>
      <c r="O129" s="360" t="s">
        <v>1243</v>
      </c>
      <c r="P129" s="55">
        <v>0.0</v>
      </c>
      <c r="Q129" s="55" t="s">
        <v>24</v>
      </c>
      <c r="R129" s="360"/>
      <c r="S129" s="55"/>
      <c r="T129" s="350"/>
      <c r="U129" s="55"/>
      <c r="V129" s="55"/>
      <c r="W129" s="55"/>
      <c r="X129" s="55"/>
      <c r="Y129" s="55"/>
      <c r="Z129" s="55"/>
      <c r="AA129" s="55"/>
    </row>
    <row r="130">
      <c r="A130" s="55"/>
      <c r="B130" s="55"/>
      <c r="C130" s="55"/>
      <c r="D130" s="55"/>
      <c r="E130" s="55"/>
      <c r="F130" s="365"/>
      <c r="G130" s="55"/>
      <c r="H130" s="55"/>
      <c r="I130" s="360" t="s">
        <v>1168</v>
      </c>
      <c r="J130" s="55">
        <v>0.0</v>
      </c>
      <c r="K130" s="55" t="s">
        <v>1168</v>
      </c>
      <c r="L130" s="360"/>
      <c r="M130" s="55"/>
      <c r="N130" s="55"/>
      <c r="O130" s="360" t="s">
        <v>1415</v>
      </c>
      <c r="P130" s="55">
        <v>0.0</v>
      </c>
      <c r="Q130" s="55" t="s">
        <v>24</v>
      </c>
      <c r="R130" s="360"/>
      <c r="S130" s="55"/>
      <c r="T130" s="350"/>
      <c r="U130" s="55"/>
      <c r="V130" s="55"/>
      <c r="W130" s="55"/>
      <c r="X130" s="55"/>
      <c r="Y130" s="55"/>
      <c r="Z130" s="55"/>
      <c r="AA130" s="55"/>
    </row>
    <row r="131">
      <c r="A131" s="55"/>
      <c r="B131" s="55"/>
      <c r="C131" s="55"/>
      <c r="D131" s="55"/>
      <c r="E131" s="55"/>
      <c r="F131" s="365"/>
      <c r="G131" s="55"/>
      <c r="H131" s="55"/>
      <c r="I131" s="360" t="s">
        <v>6204</v>
      </c>
      <c r="J131" s="55">
        <v>0.0</v>
      </c>
      <c r="K131" s="55" t="s">
        <v>1168</v>
      </c>
      <c r="L131" s="360"/>
      <c r="M131" s="55"/>
      <c r="N131" s="55"/>
      <c r="O131" s="360" t="s">
        <v>1416</v>
      </c>
      <c r="P131" s="55">
        <v>0.0</v>
      </c>
      <c r="Q131" s="55" t="s">
        <v>24</v>
      </c>
      <c r="R131" s="360"/>
      <c r="S131" s="55"/>
      <c r="T131" s="350"/>
      <c r="U131" s="55"/>
      <c r="V131" s="55"/>
      <c r="W131" s="55"/>
      <c r="X131" s="55"/>
      <c r="Y131" s="55"/>
      <c r="Z131" s="55"/>
      <c r="AA131" s="55"/>
    </row>
    <row r="132">
      <c r="A132" s="55"/>
      <c r="B132" s="55"/>
      <c r="C132" s="55"/>
      <c r="D132" s="55"/>
      <c r="E132" s="55"/>
      <c r="F132" s="365"/>
      <c r="G132" s="55"/>
      <c r="H132" s="55"/>
      <c r="I132" s="360" t="s">
        <v>1169</v>
      </c>
      <c r="J132" s="55">
        <v>0.0</v>
      </c>
      <c r="K132" s="55" t="s">
        <v>1168</v>
      </c>
      <c r="L132" s="360"/>
      <c r="M132" s="55"/>
      <c r="N132" s="55"/>
      <c r="O132" s="360" t="s">
        <v>1417</v>
      </c>
      <c r="P132" s="55">
        <v>0.0</v>
      </c>
      <c r="Q132" s="55" t="s">
        <v>1040</v>
      </c>
      <c r="R132" s="360"/>
      <c r="S132" s="55"/>
      <c r="T132" s="350"/>
      <c r="U132" s="55"/>
      <c r="V132" s="55"/>
      <c r="W132" s="55"/>
      <c r="X132" s="55"/>
      <c r="Y132" s="55"/>
      <c r="Z132" s="55"/>
      <c r="AA132" s="55"/>
    </row>
    <row r="133">
      <c r="A133" s="55"/>
      <c r="B133" s="55"/>
      <c r="C133" s="55"/>
      <c r="D133" s="55"/>
      <c r="E133" s="55"/>
      <c r="F133" s="365"/>
      <c r="G133" s="55"/>
      <c r="H133" s="55"/>
      <c r="I133" s="360" t="s">
        <v>1170</v>
      </c>
      <c r="J133" s="55">
        <v>0.0</v>
      </c>
      <c r="K133" s="55" t="s">
        <v>1168</v>
      </c>
      <c r="L133" s="360"/>
      <c r="M133" s="55"/>
      <c r="N133" s="55"/>
      <c r="O133" s="360" t="s">
        <v>1418</v>
      </c>
      <c r="P133" s="55">
        <v>0.0</v>
      </c>
      <c r="Q133" s="55" t="s">
        <v>1040</v>
      </c>
      <c r="R133" s="360"/>
      <c r="S133" s="55"/>
      <c r="T133" s="350"/>
      <c r="U133" s="55"/>
      <c r="V133" s="55"/>
      <c r="W133" s="55"/>
      <c r="X133" s="55"/>
      <c r="Y133" s="55"/>
      <c r="Z133" s="55"/>
      <c r="AA133" s="55"/>
    </row>
    <row r="134">
      <c r="A134" s="55"/>
      <c r="B134" s="55"/>
      <c r="C134" s="55"/>
      <c r="D134" s="55"/>
      <c r="E134" s="55"/>
      <c r="F134" s="365"/>
      <c r="G134" s="55"/>
      <c r="H134" s="55"/>
      <c r="I134" s="360" t="s">
        <v>1171</v>
      </c>
      <c r="J134" s="55">
        <v>0.0</v>
      </c>
      <c r="K134" s="55" t="s">
        <v>1168</v>
      </c>
      <c r="L134" s="360"/>
      <c r="M134" s="55"/>
      <c r="N134" s="55"/>
      <c r="O134" s="360" t="s">
        <v>1419</v>
      </c>
      <c r="P134" s="55">
        <v>0.0</v>
      </c>
      <c r="Q134" s="55" t="s">
        <v>24</v>
      </c>
      <c r="R134" s="360"/>
      <c r="S134" s="55"/>
      <c r="T134" s="350"/>
      <c r="U134" s="55"/>
      <c r="V134" s="55"/>
      <c r="W134" s="55"/>
      <c r="X134" s="55"/>
      <c r="Y134" s="55"/>
      <c r="Z134" s="55"/>
      <c r="AA134" s="55"/>
    </row>
    <row r="135">
      <c r="A135" s="55"/>
      <c r="B135" s="55"/>
      <c r="C135" s="55"/>
      <c r="D135" s="55"/>
      <c r="E135" s="55"/>
      <c r="F135" s="365"/>
      <c r="G135" s="55"/>
      <c r="H135" s="55"/>
      <c r="I135" s="360" t="s">
        <v>1172</v>
      </c>
      <c r="J135" s="55">
        <v>0.0</v>
      </c>
      <c r="K135" s="55" t="s">
        <v>1040</v>
      </c>
      <c r="L135" s="360"/>
      <c r="M135" s="55"/>
      <c r="N135" s="55"/>
      <c r="O135" s="360" t="s">
        <v>1420</v>
      </c>
      <c r="P135" s="55">
        <v>0.0</v>
      </c>
      <c r="Q135" s="55" t="s">
        <v>24</v>
      </c>
      <c r="R135" s="360"/>
      <c r="S135" s="55"/>
      <c r="T135" s="350"/>
      <c r="U135" s="55"/>
      <c r="V135" s="55"/>
      <c r="W135" s="55"/>
      <c r="X135" s="55"/>
      <c r="Y135" s="55"/>
      <c r="Z135" s="55"/>
      <c r="AA135" s="55"/>
    </row>
    <row r="136">
      <c r="A136" s="55"/>
      <c r="B136" s="55"/>
      <c r="C136" s="55"/>
      <c r="D136" s="55"/>
      <c r="E136" s="55"/>
      <c r="F136" s="365"/>
      <c r="G136" s="55"/>
      <c r="H136" s="55"/>
      <c r="I136" s="360" t="s">
        <v>1173</v>
      </c>
      <c r="J136" s="55">
        <v>0.0</v>
      </c>
      <c r="K136" s="55" t="s">
        <v>1040</v>
      </c>
      <c r="L136" s="360"/>
      <c r="M136" s="55"/>
      <c r="N136" s="55"/>
      <c r="O136" s="360" t="s">
        <v>1282</v>
      </c>
      <c r="P136" s="55">
        <v>0.0</v>
      </c>
      <c r="Q136" s="55" t="s">
        <v>24</v>
      </c>
      <c r="R136" s="360"/>
      <c r="S136" s="55"/>
      <c r="T136" s="350"/>
      <c r="U136" s="55"/>
      <c r="V136" s="55"/>
      <c r="W136" s="55"/>
      <c r="X136" s="55"/>
      <c r="Y136" s="55"/>
      <c r="Z136" s="55"/>
      <c r="AA136" s="55"/>
    </row>
    <row r="137">
      <c r="A137" s="55"/>
      <c r="B137" s="55"/>
      <c r="C137" s="55"/>
      <c r="D137" s="55"/>
      <c r="E137" s="55"/>
      <c r="F137" s="365"/>
      <c r="G137" s="55"/>
      <c r="H137" s="55"/>
      <c r="I137" s="360" t="s">
        <v>1174</v>
      </c>
      <c r="J137" s="55">
        <v>0.0</v>
      </c>
      <c r="K137" s="55" t="s">
        <v>1040</v>
      </c>
      <c r="L137" s="360"/>
      <c r="M137" s="55"/>
      <c r="N137" s="55"/>
      <c r="O137" s="360" t="s">
        <v>1421</v>
      </c>
      <c r="P137" s="55">
        <v>0.0</v>
      </c>
      <c r="Q137" s="55" t="s">
        <v>6164</v>
      </c>
      <c r="R137" s="360"/>
      <c r="S137" s="55"/>
      <c r="T137" s="350"/>
      <c r="U137" s="55"/>
      <c r="V137" s="55"/>
      <c r="W137" s="55"/>
      <c r="X137" s="55"/>
      <c r="Y137" s="55"/>
      <c r="Z137" s="55"/>
      <c r="AA137" s="55"/>
    </row>
    <row r="138">
      <c r="A138" s="55"/>
      <c r="B138" s="55"/>
      <c r="C138" s="55"/>
      <c r="D138" s="55"/>
      <c r="E138" s="55"/>
      <c r="F138" s="365"/>
      <c r="G138" s="55"/>
      <c r="H138" s="55"/>
      <c r="I138" s="360" t="s">
        <v>1175</v>
      </c>
      <c r="J138" s="55">
        <v>0.0</v>
      </c>
      <c r="K138" s="55" t="s">
        <v>1040</v>
      </c>
      <c r="L138" s="360"/>
      <c r="M138" s="55"/>
      <c r="N138" s="55"/>
      <c r="O138" s="360" t="s">
        <v>1422</v>
      </c>
      <c r="P138" s="55">
        <v>0.0</v>
      </c>
      <c r="Q138" s="55" t="s">
        <v>6164</v>
      </c>
      <c r="R138" s="360"/>
      <c r="S138" s="55"/>
      <c r="T138" s="350"/>
      <c r="U138" s="55"/>
      <c r="V138" s="55"/>
      <c r="W138" s="55"/>
      <c r="X138" s="55"/>
      <c r="Y138" s="55"/>
      <c r="Z138" s="55"/>
      <c r="AA138" s="55"/>
    </row>
    <row r="139">
      <c r="A139" s="55"/>
      <c r="B139" s="55"/>
      <c r="C139" s="55"/>
      <c r="D139" s="55"/>
      <c r="E139" s="55"/>
      <c r="F139" s="365"/>
      <c r="G139" s="55"/>
      <c r="H139" s="55"/>
      <c r="I139" s="360" t="s">
        <v>1176</v>
      </c>
      <c r="J139" s="55">
        <v>0.0</v>
      </c>
      <c r="K139" s="55" t="s">
        <v>1040</v>
      </c>
      <c r="L139" s="360"/>
      <c r="M139" s="55"/>
      <c r="N139" s="55"/>
      <c r="O139" s="360" t="s">
        <v>1423</v>
      </c>
      <c r="P139" s="55">
        <v>0.0</v>
      </c>
      <c r="Q139" s="55" t="s">
        <v>6164</v>
      </c>
      <c r="R139" s="360"/>
      <c r="S139" s="55"/>
      <c r="T139" s="350"/>
      <c r="U139" s="55"/>
      <c r="V139" s="55"/>
      <c r="W139" s="55"/>
      <c r="X139" s="55"/>
      <c r="Y139" s="55"/>
      <c r="Z139" s="55"/>
      <c r="AA139" s="55"/>
    </row>
    <row r="140">
      <c r="A140" s="55"/>
      <c r="B140" s="55"/>
      <c r="C140" s="55"/>
      <c r="D140" s="55"/>
      <c r="E140" s="55"/>
      <c r="F140" s="365"/>
      <c r="G140" s="55"/>
      <c r="H140" s="55"/>
      <c r="I140" s="360" t="s">
        <v>1177</v>
      </c>
      <c r="J140" s="55">
        <v>0.0</v>
      </c>
      <c r="K140" s="55" t="s">
        <v>1040</v>
      </c>
      <c r="L140" s="360"/>
      <c r="M140" s="55"/>
      <c r="N140" s="55"/>
      <c r="O140" s="360" t="s">
        <v>1424</v>
      </c>
      <c r="P140" s="55">
        <v>0.0</v>
      </c>
      <c r="Q140" s="55" t="s">
        <v>6164</v>
      </c>
      <c r="R140" s="360"/>
      <c r="S140" s="55"/>
      <c r="T140" s="350"/>
      <c r="U140" s="55"/>
      <c r="V140" s="55"/>
      <c r="W140" s="55"/>
      <c r="X140" s="55"/>
      <c r="Y140" s="55"/>
      <c r="Z140" s="55"/>
      <c r="AA140" s="55"/>
    </row>
    <row r="141">
      <c r="A141" s="55"/>
      <c r="B141" s="55"/>
      <c r="C141" s="55"/>
      <c r="D141" s="55"/>
      <c r="E141" s="55"/>
      <c r="F141" s="365"/>
      <c r="G141" s="55"/>
      <c r="H141" s="55"/>
      <c r="I141" s="360" t="s">
        <v>1178</v>
      </c>
      <c r="J141" s="55">
        <v>0.0</v>
      </c>
      <c r="K141" s="55" t="s">
        <v>1137</v>
      </c>
      <c r="L141" s="360"/>
      <c r="M141" s="55"/>
      <c r="N141" s="55"/>
      <c r="O141" s="360" t="s">
        <v>1425</v>
      </c>
      <c r="P141" s="55">
        <v>0.0</v>
      </c>
      <c r="Q141" s="55" t="s">
        <v>24</v>
      </c>
      <c r="R141" s="360"/>
      <c r="S141" s="55"/>
      <c r="T141" s="350"/>
      <c r="U141" s="55"/>
      <c r="V141" s="55"/>
      <c r="W141" s="55"/>
      <c r="X141" s="55"/>
      <c r="Y141" s="55"/>
      <c r="Z141" s="55"/>
      <c r="AA141" s="55"/>
    </row>
    <row r="142">
      <c r="A142" s="55"/>
      <c r="B142" s="55"/>
      <c r="C142" s="55"/>
      <c r="D142" s="55"/>
      <c r="E142" s="55"/>
      <c r="F142" s="365"/>
      <c r="G142" s="55"/>
      <c r="H142" s="55"/>
      <c r="I142" s="360" t="s">
        <v>1179</v>
      </c>
      <c r="J142" s="55">
        <v>0.0</v>
      </c>
      <c r="K142" s="55" t="s">
        <v>1137</v>
      </c>
      <c r="L142" s="360"/>
      <c r="M142" s="55"/>
      <c r="N142" s="55"/>
      <c r="O142" s="360" t="s">
        <v>1426</v>
      </c>
      <c r="P142" s="55">
        <v>0.0</v>
      </c>
      <c r="Q142" s="55" t="s">
        <v>24</v>
      </c>
      <c r="R142" s="360"/>
      <c r="S142" s="55"/>
      <c r="T142" s="350"/>
      <c r="U142" s="55"/>
      <c r="V142" s="55"/>
      <c r="W142" s="55"/>
      <c r="X142" s="55"/>
      <c r="Y142" s="55"/>
      <c r="Z142" s="55"/>
      <c r="AA142" s="55"/>
    </row>
    <row r="143">
      <c r="A143" s="55"/>
      <c r="B143" s="55"/>
      <c r="C143" s="55"/>
      <c r="D143" s="55"/>
      <c r="E143" s="55"/>
      <c r="F143" s="365"/>
      <c r="G143" s="55"/>
      <c r="H143" s="55"/>
      <c r="I143" s="360" t="s">
        <v>1180</v>
      </c>
      <c r="J143" s="55">
        <v>0.0</v>
      </c>
      <c r="K143" s="55" t="s">
        <v>25</v>
      </c>
      <c r="L143" s="360"/>
      <c r="M143" s="55"/>
      <c r="N143" s="55"/>
      <c r="O143" s="360" t="s">
        <v>1315</v>
      </c>
      <c r="P143" s="55">
        <v>0.0</v>
      </c>
      <c r="Q143" s="55" t="s">
        <v>24</v>
      </c>
      <c r="R143" s="360"/>
      <c r="S143" s="55"/>
      <c r="T143" s="350"/>
      <c r="U143" s="55"/>
      <c r="V143" s="55"/>
      <c r="W143" s="55"/>
      <c r="X143" s="55"/>
      <c r="Y143" s="55"/>
      <c r="Z143" s="55"/>
      <c r="AA143" s="55"/>
    </row>
    <row r="144">
      <c r="A144" s="55"/>
      <c r="B144" s="55"/>
      <c r="C144" s="55"/>
      <c r="D144" s="55"/>
      <c r="E144" s="55"/>
      <c r="F144" s="365"/>
      <c r="G144" s="55"/>
      <c r="H144" s="55"/>
      <c r="I144" s="360" t="s">
        <v>1181</v>
      </c>
      <c r="J144" s="55">
        <v>0.0</v>
      </c>
      <c r="K144" s="55" t="s">
        <v>25</v>
      </c>
      <c r="L144" s="360"/>
      <c r="M144" s="55"/>
      <c r="N144" s="55"/>
      <c r="O144" s="360" t="s">
        <v>1427</v>
      </c>
      <c r="P144" s="55">
        <v>0.0</v>
      </c>
      <c r="Q144" s="55" t="s">
        <v>1040</v>
      </c>
      <c r="R144" s="360"/>
      <c r="S144" s="55"/>
      <c r="T144" s="350"/>
      <c r="U144" s="55"/>
      <c r="V144" s="55"/>
      <c r="W144" s="55"/>
      <c r="X144" s="55"/>
      <c r="Y144" s="55"/>
      <c r="Z144" s="55"/>
      <c r="AA144" s="55"/>
    </row>
    <row r="145">
      <c r="A145" s="55"/>
      <c r="B145" s="55"/>
      <c r="C145" s="55"/>
      <c r="D145" s="55"/>
      <c r="E145" s="55"/>
      <c r="F145" s="365"/>
      <c r="G145" s="55"/>
      <c r="H145" s="55"/>
      <c r="I145" s="360" t="s">
        <v>1182</v>
      </c>
      <c r="J145" s="55">
        <v>0.0</v>
      </c>
      <c r="K145" s="55" t="s">
        <v>25</v>
      </c>
      <c r="L145" s="360"/>
      <c r="M145" s="55"/>
      <c r="N145" s="55"/>
      <c r="O145" s="360" t="s">
        <v>1428</v>
      </c>
      <c r="P145" s="55">
        <v>0.0</v>
      </c>
      <c r="Q145" s="55" t="s">
        <v>1040</v>
      </c>
      <c r="R145" s="360"/>
      <c r="S145" s="55"/>
      <c r="T145" s="350"/>
      <c r="U145" s="55"/>
      <c r="V145" s="55"/>
      <c r="W145" s="55"/>
      <c r="X145" s="55"/>
      <c r="Y145" s="55"/>
      <c r="Z145" s="55"/>
      <c r="AA145" s="55"/>
    </row>
    <row r="146">
      <c r="A146" s="55"/>
      <c r="B146" s="55"/>
      <c r="C146" s="55"/>
      <c r="D146" s="55"/>
      <c r="E146" s="55"/>
      <c r="F146" s="365"/>
      <c r="G146" s="55"/>
      <c r="H146" s="55"/>
      <c r="I146" s="360" t="s">
        <v>1183</v>
      </c>
      <c r="J146" s="55">
        <v>0.0</v>
      </c>
      <c r="K146" s="55" t="s">
        <v>25</v>
      </c>
      <c r="L146" s="360"/>
      <c r="M146" s="55"/>
      <c r="N146" s="55"/>
      <c r="O146" s="360" t="s">
        <v>1429</v>
      </c>
      <c r="P146" s="55">
        <v>0.0</v>
      </c>
      <c r="Q146" s="55" t="s">
        <v>6164</v>
      </c>
      <c r="R146" s="360"/>
      <c r="S146" s="55"/>
      <c r="T146" s="350"/>
      <c r="U146" s="55"/>
      <c r="V146" s="55"/>
      <c r="W146" s="55"/>
      <c r="X146" s="55"/>
      <c r="Y146" s="55"/>
      <c r="Z146" s="55"/>
      <c r="AA146" s="55"/>
    </row>
    <row r="147">
      <c r="A147" s="55"/>
      <c r="B147" s="55"/>
      <c r="C147" s="55"/>
      <c r="D147" s="55"/>
      <c r="E147" s="55"/>
      <c r="F147" s="365"/>
      <c r="G147" s="55"/>
      <c r="H147" s="55"/>
      <c r="I147" s="360" t="s">
        <v>1184</v>
      </c>
      <c r="J147" s="55">
        <v>0.0</v>
      </c>
      <c r="K147" s="55" t="s">
        <v>25</v>
      </c>
      <c r="L147" s="360"/>
      <c r="M147" s="55"/>
      <c r="N147" s="55"/>
      <c r="O147" s="360" t="s">
        <v>1430</v>
      </c>
      <c r="P147" s="55">
        <v>0.0</v>
      </c>
      <c r="Q147" s="55" t="s">
        <v>24</v>
      </c>
      <c r="R147" s="360"/>
      <c r="S147" s="55"/>
      <c r="T147" s="350"/>
      <c r="U147" s="55"/>
      <c r="V147" s="55"/>
      <c r="W147" s="55"/>
      <c r="X147" s="55"/>
      <c r="Y147" s="55"/>
      <c r="Z147" s="55"/>
      <c r="AA147" s="55"/>
    </row>
    <row r="148">
      <c r="A148" s="55"/>
      <c r="B148" s="55"/>
      <c r="C148" s="55"/>
      <c r="D148" s="55"/>
      <c r="E148" s="55"/>
      <c r="F148" s="365"/>
      <c r="G148" s="55"/>
      <c r="H148" s="55"/>
      <c r="I148" s="360" t="s">
        <v>6205</v>
      </c>
      <c r="J148" s="55">
        <v>0.0</v>
      </c>
      <c r="K148" s="55" t="s">
        <v>25</v>
      </c>
      <c r="L148" s="360"/>
      <c r="M148" s="55"/>
      <c r="N148" s="55"/>
      <c r="O148" s="360" t="s">
        <v>1431</v>
      </c>
      <c r="P148" s="55">
        <v>0.0</v>
      </c>
      <c r="Q148" s="55" t="s">
        <v>6164</v>
      </c>
      <c r="R148" s="360"/>
      <c r="S148" s="55"/>
      <c r="T148" s="350"/>
      <c r="U148" s="55"/>
      <c r="V148" s="55"/>
      <c r="W148" s="55"/>
      <c r="X148" s="55"/>
      <c r="Y148" s="55"/>
      <c r="Z148" s="55"/>
      <c r="AA148" s="55"/>
    </row>
    <row r="149">
      <c r="A149" s="55"/>
      <c r="B149" s="55"/>
      <c r="C149" s="55"/>
      <c r="D149" s="55"/>
      <c r="E149" s="55"/>
      <c r="F149" s="365"/>
      <c r="G149" s="55"/>
      <c r="H149" s="55"/>
      <c r="I149" s="360" t="s">
        <v>1185</v>
      </c>
      <c r="J149" s="55">
        <v>0.0</v>
      </c>
      <c r="K149" s="55" t="s">
        <v>1137</v>
      </c>
      <c r="L149" s="360"/>
      <c r="M149" s="55"/>
      <c r="N149" s="55"/>
      <c r="O149" s="360" t="s">
        <v>1432</v>
      </c>
      <c r="P149" s="55">
        <v>0.0</v>
      </c>
      <c r="Q149" s="55" t="s">
        <v>6164</v>
      </c>
      <c r="R149" s="360"/>
      <c r="S149" s="55"/>
      <c r="T149" s="350"/>
      <c r="U149" s="55"/>
      <c r="V149" s="55"/>
      <c r="W149" s="55"/>
      <c r="X149" s="55"/>
      <c r="Y149" s="55"/>
      <c r="Z149" s="55"/>
      <c r="AA149" s="55"/>
    </row>
    <row r="150">
      <c r="A150" s="55"/>
      <c r="B150" s="55"/>
      <c r="C150" s="55"/>
      <c r="D150" s="55"/>
      <c r="E150" s="55"/>
      <c r="F150" s="365"/>
      <c r="G150" s="55"/>
      <c r="H150" s="55"/>
      <c r="I150" s="360" t="s">
        <v>1186</v>
      </c>
      <c r="J150" s="55">
        <v>0.0</v>
      </c>
      <c r="K150" s="55" t="s">
        <v>1137</v>
      </c>
      <c r="L150" s="360"/>
      <c r="M150" s="55"/>
      <c r="N150" s="55"/>
      <c r="O150" s="360" t="s">
        <v>1433</v>
      </c>
      <c r="P150" s="55">
        <v>0.0</v>
      </c>
      <c r="Q150" s="55" t="s">
        <v>24</v>
      </c>
      <c r="R150" s="360"/>
      <c r="S150" s="55"/>
      <c r="T150" s="350"/>
      <c r="U150" s="55"/>
      <c r="V150" s="55"/>
      <c r="W150" s="55"/>
      <c r="X150" s="55"/>
      <c r="Y150" s="55"/>
      <c r="Z150" s="55"/>
      <c r="AA150" s="55"/>
    </row>
    <row r="151">
      <c r="A151" s="55"/>
      <c r="B151" s="55"/>
      <c r="C151" s="55"/>
      <c r="D151" s="55"/>
      <c r="E151" s="55"/>
      <c r="F151" s="365"/>
      <c r="G151" s="55"/>
      <c r="H151" s="55"/>
      <c r="I151" s="360" t="s">
        <v>1187</v>
      </c>
      <c r="J151" s="55">
        <v>0.0</v>
      </c>
      <c r="K151" s="55" t="s">
        <v>1137</v>
      </c>
      <c r="L151" s="360"/>
      <c r="M151" s="55"/>
      <c r="N151" s="55"/>
      <c r="O151" s="360" t="s">
        <v>1434</v>
      </c>
      <c r="P151" s="55">
        <v>0.0</v>
      </c>
      <c r="Q151" s="55" t="s">
        <v>24</v>
      </c>
      <c r="R151" s="360"/>
      <c r="S151" s="55"/>
      <c r="T151" s="350"/>
      <c r="U151" s="55"/>
      <c r="V151" s="55"/>
      <c r="W151" s="55"/>
      <c r="X151" s="55"/>
      <c r="Y151" s="55"/>
      <c r="Z151" s="55"/>
      <c r="AA151" s="55"/>
    </row>
    <row r="152">
      <c r="A152" s="55"/>
      <c r="B152" s="55"/>
      <c r="C152" s="55"/>
      <c r="D152" s="55"/>
      <c r="E152" s="55"/>
      <c r="F152" s="365"/>
      <c r="G152" s="55"/>
      <c r="H152" s="55"/>
      <c r="I152" s="360" t="s">
        <v>1188</v>
      </c>
      <c r="J152" s="55">
        <v>0.0</v>
      </c>
      <c r="K152" s="55" t="s">
        <v>1137</v>
      </c>
      <c r="L152" s="360"/>
      <c r="M152" s="55"/>
      <c r="N152" s="55"/>
      <c r="O152" s="360" t="s">
        <v>1435</v>
      </c>
      <c r="P152" s="55">
        <v>0.0</v>
      </c>
      <c r="Q152" s="55" t="s">
        <v>24</v>
      </c>
      <c r="R152" s="360"/>
      <c r="S152" s="55"/>
      <c r="T152" s="350"/>
      <c r="U152" s="55"/>
      <c r="V152" s="55"/>
      <c r="W152" s="55"/>
      <c r="X152" s="55"/>
      <c r="Y152" s="55"/>
      <c r="Z152" s="55"/>
      <c r="AA152" s="55"/>
    </row>
    <row r="153">
      <c r="A153" s="55"/>
      <c r="B153" s="55"/>
      <c r="C153" s="55"/>
      <c r="D153" s="55"/>
      <c r="E153" s="55"/>
      <c r="F153" s="365"/>
      <c r="G153" s="55"/>
      <c r="H153" s="55"/>
      <c r="I153" s="360" t="s">
        <v>1189</v>
      </c>
      <c r="J153" s="55">
        <v>0.0</v>
      </c>
      <c r="K153" s="55" t="s">
        <v>1168</v>
      </c>
      <c r="L153" s="360"/>
      <c r="M153" s="55"/>
      <c r="N153" s="55"/>
      <c r="O153" s="360" t="s">
        <v>1436</v>
      </c>
      <c r="P153" s="55">
        <v>0.0</v>
      </c>
      <c r="Q153" s="55" t="s">
        <v>6164</v>
      </c>
      <c r="R153" s="360"/>
      <c r="S153" s="55"/>
      <c r="T153" s="350"/>
      <c r="U153" s="55"/>
      <c r="V153" s="55"/>
      <c r="W153" s="55"/>
      <c r="X153" s="55"/>
      <c r="Y153" s="55"/>
      <c r="Z153" s="55"/>
      <c r="AA153" s="55"/>
    </row>
    <row r="154">
      <c r="A154" s="55"/>
      <c r="B154" s="55"/>
      <c r="C154" s="55"/>
      <c r="D154" s="55"/>
      <c r="E154" s="55"/>
      <c r="F154" s="365"/>
      <c r="G154" s="55"/>
      <c r="H154" s="55"/>
      <c r="I154" s="360" t="s">
        <v>1190</v>
      </c>
      <c r="J154" s="55">
        <v>0.0</v>
      </c>
      <c r="K154" s="55" t="s">
        <v>1168</v>
      </c>
      <c r="L154" s="360"/>
      <c r="M154" s="55"/>
      <c r="N154" s="55"/>
      <c r="O154" s="360" t="s">
        <v>1437</v>
      </c>
      <c r="P154" s="55">
        <v>0.0</v>
      </c>
      <c r="Q154" s="55" t="s">
        <v>24</v>
      </c>
      <c r="R154" s="360"/>
      <c r="S154" s="55"/>
      <c r="T154" s="350"/>
      <c r="U154" s="55"/>
      <c r="V154" s="55"/>
      <c r="W154" s="55"/>
      <c r="X154" s="55"/>
      <c r="Y154" s="55"/>
      <c r="Z154" s="55"/>
      <c r="AA154" s="55"/>
    </row>
    <row r="155">
      <c r="A155" s="55"/>
      <c r="B155" s="55"/>
      <c r="C155" s="55"/>
      <c r="D155" s="55"/>
      <c r="E155" s="55"/>
      <c r="F155" s="365"/>
      <c r="G155" s="55"/>
      <c r="H155" s="55"/>
      <c r="I155" s="360" t="s">
        <v>6206</v>
      </c>
      <c r="J155" s="55">
        <v>0.0</v>
      </c>
      <c r="K155" s="55" t="s">
        <v>1168</v>
      </c>
      <c r="L155" s="360"/>
      <c r="M155" s="55"/>
      <c r="N155" s="55"/>
      <c r="O155" s="360" t="s">
        <v>1438</v>
      </c>
      <c r="P155" s="55">
        <v>0.0</v>
      </c>
      <c r="Q155" s="55" t="s">
        <v>6164</v>
      </c>
      <c r="R155" s="360"/>
      <c r="S155" s="55"/>
      <c r="T155" s="350"/>
      <c r="U155" s="55"/>
      <c r="V155" s="55"/>
      <c r="W155" s="55"/>
      <c r="X155" s="55"/>
      <c r="Y155" s="55"/>
      <c r="Z155" s="55"/>
      <c r="AA155" s="55"/>
    </row>
    <row r="156">
      <c r="A156" s="55"/>
      <c r="B156" s="55"/>
      <c r="C156" s="55"/>
      <c r="D156" s="55"/>
      <c r="E156" s="55"/>
      <c r="F156" s="365"/>
      <c r="G156" s="55"/>
      <c r="H156" s="55"/>
      <c r="I156" s="360" t="s">
        <v>1191</v>
      </c>
      <c r="J156" s="55">
        <v>0.0</v>
      </c>
      <c r="K156" s="55" t="s">
        <v>1168</v>
      </c>
      <c r="L156" s="360"/>
      <c r="M156" s="55"/>
      <c r="N156" s="55"/>
      <c r="O156" s="360" t="s">
        <v>1439</v>
      </c>
      <c r="P156" s="55">
        <v>0.0</v>
      </c>
      <c r="Q156" s="55" t="s">
        <v>6164</v>
      </c>
      <c r="R156" s="360"/>
      <c r="S156" s="55"/>
      <c r="T156" s="350"/>
      <c r="U156" s="55"/>
      <c r="V156" s="55"/>
      <c r="W156" s="55"/>
      <c r="X156" s="55"/>
      <c r="Y156" s="55"/>
      <c r="Z156" s="55"/>
      <c r="AA156" s="55"/>
    </row>
    <row r="157">
      <c r="A157" s="55"/>
      <c r="B157" s="55"/>
      <c r="C157" s="55"/>
      <c r="D157" s="55"/>
      <c r="E157" s="55"/>
      <c r="F157" s="365"/>
      <c r="G157" s="55"/>
      <c r="H157" s="55"/>
      <c r="I157" s="360" t="s">
        <v>1192</v>
      </c>
      <c r="J157" s="55">
        <v>0.0</v>
      </c>
      <c r="K157" s="55" t="s">
        <v>25</v>
      </c>
      <c r="L157" s="360"/>
      <c r="M157" s="55"/>
      <c r="N157" s="55"/>
      <c r="O157" s="360" t="s">
        <v>1440</v>
      </c>
      <c r="P157" s="55">
        <v>0.0</v>
      </c>
      <c r="Q157" s="55" t="s">
        <v>24</v>
      </c>
      <c r="R157" s="360"/>
      <c r="S157" s="55"/>
      <c r="T157" s="350"/>
      <c r="U157" s="55"/>
      <c r="V157" s="55"/>
      <c r="W157" s="55"/>
      <c r="X157" s="55"/>
      <c r="Y157" s="55"/>
      <c r="Z157" s="55"/>
      <c r="AA157" s="55"/>
    </row>
    <row r="158">
      <c r="A158" s="55"/>
      <c r="B158" s="55"/>
      <c r="C158" s="55"/>
      <c r="D158" s="55"/>
      <c r="E158" s="55"/>
      <c r="F158" s="365"/>
      <c r="G158" s="55"/>
      <c r="H158" s="55"/>
      <c r="I158" s="360" t="s">
        <v>1193</v>
      </c>
      <c r="J158" s="55">
        <v>0.0</v>
      </c>
      <c r="K158" s="55" t="s">
        <v>1168</v>
      </c>
      <c r="L158" s="360"/>
      <c r="M158" s="55"/>
      <c r="N158" s="55"/>
      <c r="O158" s="360"/>
      <c r="P158" s="55"/>
      <c r="Q158" s="55"/>
      <c r="R158" s="360"/>
      <c r="S158" s="55"/>
      <c r="T158" s="350"/>
      <c r="U158" s="55"/>
      <c r="V158" s="55"/>
      <c r="W158" s="55"/>
      <c r="X158" s="55"/>
      <c r="Y158" s="55"/>
      <c r="Z158" s="55"/>
      <c r="AA158" s="55"/>
    </row>
    <row r="159">
      <c r="A159" s="55"/>
      <c r="B159" s="55"/>
      <c r="C159" s="55"/>
      <c r="D159" s="55"/>
      <c r="E159" s="55"/>
      <c r="F159" s="365"/>
      <c r="G159" s="55"/>
      <c r="H159" s="55"/>
      <c r="I159" s="360" t="s">
        <v>1194</v>
      </c>
      <c r="J159" s="55">
        <v>0.0</v>
      </c>
      <c r="K159" s="55" t="s">
        <v>1168</v>
      </c>
      <c r="L159" s="360"/>
      <c r="M159" s="55"/>
      <c r="N159" s="55"/>
      <c r="O159" s="360"/>
      <c r="P159" s="55"/>
      <c r="Q159" s="55"/>
      <c r="R159" s="360"/>
      <c r="S159" s="55"/>
      <c r="T159" s="350"/>
      <c r="U159" s="55"/>
      <c r="V159" s="55"/>
      <c r="W159" s="55"/>
      <c r="X159" s="55"/>
      <c r="Y159" s="55"/>
      <c r="Z159" s="55"/>
      <c r="AA159" s="55"/>
    </row>
    <row r="160">
      <c r="A160" s="55"/>
      <c r="B160" s="55"/>
      <c r="C160" s="55"/>
      <c r="D160" s="55"/>
      <c r="E160" s="55"/>
      <c r="F160" s="365"/>
      <c r="G160" s="55"/>
      <c r="H160" s="55"/>
      <c r="I160" s="360" t="s">
        <v>1195</v>
      </c>
      <c r="J160" s="55">
        <v>0.0</v>
      </c>
      <c r="K160" s="55" t="s">
        <v>25</v>
      </c>
      <c r="L160" s="360"/>
      <c r="M160" s="55"/>
      <c r="N160" s="55"/>
      <c r="O160" s="360"/>
      <c r="P160" s="55"/>
      <c r="Q160" s="55"/>
      <c r="R160" s="360"/>
      <c r="S160" s="55"/>
      <c r="T160" s="350"/>
      <c r="U160" s="55"/>
      <c r="V160" s="55"/>
      <c r="W160" s="55"/>
      <c r="X160" s="55"/>
      <c r="Y160" s="55"/>
      <c r="Z160" s="55"/>
      <c r="AA160" s="55"/>
    </row>
    <row r="161">
      <c r="A161" s="55"/>
      <c r="B161" s="55"/>
      <c r="C161" s="55"/>
      <c r="D161" s="55"/>
      <c r="E161" s="55"/>
      <c r="F161" s="365"/>
      <c r="G161" s="55"/>
      <c r="H161" s="55"/>
      <c r="I161" s="360" t="s">
        <v>1196</v>
      </c>
      <c r="J161" s="55">
        <v>0.0</v>
      </c>
      <c r="K161" s="55" t="s">
        <v>25</v>
      </c>
      <c r="L161" s="360"/>
      <c r="M161" s="55"/>
      <c r="N161" s="55"/>
      <c r="O161" s="360"/>
      <c r="P161" s="55"/>
      <c r="Q161" s="55"/>
      <c r="R161" s="360"/>
      <c r="S161" s="55"/>
      <c r="T161" s="350"/>
      <c r="U161" s="55"/>
      <c r="V161" s="55"/>
      <c r="W161" s="55"/>
      <c r="X161" s="55"/>
      <c r="Y161" s="55"/>
      <c r="Z161" s="55"/>
      <c r="AA161" s="55"/>
    </row>
    <row r="162">
      <c r="A162" s="55"/>
      <c r="B162" s="55"/>
      <c r="C162" s="55"/>
      <c r="D162" s="55"/>
      <c r="E162" s="55"/>
      <c r="F162" s="365"/>
      <c r="G162" s="55"/>
      <c r="H162" s="55"/>
      <c r="I162" s="360" t="s">
        <v>1197</v>
      </c>
      <c r="J162" s="55">
        <v>0.0</v>
      </c>
      <c r="K162" s="55" t="s">
        <v>1137</v>
      </c>
      <c r="L162" s="360"/>
      <c r="M162" s="55"/>
      <c r="N162" s="55"/>
      <c r="O162" s="360"/>
      <c r="P162" s="55"/>
      <c r="Q162" s="55"/>
      <c r="R162" s="360"/>
      <c r="S162" s="55"/>
      <c r="T162" s="350"/>
      <c r="U162" s="55"/>
      <c r="V162" s="55"/>
      <c r="W162" s="55"/>
      <c r="X162" s="55"/>
      <c r="Y162" s="55"/>
      <c r="Z162" s="55"/>
      <c r="AA162" s="55"/>
    </row>
    <row r="163">
      <c r="A163" s="55"/>
      <c r="B163" s="55"/>
      <c r="C163" s="55"/>
      <c r="D163" s="55"/>
      <c r="E163" s="55"/>
      <c r="F163" s="365"/>
      <c r="G163" s="55"/>
      <c r="H163" s="55"/>
      <c r="I163" s="360" t="s">
        <v>1198</v>
      </c>
      <c r="J163" s="55">
        <v>0.0</v>
      </c>
      <c r="K163" s="55" t="s">
        <v>1137</v>
      </c>
      <c r="L163" s="360"/>
      <c r="M163" s="55"/>
      <c r="N163" s="55"/>
      <c r="O163" s="360"/>
      <c r="P163" s="55"/>
      <c r="Q163" s="55"/>
      <c r="R163" s="360"/>
      <c r="S163" s="55"/>
      <c r="T163" s="350"/>
      <c r="U163" s="55"/>
      <c r="V163" s="55"/>
      <c r="W163" s="55"/>
      <c r="X163" s="55"/>
      <c r="Y163" s="55"/>
      <c r="Z163" s="55"/>
      <c r="AA163" s="55"/>
    </row>
    <row r="164">
      <c r="A164" s="55"/>
      <c r="B164" s="55"/>
      <c r="C164" s="55"/>
      <c r="D164" s="55"/>
      <c r="E164" s="55"/>
      <c r="F164" s="365"/>
      <c r="G164" s="55"/>
      <c r="H164" s="55"/>
      <c r="I164" s="360" t="s">
        <v>1199</v>
      </c>
      <c r="J164" s="55">
        <v>0.0</v>
      </c>
      <c r="K164" s="55" t="s">
        <v>1040</v>
      </c>
      <c r="L164" s="360"/>
      <c r="M164" s="55"/>
      <c r="N164" s="55"/>
      <c r="O164" s="360"/>
      <c r="P164" s="55"/>
      <c r="Q164" s="55"/>
      <c r="R164" s="360"/>
      <c r="S164" s="55"/>
      <c r="T164" s="350"/>
      <c r="U164" s="55"/>
      <c r="V164" s="55"/>
      <c r="W164" s="55"/>
      <c r="X164" s="55"/>
      <c r="Y164" s="55"/>
      <c r="Z164" s="55"/>
      <c r="AA164" s="55"/>
    </row>
    <row r="165">
      <c r="A165" s="55"/>
      <c r="B165" s="55"/>
      <c r="C165" s="55"/>
      <c r="D165" s="55"/>
      <c r="E165" s="55"/>
      <c r="F165" s="365"/>
      <c r="G165" s="55"/>
      <c r="H165" s="55"/>
      <c r="I165" s="360" t="s">
        <v>1200</v>
      </c>
      <c r="J165" s="55">
        <v>0.0</v>
      </c>
      <c r="K165" s="55" t="s">
        <v>1040</v>
      </c>
      <c r="L165" s="360"/>
      <c r="M165" s="55"/>
      <c r="N165" s="55"/>
      <c r="O165" s="360"/>
      <c r="P165" s="55"/>
      <c r="Q165" s="55"/>
      <c r="R165" s="360"/>
      <c r="S165" s="55"/>
      <c r="T165" s="350"/>
      <c r="U165" s="55"/>
      <c r="V165" s="55"/>
      <c r="W165" s="55"/>
      <c r="X165" s="55"/>
      <c r="Y165" s="55"/>
      <c r="Z165" s="55"/>
      <c r="AA165" s="55"/>
    </row>
    <row r="166">
      <c r="A166" s="55"/>
      <c r="B166" s="55"/>
      <c r="C166" s="55"/>
      <c r="D166" s="55"/>
      <c r="E166" s="55"/>
      <c r="F166" s="365"/>
      <c r="G166" s="55"/>
      <c r="H166" s="55"/>
      <c r="I166" s="360" t="s">
        <v>1201</v>
      </c>
      <c r="J166" s="55">
        <v>0.0</v>
      </c>
      <c r="K166" s="55" t="s">
        <v>1040</v>
      </c>
      <c r="L166" s="360"/>
      <c r="M166" s="55"/>
      <c r="N166" s="55"/>
      <c r="O166" s="360"/>
      <c r="P166" s="55"/>
      <c r="Q166" s="55"/>
      <c r="R166" s="360"/>
      <c r="S166" s="55"/>
      <c r="T166" s="350"/>
      <c r="U166" s="55"/>
      <c r="V166" s="55"/>
      <c r="W166" s="55"/>
      <c r="X166" s="55"/>
      <c r="Y166" s="55"/>
      <c r="Z166" s="55"/>
      <c r="AA166" s="55"/>
    </row>
    <row r="167">
      <c r="A167" s="55"/>
      <c r="B167" s="55"/>
      <c r="C167" s="55"/>
      <c r="D167" s="55"/>
      <c r="E167" s="55"/>
      <c r="F167" s="365"/>
      <c r="G167" s="55"/>
      <c r="H167" s="55"/>
      <c r="I167" s="360" t="s">
        <v>1202</v>
      </c>
      <c r="J167" s="55">
        <v>0.0</v>
      </c>
      <c r="K167" s="55" t="s">
        <v>1040</v>
      </c>
      <c r="L167" s="360"/>
      <c r="M167" s="55"/>
      <c r="N167" s="55"/>
      <c r="O167" s="360"/>
      <c r="P167" s="55"/>
      <c r="Q167" s="55"/>
      <c r="R167" s="360"/>
      <c r="S167" s="55"/>
      <c r="T167" s="350"/>
      <c r="U167" s="55"/>
      <c r="V167" s="55"/>
      <c r="W167" s="55"/>
      <c r="X167" s="55"/>
      <c r="Y167" s="55"/>
      <c r="Z167" s="55"/>
      <c r="AA167" s="55"/>
    </row>
    <row r="168">
      <c r="A168" s="55"/>
      <c r="B168" s="55"/>
      <c r="C168" s="55"/>
      <c r="D168" s="55"/>
      <c r="E168" s="55"/>
      <c r="F168" s="365"/>
      <c r="G168" s="55"/>
      <c r="H168" s="55"/>
      <c r="I168" s="360" t="s">
        <v>1203</v>
      </c>
      <c r="J168" s="55">
        <v>0.0</v>
      </c>
      <c r="K168" s="55" t="s">
        <v>1137</v>
      </c>
      <c r="L168" s="360"/>
      <c r="M168" s="55"/>
      <c r="N168" s="55"/>
      <c r="O168" s="360"/>
      <c r="P168" s="55"/>
      <c r="Q168" s="55"/>
      <c r="R168" s="360"/>
      <c r="S168" s="55"/>
      <c r="T168" s="350"/>
      <c r="U168" s="55"/>
      <c r="V168" s="55"/>
      <c r="W168" s="55"/>
      <c r="X168" s="55"/>
      <c r="Y168" s="55"/>
      <c r="Z168" s="55"/>
      <c r="AA168" s="55"/>
    </row>
    <row r="169">
      <c r="A169" s="55"/>
      <c r="B169" s="55"/>
      <c r="C169" s="55"/>
      <c r="D169" s="55"/>
      <c r="E169" s="55"/>
      <c r="F169" s="365"/>
      <c r="G169" s="55"/>
      <c r="H169" s="55"/>
      <c r="I169" s="360" t="s">
        <v>1204</v>
      </c>
      <c r="J169" s="55">
        <v>0.0</v>
      </c>
      <c r="K169" s="55" t="s">
        <v>1137</v>
      </c>
      <c r="L169" s="360"/>
      <c r="M169" s="55"/>
      <c r="N169" s="55"/>
      <c r="O169" s="360"/>
      <c r="P169" s="55"/>
      <c r="Q169" s="55"/>
      <c r="R169" s="360"/>
      <c r="S169" s="55"/>
      <c r="T169" s="350"/>
      <c r="U169" s="55"/>
      <c r="V169" s="55"/>
      <c r="W169" s="55"/>
      <c r="X169" s="55"/>
      <c r="Y169" s="55"/>
      <c r="Z169" s="55"/>
      <c r="AA169" s="55"/>
    </row>
    <row r="170">
      <c r="A170" s="55"/>
      <c r="B170" s="55"/>
      <c r="C170" s="55"/>
      <c r="D170" s="55"/>
      <c r="E170" s="55"/>
      <c r="F170" s="365"/>
      <c r="G170" s="55"/>
      <c r="H170" s="55"/>
      <c r="I170" s="360" t="s">
        <v>1205</v>
      </c>
      <c r="J170" s="55">
        <v>0.0</v>
      </c>
      <c r="K170" s="55" t="s">
        <v>1137</v>
      </c>
      <c r="L170" s="360"/>
      <c r="M170" s="55"/>
      <c r="N170" s="55"/>
      <c r="O170" s="360"/>
      <c r="P170" s="55"/>
      <c r="Q170" s="55"/>
      <c r="R170" s="360"/>
      <c r="S170" s="55"/>
      <c r="T170" s="350"/>
      <c r="U170" s="55"/>
      <c r="V170" s="55"/>
      <c r="W170" s="55"/>
      <c r="X170" s="55"/>
      <c r="Y170" s="55"/>
      <c r="Z170" s="55"/>
      <c r="AA170" s="55"/>
    </row>
    <row r="171">
      <c r="A171" s="55"/>
      <c r="B171" s="55"/>
      <c r="C171" s="55"/>
      <c r="D171" s="55"/>
      <c r="E171" s="55"/>
      <c r="F171" s="365"/>
      <c r="G171" s="55"/>
      <c r="H171" s="55"/>
      <c r="I171" s="360" t="s">
        <v>1206</v>
      </c>
      <c r="J171" s="55">
        <v>0.0</v>
      </c>
      <c r="K171" s="55" t="s">
        <v>1137</v>
      </c>
      <c r="L171" s="360"/>
      <c r="M171" s="55"/>
      <c r="N171" s="55"/>
      <c r="O171" s="360"/>
      <c r="P171" s="55"/>
      <c r="Q171" s="55"/>
      <c r="R171" s="360"/>
      <c r="S171" s="55"/>
      <c r="T171" s="350"/>
      <c r="U171" s="55"/>
      <c r="V171" s="55"/>
      <c r="W171" s="55"/>
      <c r="X171" s="55"/>
      <c r="Y171" s="55"/>
      <c r="Z171" s="55"/>
      <c r="AA171" s="55"/>
    </row>
    <row r="172">
      <c r="A172" s="55"/>
      <c r="B172" s="55"/>
      <c r="C172" s="55"/>
      <c r="D172" s="55"/>
      <c r="E172" s="55"/>
      <c r="F172" s="365"/>
      <c r="G172" s="55"/>
      <c r="H172" s="55"/>
      <c r="I172" s="360" t="s">
        <v>1207</v>
      </c>
      <c r="J172" s="55">
        <v>0.0</v>
      </c>
      <c r="K172" s="55" t="s">
        <v>1137</v>
      </c>
      <c r="L172" s="360"/>
      <c r="M172" s="55"/>
      <c r="N172" s="55"/>
      <c r="O172" s="360"/>
      <c r="P172" s="55"/>
      <c r="Q172" s="55"/>
      <c r="R172" s="360"/>
      <c r="S172" s="55"/>
      <c r="T172" s="350"/>
      <c r="U172" s="55"/>
      <c r="V172" s="55"/>
      <c r="W172" s="55"/>
      <c r="X172" s="55"/>
      <c r="Y172" s="55"/>
      <c r="Z172" s="55"/>
      <c r="AA172" s="55"/>
    </row>
    <row r="173">
      <c r="A173" s="55"/>
      <c r="B173" s="55"/>
      <c r="C173" s="55"/>
      <c r="D173" s="55"/>
      <c r="E173" s="55"/>
      <c r="F173" s="365"/>
      <c r="G173" s="55"/>
      <c r="H173" s="55"/>
      <c r="I173" s="360" t="s">
        <v>1208</v>
      </c>
      <c r="J173" s="55">
        <v>0.0</v>
      </c>
      <c r="K173" s="55" t="s">
        <v>1137</v>
      </c>
      <c r="L173" s="360"/>
      <c r="M173" s="55"/>
      <c r="N173" s="55"/>
      <c r="O173" s="360"/>
      <c r="P173" s="55"/>
      <c r="Q173" s="55"/>
      <c r="R173" s="360"/>
      <c r="S173" s="55"/>
      <c r="T173" s="350"/>
      <c r="U173" s="55"/>
      <c r="V173" s="55"/>
      <c r="W173" s="55"/>
      <c r="X173" s="55"/>
      <c r="Y173" s="55"/>
      <c r="Z173" s="55"/>
      <c r="AA173" s="55"/>
    </row>
    <row r="174">
      <c r="A174" s="55"/>
      <c r="B174" s="55"/>
      <c r="C174" s="55"/>
      <c r="D174" s="55"/>
      <c r="E174" s="55"/>
      <c r="F174" s="365"/>
      <c r="G174" s="55"/>
      <c r="H174" s="55"/>
      <c r="I174" s="360" t="s">
        <v>1209</v>
      </c>
      <c r="J174" s="55">
        <v>0.0</v>
      </c>
      <c r="K174" s="55" t="s">
        <v>1168</v>
      </c>
      <c r="L174" s="360"/>
      <c r="M174" s="55"/>
      <c r="N174" s="55"/>
      <c r="O174" s="360"/>
      <c r="P174" s="55"/>
      <c r="Q174" s="55"/>
      <c r="R174" s="360"/>
      <c r="S174" s="55"/>
      <c r="T174" s="350"/>
      <c r="U174" s="55"/>
      <c r="V174" s="55"/>
      <c r="W174" s="55"/>
      <c r="X174" s="55"/>
      <c r="Y174" s="55"/>
      <c r="Z174" s="55"/>
      <c r="AA174" s="55"/>
    </row>
    <row r="175">
      <c r="A175" s="55"/>
      <c r="B175" s="55"/>
      <c r="C175" s="55"/>
      <c r="D175" s="55"/>
      <c r="E175" s="55"/>
      <c r="F175" s="365"/>
      <c r="G175" s="55"/>
      <c r="H175" s="55"/>
      <c r="I175" s="360" t="s">
        <v>1210</v>
      </c>
      <c r="J175" s="55">
        <v>0.0</v>
      </c>
      <c r="K175" s="55" t="s">
        <v>1168</v>
      </c>
      <c r="L175" s="360"/>
      <c r="M175" s="55"/>
      <c r="N175" s="55"/>
      <c r="O175" s="360"/>
      <c r="P175" s="55"/>
      <c r="Q175" s="55"/>
      <c r="R175" s="360"/>
      <c r="S175" s="55"/>
      <c r="T175" s="350"/>
      <c r="U175" s="55"/>
      <c r="V175" s="55"/>
      <c r="W175" s="55"/>
      <c r="X175" s="55"/>
      <c r="Y175" s="55"/>
      <c r="Z175" s="55"/>
      <c r="AA175" s="55"/>
    </row>
    <row r="176">
      <c r="A176" s="55"/>
      <c r="B176" s="55"/>
      <c r="C176" s="55"/>
      <c r="D176" s="55"/>
      <c r="E176" s="55"/>
      <c r="F176" s="365"/>
      <c r="G176" s="55"/>
      <c r="H176" s="55"/>
      <c r="I176" s="360" t="s">
        <v>1211</v>
      </c>
      <c r="J176" s="55">
        <v>0.0</v>
      </c>
      <c r="K176" s="55" t="s">
        <v>1168</v>
      </c>
      <c r="L176" s="360"/>
      <c r="M176" s="55"/>
      <c r="N176" s="55"/>
      <c r="O176" s="360"/>
      <c r="P176" s="55"/>
      <c r="Q176" s="55"/>
      <c r="R176" s="360"/>
      <c r="S176" s="55"/>
      <c r="T176" s="350"/>
      <c r="U176" s="55"/>
      <c r="V176" s="55"/>
      <c r="W176" s="55"/>
      <c r="X176" s="55"/>
      <c r="Y176" s="55"/>
      <c r="Z176" s="55"/>
      <c r="AA176" s="55"/>
    </row>
    <row r="177">
      <c r="A177" s="55"/>
      <c r="B177" s="55"/>
      <c r="C177" s="55"/>
      <c r="D177" s="55"/>
      <c r="E177" s="55"/>
      <c r="F177" s="365"/>
      <c r="G177" s="55"/>
      <c r="H177" s="55"/>
      <c r="I177" s="360" t="s">
        <v>1212</v>
      </c>
      <c r="J177" s="55">
        <v>0.0</v>
      </c>
      <c r="K177" s="55" t="s">
        <v>1168</v>
      </c>
      <c r="L177" s="360"/>
      <c r="M177" s="55"/>
      <c r="N177" s="55"/>
      <c r="O177" s="360"/>
      <c r="P177" s="55"/>
      <c r="Q177" s="55"/>
      <c r="R177" s="360"/>
      <c r="S177" s="55"/>
      <c r="T177" s="350"/>
      <c r="U177" s="55"/>
      <c r="V177" s="55"/>
      <c r="W177" s="55"/>
      <c r="X177" s="55"/>
      <c r="Y177" s="55"/>
      <c r="Z177" s="55"/>
      <c r="AA177" s="55"/>
    </row>
    <row r="178">
      <c r="A178" s="55"/>
      <c r="B178" s="55"/>
      <c r="C178" s="55"/>
      <c r="D178" s="55"/>
      <c r="E178" s="55"/>
      <c r="F178" s="365"/>
      <c r="G178" s="55"/>
      <c r="H178" s="55"/>
      <c r="I178" s="360" t="s">
        <v>1213</v>
      </c>
      <c r="J178" s="55">
        <v>0.0</v>
      </c>
      <c r="K178" s="55" t="s">
        <v>1168</v>
      </c>
      <c r="L178" s="360"/>
      <c r="M178" s="55"/>
      <c r="N178" s="55"/>
      <c r="O178" s="360"/>
      <c r="P178" s="55"/>
      <c r="Q178" s="55"/>
      <c r="R178" s="360"/>
      <c r="S178" s="55"/>
      <c r="T178" s="350"/>
      <c r="U178" s="55"/>
      <c r="V178" s="55"/>
      <c r="W178" s="55"/>
      <c r="X178" s="55"/>
      <c r="Y178" s="55"/>
      <c r="Z178" s="55"/>
      <c r="AA178" s="55"/>
    </row>
    <row r="179">
      <c r="A179" s="55"/>
      <c r="B179" s="55"/>
      <c r="C179" s="55"/>
      <c r="D179" s="55"/>
      <c r="E179" s="55"/>
      <c r="F179" s="365"/>
      <c r="G179" s="55"/>
      <c r="H179" s="55"/>
      <c r="I179" s="360" t="s">
        <v>1214</v>
      </c>
      <c r="J179" s="55">
        <v>0.0</v>
      </c>
      <c r="K179" s="55" t="s">
        <v>1168</v>
      </c>
      <c r="L179" s="360"/>
      <c r="M179" s="55"/>
      <c r="N179" s="55"/>
      <c r="O179" s="360"/>
      <c r="P179" s="55"/>
      <c r="Q179" s="55"/>
      <c r="R179" s="360"/>
      <c r="S179" s="55"/>
      <c r="T179" s="350"/>
      <c r="U179" s="55"/>
      <c r="V179" s="55"/>
      <c r="W179" s="55"/>
      <c r="X179" s="55"/>
      <c r="Y179" s="55"/>
      <c r="Z179" s="55"/>
      <c r="AA179" s="55"/>
    </row>
    <row r="180">
      <c r="A180" s="55"/>
      <c r="B180" s="55"/>
      <c r="C180" s="55"/>
      <c r="D180" s="55"/>
      <c r="E180" s="55"/>
      <c r="F180" s="365"/>
      <c r="G180" s="55"/>
      <c r="H180" s="55"/>
      <c r="I180" s="360" t="s">
        <v>1215</v>
      </c>
      <c r="J180" s="55">
        <v>0.0</v>
      </c>
      <c r="K180" s="55" t="s">
        <v>25</v>
      </c>
      <c r="L180" s="360"/>
      <c r="M180" s="55"/>
      <c r="N180" s="55"/>
      <c r="O180" s="360"/>
      <c r="P180" s="55"/>
      <c r="Q180" s="55"/>
      <c r="R180" s="360"/>
      <c r="S180" s="55"/>
      <c r="T180" s="350"/>
      <c r="U180" s="55"/>
      <c r="V180" s="55"/>
      <c r="W180" s="55"/>
      <c r="X180" s="55"/>
      <c r="Y180" s="55"/>
      <c r="Z180" s="55"/>
      <c r="AA180" s="55"/>
    </row>
    <row r="181">
      <c r="A181" s="55"/>
      <c r="B181" s="55"/>
      <c r="C181" s="55"/>
      <c r="D181" s="55"/>
      <c r="E181" s="55"/>
      <c r="F181" s="365"/>
      <c r="G181" s="55"/>
      <c r="H181" s="55"/>
      <c r="I181" s="360" t="s">
        <v>1216</v>
      </c>
      <c r="J181" s="55">
        <v>0.0</v>
      </c>
      <c r="K181" s="55" t="s">
        <v>1040</v>
      </c>
      <c r="L181" s="360"/>
      <c r="M181" s="55"/>
      <c r="N181" s="55"/>
      <c r="O181" s="360"/>
      <c r="P181" s="55"/>
      <c r="Q181" s="55"/>
      <c r="R181" s="360"/>
      <c r="S181" s="55"/>
      <c r="T181" s="350"/>
      <c r="U181" s="55"/>
      <c r="V181" s="55"/>
      <c r="W181" s="55"/>
      <c r="X181" s="55"/>
      <c r="Y181" s="55"/>
      <c r="Z181" s="55"/>
      <c r="AA181" s="55"/>
    </row>
    <row r="182">
      <c r="A182" s="55"/>
      <c r="B182" s="55"/>
      <c r="C182" s="55"/>
      <c r="D182" s="55"/>
      <c r="E182" s="55"/>
      <c r="F182" s="365"/>
      <c r="G182" s="55"/>
      <c r="H182" s="55"/>
      <c r="I182" s="360" t="s">
        <v>1217</v>
      </c>
      <c r="J182" s="55">
        <v>0.0</v>
      </c>
      <c r="K182" s="55" t="s">
        <v>1040</v>
      </c>
      <c r="L182" s="360"/>
      <c r="M182" s="55"/>
      <c r="N182" s="55"/>
      <c r="O182" s="360"/>
      <c r="P182" s="55"/>
      <c r="Q182" s="55"/>
      <c r="R182" s="360"/>
      <c r="S182" s="55"/>
      <c r="T182" s="350"/>
      <c r="U182" s="55"/>
      <c r="V182" s="55"/>
      <c r="W182" s="55"/>
      <c r="X182" s="55"/>
      <c r="Y182" s="55"/>
      <c r="Z182" s="55"/>
      <c r="AA182" s="55"/>
    </row>
    <row r="183">
      <c r="A183" s="55"/>
      <c r="B183" s="55"/>
      <c r="C183" s="55"/>
      <c r="D183" s="55"/>
      <c r="E183" s="55"/>
      <c r="F183" s="365"/>
      <c r="G183" s="55"/>
      <c r="H183" s="55"/>
      <c r="I183" s="360" t="s">
        <v>1218</v>
      </c>
      <c r="J183" s="55">
        <v>0.0</v>
      </c>
      <c r="K183" s="55" t="s">
        <v>25</v>
      </c>
      <c r="L183" s="360"/>
      <c r="M183" s="55"/>
      <c r="N183" s="55"/>
      <c r="O183" s="360"/>
      <c r="P183" s="55"/>
      <c r="Q183" s="55"/>
      <c r="R183" s="360"/>
      <c r="S183" s="55"/>
      <c r="T183" s="350"/>
      <c r="U183" s="55"/>
      <c r="V183" s="55"/>
      <c r="W183" s="55"/>
      <c r="X183" s="55"/>
      <c r="Y183" s="55"/>
      <c r="Z183" s="55"/>
      <c r="AA183" s="55"/>
    </row>
    <row r="184">
      <c r="A184" s="55"/>
      <c r="B184" s="55"/>
      <c r="C184" s="55"/>
      <c r="D184" s="55"/>
      <c r="E184" s="55"/>
      <c r="F184" s="365"/>
      <c r="G184" s="55"/>
      <c r="H184" s="55"/>
      <c r="I184" s="360" t="s">
        <v>1219</v>
      </c>
      <c r="J184" s="55">
        <v>0.0</v>
      </c>
      <c r="K184" s="55" t="s">
        <v>25</v>
      </c>
      <c r="L184" s="360"/>
      <c r="M184" s="55"/>
      <c r="N184" s="55"/>
      <c r="O184" s="360"/>
      <c r="P184" s="55"/>
      <c r="Q184" s="55"/>
      <c r="R184" s="360"/>
      <c r="S184" s="55"/>
      <c r="T184" s="350"/>
      <c r="U184" s="55"/>
      <c r="V184" s="55"/>
      <c r="W184" s="55"/>
      <c r="X184" s="55"/>
      <c r="Y184" s="55"/>
      <c r="Z184" s="55"/>
      <c r="AA184" s="55"/>
    </row>
    <row r="185">
      <c r="A185" s="55"/>
      <c r="B185" s="55"/>
      <c r="C185" s="55"/>
      <c r="D185" s="55"/>
      <c r="E185" s="55"/>
      <c r="F185" s="365"/>
      <c r="G185" s="55"/>
      <c r="H185" s="55"/>
      <c r="I185" s="360" t="s">
        <v>1220</v>
      </c>
      <c r="J185" s="55">
        <v>0.0</v>
      </c>
      <c r="K185" s="55" t="s">
        <v>1168</v>
      </c>
      <c r="L185" s="360"/>
      <c r="M185" s="55"/>
      <c r="N185" s="55"/>
      <c r="O185" s="360"/>
      <c r="P185" s="55"/>
      <c r="Q185" s="55"/>
      <c r="R185" s="360"/>
      <c r="S185" s="55"/>
      <c r="T185" s="350"/>
      <c r="U185" s="55"/>
      <c r="V185" s="55"/>
      <c r="W185" s="55"/>
      <c r="X185" s="55"/>
      <c r="Y185" s="55"/>
      <c r="Z185" s="55"/>
      <c r="AA185" s="55"/>
    </row>
    <row r="186">
      <c r="A186" s="55"/>
      <c r="B186" s="55"/>
      <c r="C186" s="55"/>
      <c r="D186" s="55"/>
      <c r="E186" s="55"/>
      <c r="F186" s="365"/>
      <c r="G186" s="55"/>
      <c r="H186" s="55"/>
      <c r="I186" s="360" t="s">
        <v>1221</v>
      </c>
      <c r="J186" s="55">
        <v>0.0</v>
      </c>
      <c r="K186" s="55" t="s">
        <v>1168</v>
      </c>
      <c r="L186" s="360"/>
      <c r="M186" s="55"/>
      <c r="N186" s="55"/>
      <c r="O186" s="360"/>
      <c r="P186" s="55"/>
      <c r="Q186" s="55"/>
      <c r="R186" s="360"/>
      <c r="S186" s="55"/>
      <c r="T186" s="350"/>
      <c r="U186" s="55"/>
      <c r="V186" s="55"/>
      <c r="W186" s="55"/>
      <c r="X186" s="55"/>
      <c r="Y186" s="55"/>
      <c r="Z186" s="55"/>
      <c r="AA186" s="55"/>
    </row>
    <row r="187">
      <c r="A187" s="55"/>
      <c r="B187" s="55"/>
      <c r="C187" s="55"/>
      <c r="D187" s="55"/>
      <c r="E187" s="55"/>
      <c r="F187" s="365"/>
      <c r="G187" s="55"/>
      <c r="H187" s="55"/>
      <c r="I187" s="360" t="s">
        <v>1222</v>
      </c>
      <c r="J187" s="55">
        <v>0.0</v>
      </c>
      <c r="K187" s="55" t="s">
        <v>1168</v>
      </c>
      <c r="L187" s="360"/>
      <c r="M187" s="55"/>
      <c r="N187" s="55"/>
      <c r="O187" s="360"/>
      <c r="P187" s="55"/>
      <c r="Q187" s="55"/>
      <c r="R187" s="360"/>
      <c r="S187" s="55"/>
      <c r="T187" s="350"/>
      <c r="U187" s="55"/>
      <c r="V187" s="55"/>
      <c r="W187" s="55"/>
      <c r="X187" s="55"/>
      <c r="Y187" s="55"/>
      <c r="Z187" s="55"/>
      <c r="AA187" s="55"/>
    </row>
    <row r="188">
      <c r="A188" s="55"/>
      <c r="B188" s="55"/>
      <c r="C188" s="55"/>
      <c r="D188" s="55"/>
      <c r="E188" s="55"/>
      <c r="F188" s="365"/>
      <c r="G188" s="55"/>
      <c r="H188" s="55"/>
      <c r="I188" s="360" t="s">
        <v>1223</v>
      </c>
      <c r="J188" s="55">
        <v>0.0</v>
      </c>
      <c r="K188" s="55" t="s">
        <v>1168</v>
      </c>
      <c r="L188" s="360"/>
      <c r="M188" s="55"/>
      <c r="N188" s="55"/>
      <c r="O188" s="360"/>
      <c r="P188" s="55"/>
      <c r="Q188" s="55"/>
      <c r="R188" s="360"/>
      <c r="S188" s="55"/>
      <c r="T188" s="350"/>
      <c r="U188" s="55"/>
      <c r="V188" s="55"/>
      <c r="W188" s="55"/>
      <c r="X188" s="55"/>
      <c r="Y188" s="55"/>
      <c r="Z188" s="55"/>
      <c r="AA188" s="55"/>
    </row>
    <row r="189">
      <c r="A189" s="55"/>
      <c r="B189" s="55"/>
      <c r="C189" s="55"/>
      <c r="D189" s="55"/>
      <c r="E189" s="55"/>
      <c r="F189" s="365"/>
      <c r="G189" s="55"/>
      <c r="H189" s="55"/>
      <c r="I189" s="360" t="s">
        <v>1224</v>
      </c>
      <c r="J189" s="55">
        <v>0.0</v>
      </c>
      <c r="K189" s="55" t="s">
        <v>1168</v>
      </c>
      <c r="L189" s="360"/>
      <c r="M189" s="55"/>
      <c r="N189" s="55"/>
      <c r="O189" s="360"/>
      <c r="P189" s="55"/>
      <c r="Q189" s="55"/>
      <c r="R189" s="360"/>
      <c r="S189" s="55"/>
      <c r="T189" s="350"/>
      <c r="U189" s="55"/>
      <c r="V189" s="55"/>
      <c r="W189" s="55"/>
      <c r="X189" s="55"/>
      <c r="Y189" s="55"/>
      <c r="Z189" s="55"/>
      <c r="AA189" s="55"/>
    </row>
    <row r="190">
      <c r="A190" s="55"/>
      <c r="B190" s="55"/>
      <c r="C190" s="55"/>
      <c r="D190" s="55"/>
      <c r="E190" s="55"/>
      <c r="F190" s="365"/>
      <c r="G190" s="55"/>
      <c r="H190" s="55"/>
      <c r="I190" s="360" t="s">
        <v>1225</v>
      </c>
      <c r="J190" s="55">
        <v>0.0</v>
      </c>
      <c r="K190" s="55" t="s">
        <v>1168</v>
      </c>
      <c r="L190" s="360"/>
      <c r="M190" s="55"/>
      <c r="N190" s="55"/>
      <c r="O190" s="360"/>
      <c r="P190" s="55"/>
      <c r="Q190" s="55"/>
      <c r="R190" s="360"/>
      <c r="S190" s="55"/>
      <c r="T190" s="350"/>
      <c r="U190" s="55"/>
      <c r="V190" s="55"/>
      <c r="W190" s="55"/>
      <c r="X190" s="55"/>
      <c r="Y190" s="55"/>
      <c r="Z190" s="55"/>
      <c r="AA190" s="55"/>
    </row>
    <row r="191">
      <c r="A191" s="55"/>
      <c r="B191" s="55"/>
      <c r="C191" s="55"/>
      <c r="D191" s="55"/>
      <c r="E191" s="55"/>
      <c r="F191" s="365"/>
      <c r="G191" s="55"/>
      <c r="H191" s="55"/>
      <c r="I191" s="360" t="s">
        <v>1226</v>
      </c>
      <c r="J191" s="55">
        <v>0.0</v>
      </c>
      <c r="K191" s="55" t="s">
        <v>1040</v>
      </c>
      <c r="L191" s="360"/>
      <c r="M191" s="55"/>
      <c r="N191" s="55"/>
      <c r="O191" s="360"/>
      <c r="P191" s="55"/>
      <c r="Q191" s="55"/>
      <c r="R191" s="360"/>
      <c r="S191" s="55"/>
      <c r="T191" s="350"/>
      <c r="U191" s="55"/>
      <c r="V191" s="55"/>
      <c r="W191" s="55"/>
      <c r="X191" s="55"/>
      <c r="Y191" s="55"/>
      <c r="Z191" s="55"/>
      <c r="AA191" s="55"/>
    </row>
    <row r="192">
      <c r="A192" s="55"/>
      <c r="B192" s="55"/>
      <c r="C192" s="55"/>
      <c r="D192" s="55"/>
      <c r="E192" s="55"/>
      <c r="F192" s="365"/>
      <c r="G192" s="55"/>
      <c r="H192" s="55"/>
      <c r="I192" s="360" t="s">
        <v>1227</v>
      </c>
      <c r="J192" s="55">
        <v>0.0</v>
      </c>
      <c r="K192" s="55" t="s">
        <v>1040</v>
      </c>
      <c r="L192" s="360"/>
      <c r="M192" s="55"/>
      <c r="N192" s="55"/>
      <c r="O192" s="360"/>
      <c r="P192" s="55"/>
      <c r="Q192" s="55"/>
      <c r="R192" s="360"/>
      <c r="S192" s="55"/>
      <c r="T192" s="350"/>
      <c r="U192" s="55"/>
      <c r="V192" s="55"/>
      <c r="W192" s="55"/>
      <c r="X192" s="55"/>
      <c r="Y192" s="55"/>
      <c r="Z192" s="55"/>
      <c r="AA192" s="55"/>
    </row>
    <row r="193">
      <c r="A193" s="55"/>
      <c r="B193" s="55"/>
      <c r="C193" s="55"/>
      <c r="D193" s="55"/>
      <c r="E193" s="55"/>
      <c r="F193" s="365"/>
      <c r="G193" s="55"/>
      <c r="H193" s="55"/>
      <c r="I193" s="360" t="s">
        <v>1228</v>
      </c>
      <c r="J193" s="55">
        <v>0.0</v>
      </c>
      <c r="K193" s="55" t="s">
        <v>25</v>
      </c>
      <c r="L193" s="360"/>
      <c r="M193" s="55"/>
      <c r="N193" s="55"/>
      <c r="O193" s="360"/>
      <c r="P193" s="55"/>
      <c r="Q193" s="55"/>
      <c r="R193" s="360"/>
      <c r="S193" s="55"/>
      <c r="T193" s="350"/>
      <c r="U193" s="55"/>
      <c r="V193" s="55"/>
      <c r="W193" s="55"/>
      <c r="X193" s="55"/>
      <c r="Y193" s="55"/>
      <c r="Z193" s="55"/>
      <c r="AA193" s="55"/>
    </row>
    <row r="194">
      <c r="A194" s="55"/>
      <c r="B194" s="55"/>
      <c r="C194" s="55"/>
      <c r="D194" s="55"/>
      <c r="E194" s="55"/>
      <c r="F194" s="365"/>
      <c r="G194" s="55"/>
      <c r="H194" s="55"/>
      <c r="I194" s="360" t="s">
        <v>1229</v>
      </c>
      <c r="J194" s="55">
        <v>0.0</v>
      </c>
      <c r="K194" s="55" t="s">
        <v>25</v>
      </c>
      <c r="L194" s="360"/>
      <c r="M194" s="55"/>
      <c r="N194" s="55"/>
      <c r="O194" s="360"/>
      <c r="P194" s="55"/>
      <c r="Q194" s="55"/>
      <c r="R194" s="360"/>
      <c r="S194" s="55"/>
      <c r="T194" s="350"/>
      <c r="U194" s="55"/>
      <c r="V194" s="55"/>
      <c r="W194" s="55"/>
      <c r="X194" s="55"/>
      <c r="Y194" s="55"/>
      <c r="Z194" s="55"/>
      <c r="AA194" s="55"/>
    </row>
    <row r="195">
      <c r="A195" s="55"/>
      <c r="B195" s="55"/>
      <c r="C195" s="55"/>
      <c r="D195" s="55"/>
      <c r="E195" s="55"/>
      <c r="F195" s="365"/>
      <c r="G195" s="55"/>
      <c r="H195" s="55"/>
      <c r="I195" s="360" t="s">
        <v>1230</v>
      </c>
      <c r="J195" s="55">
        <v>0.0</v>
      </c>
      <c r="K195" s="55" t="s">
        <v>1137</v>
      </c>
      <c r="L195" s="360"/>
      <c r="M195" s="55"/>
      <c r="N195" s="55"/>
      <c r="O195" s="360"/>
      <c r="P195" s="55"/>
      <c r="Q195" s="55"/>
      <c r="R195" s="360"/>
      <c r="S195" s="55"/>
      <c r="T195" s="350"/>
      <c r="U195" s="55"/>
      <c r="V195" s="55"/>
      <c r="W195" s="55"/>
      <c r="X195" s="55"/>
      <c r="Y195" s="55"/>
      <c r="Z195" s="55"/>
      <c r="AA195" s="55"/>
    </row>
    <row r="196">
      <c r="A196" s="55"/>
      <c r="B196" s="55"/>
      <c r="C196" s="55"/>
      <c r="D196" s="55"/>
      <c r="E196" s="55"/>
      <c r="F196" s="365"/>
      <c r="G196" s="55"/>
      <c r="H196" s="55"/>
      <c r="I196" s="360" t="s">
        <v>1231</v>
      </c>
      <c r="J196" s="55">
        <v>0.0</v>
      </c>
      <c r="K196" s="55" t="s">
        <v>1137</v>
      </c>
      <c r="L196" s="360"/>
      <c r="M196" s="55"/>
      <c r="N196" s="55"/>
      <c r="O196" s="360"/>
      <c r="P196" s="55"/>
      <c r="Q196" s="55"/>
      <c r="R196" s="360"/>
      <c r="S196" s="55"/>
      <c r="T196" s="350"/>
      <c r="U196" s="55"/>
      <c r="V196" s="55"/>
      <c r="W196" s="55"/>
      <c r="X196" s="55"/>
      <c r="Y196" s="55"/>
      <c r="Z196" s="55"/>
      <c r="AA196" s="55"/>
    </row>
    <row r="197">
      <c r="A197" s="55"/>
      <c r="B197" s="55"/>
      <c r="C197" s="55"/>
      <c r="D197" s="55"/>
      <c r="E197" s="55"/>
      <c r="F197" s="365"/>
      <c r="G197" s="55"/>
      <c r="H197" s="55"/>
      <c r="I197" s="360" t="s">
        <v>6207</v>
      </c>
      <c r="J197" s="55">
        <v>0.0</v>
      </c>
      <c r="K197" s="55" t="s">
        <v>1137</v>
      </c>
      <c r="L197" s="360"/>
      <c r="M197" s="55"/>
      <c r="N197" s="55"/>
      <c r="O197" s="360"/>
      <c r="P197" s="55"/>
      <c r="Q197" s="55"/>
      <c r="R197" s="360"/>
      <c r="S197" s="55"/>
      <c r="T197" s="350"/>
      <c r="U197" s="55"/>
      <c r="V197" s="55"/>
      <c r="W197" s="55"/>
      <c r="X197" s="55"/>
      <c r="Y197" s="55"/>
      <c r="Z197" s="55"/>
      <c r="AA197" s="55"/>
    </row>
    <row r="198">
      <c r="A198" s="55"/>
      <c r="B198" s="55"/>
      <c r="C198" s="55"/>
      <c r="D198" s="55"/>
      <c r="E198" s="55"/>
      <c r="F198" s="365"/>
      <c r="G198" s="55"/>
      <c r="H198" s="55"/>
      <c r="I198" s="360" t="s">
        <v>1232</v>
      </c>
      <c r="J198" s="55">
        <v>0.0</v>
      </c>
      <c r="K198" s="55" t="s">
        <v>25</v>
      </c>
      <c r="L198" s="360"/>
      <c r="M198" s="55"/>
      <c r="N198" s="55"/>
      <c r="O198" s="360"/>
      <c r="P198" s="55"/>
      <c r="Q198" s="55"/>
      <c r="R198" s="360"/>
      <c r="S198" s="55"/>
      <c r="T198" s="350"/>
      <c r="U198" s="55"/>
      <c r="V198" s="55"/>
      <c r="W198" s="55"/>
      <c r="X198" s="55"/>
      <c r="Y198" s="55"/>
      <c r="Z198" s="55"/>
      <c r="AA198" s="55"/>
    </row>
    <row r="199">
      <c r="A199" s="55"/>
      <c r="B199" s="55"/>
      <c r="C199" s="55"/>
      <c r="D199" s="55"/>
      <c r="E199" s="55"/>
      <c r="F199" s="365"/>
      <c r="G199" s="55"/>
      <c r="H199" s="55"/>
      <c r="I199" s="360" t="s">
        <v>1233</v>
      </c>
      <c r="J199" s="55">
        <v>0.0</v>
      </c>
      <c r="K199" s="55" t="s">
        <v>25</v>
      </c>
      <c r="L199" s="360"/>
      <c r="M199" s="55"/>
      <c r="N199" s="55"/>
      <c r="O199" s="360"/>
      <c r="P199" s="55"/>
      <c r="Q199" s="55"/>
      <c r="R199" s="360"/>
      <c r="S199" s="55"/>
      <c r="T199" s="350"/>
      <c r="U199" s="55"/>
      <c r="V199" s="55"/>
      <c r="W199" s="55"/>
      <c r="X199" s="55"/>
      <c r="Y199" s="55"/>
      <c r="Z199" s="55"/>
      <c r="AA199" s="55"/>
    </row>
    <row r="200">
      <c r="A200" s="55"/>
      <c r="B200" s="55"/>
      <c r="C200" s="55"/>
      <c r="D200" s="55"/>
      <c r="E200" s="55"/>
      <c r="F200" s="365"/>
      <c r="G200" s="55"/>
      <c r="H200" s="55"/>
      <c r="I200" s="360" t="s">
        <v>1234</v>
      </c>
      <c r="J200" s="55">
        <v>0.0</v>
      </c>
      <c r="K200" s="55" t="s">
        <v>1040</v>
      </c>
      <c r="L200" s="360"/>
      <c r="M200" s="55"/>
      <c r="N200" s="55"/>
      <c r="O200" s="360"/>
      <c r="P200" s="55"/>
      <c r="Q200" s="55"/>
      <c r="R200" s="360"/>
      <c r="S200" s="55"/>
      <c r="T200" s="350"/>
      <c r="U200" s="55"/>
      <c r="V200" s="55"/>
      <c r="W200" s="55"/>
      <c r="X200" s="55"/>
      <c r="Y200" s="55"/>
      <c r="Z200" s="55"/>
      <c r="AA200" s="55"/>
    </row>
    <row r="201">
      <c r="A201" s="55"/>
      <c r="B201" s="55"/>
      <c r="C201" s="55"/>
      <c r="D201" s="55"/>
      <c r="E201" s="55"/>
      <c r="F201" s="365"/>
      <c r="G201" s="55"/>
      <c r="H201" s="55"/>
      <c r="I201" s="360" t="s">
        <v>1235</v>
      </c>
      <c r="J201" s="55">
        <v>0.0</v>
      </c>
      <c r="K201" s="55" t="s">
        <v>1040</v>
      </c>
      <c r="L201" s="360"/>
      <c r="M201" s="55"/>
      <c r="N201" s="55"/>
      <c r="O201" s="360"/>
      <c r="P201" s="55"/>
      <c r="Q201" s="55"/>
      <c r="R201" s="360"/>
      <c r="S201" s="55"/>
      <c r="T201" s="350"/>
      <c r="U201" s="55"/>
      <c r="V201" s="55"/>
      <c r="W201" s="55"/>
      <c r="X201" s="55"/>
      <c r="Y201" s="55"/>
      <c r="Z201" s="55"/>
      <c r="AA201" s="55"/>
    </row>
    <row r="202">
      <c r="A202" s="55"/>
      <c r="B202" s="55"/>
      <c r="C202" s="55"/>
      <c r="D202" s="55"/>
      <c r="E202" s="55"/>
      <c r="F202" s="365"/>
      <c r="G202" s="55"/>
      <c r="H202" s="55"/>
      <c r="I202" s="360" t="s">
        <v>1236</v>
      </c>
      <c r="J202" s="55">
        <v>0.0</v>
      </c>
      <c r="K202" s="55" t="s">
        <v>1040</v>
      </c>
      <c r="L202" s="360"/>
      <c r="M202" s="55"/>
      <c r="N202" s="55"/>
      <c r="O202" s="360"/>
      <c r="P202" s="55"/>
      <c r="Q202" s="55"/>
      <c r="R202" s="360"/>
      <c r="S202" s="55"/>
      <c r="T202" s="350"/>
      <c r="U202" s="55"/>
      <c r="V202" s="55"/>
      <c r="W202" s="55"/>
      <c r="X202" s="55"/>
      <c r="Y202" s="55"/>
      <c r="Z202" s="55"/>
      <c r="AA202" s="55"/>
    </row>
    <row r="203">
      <c r="A203" s="55"/>
      <c r="B203" s="55"/>
      <c r="C203" s="55"/>
      <c r="D203" s="55"/>
      <c r="E203" s="55"/>
      <c r="F203" s="365"/>
      <c r="G203" s="55"/>
      <c r="H203" s="55"/>
      <c r="I203" s="360" t="s">
        <v>1237</v>
      </c>
      <c r="J203" s="55">
        <v>0.0</v>
      </c>
      <c r="K203" s="55" t="s">
        <v>1168</v>
      </c>
      <c r="L203" s="360"/>
      <c r="M203" s="55"/>
      <c r="N203" s="55"/>
      <c r="O203" s="360"/>
      <c r="P203" s="55"/>
      <c r="Q203" s="55"/>
      <c r="R203" s="360"/>
      <c r="S203" s="55"/>
      <c r="T203" s="350"/>
      <c r="U203" s="55"/>
      <c r="V203" s="55"/>
      <c r="W203" s="55"/>
      <c r="X203" s="55"/>
      <c r="Y203" s="55"/>
      <c r="Z203" s="55"/>
      <c r="AA203" s="55"/>
    </row>
    <row r="204">
      <c r="A204" s="55"/>
      <c r="B204" s="55"/>
      <c r="C204" s="55"/>
      <c r="D204" s="55"/>
      <c r="E204" s="55"/>
      <c r="F204" s="365"/>
      <c r="G204" s="55"/>
      <c r="H204" s="55"/>
      <c r="I204" s="360" t="s">
        <v>1238</v>
      </c>
      <c r="J204" s="55">
        <v>0.0</v>
      </c>
      <c r="K204" s="55" t="s">
        <v>1137</v>
      </c>
      <c r="L204" s="360"/>
      <c r="M204" s="55"/>
      <c r="N204" s="55"/>
      <c r="O204" s="360"/>
      <c r="P204" s="55"/>
      <c r="Q204" s="55"/>
      <c r="R204" s="360"/>
      <c r="S204" s="55"/>
      <c r="T204" s="350"/>
      <c r="U204" s="55"/>
      <c r="V204" s="55"/>
      <c r="W204" s="55"/>
      <c r="X204" s="55"/>
      <c r="Y204" s="55"/>
      <c r="Z204" s="55"/>
      <c r="AA204" s="55"/>
    </row>
    <row r="205">
      <c r="A205" s="55"/>
      <c r="B205" s="55"/>
      <c r="C205" s="55"/>
      <c r="D205" s="55"/>
      <c r="E205" s="55"/>
      <c r="F205" s="365"/>
      <c r="G205" s="55"/>
      <c r="H205" s="55"/>
      <c r="I205" s="360" t="s">
        <v>1239</v>
      </c>
      <c r="J205" s="55">
        <v>0.0</v>
      </c>
      <c r="K205" s="55" t="s">
        <v>25</v>
      </c>
      <c r="L205" s="360"/>
      <c r="M205" s="55"/>
      <c r="N205" s="55"/>
      <c r="O205" s="360"/>
      <c r="P205" s="55"/>
      <c r="Q205" s="55"/>
      <c r="R205" s="360"/>
      <c r="S205" s="55"/>
      <c r="T205" s="350"/>
      <c r="U205" s="55"/>
      <c r="V205" s="55"/>
      <c r="W205" s="55"/>
      <c r="X205" s="55"/>
      <c r="Y205" s="55"/>
      <c r="Z205" s="55"/>
      <c r="AA205" s="55"/>
    </row>
    <row r="206">
      <c r="A206" s="55"/>
      <c r="B206" s="55"/>
      <c r="C206" s="55"/>
      <c r="D206" s="55"/>
      <c r="E206" s="55"/>
      <c r="F206" s="365"/>
      <c r="G206" s="55"/>
      <c r="H206" s="55"/>
      <c r="I206" s="360" t="s">
        <v>1240</v>
      </c>
      <c r="J206" s="55">
        <v>0.0</v>
      </c>
      <c r="K206" s="55" t="s">
        <v>25</v>
      </c>
      <c r="L206" s="360"/>
      <c r="M206" s="55"/>
      <c r="N206" s="55"/>
      <c r="O206" s="360"/>
      <c r="P206" s="55"/>
      <c r="Q206" s="55"/>
      <c r="R206" s="360"/>
      <c r="S206" s="55"/>
      <c r="T206" s="350"/>
      <c r="U206" s="55"/>
      <c r="V206" s="55"/>
      <c r="W206" s="55"/>
      <c r="X206" s="55"/>
      <c r="Y206" s="55"/>
      <c r="Z206" s="55"/>
      <c r="AA206" s="55"/>
    </row>
    <row r="207">
      <c r="A207" s="55"/>
      <c r="B207" s="55"/>
      <c r="C207" s="55"/>
      <c r="D207" s="55"/>
      <c r="E207" s="55"/>
      <c r="F207" s="365"/>
      <c r="G207" s="55"/>
      <c r="H207" s="55"/>
      <c r="I207" s="360" t="s">
        <v>1241</v>
      </c>
      <c r="J207" s="55">
        <v>0.0</v>
      </c>
      <c r="K207" s="55" t="s">
        <v>1168</v>
      </c>
      <c r="L207" s="360"/>
      <c r="M207" s="55"/>
      <c r="N207" s="55"/>
      <c r="O207" s="360"/>
      <c r="P207" s="55"/>
      <c r="Q207" s="55"/>
      <c r="R207" s="360"/>
      <c r="S207" s="55"/>
      <c r="T207" s="350"/>
      <c r="U207" s="55"/>
      <c r="V207" s="55"/>
      <c r="W207" s="55"/>
      <c r="X207" s="55"/>
      <c r="Y207" s="55"/>
      <c r="Z207" s="55"/>
      <c r="AA207" s="55"/>
    </row>
    <row r="208">
      <c r="A208" s="55"/>
      <c r="B208" s="55"/>
      <c r="C208" s="55"/>
      <c r="D208" s="55"/>
      <c r="E208" s="55"/>
      <c r="F208" s="365"/>
      <c r="G208" s="55"/>
      <c r="H208" s="55"/>
      <c r="I208" s="360" t="s">
        <v>1242</v>
      </c>
      <c r="J208" s="55">
        <v>0.0</v>
      </c>
      <c r="K208" s="55" t="s">
        <v>25</v>
      </c>
      <c r="L208" s="360"/>
      <c r="M208" s="55"/>
      <c r="N208" s="55"/>
      <c r="O208" s="360"/>
      <c r="P208" s="55"/>
      <c r="Q208" s="55"/>
      <c r="R208" s="360"/>
      <c r="S208" s="55"/>
      <c r="T208" s="350"/>
      <c r="U208" s="55"/>
      <c r="V208" s="55"/>
      <c r="W208" s="55"/>
      <c r="X208" s="55"/>
      <c r="Y208" s="55"/>
      <c r="Z208" s="55"/>
      <c r="AA208" s="55"/>
    </row>
    <row r="209">
      <c r="A209" s="55"/>
      <c r="B209" s="55"/>
      <c r="C209" s="55"/>
      <c r="D209" s="55"/>
      <c r="E209" s="55"/>
      <c r="F209" s="365"/>
      <c r="G209" s="55"/>
      <c r="H209" s="55"/>
      <c r="I209" s="360" t="s">
        <v>1242</v>
      </c>
      <c r="J209" s="55">
        <v>0.0</v>
      </c>
      <c r="K209" s="55" t="s">
        <v>1168</v>
      </c>
      <c r="L209" s="360"/>
      <c r="M209" s="55"/>
      <c r="N209" s="55"/>
      <c r="O209" s="360"/>
      <c r="P209" s="55"/>
      <c r="Q209" s="55"/>
      <c r="R209" s="360"/>
      <c r="S209" s="55"/>
      <c r="T209" s="350"/>
      <c r="U209" s="55"/>
      <c r="V209" s="55"/>
      <c r="W209" s="55"/>
      <c r="X209" s="55"/>
      <c r="Y209" s="55"/>
      <c r="Z209" s="55"/>
      <c r="AA209" s="55"/>
    </row>
    <row r="210">
      <c r="A210" s="55"/>
      <c r="B210" s="55"/>
      <c r="C210" s="55"/>
      <c r="D210" s="55"/>
      <c r="E210" s="55"/>
      <c r="F210" s="365"/>
      <c r="G210" s="55"/>
      <c r="H210" s="55"/>
      <c r="I210" s="360" t="s">
        <v>1242</v>
      </c>
      <c r="J210" s="55">
        <v>0.0</v>
      </c>
      <c r="K210" s="55" t="s">
        <v>1137</v>
      </c>
      <c r="L210" s="360"/>
      <c r="M210" s="55"/>
      <c r="N210" s="55"/>
      <c r="O210" s="360"/>
      <c r="P210" s="55"/>
      <c r="Q210" s="55"/>
      <c r="R210" s="360"/>
      <c r="S210" s="55"/>
      <c r="T210" s="350"/>
      <c r="U210" s="55"/>
      <c r="V210" s="55"/>
      <c r="W210" s="55"/>
      <c r="X210" s="55"/>
      <c r="Y210" s="55"/>
      <c r="Z210" s="55"/>
      <c r="AA210" s="55"/>
    </row>
    <row r="211">
      <c r="A211" s="55"/>
      <c r="B211" s="55"/>
      <c r="C211" s="55"/>
      <c r="D211" s="55"/>
      <c r="E211" s="55"/>
      <c r="F211" s="365"/>
      <c r="G211" s="55"/>
      <c r="H211" s="55"/>
      <c r="I211" s="360" t="s">
        <v>1243</v>
      </c>
      <c r="J211" s="55">
        <v>0.0</v>
      </c>
      <c r="K211" s="55" t="s">
        <v>1168</v>
      </c>
      <c r="L211" s="360"/>
      <c r="M211" s="55"/>
      <c r="N211" s="55"/>
      <c r="O211" s="360"/>
      <c r="P211" s="55"/>
      <c r="Q211" s="55"/>
      <c r="R211" s="360"/>
      <c r="S211" s="55"/>
      <c r="T211" s="350"/>
      <c r="U211" s="55"/>
      <c r="V211" s="55"/>
      <c r="W211" s="55"/>
      <c r="X211" s="55"/>
      <c r="Y211" s="55"/>
      <c r="Z211" s="55"/>
      <c r="AA211" s="55"/>
    </row>
    <row r="212">
      <c r="A212" s="55"/>
      <c r="B212" s="55"/>
      <c r="C212" s="55"/>
      <c r="D212" s="55"/>
      <c r="E212" s="55"/>
      <c r="F212" s="365"/>
      <c r="G212" s="55"/>
      <c r="H212" s="55"/>
      <c r="I212" s="360" t="s">
        <v>1244</v>
      </c>
      <c r="J212" s="55">
        <v>0.0</v>
      </c>
      <c r="K212" s="55" t="s">
        <v>1168</v>
      </c>
      <c r="L212" s="360"/>
      <c r="M212" s="55"/>
      <c r="N212" s="55"/>
      <c r="O212" s="360"/>
      <c r="P212" s="55"/>
      <c r="Q212" s="55"/>
      <c r="R212" s="360"/>
      <c r="S212" s="55"/>
      <c r="T212" s="350"/>
      <c r="U212" s="55"/>
      <c r="V212" s="55"/>
      <c r="W212" s="55"/>
      <c r="X212" s="55"/>
      <c r="Y212" s="55"/>
      <c r="Z212" s="55"/>
      <c r="AA212" s="55"/>
    </row>
    <row r="213">
      <c r="A213" s="55"/>
      <c r="B213" s="55"/>
      <c r="C213" s="55"/>
      <c r="D213" s="55"/>
      <c r="E213" s="55"/>
      <c r="F213" s="365"/>
      <c r="G213" s="55"/>
      <c r="H213" s="55"/>
      <c r="I213" s="360" t="s">
        <v>1245</v>
      </c>
      <c r="J213" s="55">
        <v>0.0</v>
      </c>
      <c r="K213" s="55" t="s">
        <v>1137</v>
      </c>
      <c r="L213" s="360"/>
      <c r="M213" s="55"/>
      <c r="N213" s="55"/>
      <c r="O213" s="360"/>
      <c r="P213" s="55"/>
      <c r="Q213" s="55"/>
      <c r="R213" s="360"/>
      <c r="S213" s="55"/>
      <c r="T213" s="350"/>
      <c r="U213" s="55"/>
      <c r="V213" s="55"/>
      <c r="W213" s="55"/>
      <c r="X213" s="55"/>
      <c r="Y213" s="55"/>
      <c r="Z213" s="55"/>
      <c r="AA213" s="55"/>
    </row>
    <row r="214">
      <c r="A214" s="55"/>
      <c r="B214" s="55"/>
      <c r="C214" s="55"/>
      <c r="D214" s="55"/>
      <c r="E214" s="55"/>
      <c r="F214" s="365"/>
      <c r="G214" s="55"/>
      <c r="H214" s="55"/>
      <c r="I214" s="360" t="s">
        <v>1246</v>
      </c>
      <c r="J214" s="55">
        <v>0.0</v>
      </c>
      <c r="K214" s="55" t="s">
        <v>1040</v>
      </c>
      <c r="L214" s="360"/>
      <c r="M214" s="55"/>
      <c r="N214" s="55"/>
      <c r="O214" s="360"/>
      <c r="P214" s="55"/>
      <c r="Q214" s="55"/>
      <c r="R214" s="360"/>
      <c r="S214" s="55"/>
      <c r="T214" s="350"/>
      <c r="U214" s="55"/>
      <c r="V214" s="55"/>
      <c r="W214" s="55"/>
      <c r="X214" s="55"/>
      <c r="Y214" s="55"/>
      <c r="Z214" s="55"/>
      <c r="AA214" s="55"/>
    </row>
    <row r="215">
      <c r="A215" s="55"/>
      <c r="B215" s="55"/>
      <c r="C215" s="55"/>
      <c r="D215" s="55"/>
      <c r="E215" s="55"/>
      <c r="F215" s="365"/>
      <c r="G215" s="55"/>
      <c r="H215" s="55"/>
      <c r="I215" s="360" t="s">
        <v>1247</v>
      </c>
      <c r="J215" s="55">
        <v>0.0</v>
      </c>
      <c r="K215" s="55" t="s">
        <v>1040</v>
      </c>
      <c r="L215" s="360"/>
      <c r="M215" s="55"/>
      <c r="N215" s="55"/>
      <c r="O215" s="360"/>
      <c r="P215" s="55"/>
      <c r="Q215" s="55"/>
      <c r="R215" s="360"/>
      <c r="S215" s="55"/>
      <c r="T215" s="350"/>
      <c r="U215" s="55"/>
      <c r="V215" s="55"/>
      <c r="W215" s="55"/>
      <c r="X215" s="55"/>
      <c r="Y215" s="55"/>
      <c r="Z215" s="55"/>
      <c r="AA215" s="55"/>
    </row>
    <row r="216">
      <c r="A216" s="55"/>
      <c r="B216" s="55"/>
      <c r="C216" s="55"/>
      <c r="D216" s="55"/>
      <c r="E216" s="55"/>
      <c r="F216" s="365"/>
      <c r="G216" s="55"/>
      <c r="H216" s="55"/>
      <c r="I216" s="360" t="s">
        <v>1248</v>
      </c>
      <c r="J216" s="55">
        <v>0.0</v>
      </c>
      <c r="K216" s="55" t="s">
        <v>1040</v>
      </c>
      <c r="L216" s="360"/>
      <c r="M216" s="55"/>
      <c r="N216" s="55"/>
      <c r="O216" s="360"/>
      <c r="P216" s="55"/>
      <c r="Q216" s="55"/>
      <c r="R216" s="360"/>
      <c r="S216" s="55"/>
      <c r="T216" s="350"/>
      <c r="U216" s="55"/>
      <c r="V216" s="55"/>
      <c r="W216" s="55"/>
      <c r="X216" s="55"/>
      <c r="Y216" s="55"/>
      <c r="Z216" s="55"/>
      <c r="AA216" s="55"/>
    </row>
    <row r="217">
      <c r="A217" s="55"/>
      <c r="B217" s="55"/>
      <c r="C217" s="55"/>
      <c r="D217" s="55"/>
      <c r="E217" s="55"/>
      <c r="F217" s="365"/>
      <c r="G217" s="55"/>
      <c r="H217" s="55"/>
      <c r="I217" s="360" t="s">
        <v>1249</v>
      </c>
      <c r="J217" s="55">
        <v>0.0</v>
      </c>
      <c r="K217" s="55" t="s">
        <v>1040</v>
      </c>
      <c r="L217" s="360"/>
      <c r="M217" s="55"/>
      <c r="N217" s="55"/>
      <c r="O217" s="360"/>
      <c r="P217" s="55"/>
      <c r="Q217" s="55"/>
      <c r="R217" s="360"/>
      <c r="S217" s="55"/>
      <c r="T217" s="350"/>
      <c r="U217" s="55"/>
      <c r="V217" s="55"/>
      <c r="W217" s="55"/>
      <c r="X217" s="55"/>
      <c r="Y217" s="55"/>
      <c r="Z217" s="55"/>
      <c r="AA217" s="55"/>
    </row>
    <row r="218">
      <c r="A218" s="55"/>
      <c r="B218" s="55"/>
      <c r="C218" s="55"/>
      <c r="D218" s="55"/>
      <c r="E218" s="55"/>
      <c r="F218" s="365"/>
      <c r="G218" s="55"/>
      <c r="H218" s="55"/>
      <c r="I218" s="360" t="s">
        <v>1250</v>
      </c>
      <c r="J218" s="55">
        <v>0.0</v>
      </c>
      <c r="K218" s="55" t="s">
        <v>1137</v>
      </c>
      <c r="L218" s="360"/>
      <c r="M218" s="55"/>
      <c r="N218" s="55"/>
      <c r="O218" s="360"/>
      <c r="P218" s="55"/>
      <c r="Q218" s="55"/>
      <c r="R218" s="360"/>
      <c r="S218" s="55"/>
      <c r="T218" s="350"/>
      <c r="U218" s="55"/>
      <c r="V218" s="55"/>
      <c r="W218" s="55"/>
      <c r="X218" s="55"/>
      <c r="Y218" s="55"/>
      <c r="Z218" s="55"/>
      <c r="AA218" s="55"/>
    </row>
    <row r="219">
      <c r="A219" s="55"/>
      <c r="B219" s="55"/>
      <c r="C219" s="55"/>
      <c r="D219" s="55"/>
      <c r="E219" s="55"/>
      <c r="F219" s="365"/>
      <c r="G219" s="55"/>
      <c r="H219" s="55"/>
      <c r="I219" s="360" t="s">
        <v>1251</v>
      </c>
      <c r="J219" s="55">
        <v>0.0</v>
      </c>
      <c r="K219" s="55" t="s">
        <v>25</v>
      </c>
      <c r="L219" s="360"/>
      <c r="M219" s="55"/>
      <c r="N219" s="55"/>
      <c r="O219" s="360"/>
      <c r="P219" s="55"/>
      <c r="Q219" s="55"/>
      <c r="R219" s="360"/>
      <c r="S219" s="55"/>
      <c r="T219" s="350"/>
      <c r="U219" s="55"/>
      <c r="V219" s="55"/>
      <c r="W219" s="55"/>
      <c r="X219" s="55"/>
      <c r="Y219" s="55"/>
      <c r="Z219" s="55"/>
      <c r="AA219" s="55"/>
    </row>
    <row r="220">
      <c r="A220" s="55"/>
      <c r="B220" s="55"/>
      <c r="C220" s="55"/>
      <c r="D220" s="55"/>
      <c r="E220" s="55"/>
      <c r="F220" s="365"/>
      <c r="G220" s="55"/>
      <c r="H220" s="55"/>
      <c r="I220" s="360" t="s">
        <v>1252</v>
      </c>
      <c r="J220" s="55">
        <v>0.0</v>
      </c>
      <c r="K220" s="55" t="s">
        <v>1168</v>
      </c>
      <c r="L220" s="360"/>
      <c r="M220" s="55"/>
      <c r="N220" s="55"/>
      <c r="O220" s="360"/>
      <c r="P220" s="55"/>
      <c r="Q220" s="55"/>
      <c r="R220" s="360"/>
      <c r="S220" s="55"/>
      <c r="T220" s="350"/>
      <c r="U220" s="55"/>
      <c r="V220" s="55"/>
      <c r="W220" s="55"/>
      <c r="X220" s="55"/>
      <c r="Y220" s="55"/>
      <c r="Z220" s="55"/>
      <c r="AA220" s="55"/>
    </row>
    <row r="221">
      <c r="A221" s="55"/>
      <c r="B221" s="55"/>
      <c r="C221" s="55"/>
      <c r="D221" s="55"/>
      <c r="E221" s="55"/>
      <c r="F221" s="365"/>
      <c r="G221" s="55"/>
      <c r="H221" s="55"/>
      <c r="I221" s="360" t="s">
        <v>1253</v>
      </c>
      <c r="J221" s="55">
        <v>0.0</v>
      </c>
      <c r="K221" s="55" t="s">
        <v>25</v>
      </c>
      <c r="L221" s="360"/>
      <c r="M221" s="55"/>
      <c r="N221" s="55"/>
      <c r="O221" s="360"/>
      <c r="P221" s="55"/>
      <c r="Q221" s="55"/>
      <c r="R221" s="360"/>
      <c r="S221" s="55"/>
      <c r="T221" s="350"/>
      <c r="U221" s="55"/>
      <c r="V221" s="55"/>
      <c r="W221" s="55"/>
      <c r="X221" s="55"/>
      <c r="Y221" s="55"/>
      <c r="Z221" s="55"/>
      <c r="AA221" s="55"/>
    </row>
    <row r="222">
      <c r="A222" s="55"/>
      <c r="B222" s="55"/>
      <c r="C222" s="55"/>
      <c r="D222" s="55"/>
      <c r="E222" s="55"/>
      <c r="F222" s="365"/>
      <c r="G222" s="55"/>
      <c r="H222" s="55"/>
      <c r="I222" s="360" t="s">
        <v>1254</v>
      </c>
      <c r="J222" s="55">
        <v>0.0</v>
      </c>
      <c r="K222" s="55" t="s">
        <v>1137</v>
      </c>
      <c r="L222" s="360"/>
      <c r="M222" s="55"/>
      <c r="N222" s="55"/>
      <c r="O222" s="360"/>
      <c r="P222" s="55"/>
      <c r="Q222" s="55"/>
      <c r="R222" s="360"/>
      <c r="S222" s="55"/>
      <c r="T222" s="350"/>
      <c r="U222" s="55"/>
      <c r="V222" s="55"/>
      <c r="W222" s="55"/>
      <c r="X222" s="55"/>
      <c r="Y222" s="55"/>
      <c r="Z222" s="55"/>
      <c r="AA222" s="55"/>
    </row>
    <row r="223">
      <c r="A223" s="55"/>
      <c r="B223" s="55"/>
      <c r="C223" s="55"/>
      <c r="D223" s="55"/>
      <c r="E223" s="55"/>
      <c r="F223" s="365"/>
      <c r="G223" s="55"/>
      <c r="H223" s="55"/>
      <c r="I223" s="360" t="s">
        <v>1255</v>
      </c>
      <c r="J223" s="55">
        <v>0.0</v>
      </c>
      <c r="K223" s="55" t="s">
        <v>25</v>
      </c>
      <c r="L223" s="360"/>
      <c r="M223" s="55"/>
      <c r="N223" s="55"/>
      <c r="O223" s="360"/>
      <c r="P223" s="55"/>
      <c r="Q223" s="55"/>
      <c r="R223" s="360"/>
      <c r="S223" s="55"/>
      <c r="T223" s="350"/>
      <c r="U223" s="55"/>
      <c r="V223" s="55"/>
      <c r="W223" s="55"/>
      <c r="X223" s="55"/>
      <c r="Y223" s="55"/>
      <c r="Z223" s="55"/>
      <c r="AA223" s="55"/>
    </row>
    <row r="224">
      <c r="A224" s="55"/>
      <c r="B224" s="55"/>
      <c r="C224" s="55"/>
      <c r="D224" s="55"/>
      <c r="E224" s="55"/>
      <c r="F224" s="365"/>
      <c r="G224" s="55"/>
      <c r="H224" s="55"/>
      <c r="I224" s="360" t="s">
        <v>1256</v>
      </c>
      <c r="J224" s="55">
        <v>0.0</v>
      </c>
      <c r="K224" s="55" t="s">
        <v>1168</v>
      </c>
      <c r="L224" s="360"/>
      <c r="M224" s="55"/>
      <c r="N224" s="55"/>
      <c r="O224" s="360"/>
      <c r="P224" s="55"/>
      <c r="Q224" s="55"/>
      <c r="R224" s="360"/>
      <c r="S224" s="55"/>
      <c r="T224" s="350"/>
      <c r="U224" s="55"/>
      <c r="V224" s="55"/>
      <c r="W224" s="55"/>
      <c r="X224" s="55"/>
      <c r="Y224" s="55"/>
      <c r="Z224" s="55"/>
      <c r="AA224" s="55"/>
    </row>
    <row r="225">
      <c r="A225" s="55"/>
      <c r="B225" s="55"/>
      <c r="C225" s="55"/>
      <c r="D225" s="55"/>
      <c r="E225" s="55"/>
      <c r="F225" s="365"/>
      <c r="G225" s="55"/>
      <c r="H225" s="55"/>
      <c r="I225" s="360" t="s">
        <v>1257</v>
      </c>
      <c r="J225" s="55">
        <v>0.0</v>
      </c>
      <c r="K225" s="55" t="s">
        <v>1168</v>
      </c>
      <c r="L225" s="360"/>
      <c r="M225" s="55"/>
      <c r="N225" s="55"/>
      <c r="O225" s="360"/>
      <c r="P225" s="55"/>
      <c r="Q225" s="55"/>
      <c r="R225" s="360"/>
      <c r="S225" s="55"/>
      <c r="T225" s="350"/>
      <c r="U225" s="55"/>
      <c r="V225" s="55"/>
      <c r="W225" s="55"/>
      <c r="X225" s="55"/>
      <c r="Y225" s="55"/>
      <c r="Z225" s="55"/>
      <c r="AA225" s="55"/>
    </row>
    <row r="226">
      <c r="A226" s="55"/>
      <c r="B226" s="55"/>
      <c r="C226" s="55"/>
      <c r="D226" s="55"/>
      <c r="E226" s="55"/>
      <c r="F226" s="365"/>
      <c r="G226" s="55"/>
      <c r="H226" s="55"/>
      <c r="I226" s="360" t="s">
        <v>1258</v>
      </c>
      <c r="J226" s="55">
        <v>0.0</v>
      </c>
      <c r="K226" s="55" t="s">
        <v>1137</v>
      </c>
      <c r="L226" s="360"/>
      <c r="M226" s="55"/>
      <c r="N226" s="55"/>
      <c r="O226" s="360"/>
      <c r="P226" s="55"/>
      <c r="Q226" s="55"/>
      <c r="R226" s="360"/>
      <c r="S226" s="55"/>
      <c r="T226" s="350"/>
      <c r="U226" s="55"/>
      <c r="V226" s="55"/>
      <c r="W226" s="55"/>
      <c r="X226" s="55"/>
      <c r="Y226" s="55"/>
      <c r="Z226" s="55"/>
      <c r="AA226" s="55"/>
    </row>
    <row r="227">
      <c r="A227" s="55"/>
      <c r="B227" s="55"/>
      <c r="C227" s="55"/>
      <c r="D227" s="55"/>
      <c r="E227" s="55"/>
      <c r="F227" s="365"/>
      <c r="G227" s="55"/>
      <c r="H227" s="55"/>
      <c r="I227" s="360" t="s">
        <v>1259</v>
      </c>
      <c r="J227" s="55">
        <v>0.0</v>
      </c>
      <c r="K227" s="55" t="s">
        <v>25</v>
      </c>
      <c r="L227" s="360"/>
      <c r="M227" s="55"/>
      <c r="N227" s="55"/>
      <c r="O227" s="360"/>
      <c r="P227" s="55"/>
      <c r="Q227" s="55"/>
      <c r="R227" s="360"/>
      <c r="S227" s="55"/>
      <c r="T227" s="350"/>
      <c r="U227" s="55"/>
      <c r="V227" s="55"/>
      <c r="W227" s="55"/>
      <c r="X227" s="55"/>
      <c r="Y227" s="55"/>
      <c r="Z227" s="55"/>
      <c r="AA227" s="55"/>
    </row>
    <row r="228">
      <c r="A228" s="55"/>
      <c r="B228" s="55"/>
      <c r="C228" s="55"/>
      <c r="D228" s="55"/>
      <c r="E228" s="55"/>
      <c r="F228" s="365"/>
      <c r="G228" s="55"/>
      <c r="H228" s="55"/>
      <c r="I228" s="360" t="s">
        <v>1260</v>
      </c>
      <c r="J228" s="55">
        <v>0.0</v>
      </c>
      <c r="K228" s="55" t="s">
        <v>1137</v>
      </c>
      <c r="L228" s="360"/>
      <c r="M228" s="55"/>
      <c r="N228" s="55"/>
      <c r="O228" s="360"/>
      <c r="P228" s="55"/>
      <c r="Q228" s="55"/>
      <c r="R228" s="360"/>
      <c r="S228" s="55"/>
      <c r="T228" s="350"/>
      <c r="U228" s="55"/>
      <c r="V228" s="55"/>
      <c r="W228" s="55"/>
      <c r="X228" s="55"/>
      <c r="Y228" s="55"/>
      <c r="Z228" s="55"/>
      <c r="AA228" s="55"/>
    </row>
    <row r="229">
      <c r="A229" s="55"/>
      <c r="B229" s="55"/>
      <c r="C229" s="55"/>
      <c r="D229" s="55"/>
      <c r="E229" s="55"/>
      <c r="F229" s="365"/>
      <c r="G229" s="55"/>
      <c r="H229" s="55"/>
      <c r="I229" s="360" t="s">
        <v>27</v>
      </c>
      <c r="J229" s="55">
        <v>0.0</v>
      </c>
      <c r="K229" s="55" t="s">
        <v>1042</v>
      </c>
      <c r="L229" s="360"/>
      <c r="M229" s="55"/>
      <c r="N229" s="55"/>
      <c r="O229" s="360"/>
      <c r="P229" s="55"/>
      <c r="Q229" s="55"/>
      <c r="R229" s="360"/>
      <c r="S229" s="55"/>
      <c r="T229" s="350"/>
      <c r="U229" s="55"/>
      <c r="V229" s="55"/>
      <c r="W229" s="55"/>
      <c r="X229" s="55"/>
      <c r="Y229" s="55"/>
      <c r="Z229" s="55"/>
      <c r="AA229" s="55"/>
    </row>
    <row r="230">
      <c r="A230" s="55"/>
      <c r="B230" s="55"/>
      <c r="C230" s="55"/>
      <c r="D230" s="55"/>
      <c r="E230" s="55"/>
      <c r="F230" s="365"/>
      <c r="G230" s="55"/>
      <c r="H230" s="55"/>
      <c r="I230" s="360"/>
      <c r="J230" s="55"/>
      <c r="K230" s="55"/>
      <c r="L230" s="360"/>
      <c r="M230" s="55"/>
      <c r="N230" s="55"/>
      <c r="O230" s="360"/>
      <c r="P230" s="55"/>
      <c r="Q230" s="55"/>
      <c r="R230" s="360"/>
      <c r="S230" s="55"/>
      <c r="T230" s="350"/>
      <c r="U230" s="55"/>
      <c r="V230" s="55"/>
      <c r="W230" s="55"/>
      <c r="X230" s="55"/>
      <c r="Y230" s="55"/>
      <c r="Z230" s="55"/>
      <c r="AA230" s="55"/>
    </row>
    <row r="231">
      <c r="A231" s="55"/>
      <c r="B231" s="55"/>
      <c r="C231" s="55"/>
      <c r="D231" s="55"/>
      <c r="E231" s="55"/>
      <c r="F231" s="365"/>
      <c r="G231" s="55"/>
      <c r="H231" s="55"/>
      <c r="I231" s="360"/>
      <c r="J231" s="55"/>
      <c r="K231" s="55"/>
      <c r="L231" s="360"/>
      <c r="M231" s="55"/>
      <c r="N231" s="55"/>
      <c r="O231" s="360"/>
      <c r="P231" s="55"/>
      <c r="Q231" s="55"/>
      <c r="R231" s="360"/>
      <c r="S231" s="55"/>
      <c r="T231" s="350"/>
      <c r="U231" s="55"/>
      <c r="V231" s="55"/>
      <c r="W231" s="55"/>
      <c r="X231" s="55"/>
      <c r="Y231" s="55"/>
      <c r="Z231" s="55"/>
      <c r="AA231" s="55"/>
    </row>
    <row r="232">
      <c r="A232" s="55"/>
      <c r="B232" s="55"/>
      <c r="C232" s="55"/>
      <c r="D232" s="55"/>
      <c r="E232" s="55"/>
      <c r="F232" s="365"/>
      <c r="G232" s="55"/>
      <c r="H232" s="55"/>
      <c r="I232" s="360"/>
      <c r="J232" s="55"/>
      <c r="K232" s="55"/>
      <c r="L232" s="360"/>
      <c r="M232" s="55"/>
      <c r="N232" s="55"/>
      <c r="O232" s="360"/>
      <c r="P232" s="55"/>
      <c r="Q232" s="55"/>
      <c r="R232" s="360"/>
      <c r="S232" s="55"/>
      <c r="T232" s="350"/>
      <c r="U232" s="55"/>
      <c r="V232" s="55"/>
      <c r="W232" s="55"/>
      <c r="X232" s="55"/>
      <c r="Y232" s="55"/>
      <c r="Z232" s="55"/>
      <c r="AA232" s="55"/>
    </row>
    <row r="233">
      <c r="A233" s="55"/>
      <c r="B233" s="55"/>
      <c r="C233" s="55"/>
      <c r="D233" s="55"/>
      <c r="E233" s="55"/>
      <c r="F233" s="365"/>
      <c r="G233" s="55"/>
      <c r="H233" s="55"/>
      <c r="I233" s="360"/>
      <c r="J233" s="55"/>
      <c r="K233" s="55"/>
      <c r="L233" s="360"/>
      <c r="M233" s="55"/>
      <c r="N233" s="55"/>
      <c r="O233" s="360"/>
      <c r="P233" s="55"/>
      <c r="Q233" s="55"/>
      <c r="R233" s="360"/>
      <c r="S233" s="55"/>
      <c r="T233" s="350"/>
      <c r="U233" s="55"/>
      <c r="V233" s="55"/>
      <c r="W233" s="55"/>
      <c r="X233" s="55"/>
      <c r="Y233" s="55"/>
      <c r="Z233" s="55"/>
      <c r="AA233" s="55"/>
    </row>
    <row r="234">
      <c r="A234" s="55"/>
      <c r="B234" s="55"/>
      <c r="C234" s="55"/>
      <c r="D234" s="55"/>
      <c r="E234" s="55"/>
      <c r="F234" s="365"/>
      <c r="G234" s="55"/>
      <c r="H234" s="55"/>
      <c r="I234" s="360"/>
      <c r="J234" s="55"/>
      <c r="K234" s="55"/>
      <c r="L234" s="360"/>
      <c r="M234" s="55"/>
      <c r="N234" s="55"/>
      <c r="O234" s="360"/>
      <c r="P234" s="55"/>
      <c r="Q234" s="55"/>
      <c r="R234" s="360"/>
      <c r="S234" s="55"/>
      <c r="T234" s="350"/>
      <c r="U234" s="55"/>
      <c r="V234" s="55"/>
      <c r="W234" s="55"/>
      <c r="X234" s="55"/>
      <c r="Y234" s="55"/>
      <c r="Z234" s="55"/>
      <c r="AA234" s="55"/>
    </row>
    <row r="235">
      <c r="A235" s="55"/>
      <c r="B235" s="55"/>
      <c r="C235" s="55"/>
      <c r="D235" s="55"/>
      <c r="E235" s="55"/>
      <c r="F235" s="365"/>
      <c r="G235" s="55"/>
      <c r="H235" s="55"/>
      <c r="I235" s="360"/>
      <c r="J235" s="55"/>
      <c r="K235" s="55"/>
      <c r="L235" s="360"/>
      <c r="M235" s="55"/>
      <c r="N235" s="55"/>
      <c r="O235" s="360"/>
      <c r="P235" s="55"/>
      <c r="Q235" s="55"/>
      <c r="R235" s="360"/>
      <c r="S235" s="55"/>
      <c r="T235" s="350"/>
      <c r="U235" s="55"/>
      <c r="V235" s="55"/>
      <c r="W235" s="55"/>
      <c r="X235" s="55"/>
      <c r="Y235" s="55"/>
      <c r="Z235" s="55"/>
      <c r="AA235" s="55"/>
    </row>
    <row r="236">
      <c r="A236" s="55"/>
      <c r="B236" s="55"/>
      <c r="C236" s="55"/>
      <c r="D236" s="55"/>
      <c r="E236" s="55"/>
      <c r="F236" s="365"/>
      <c r="G236" s="55"/>
      <c r="H236" s="55"/>
      <c r="I236" s="360"/>
      <c r="J236" s="55"/>
      <c r="K236" s="55"/>
      <c r="L236" s="360"/>
      <c r="M236" s="55"/>
      <c r="N236" s="55"/>
      <c r="O236" s="360"/>
      <c r="P236" s="55"/>
      <c r="Q236" s="55"/>
      <c r="R236" s="360"/>
      <c r="S236" s="55"/>
      <c r="T236" s="350"/>
      <c r="U236" s="55"/>
      <c r="V236" s="55"/>
      <c r="W236" s="55"/>
      <c r="X236" s="55"/>
      <c r="Y236" s="55"/>
      <c r="Z236" s="55"/>
      <c r="AA236" s="55"/>
    </row>
    <row r="237">
      <c r="A237" s="55"/>
      <c r="B237" s="55"/>
      <c r="C237" s="55"/>
      <c r="D237" s="55"/>
      <c r="E237" s="55"/>
      <c r="F237" s="365"/>
      <c r="G237" s="55"/>
      <c r="H237" s="55"/>
      <c r="I237" s="360"/>
      <c r="J237" s="55"/>
      <c r="K237" s="55"/>
      <c r="L237" s="360"/>
      <c r="M237" s="55"/>
      <c r="N237" s="55"/>
      <c r="O237" s="360"/>
      <c r="P237" s="55"/>
      <c r="Q237" s="55"/>
      <c r="R237" s="360"/>
      <c r="S237" s="55"/>
      <c r="T237" s="350"/>
      <c r="U237" s="55"/>
      <c r="V237" s="55"/>
      <c r="W237" s="55"/>
      <c r="X237" s="55"/>
      <c r="Y237" s="55"/>
      <c r="Z237" s="55"/>
      <c r="AA237" s="55"/>
    </row>
    <row r="238">
      <c r="A238" s="55"/>
      <c r="B238" s="55"/>
      <c r="C238" s="55"/>
      <c r="D238" s="55"/>
      <c r="E238" s="55"/>
      <c r="F238" s="365"/>
      <c r="G238" s="55"/>
      <c r="H238" s="55"/>
      <c r="I238" s="360"/>
      <c r="J238" s="55"/>
      <c r="K238" s="55"/>
      <c r="L238" s="360"/>
      <c r="M238" s="55"/>
      <c r="N238" s="55"/>
      <c r="O238" s="360"/>
      <c r="P238" s="55"/>
      <c r="Q238" s="55"/>
      <c r="R238" s="360"/>
      <c r="S238" s="55"/>
      <c r="T238" s="350"/>
      <c r="U238" s="55"/>
      <c r="V238" s="55"/>
      <c r="W238" s="55"/>
      <c r="X238" s="55"/>
      <c r="Y238" s="55"/>
      <c r="Z238" s="55"/>
      <c r="AA238" s="55"/>
    </row>
    <row r="239">
      <c r="A239" s="55"/>
      <c r="B239" s="55"/>
      <c r="C239" s="55"/>
      <c r="D239" s="55"/>
      <c r="E239" s="55"/>
      <c r="F239" s="365"/>
      <c r="G239" s="55"/>
      <c r="H239" s="55"/>
      <c r="I239" s="360"/>
      <c r="J239" s="55"/>
      <c r="K239" s="55"/>
      <c r="L239" s="360"/>
      <c r="M239" s="55"/>
      <c r="N239" s="55"/>
      <c r="O239" s="360"/>
      <c r="P239" s="55"/>
      <c r="Q239" s="55"/>
      <c r="R239" s="360"/>
      <c r="S239" s="55"/>
      <c r="T239" s="350"/>
      <c r="U239" s="55"/>
      <c r="V239" s="55"/>
      <c r="W239" s="55"/>
      <c r="X239" s="55"/>
      <c r="Y239" s="55"/>
      <c r="Z239" s="55"/>
      <c r="AA239" s="55"/>
    </row>
    <row r="240">
      <c r="A240" s="55"/>
      <c r="B240" s="55"/>
      <c r="C240" s="55"/>
      <c r="D240" s="55"/>
      <c r="E240" s="55"/>
      <c r="F240" s="365"/>
      <c r="G240" s="55"/>
      <c r="H240" s="55"/>
      <c r="I240" s="360"/>
      <c r="J240" s="55"/>
      <c r="K240" s="55"/>
      <c r="L240" s="360"/>
      <c r="M240" s="55"/>
      <c r="N240" s="55"/>
      <c r="O240" s="360"/>
      <c r="P240" s="55"/>
      <c r="Q240" s="55"/>
      <c r="R240" s="360"/>
      <c r="S240" s="55"/>
      <c r="T240" s="350"/>
      <c r="U240" s="55"/>
      <c r="V240" s="55"/>
      <c r="W240" s="55"/>
      <c r="X240" s="55"/>
      <c r="Y240" s="55"/>
      <c r="Z240" s="55"/>
      <c r="AA240" s="55"/>
    </row>
    <row r="241">
      <c r="A241" s="55"/>
      <c r="B241" s="55"/>
      <c r="C241" s="55"/>
      <c r="D241" s="55"/>
      <c r="E241" s="55"/>
      <c r="F241" s="365"/>
      <c r="G241" s="55"/>
      <c r="H241" s="55"/>
      <c r="I241" s="360"/>
      <c r="J241" s="55"/>
      <c r="K241" s="55"/>
      <c r="L241" s="360"/>
      <c r="M241" s="55"/>
      <c r="N241" s="55"/>
      <c r="O241" s="360"/>
      <c r="P241" s="55"/>
      <c r="Q241" s="55"/>
      <c r="R241" s="360"/>
      <c r="S241" s="55"/>
      <c r="T241" s="350"/>
      <c r="U241" s="55"/>
      <c r="V241" s="55"/>
      <c r="W241" s="55"/>
      <c r="X241" s="55"/>
      <c r="Y241" s="55"/>
      <c r="Z241" s="55"/>
      <c r="AA241" s="55"/>
    </row>
    <row r="242">
      <c r="A242" s="55"/>
      <c r="B242" s="55"/>
      <c r="C242" s="55"/>
      <c r="D242" s="55"/>
      <c r="E242" s="55"/>
      <c r="F242" s="365"/>
      <c r="G242" s="55"/>
      <c r="H242" s="55"/>
      <c r="I242" s="360"/>
      <c r="J242" s="55"/>
      <c r="K242" s="55"/>
      <c r="L242" s="360"/>
      <c r="M242" s="55"/>
      <c r="N242" s="55"/>
      <c r="O242" s="360"/>
      <c r="P242" s="55"/>
      <c r="Q242" s="55"/>
      <c r="R242" s="360"/>
      <c r="S242" s="55"/>
      <c r="T242" s="350"/>
      <c r="U242" s="55"/>
      <c r="V242" s="55"/>
      <c r="W242" s="55"/>
      <c r="X242" s="55"/>
      <c r="Y242" s="55"/>
      <c r="Z242" s="55"/>
      <c r="AA242" s="55"/>
    </row>
    <row r="243">
      <c r="A243" s="55"/>
      <c r="B243" s="55"/>
      <c r="C243" s="55"/>
      <c r="D243" s="55"/>
      <c r="E243" s="55"/>
      <c r="F243" s="365"/>
      <c r="G243" s="55"/>
      <c r="H243" s="55"/>
      <c r="I243" s="360"/>
      <c r="J243" s="55"/>
      <c r="K243" s="55"/>
      <c r="L243" s="360"/>
      <c r="M243" s="55"/>
      <c r="N243" s="55"/>
      <c r="O243" s="360"/>
      <c r="P243" s="55"/>
      <c r="Q243" s="55"/>
      <c r="R243" s="360"/>
      <c r="S243" s="55"/>
      <c r="T243" s="350"/>
      <c r="U243" s="55"/>
      <c r="V243" s="55"/>
      <c r="W243" s="55"/>
      <c r="X243" s="55"/>
      <c r="Y243" s="55"/>
      <c r="Z243" s="55"/>
      <c r="AA243" s="55"/>
    </row>
    <row r="244">
      <c r="A244" s="55"/>
      <c r="B244" s="55"/>
      <c r="C244" s="55"/>
      <c r="D244" s="55"/>
      <c r="E244" s="55"/>
      <c r="F244" s="365"/>
      <c r="G244" s="55"/>
      <c r="H244" s="55"/>
      <c r="I244" s="360"/>
      <c r="J244" s="55"/>
      <c r="K244" s="55"/>
      <c r="L244" s="360"/>
      <c r="M244" s="55"/>
      <c r="N244" s="55"/>
      <c r="O244" s="360"/>
      <c r="P244" s="55"/>
      <c r="Q244" s="55"/>
      <c r="R244" s="360"/>
      <c r="S244" s="55"/>
      <c r="T244" s="350"/>
      <c r="U244" s="55"/>
      <c r="V244" s="55"/>
      <c r="W244" s="55"/>
      <c r="X244" s="55"/>
      <c r="Y244" s="55"/>
      <c r="Z244" s="55"/>
      <c r="AA244" s="55"/>
    </row>
    <row r="245">
      <c r="A245" s="55"/>
      <c r="B245" s="55"/>
      <c r="C245" s="55"/>
      <c r="D245" s="55"/>
      <c r="E245" s="55"/>
      <c r="F245" s="365"/>
      <c r="G245" s="55"/>
      <c r="H245" s="55"/>
      <c r="I245" s="360"/>
      <c r="J245" s="55"/>
      <c r="K245" s="55"/>
      <c r="L245" s="360"/>
      <c r="M245" s="55"/>
      <c r="N245" s="55"/>
      <c r="O245" s="360"/>
      <c r="P245" s="55"/>
      <c r="Q245" s="55"/>
      <c r="R245" s="360"/>
      <c r="S245" s="55"/>
      <c r="T245" s="350"/>
      <c r="U245" s="55"/>
      <c r="V245" s="55"/>
      <c r="W245" s="55"/>
      <c r="X245" s="55"/>
      <c r="Y245" s="55"/>
      <c r="Z245" s="55"/>
      <c r="AA245" s="55"/>
    </row>
    <row r="246">
      <c r="A246" s="55"/>
      <c r="B246" s="55"/>
      <c r="C246" s="55"/>
      <c r="D246" s="55"/>
      <c r="E246" s="55"/>
      <c r="F246" s="365"/>
      <c r="G246" s="55"/>
      <c r="H246" s="55"/>
      <c r="I246" s="360"/>
      <c r="J246" s="55"/>
      <c r="K246" s="55"/>
      <c r="L246" s="360"/>
      <c r="M246" s="55"/>
      <c r="N246" s="55"/>
      <c r="O246" s="360"/>
      <c r="P246" s="55"/>
      <c r="Q246" s="55"/>
      <c r="R246" s="360"/>
      <c r="S246" s="55"/>
      <c r="T246" s="350"/>
      <c r="U246" s="55"/>
      <c r="V246" s="55"/>
      <c r="W246" s="55"/>
      <c r="X246" s="55"/>
      <c r="Y246" s="55"/>
      <c r="Z246" s="55"/>
      <c r="AA246" s="55"/>
    </row>
    <row r="247">
      <c r="A247" s="55"/>
      <c r="B247" s="55"/>
      <c r="C247" s="55"/>
      <c r="D247" s="55"/>
      <c r="E247" s="55"/>
      <c r="F247" s="365"/>
      <c r="G247" s="55"/>
      <c r="H247" s="55"/>
      <c r="I247" s="360"/>
      <c r="J247" s="55"/>
      <c r="K247" s="55"/>
      <c r="L247" s="360"/>
      <c r="M247" s="55"/>
      <c r="N247" s="55"/>
      <c r="O247" s="360"/>
      <c r="P247" s="55"/>
      <c r="Q247" s="55"/>
      <c r="R247" s="360"/>
      <c r="S247" s="55"/>
      <c r="T247" s="350"/>
      <c r="U247" s="55"/>
      <c r="V247" s="55"/>
      <c r="W247" s="55"/>
      <c r="X247" s="55"/>
      <c r="Y247" s="55"/>
      <c r="Z247" s="55"/>
      <c r="AA247" s="55"/>
    </row>
    <row r="248">
      <c r="A248" s="55"/>
      <c r="B248" s="55"/>
      <c r="C248" s="55"/>
      <c r="D248" s="55"/>
      <c r="E248" s="55"/>
      <c r="F248" s="365"/>
      <c r="G248" s="55"/>
      <c r="H248" s="55"/>
      <c r="I248" s="360"/>
      <c r="J248" s="55"/>
      <c r="K248" s="55"/>
      <c r="L248" s="360"/>
      <c r="M248" s="55"/>
      <c r="N248" s="55"/>
      <c r="O248" s="360"/>
      <c r="P248" s="55"/>
      <c r="Q248" s="55"/>
      <c r="R248" s="360"/>
      <c r="S248" s="55"/>
      <c r="T248" s="350"/>
      <c r="U248" s="55"/>
      <c r="V248" s="55"/>
      <c r="W248" s="55"/>
      <c r="X248" s="55"/>
      <c r="Y248" s="55"/>
      <c r="Z248" s="55"/>
      <c r="AA248" s="55"/>
    </row>
    <row r="249">
      <c r="A249" s="55"/>
      <c r="B249" s="55"/>
      <c r="C249" s="55"/>
      <c r="D249" s="55"/>
      <c r="E249" s="55"/>
      <c r="F249" s="365"/>
      <c r="G249" s="55"/>
      <c r="H249" s="55"/>
      <c r="I249" s="360"/>
      <c r="J249" s="55"/>
      <c r="K249" s="55"/>
      <c r="L249" s="360"/>
      <c r="M249" s="55"/>
      <c r="N249" s="55"/>
      <c r="O249" s="360"/>
      <c r="P249" s="55"/>
      <c r="Q249" s="55"/>
      <c r="R249" s="360"/>
      <c r="S249" s="55"/>
      <c r="T249" s="350"/>
      <c r="U249" s="55"/>
      <c r="V249" s="55"/>
      <c r="W249" s="55"/>
      <c r="X249" s="55"/>
      <c r="Y249" s="55"/>
      <c r="Z249" s="55"/>
      <c r="AA249" s="55"/>
    </row>
    <row r="250">
      <c r="A250" s="55"/>
      <c r="B250" s="55"/>
      <c r="C250" s="55"/>
      <c r="D250" s="55"/>
      <c r="E250" s="55"/>
      <c r="F250" s="365"/>
      <c r="G250" s="55"/>
      <c r="H250" s="55"/>
      <c r="I250" s="360"/>
      <c r="J250" s="55"/>
      <c r="K250" s="55"/>
      <c r="L250" s="360"/>
      <c r="M250" s="55"/>
      <c r="N250" s="55"/>
      <c r="O250" s="360"/>
      <c r="P250" s="55"/>
      <c r="Q250" s="55"/>
      <c r="R250" s="360"/>
      <c r="S250" s="55"/>
      <c r="T250" s="350"/>
      <c r="U250" s="55"/>
      <c r="V250" s="55"/>
      <c r="W250" s="55"/>
      <c r="X250" s="55"/>
      <c r="Y250" s="55"/>
      <c r="Z250" s="55"/>
      <c r="AA250" s="55"/>
    </row>
    <row r="251">
      <c r="A251" s="55"/>
      <c r="B251" s="55"/>
      <c r="C251" s="55"/>
      <c r="D251" s="55"/>
      <c r="E251" s="55"/>
      <c r="F251" s="365"/>
      <c r="G251" s="55"/>
      <c r="H251" s="55"/>
      <c r="I251" s="360"/>
      <c r="J251" s="55"/>
      <c r="K251" s="55"/>
      <c r="L251" s="360"/>
      <c r="M251" s="55"/>
      <c r="N251" s="55"/>
      <c r="O251" s="360"/>
      <c r="P251" s="55"/>
      <c r="Q251" s="55"/>
      <c r="R251" s="360"/>
      <c r="S251" s="55"/>
      <c r="T251" s="350"/>
      <c r="U251" s="55"/>
      <c r="V251" s="55"/>
      <c r="W251" s="55"/>
      <c r="X251" s="55"/>
      <c r="Y251" s="55"/>
      <c r="Z251" s="55"/>
      <c r="AA251" s="55"/>
    </row>
    <row r="252">
      <c r="A252" s="55"/>
      <c r="B252" s="55"/>
      <c r="C252" s="55"/>
      <c r="D252" s="55"/>
      <c r="E252" s="55"/>
      <c r="F252" s="365"/>
      <c r="G252" s="55"/>
      <c r="H252" s="55"/>
      <c r="I252" s="360"/>
      <c r="J252" s="55"/>
      <c r="K252" s="55"/>
      <c r="L252" s="360"/>
      <c r="M252" s="55"/>
      <c r="N252" s="55"/>
      <c r="O252" s="360"/>
      <c r="P252" s="55"/>
      <c r="Q252" s="55"/>
      <c r="R252" s="360"/>
      <c r="S252" s="55"/>
      <c r="T252" s="350"/>
      <c r="U252" s="55"/>
      <c r="V252" s="55"/>
      <c r="W252" s="55"/>
      <c r="X252" s="55"/>
      <c r="Y252" s="55"/>
      <c r="Z252" s="55"/>
      <c r="AA252" s="55"/>
    </row>
    <row r="253">
      <c r="A253" s="55"/>
      <c r="B253" s="55"/>
      <c r="C253" s="55"/>
      <c r="D253" s="55"/>
      <c r="E253" s="55"/>
      <c r="F253" s="365"/>
      <c r="G253" s="55"/>
      <c r="H253" s="55"/>
      <c r="I253" s="360"/>
      <c r="J253" s="55"/>
      <c r="K253" s="55"/>
      <c r="L253" s="360"/>
      <c r="M253" s="55"/>
      <c r="N253" s="55"/>
      <c r="O253" s="360"/>
      <c r="P253" s="55"/>
      <c r="Q253" s="55"/>
      <c r="R253" s="360"/>
      <c r="S253" s="55"/>
      <c r="T253" s="350"/>
      <c r="U253" s="55"/>
      <c r="V253" s="55"/>
      <c r="W253" s="55"/>
      <c r="X253" s="55"/>
      <c r="Y253" s="55"/>
      <c r="Z253" s="55"/>
      <c r="AA253" s="55"/>
    </row>
    <row r="254">
      <c r="A254" s="55"/>
      <c r="B254" s="55"/>
      <c r="C254" s="55"/>
      <c r="D254" s="55"/>
      <c r="E254" s="55"/>
      <c r="F254" s="365"/>
      <c r="G254" s="55"/>
      <c r="H254" s="55"/>
      <c r="I254" s="360"/>
      <c r="J254" s="55"/>
      <c r="K254" s="55"/>
      <c r="L254" s="360"/>
      <c r="M254" s="55"/>
      <c r="N254" s="55"/>
      <c r="O254" s="360"/>
      <c r="P254" s="55"/>
      <c r="Q254" s="55"/>
      <c r="R254" s="360"/>
      <c r="S254" s="55"/>
      <c r="T254" s="350"/>
      <c r="U254" s="55"/>
      <c r="V254" s="55"/>
      <c r="W254" s="55"/>
      <c r="X254" s="55"/>
      <c r="Y254" s="55"/>
      <c r="Z254" s="55"/>
      <c r="AA254" s="55"/>
    </row>
    <row r="255">
      <c r="A255" s="55"/>
      <c r="B255" s="55"/>
      <c r="C255" s="55"/>
      <c r="D255" s="55"/>
      <c r="E255" s="55"/>
      <c r="F255" s="365"/>
      <c r="G255" s="55"/>
      <c r="H255" s="55"/>
      <c r="I255" s="360"/>
      <c r="J255" s="55"/>
      <c r="K255" s="55"/>
      <c r="L255" s="360"/>
      <c r="M255" s="55"/>
      <c r="N255" s="55"/>
      <c r="O255" s="360"/>
      <c r="P255" s="55"/>
      <c r="Q255" s="55"/>
      <c r="R255" s="360"/>
      <c r="S255" s="55"/>
      <c r="T255" s="350"/>
      <c r="U255" s="55"/>
      <c r="V255" s="55"/>
      <c r="W255" s="55"/>
      <c r="X255" s="55"/>
      <c r="Y255" s="55"/>
      <c r="Z255" s="55"/>
      <c r="AA255" s="55"/>
    </row>
    <row r="256">
      <c r="A256" s="55"/>
      <c r="B256" s="55"/>
      <c r="C256" s="55"/>
      <c r="D256" s="55"/>
      <c r="E256" s="55"/>
      <c r="F256" s="365"/>
      <c r="G256" s="55"/>
      <c r="H256" s="55"/>
      <c r="I256" s="360"/>
      <c r="J256" s="55"/>
      <c r="K256" s="55"/>
      <c r="L256" s="360"/>
      <c r="M256" s="55"/>
      <c r="N256" s="55"/>
      <c r="O256" s="360"/>
      <c r="P256" s="55"/>
      <c r="Q256" s="55"/>
      <c r="R256" s="360"/>
      <c r="S256" s="55"/>
      <c r="T256" s="350"/>
      <c r="U256" s="55"/>
      <c r="V256" s="55"/>
      <c r="W256" s="55"/>
      <c r="X256" s="55"/>
      <c r="Y256" s="55"/>
      <c r="Z256" s="55"/>
      <c r="AA256" s="55"/>
    </row>
    <row r="257">
      <c r="A257" s="55"/>
      <c r="B257" s="55"/>
      <c r="C257" s="55"/>
      <c r="D257" s="55"/>
      <c r="E257" s="55"/>
      <c r="F257" s="365"/>
      <c r="G257" s="55"/>
      <c r="H257" s="55"/>
      <c r="I257" s="360"/>
      <c r="J257" s="55"/>
      <c r="K257" s="55"/>
      <c r="L257" s="360"/>
      <c r="M257" s="55"/>
      <c r="N257" s="55"/>
      <c r="O257" s="360"/>
      <c r="P257" s="55"/>
      <c r="Q257" s="55"/>
      <c r="R257" s="360"/>
      <c r="S257" s="55"/>
      <c r="T257" s="350"/>
      <c r="U257" s="55"/>
      <c r="V257" s="55"/>
      <c r="W257" s="55"/>
      <c r="X257" s="55"/>
      <c r="Y257" s="55"/>
      <c r="Z257" s="55"/>
      <c r="AA257" s="55"/>
    </row>
    <row r="258">
      <c r="A258" s="55"/>
      <c r="B258" s="55"/>
      <c r="C258" s="55"/>
      <c r="D258" s="55"/>
      <c r="E258" s="55"/>
      <c r="F258" s="365"/>
      <c r="G258" s="55"/>
      <c r="H258" s="55"/>
      <c r="I258" s="360"/>
      <c r="J258" s="55"/>
      <c r="K258" s="55"/>
      <c r="L258" s="360"/>
      <c r="M258" s="55"/>
      <c r="N258" s="55"/>
      <c r="O258" s="360"/>
      <c r="P258" s="55"/>
      <c r="Q258" s="55"/>
      <c r="R258" s="360"/>
      <c r="S258" s="55"/>
      <c r="T258" s="350"/>
      <c r="U258" s="55"/>
      <c r="V258" s="55"/>
      <c r="W258" s="55"/>
      <c r="X258" s="55"/>
      <c r="Y258" s="55"/>
      <c r="Z258" s="55"/>
      <c r="AA258" s="55"/>
    </row>
    <row r="259">
      <c r="A259" s="55"/>
      <c r="B259" s="55"/>
      <c r="C259" s="55"/>
      <c r="D259" s="55"/>
      <c r="E259" s="55"/>
      <c r="F259" s="365"/>
      <c r="G259" s="55"/>
      <c r="H259" s="55"/>
      <c r="I259" s="360"/>
      <c r="J259" s="55"/>
      <c r="K259" s="55"/>
      <c r="L259" s="360"/>
      <c r="M259" s="55"/>
      <c r="N259" s="55"/>
      <c r="O259" s="360"/>
      <c r="P259" s="55"/>
      <c r="Q259" s="55"/>
      <c r="R259" s="360"/>
      <c r="S259" s="55"/>
      <c r="T259" s="350"/>
      <c r="U259" s="55"/>
      <c r="V259" s="55"/>
      <c r="W259" s="55"/>
      <c r="X259" s="55"/>
      <c r="Y259" s="55"/>
      <c r="Z259" s="55"/>
      <c r="AA259" s="55"/>
    </row>
    <row r="260">
      <c r="A260" s="55"/>
      <c r="B260" s="55"/>
      <c r="C260" s="55"/>
      <c r="D260" s="55"/>
      <c r="E260" s="55"/>
      <c r="F260" s="365"/>
      <c r="G260" s="55"/>
      <c r="H260" s="55"/>
      <c r="I260" s="360"/>
      <c r="J260" s="55"/>
      <c r="K260" s="55"/>
      <c r="L260" s="360"/>
      <c r="M260" s="55"/>
      <c r="N260" s="55"/>
      <c r="O260" s="360"/>
      <c r="P260" s="55"/>
      <c r="Q260" s="55"/>
      <c r="R260" s="360"/>
      <c r="S260" s="55"/>
      <c r="T260" s="350"/>
      <c r="U260" s="55"/>
      <c r="V260" s="55"/>
      <c r="W260" s="55"/>
      <c r="X260" s="55"/>
      <c r="Y260" s="55"/>
      <c r="Z260" s="55"/>
      <c r="AA260" s="55"/>
    </row>
    <row r="261">
      <c r="A261" s="55"/>
      <c r="B261" s="55"/>
      <c r="C261" s="55"/>
      <c r="D261" s="55"/>
      <c r="E261" s="55"/>
      <c r="F261" s="365"/>
      <c r="G261" s="55"/>
      <c r="H261" s="55"/>
      <c r="I261" s="360"/>
      <c r="J261" s="55"/>
      <c r="K261" s="55"/>
      <c r="L261" s="360"/>
      <c r="M261" s="55"/>
      <c r="N261" s="55"/>
      <c r="O261" s="360"/>
      <c r="P261" s="55"/>
      <c r="Q261" s="55"/>
      <c r="R261" s="360"/>
      <c r="S261" s="55"/>
      <c r="T261" s="350"/>
      <c r="U261" s="55"/>
      <c r="V261" s="55"/>
      <c r="W261" s="55"/>
      <c r="X261" s="55"/>
      <c r="Y261" s="55"/>
      <c r="Z261" s="55"/>
      <c r="AA261" s="55"/>
    </row>
    <row r="262">
      <c r="A262" s="55"/>
      <c r="B262" s="55"/>
      <c r="C262" s="55"/>
      <c r="D262" s="55"/>
      <c r="E262" s="55"/>
      <c r="F262" s="365"/>
      <c r="G262" s="55"/>
      <c r="H262" s="55"/>
      <c r="I262" s="360"/>
      <c r="J262" s="55"/>
      <c r="K262" s="55"/>
      <c r="L262" s="360"/>
      <c r="M262" s="55"/>
      <c r="N262" s="55"/>
      <c r="O262" s="360"/>
      <c r="P262" s="55"/>
      <c r="Q262" s="55"/>
      <c r="R262" s="360"/>
      <c r="S262" s="55"/>
      <c r="T262" s="350"/>
      <c r="U262" s="55"/>
      <c r="V262" s="55"/>
      <c r="W262" s="55"/>
      <c r="X262" s="55"/>
      <c r="Y262" s="55"/>
      <c r="Z262" s="55"/>
      <c r="AA262" s="55"/>
    </row>
    <row r="263">
      <c r="A263" s="55"/>
      <c r="B263" s="55"/>
      <c r="C263" s="55"/>
      <c r="D263" s="55"/>
      <c r="E263" s="55"/>
      <c r="F263" s="365"/>
      <c r="G263" s="55"/>
      <c r="H263" s="55"/>
      <c r="I263" s="360"/>
      <c r="J263" s="55"/>
      <c r="K263" s="55"/>
      <c r="L263" s="360"/>
      <c r="M263" s="55"/>
      <c r="N263" s="55"/>
      <c r="O263" s="360"/>
      <c r="P263" s="55"/>
      <c r="Q263" s="55"/>
      <c r="R263" s="360"/>
      <c r="S263" s="55"/>
      <c r="T263" s="350"/>
      <c r="U263" s="55"/>
      <c r="V263" s="55"/>
      <c r="W263" s="55"/>
      <c r="X263" s="55"/>
      <c r="Y263" s="55"/>
      <c r="Z263" s="55"/>
      <c r="AA263" s="55"/>
    </row>
    <row r="264">
      <c r="A264" s="55"/>
      <c r="B264" s="55"/>
      <c r="C264" s="55"/>
      <c r="D264" s="55"/>
      <c r="E264" s="55"/>
      <c r="F264" s="365"/>
      <c r="G264" s="55"/>
      <c r="H264" s="55"/>
      <c r="I264" s="360"/>
      <c r="J264" s="55"/>
      <c r="K264" s="55"/>
      <c r="L264" s="360"/>
      <c r="M264" s="55"/>
      <c r="N264" s="55"/>
      <c r="O264" s="360"/>
      <c r="P264" s="55"/>
      <c r="Q264" s="55"/>
      <c r="R264" s="360"/>
      <c r="S264" s="55"/>
      <c r="T264" s="350"/>
      <c r="U264" s="55"/>
      <c r="V264" s="55"/>
      <c r="W264" s="55"/>
      <c r="X264" s="55"/>
      <c r="Y264" s="55"/>
      <c r="Z264" s="55"/>
      <c r="AA264" s="55"/>
    </row>
    <row r="265">
      <c r="A265" s="55"/>
      <c r="B265" s="55"/>
      <c r="C265" s="55"/>
      <c r="D265" s="55"/>
      <c r="E265" s="55"/>
      <c r="F265" s="365"/>
      <c r="G265" s="55"/>
      <c r="H265" s="55"/>
      <c r="I265" s="360"/>
      <c r="J265" s="55"/>
      <c r="K265" s="55"/>
      <c r="L265" s="360"/>
      <c r="M265" s="55"/>
      <c r="N265" s="55"/>
      <c r="O265" s="360"/>
      <c r="P265" s="55"/>
      <c r="Q265" s="55"/>
      <c r="R265" s="360"/>
      <c r="S265" s="55"/>
      <c r="T265" s="350"/>
      <c r="U265" s="55"/>
      <c r="V265" s="55"/>
      <c r="W265" s="55"/>
      <c r="X265" s="55"/>
      <c r="Y265" s="55"/>
      <c r="Z265" s="55"/>
      <c r="AA265" s="55"/>
    </row>
    <row r="266">
      <c r="A266" s="55"/>
      <c r="B266" s="55"/>
      <c r="C266" s="55"/>
      <c r="D266" s="55"/>
      <c r="E266" s="55"/>
      <c r="F266" s="365"/>
      <c r="G266" s="55"/>
      <c r="H266" s="55"/>
      <c r="I266" s="360"/>
      <c r="J266" s="55"/>
      <c r="K266" s="55"/>
      <c r="L266" s="360"/>
      <c r="M266" s="55"/>
      <c r="N266" s="55"/>
      <c r="O266" s="360"/>
      <c r="P266" s="55"/>
      <c r="Q266" s="55"/>
      <c r="R266" s="360"/>
      <c r="S266" s="55"/>
      <c r="T266" s="350"/>
      <c r="U266" s="55"/>
      <c r="V266" s="55"/>
      <c r="W266" s="55"/>
      <c r="X266" s="55"/>
      <c r="Y266" s="55"/>
      <c r="Z266" s="55"/>
      <c r="AA266" s="55"/>
    </row>
    <row r="267">
      <c r="A267" s="55"/>
      <c r="B267" s="55"/>
      <c r="C267" s="55"/>
      <c r="D267" s="55"/>
      <c r="E267" s="55"/>
      <c r="F267" s="365"/>
      <c r="G267" s="55"/>
      <c r="H267" s="55"/>
      <c r="I267" s="360"/>
      <c r="J267" s="55"/>
      <c r="K267" s="55"/>
      <c r="L267" s="360"/>
      <c r="M267" s="55"/>
      <c r="N267" s="55"/>
      <c r="O267" s="360"/>
      <c r="P267" s="55"/>
      <c r="Q267" s="55"/>
      <c r="R267" s="360"/>
      <c r="S267" s="55"/>
      <c r="T267" s="350"/>
      <c r="U267" s="55"/>
      <c r="V267" s="55"/>
      <c r="W267" s="55"/>
      <c r="X267" s="55"/>
      <c r="Y267" s="55"/>
      <c r="Z267" s="55"/>
      <c r="AA267" s="55"/>
    </row>
    <row r="268">
      <c r="A268" s="55"/>
      <c r="B268" s="55"/>
      <c r="C268" s="55"/>
      <c r="D268" s="55"/>
      <c r="E268" s="55"/>
      <c r="F268" s="365"/>
      <c r="G268" s="55"/>
      <c r="H268" s="55"/>
      <c r="I268" s="360"/>
      <c r="J268" s="55"/>
      <c r="K268" s="55"/>
      <c r="L268" s="360"/>
      <c r="M268" s="55"/>
      <c r="N268" s="55"/>
      <c r="O268" s="360"/>
      <c r="P268" s="55"/>
      <c r="Q268" s="55"/>
      <c r="R268" s="360"/>
      <c r="S268" s="55"/>
      <c r="T268" s="350"/>
      <c r="U268" s="55"/>
      <c r="V268" s="55"/>
      <c r="W268" s="55"/>
      <c r="X268" s="55"/>
      <c r="Y268" s="55"/>
      <c r="Z268" s="55"/>
      <c r="AA268" s="55"/>
    </row>
    <row r="269">
      <c r="A269" s="55"/>
      <c r="B269" s="55"/>
      <c r="C269" s="55"/>
      <c r="D269" s="55"/>
      <c r="E269" s="55"/>
      <c r="F269" s="365"/>
      <c r="G269" s="55"/>
      <c r="H269" s="55"/>
      <c r="I269" s="360"/>
      <c r="J269" s="55"/>
      <c r="K269" s="55"/>
      <c r="L269" s="360"/>
      <c r="M269" s="55"/>
      <c r="N269" s="55"/>
      <c r="O269" s="360"/>
      <c r="P269" s="55"/>
      <c r="Q269" s="55"/>
      <c r="R269" s="360"/>
      <c r="S269" s="55"/>
      <c r="T269" s="350"/>
      <c r="U269" s="55"/>
      <c r="V269" s="55"/>
      <c r="W269" s="55"/>
      <c r="X269" s="55"/>
      <c r="Y269" s="55"/>
      <c r="Z269" s="55"/>
      <c r="AA269" s="55"/>
    </row>
    <row r="270">
      <c r="A270" s="55"/>
      <c r="B270" s="55"/>
      <c r="C270" s="55"/>
      <c r="D270" s="55"/>
      <c r="E270" s="55"/>
      <c r="F270" s="365"/>
      <c r="G270" s="55"/>
      <c r="H270" s="55"/>
      <c r="I270" s="360"/>
      <c r="J270" s="55"/>
      <c r="K270" s="55"/>
      <c r="L270" s="360"/>
      <c r="M270" s="55"/>
      <c r="N270" s="55"/>
      <c r="O270" s="360"/>
      <c r="P270" s="55"/>
      <c r="Q270" s="55"/>
      <c r="R270" s="360"/>
      <c r="S270" s="55"/>
      <c r="T270" s="350"/>
      <c r="U270" s="55"/>
      <c r="V270" s="55"/>
      <c r="W270" s="55"/>
      <c r="X270" s="55"/>
      <c r="Y270" s="55"/>
      <c r="Z270" s="55"/>
      <c r="AA270" s="55"/>
    </row>
    <row r="271">
      <c r="A271" s="55"/>
      <c r="B271" s="55"/>
      <c r="C271" s="55"/>
      <c r="D271" s="55"/>
      <c r="E271" s="55"/>
      <c r="F271" s="365"/>
      <c r="G271" s="55"/>
      <c r="H271" s="55"/>
      <c r="I271" s="360"/>
      <c r="J271" s="55"/>
      <c r="K271" s="55"/>
      <c r="L271" s="360"/>
      <c r="M271" s="55"/>
      <c r="N271" s="55"/>
      <c r="O271" s="360"/>
      <c r="P271" s="55"/>
      <c r="Q271" s="55"/>
      <c r="R271" s="360"/>
      <c r="S271" s="55"/>
      <c r="T271" s="350"/>
      <c r="U271" s="55"/>
      <c r="V271" s="55"/>
      <c r="W271" s="55"/>
      <c r="X271" s="55"/>
      <c r="Y271" s="55"/>
      <c r="Z271" s="55"/>
      <c r="AA271" s="55"/>
    </row>
    <row r="272">
      <c r="A272" s="55"/>
      <c r="B272" s="55"/>
      <c r="C272" s="55"/>
      <c r="D272" s="55"/>
      <c r="E272" s="55"/>
      <c r="F272" s="365"/>
      <c r="G272" s="55"/>
      <c r="H272" s="55"/>
      <c r="I272" s="360"/>
      <c r="J272" s="55"/>
      <c r="K272" s="55"/>
      <c r="L272" s="360"/>
      <c r="M272" s="55"/>
      <c r="N272" s="55"/>
      <c r="O272" s="360"/>
      <c r="P272" s="55"/>
      <c r="Q272" s="55"/>
      <c r="R272" s="360"/>
      <c r="S272" s="55"/>
      <c r="T272" s="350"/>
      <c r="U272" s="55"/>
      <c r="V272" s="55"/>
      <c r="W272" s="55"/>
      <c r="X272" s="55"/>
      <c r="Y272" s="55"/>
      <c r="Z272" s="55"/>
      <c r="AA272" s="55"/>
    </row>
    <row r="273">
      <c r="A273" s="55"/>
      <c r="B273" s="55"/>
      <c r="C273" s="55"/>
      <c r="D273" s="55"/>
      <c r="E273" s="55"/>
      <c r="F273" s="365"/>
      <c r="G273" s="55"/>
      <c r="H273" s="55"/>
      <c r="I273" s="360"/>
      <c r="J273" s="55"/>
      <c r="K273" s="55"/>
      <c r="L273" s="360"/>
      <c r="M273" s="55"/>
      <c r="N273" s="55"/>
      <c r="O273" s="360"/>
      <c r="P273" s="55"/>
      <c r="Q273" s="55"/>
      <c r="R273" s="360"/>
      <c r="S273" s="55"/>
      <c r="T273" s="350"/>
      <c r="U273" s="55"/>
      <c r="V273" s="55"/>
      <c r="W273" s="55"/>
      <c r="X273" s="55"/>
      <c r="Y273" s="55"/>
      <c r="Z273" s="55"/>
      <c r="AA273" s="55"/>
    </row>
    <row r="274">
      <c r="A274" s="55"/>
      <c r="B274" s="55"/>
      <c r="C274" s="55"/>
      <c r="D274" s="55"/>
      <c r="E274" s="55"/>
      <c r="F274" s="365"/>
      <c r="G274" s="55"/>
      <c r="H274" s="55"/>
      <c r="I274" s="360"/>
      <c r="J274" s="55"/>
      <c r="K274" s="55"/>
      <c r="L274" s="360"/>
      <c r="M274" s="55"/>
      <c r="N274" s="55"/>
      <c r="O274" s="360"/>
      <c r="P274" s="55"/>
      <c r="Q274" s="55"/>
      <c r="R274" s="360"/>
      <c r="S274" s="55"/>
      <c r="T274" s="350"/>
      <c r="U274" s="55"/>
      <c r="V274" s="55"/>
      <c r="W274" s="55"/>
      <c r="X274" s="55"/>
      <c r="Y274" s="55"/>
      <c r="Z274" s="55"/>
      <c r="AA274" s="55"/>
    </row>
    <row r="275">
      <c r="A275" s="55"/>
      <c r="B275" s="55"/>
      <c r="C275" s="55"/>
      <c r="D275" s="55"/>
      <c r="E275" s="55"/>
      <c r="F275" s="365"/>
      <c r="G275" s="55"/>
      <c r="H275" s="55"/>
      <c r="I275" s="360"/>
      <c r="J275" s="55"/>
      <c r="K275" s="55"/>
      <c r="L275" s="360"/>
      <c r="M275" s="55"/>
      <c r="N275" s="55"/>
      <c r="O275" s="360"/>
      <c r="P275" s="55"/>
      <c r="Q275" s="55"/>
      <c r="R275" s="360"/>
      <c r="S275" s="55"/>
      <c r="T275" s="350"/>
      <c r="U275" s="55"/>
      <c r="V275" s="55"/>
      <c r="W275" s="55"/>
      <c r="X275" s="55"/>
      <c r="Y275" s="55"/>
      <c r="Z275" s="55"/>
      <c r="AA275" s="55"/>
    </row>
    <row r="276">
      <c r="A276" s="55"/>
      <c r="B276" s="55"/>
      <c r="C276" s="55"/>
      <c r="D276" s="55"/>
      <c r="E276" s="55"/>
      <c r="F276" s="365"/>
      <c r="G276" s="55"/>
      <c r="H276" s="55"/>
      <c r="I276" s="360"/>
      <c r="J276" s="55"/>
      <c r="K276" s="55"/>
      <c r="L276" s="360"/>
      <c r="M276" s="55"/>
      <c r="N276" s="55"/>
      <c r="O276" s="360"/>
      <c r="P276" s="55"/>
      <c r="Q276" s="55"/>
      <c r="R276" s="360"/>
      <c r="S276" s="55"/>
      <c r="T276" s="350"/>
      <c r="U276" s="55"/>
      <c r="V276" s="55"/>
      <c r="W276" s="55"/>
      <c r="X276" s="55"/>
      <c r="Y276" s="55"/>
      <c r="Z276" s="55"/>
      <c r="AA276" s="55"/>
    </row>
    <row r="277">
      <c r="A277" s="55"/>
      <c r="B277" s="55"/>
      <c r="C277" s="55"/>
      <c r="D277" s="55"/>
      <c r="E277" s="55"/>
      <c r="F277" s="365"/>
      <c r="G277" s="55"/>
      <c r="H277" s="55"/>
      <c r="I277" s="360"/>
      <c r="J277" s="55"/>
      <c r="K277" s="55"/>
      <c r="L277" s="360"/>
      <c r="M277" s="55"/>
      <c r="N277" s="55"/>
      <c r="O277" s="360"/>
      <c r="P277" s="55"/>
      <c r="Q277" s="55"/>
      <c r="R277" s="360"/>
      <c r="S277" s="55"/>
      <c r="T277" s="350"/>
      <c r="U277" s="55"/>
      <c r="V277" s="55"/>
      <c r="W277" s="55"/>
      <c r="X277" s="55"/>
      <c r="Y277" s="55"/>
      <c r="Z277" s="55"/>
      <c r="AA277" s="55"/>
    </row>
    <row r="278">
      <c r="A278" s="55"/>
      <c r="B278" s="55"/>
      <c r="C278" s="55"/>
      <c r="D278" s="55"/>
      <c r="E278" s="55"/>
      <c r="F278" s="365"/>
      <c r="G278" s="55"/>
      <c r="H278" s="55"/>
      <c r="I278" s="360"/>
      <c r="J278" s="55"/>
      <c r="K278" s="55"/>
      <c r="L278" s="360"/>
      <c r="M278" s="55"/>
      <c r="N278" s="55"/>
      <c r="O278" s="360"/>
      <c r="P278" s="55"/>
      <c r="Q278" s="55"/>
      <c r="R278" s="360"/>
      <c r="S278" s="55"/>
      <c r="T278" s="350"/>
      <c r="U278" s="55"/>
      <c r="V278" s="55"/>
      <c r="W278" s="55"/>
      <c r="X278" s="55"/>
      <c r="Y278" s="55"/>
      <c r="Z278" s="55"/>
      <c r="AA278" s="55"/>
    </row>
    <row r="279">
      <c r="A279" s="55"/>
      <c r="B279" s="55"/>
      <c r="C279" s="55"/>
      <c r="D279" s="55"/>
      <c r="E279" s="55"/>
      <c r="F279" s="365"/>
      <c r="G279" s="55"/>
      <c r="H279" s="55"/>
      <c r="I279" s="360"/>
      <c r="J279" s="55"/>
      <c r="K279" s="55"/>
      <c r="L279" s="360"/>
      <c r="M279" s="55"/>
      <c r="N279" s="55"/>
      <c r="O279" s="360"/>
      <c r="P279" s="55"/>
      <c r="Q279" s="55"/>
      <c r="R279" s="360"/>
      <c r="S279" s="55"/>
      <c r="T279" s="350"/>
      <c r="U279" s="55"/>
      <c r="V279" s="55"/>
      <c r="W279" s="55"/>
      <c r="X279" s="55"/>
      <c r="Y279" s="55"/>
      <c r="Z279" s="55"/>
      <c r="AA279" s="55"/>
    </row>
    <row r="280">
      <c r="A280" s="55"/>
      <c r="B280" s="55"/>
      <c r="C280" s="55"/>
      <c r="D280" s="55"/>
      <c r="E280" s="55"/>
      <c r="F280" s="365"/>
      <c r="G280" s="55"/>
      <c r="H280" s="55"/>
      <c r="I280" s="360"/>
      <c r="J280" s="55"/>
      <c r="K280" s="55"/>
      <c r="L280" s="360"/>
      <c r="M280" s="55"/>
      <c r="N280" s="55"/>
      <c r="O280" s="360"/>
      <c r="P280" s="55"/>
      <c r="Q280" s="55"/>
      <c r="R280" s="360"/>
      <c r="S280" s="55"/>
      <c r="T280" s="350"/>
      <c r="U280" s="55"/>
      <c r="V280" s="55"/>
      <c r="W280" s="55"/>
      <c r="X280" s="55"/>
      <c r="Y280" s="55"/>
      <c r="Z280" s="55"/>
      <c r="AA280" s="55"/>
    </row>
    <row r="281">
      <c r="A281" s="55"/>
      <c r="B281" s="55"/>
      <c r="C281" s="55"/>
      <c r="D281" s="55"/>
      <c r="E281" s="55"/>
      <c r="F281" s="365"/>
      <c r="G281" s="55"/>
      <c r="H281" s="55"/>
      <c r="I281" s="360"/>
      <c r="J281" s="55"/>
      <c r="K281" s="55"/>
      <c r="L281" s="360"/>
      <c r="M281" s="55"/>
      <c r="N281" s="55"/>
      <c r="O281" s="360"/>
      <c r="P281" s="55"/>
      <c r="Q281" s="55"/>
      <c r="R281" s="360"/>
      <c r="S281" s="55"/>
      <c r="T281" s="350"/>
      <c r="U281" s="55"/>
      <c r="V281" s="55"/>
      <c r="W281" s="55"/>
      <c r="X281" s="55"/>
      <c r="Y281" s="55"/>
      <c r="Z281" s="55"/>
      <c r="AA281" s="55"/>
    </row>
    <row r="282">
      <c r="A282" s="55"/>
      <c r="B282" s="55"/>
      <c r="C282" s="55"/>
      <c r="D282" s="55"/>
      <c r="E282" s="55"/>
      <c r="F282" s="365"/>
      <c r="G282" s="55"/>
      <c r="H282" s="55"/>
      <c r="I282" s="360"/>
      <c r="J282" s="55"/>
      <c r="K282" s="55"/>
      <c r="L282" s="360"/>
      <c r="M282" s="55"/>
      <c r="N282" s="55"/>
      <c r="O282" s="360"/>
      <c r="P282" s="55"/>
      <c r="Q282" s="55"/>
      <c r="R282" s="360"/>
      <c r="S282" s="55"/>
      <c r="T282" s="350"/>
      <c r="U282" s="55"/>
      <c r="V282" s="55"/>
      <c r="W282" s="55"/>
      <c r="X282" s="55"/>
      <c r="Y282" s="55"/>
      <c r="Z282" s="55"/>
      <c r="AA282" s="55"/>
    </row>
    <row r="283">
      <c r="A283" s="55"/>
      <c r="B283" s="55"/>
      <c r="C283" s="55"/>
      <c r="D283" s="55"/>
      <c r="E283" s="55"/>
      <c r="F283" s="365"/>
      <c r="G283" s="55"/>
      <c r="H283" s="55"/>
      <c r="I283" s="360"/>
      <c r="J283" s="55"/>
      <c r="K283" s="55"/>
      <c r="L283" s="360"/>
      <c r="M283" s="55"/>
      <c r="N283" s="55"/>
      <c r="O283" s="360"/>
      <c r="P283" s="55"/>
      <c r="Q283" s="55"/>
      <c r="R283" s="360"/>
      <c r="S283" s="55"/>
      <c r="T283" s="350"/>
      <c r="U283" s="55"/>
      <c r="V283" s="55"/>
      <c r="W283" s="55"/>
      <c r="X283" s="55"/>
      <c r="Y283" s="55"/>
      <c r="Z283" s="55"/>
      <c r="AA283" s="55"/>
    </row>
    <row r="284">
      <c r="A284" s="55"/>
      <c r="B284" s="55"/>
      <c r="C284" s="55"/>
      <c r="D284" s="55"/>
      <c r="E284" s="55"/>
      <c r="F284" s="365"/>
      <c r="G284" s="55"/>
      <c r="H284" s="55"/>
      <c r="I284" s="360"/>
      <c r="J284" s="55"/>
      <c r="K284" s="55"/>
      <c r="L284" s="360"/>
      <c r="M284" s="55"/>
      <c r="N284" s="55"/>
      <c r="O284" s="360"/>
      <c r="P284" s="55"/>
      <c r="Q284" s="55"/>
      <c r="R284" s="360"/>
      <c r="S284" s="55"/>
      <c r="T284" s="350"/>
      <c r="U284" s="55"/>
      <c r="V284" s="55"/>
      <c r="W284" s="55"/>
      <c r="X284" s="55"/>
      <c r="Y284" s="55"/>
      <c r="Z284" s="55"/>
      <c r="AA284" s="55"/>
    </row>
    <row r="285">
      <c r="A285" s="55"/>
      <c r="B285" s="55"/>
      <c r="C285" s="55"/>
      <c r="D285" s="55"/>
      <c r="E285" s="55"/>
      <c r="F285" s="365"/>
      <c r="G285" s="55"/>
      <c r="H285" s="55"/>
      <c r="I285" s="360"/>
      <c r="J285" s="55"/>
      <c r="K285" s="55"/>
      <c r="L285" s="360"/>
      <c r="M285" s="55"/>
      <c r="N285" s="55"/>
      <c r="O285" s="360"/>
      <c r="P285" s="55"/>
      <c r="Q285" s="55"/>
      <c r="R285" s="360"/>
      <c r="S285" s="55"/>
      <c r="T285" s="350"/>
      <c r="U285" s="55"/>
      <c r="V285" s="55"/>
      <c r="W285" s="55"/>
      <c r="X285" s="55"/>
      <c r="Y285" s="55"/>
      <c r="Z285" s="55"/>
      <c r="AA285" s="55"/>
    </row>
    <row r="286">
      <c r="A286" s="55"/>
      <c r="B286" s="55"/>
      <c r="C286" s="55"/>
      <c r="D286" s="55"/>
      <c r="E286" s="55"/>
      <c r="F286" s="365"/>
      <c r="G286" s="55"/>
      <c r="H286" s="55"/>
      <c r="I286" s="360"/>
      <c r="J286" s="55"/>
      <c r="K286" s="55"/>
      <c r="L286" s="360"/>
      <c r="M286" s="55"/>
      <c r="N286" s="55"/>
      <c r="O286" s="360"/>
      <c r="P286" s="55"/>
      <c r="Q286" s="55"/>
      <c r="R286" s="360"/>
      <c r="S286" s="55"/>
      <c r="T286" s="350"/>
      <c r="U286" s="55"/>
      <c r="V286" s="55"/>
      <c r="W286" s="55"/>
      <c r="X286" s="55"/>
      <c r="Y286" s="55"/>
      <c r="Z286" s="55"/>
      <c r="AA286" s="55"/>
    </row>
    <row r="287">
      <c r="A287" s="55"/>
      <c r="B287" s="55"/>
      <c r="C287" s="55"/>
      <c r="D287" s="55"/>
      <c r="E287" s="55"/>
      <c r="F287" s="365"/>
      <c r="G287" s="55"/>
      <c r="H287" s="55"/>
      <c r="I287" s="360"/>
      <c r="J287" s="55"/>
      <c r="K287" s="55"/>
      <c r="L287" s="360"/>
      <c r="M287" s="55"/>
      <c r="N287" s="55"/>
      <c r="O287" s="360"/>
      <c r="P287" s="55"/>
      <c r="Q287" s="55"/>
      <c r="R287" s="360"/>
      <c r="S287" s="55"/>
      <c r="T287" s="350"/>
      <c r="U287" s="55"/>
      <c r="V287" s="55"/>
      <c r="W287" s="55"/>
      <c r="X287" s="55"/>
      <c r="Y287" s="55"/>
      <c r="Z287" s="55"/>
      <c r="AA287" s="55"/>
    </row>
    <row r="288">
      <c r="A288" s="55"/>
      <c r="B288" s="55"/>
      <c r="C288" s="55"/>
      <c r="D288" s="55"/>
      <c r="E288" s="55"/>
      <c r="F288" s="365"/>
      <c r="G288" s="55"/>
      <c r="H288" s="55"/>
      <c r="I288" s="360"/>
      <c r="J288" s="55"/>
      <c r="K288" s="55"/>
      <c r="L288" s="360"/>
      <c r="M288" s="55"/>
      <c r="N288" s="55"/>
      <c r="O288" s="360"/>
      <c r="P288" s="55"/>
      <c r="Q288" s="55"/>
      <c r="R288" s="360"/>
      <c r="S288" s="55"/>
      <c r="T288" s="350"/>
      <c r="U288" s="55"/>
      <c r="V288" s="55"/>
      <c r="W288" s="55"/>
      <c r="X288" s="55"/>
      <c r="Y288" s="55"/>
      <c r="Z288" s="55"/>
      <c r="AA288" s="55"/>
    </row>
    <row r="289">
      <c r="A289" s="55"/>
      <c r="B289" s="55"/>
      <c r="C289" s="55"/>
      <c r="D289" s="55"/>
      <c r="E289" s="55"/>
      <c r="F289" s="365"/>
      <c r="G289" s="55"/>
      <c r="H289" s="55"/>
      <c r="I289" s="360"/>
      <c r="J289" s="55"/>
      <c r="K289" s="55"/>
      <c r="L289" s="360"/>
      <c r="M289" s="55"/>
      <c r="N289" s="55"/>
      <c r="O289" s="360"/>
      <c r="P289" s="55"/>
      <c r="Q289" s="55"/>
      <c r="R289" s="360"/>
      <c r="S289" s="55"/>
      <c r="T289" s="350"/>
      <c r="U289" s="55"/>
      <c r="V289" s="55"/>
      <c r="W289" s="55"/>
      <c r="X289" s="55"/>
      <c r="Y289" s="55"/>
      <c r="Z289" s="55"/>
      <c r="AA289" s="55"/>
    </row>
    <row r="290">
      <c r="A290" s="55"/>
      <c r="B290" s="55"/>
      <c r="C290" s="55"/>
      <c r="D290" s="55"/>
      <c r="E290" s="55"/>
      <c r="F290" s="365"/>
      <c r="G290" s="55"/>
      <c r="H290" s="55"/>
      <c r="I290" s="360"/>
      <c r="J290" s="55"/>
      <c r="K290" s="55"/>
      <c r="L290" s="360"/>
      <c r="M290" s="55"/>
      <c r="N290" s="55"/>
      <c r="O290" s="360"/>
      <c r="P290" s="55"/>
      <c r="Q290" s="55"/>
      <c r="R290" s="360"/>
      <c r="S290" s="55"/>
      <c r="T290" s="350"/>
      <c r="U290" s="55"/>
      <c r="V290" s="55"/>
      <c r="W290" s="55"/>
      <c r="X290" s="55"/>
      <c r="Y290" s="55"/>
      <c r="Z290" s="55"/>
      <c r="AA290" s="55"/>
    </row>
    <row r="291">
      <c r="A291" s="55"/>
      <c r="B291" s="55"/>
      <c r="C291" s="55"/>
      <c r="D291" s="55"/>
      <c r="E291" s="55"/>
      <c r="F291" s="365"/>
      <c r="G291" s="55"/>
      <c r="H291" s="55"/>
      <c r="I291" s="360"/>
      <c r="J291" s="55"/>
      <c r="K291" s="55"/>
      <c r="L291" s="360"/>
      <c r="M291" s="55"/>
      <c r="N291" s="55"/>
      <c r="O291" s="360"/>
      <c r="P291" s="55"/>
      <c r="Q291" s="55"/>
      <c r="R291" s="360"/>
      <c r="S291" s="55"/>
      <c r="T291" s="350"/>
      <c r="U291" s="55"/>
      <c r="V291" s="55"/>
      <c r="W291" s="55"/>
      <c r="X291" s="55"/>
      <c r="Y291" s="55"/>
      <c r="Z291" s="55"/>
      <c r="AA291" s="55"/>
    </row>
    <row r="292">
      <c r="A292" s="55"/>
      <c r="B292" s="55"/>
      <c r="C292" s="55"/>
      <c r="D292" s="55"/>
      <c r="E292" s="55"/>
      <c r="F292" s="365"/>
      <c r="G292" s="55"/>
      <c r="H292" s="55"/>
      <c r="I292" s="360"/>
      <c r="J292" s="55"/>
      <c r="K292" s="55"/>
      <c r="L292" s="360"/>
      <c r="M292" s="55"/>
      <c r="N292" s="55"/>
      <c r="O292" s="360"/>
      <c r="P292" s="55"/>
      <c r="Q292" s="55"/>
      <c r="R292" s="360"/>
      <c r="S292" s="55"/>
      <c r="T292" s="350"/>
      <c r="U292" s="55"/>
      <c r="V292" s="55"/>
      <c r="W292" s="55"/>
      <c r="X292" s="55"/>
      <c r="Y292" s="55"/>
      <c r="Z292" s="55"/>
      <c r="AA292" s="55"/>
    </row>
    <row r="293">
      <c r="A293" s="55"/>
      <c r="B293" s="55"/>
      <c r="C293" s="55"/>
      <c r="D293" s="55"/>
      <c r="E293" s="55"/>
      <c r="F293" s="365"/>
      <c r="G293" s="55"/>
      <c r="H293" s="55"/>
      <c r="I293" s="360"/>
      <c r="J293" s="55"/>
      <c r="K293" s="55"/>
      <c r="L293" s="360"/>
      <c r="M293" s="55"/>
      <c r="N293" s="55"/>
      <c r="O293" s="360"/>
      <c r="P293" s="55"/>
      <c r="Q293" s="55"/>
      <c r="R293" s="360"/>
      <c r="S293" s="55"/>
      <c r="T293" s="350"/>
      <c r="U293" s="55"/>
      <c r="V293" s="55"/>
      <c r="W293" s="55"/>
      <c r="X293" s="55"/>
      <c r="Y293" s="55"/>
      <c r="Z293" s="55"/>
      <c r="AA293" s="55"/>
    </row>
    <row r="294">
      <c r="A294" s="55"/>
      <c r="B294" s="55"/>
      <c r="C294" s="55"/>
      <c r="D294" s="55"/>
      <c r="E294" s="55"/>
      <c r="F294" s="365"/>
      <c r="G294" s="55"/>
      <c r="H294" s="55"/>
      <c r="I294" s="360"/>
      <c r="J294" s="55"/>
      <c r="K294" s="55"/>
      <c r="L294" s="360"/>
      <c r="M294" s="55"/>
      <c r="N294" s="55"/>
      <c r="O294" s="360"/>
      <c r="P294" s="55"/>
      <c r="Q294" s="55"/>
      <c r="R294" s="360"/>
      <c r="S294" s="55"/>
      <c r="T294" s="350"/>
      <c r="U294" s="55"/>
      <c r="V294" s="55"/>
      <c r="W294" s="55"/>
      <c r="X294" s="55"/>
      <c r="Y294" s="55"/>
      <c r="Z294" s="55"/>
      <c r="AA294" s="55"/>
    </row>
    <row r="295">
      <c r="A295" s="55"/>
      <c r="B295" s="55"/>
      <c r="C295" s="55"/>
      <c r="D295" s="55"/>
      <c r="E295" s="55"/>
      <c r="F295" s="365"/>
      <c r="G295" s="55"/>
      <c r="H295" s="55"/>
      <c r="I295" s="360"/>
      <c r="J295" s="55"/>
      <c r="K295" s="55"/>
      <c r="L295" s="360"/>
      <c r="M295" s="55"/>
      <c r="N295" s="55"/>
      <c r="O295" s="360"/>
      <c r="P295" s="55"/>
      <c r="Q295" s="55"/>
      <c r="R295" s="360"/>
      <c r="S295" s="55"/>
      <c r="T295" s="350"/>
      <c r="U295" s="55"/>
      <c r="V295" s="55"/>
      <c r="W295" s="55"/>
      <c r="X295" s="55"/>
      <c r="Y295" s="55"/>
      <c r="Z295" s="55"/>
      <c r="AA295" s="55"/>
    </row>
    <row r="296">
      <c r="A296" s="55"/>
      <c r="B296" s="55"/>
      <c r="C296" s="55"/>
      <c r="D296" s="55"/>
      <c r="E296" s="55"/>
      <c r="F296" s="365"/>
      <c r="G296" s="55"/>
      <c r="H296" s="55"/>
      <c r="I296" s="360"/>
      <c r="J296" s="55"/>
      <c r="K296" s="55"/>
      <c r="L296" s="360"/>
      <c r="M296" s="55"/>
      <c r="N296" s="55"/>
      <c r="O296" s="360"/>
      <c r="P296" s="55"/>
      <c r="Q296" s="55"/>
      <c r="R296" s="360"/>
      <c r="S296" s="55"/>
      <c r="T296" s="350"/>
      <c r="U296" s="55"/>
      <c r="V296" s="55"/>
      <c r="W296" s="55"/>
      <c r="X296" s="55"/>
      <c r="Y296" s="55"/>
      <c r="Z296" s="55"/>
      <c r="AA296" s="55"/>
    </row>
    <row r="297">
      <c r="A297" s="55"/>
      <c r="B297" s="55"/>
      <c r="C297" s="55"/>
      <c r="D297" s="55"/>
      <c r="E297" s="55"/>
      <c r="F297" s="365"/>
      <c r="G297" s="55"/>
      <c r="H297" s="55"/>
      <c r="I297" s="360"/>
      <c r="J297" s="55"/>
      <c r="K297" s="55"/>
      <c r="L297" s="360"/>
      <c r="M297" s="55"/>
      <c r="N297" s="55"/>
      <c r="O297" s="360"/>
      <c r="P297" s="55"/>
      <c r="Q297" s="55"/>
      <c r="R297" s="360"/>
      <c r="S297" s="55"/>
      <c r="T297" s="350"/>
      <c r="U297" s="55"/>
      <c r="V297" s="55"/>
      <c r="W297" s="55"/>
      <c r="X297" s="55"/>
      <c r="Y297" s="55"/>
      <c r="Z297" s="55"/>
      <c r="AA297" s="55"/>
    </row>
    <row r="298">
      <c r="A298" s="55"/>
      <c r="B298" s="55"/>
      <c r="C298" s="55"/>
      <c r="D298" s="55"/>
      <c r="E298" s="55"/>
      <c r="F298" s="365"/>
      <c r="G298" s="55"/>
      <c r="H298" s="55"/>
      <c r="I298" s="360"/>
      <c r="J298" s="55"/>
      <c r="K298" s="55"/>
      <c r="L298" s="360"/>
      <c r="M298" s="55"/>
      <c r="N298" s="55"/>
      <c r="O298" s="360"/>
      <c r="P298" s="55"/>
      <c r="Q298" s="55"/>
      <c r="R298" s="360"/>
      <c r="S298" s="55"/>
      <c r="T298" s="350"/>
      <c r="U298" s="55"/>
      <c r="V298" s="55"/>
      <c r="W298" s="55"/>
      <c r="X298" s="55"/>
      <c r="Y298" s="55"/>
      <c r="Z298" s="55"/>
      <c r="AA298" s="55"/>
    </row>
    <row r="299">
      <c r="A299" s="55"/>
      <c r="B299" s="55"/>
      <c r="C299" s="55"/>
      <c r="D299" s="55"/>
      <c r="E299" s="55"/>
      <c r="F299" s="365"/>
      <c r="G299" s="55"/>
      <c r="H299" s="55"/>
      <c r="I299" s="360"/>
      <c r="J299" s="55"/>
      <c r="K299" s="55"/>
      <c r="L299" s="360"/>
      <c r="M299" s="55"/>
      <c r="N299" s="55"/>
      <c r="O299" s="360"/>
      <c r="P299" s="55"/>
      <c r="Q299" s="55"/>
      <c r="R299" s="360"/>
      <c r="S299" s="55"/>
      <c r="T299" s="350"/>
      <c r="U299" s="55"/>
      <c r="V299" s="55"/>
      <c r="W299" s="55"/>
      <c r="X299" s="55"/>
      <c r="Y299" s="55"/>
      <c r="Z299" s="55"/>
      <c r="AA299" s="55"/>
    </row>
    <row r="300">
      <c r="A300" s="55"/>
      <c r="B300" s="55"/>
      <c r="C300" s="55"/>
      <c r="D300" s="55"/>
      <c r="E300" s="55"/>
      <c r="F300" s="365"/>
      <c r="G300" s="55"/>
      <c r="H300" s="55"/>
      <c r="I300" s="360"/>
      <c r="J300" s="55"/>
      <c r="K300" s="55"/>
      <c r="L300" s="360"/>
      <c r="M300" s="55"/>
      <c r="N300" s="55"/>
      <c r="O300" s="360"/>
      <c r="P300" s="55"/>
      <c r="Q300" s="55"/>
      <c r="R300" s="360"/>
      <c r="S300" s="55"/>
      <c r="T300" s="350"/>
      <c r="U300" s="55"/>
      <c r="V300" s="55"/>
      <c r="W300" s="55"/>
      <c r="X300" s="55"/>
      <c r="Y300" s="55"/>
      <c r="Z300" s="55"/>
      <c r="AA300" s="55"/>
    </row>
    <row r="301">
      <c r="A301" s="55"/>
      <c r="B301" s="55"/>
      <c r="C301" s="55"/>
      <c r="D301" s="55"/>
      <c r="E301" s="55"/>
      <c r="F301" s="365"/>
      <c r="G301" s="55"/>
      <c r="H301" s="55"/>
      <c r="I301" s="360"/>
      <c r="J301" s="55"/>
      <c r="K301" s="55"/>
      <c r="L301" s="360"/>
      <c r="M301" s="55"/>
      <c r="N301" s="55"/>
      <c r="O301" s="360"/>
      <c r="P301" s="55"/>
      <c r="Q301" s="55"/>
      <c r="R301" s="360"/>
      <c r="S301" s="55"/>
      <c r="T301" s="350"/>
      <c r="U301" s="55"/>
      <c r="V301" s="55"/>
      <c r="W301" s="55"/>
      <c r="X301" s="55"/>
      <c r="Y301" s="55"/>
      <c r="Z301" s="55"/>
      <c r="AA301" s="55"/>
    </row>
    <row r="302">
      <c r="A302" s="55"/>
      <c r="B302" s="55"/>
      <c r="C302" s="55"/>
      <c r="D302" s="55"/>
      <c r="E302" s="55"/>
      <c r="F302" s="365"/>
      <c r="G302" s="55"/>
      <c r="H302" s="55"/>
      <c r="I302" s="360"/>
      <c r="J302" s="55"/>
      <c r="K302" s="55"/>
      <c r="L302" s="360"/>
      <c r="M302" s="55"/>
      <c r="N302" s="55"/>
      <c r="O302" s="360"/>
      <c r="P302" s="55"/>
      <c r="Q302" s="55"/>
      <c r="R302" s="360"/>
      <c r="S302" s="55"/>
      <c r="T302" s="350"/>
      <c r="U302" s="55"/>
      <c r="V302" s="55"/>
      <c r="W302" s="55"/>
      <c r="X302" s="55"/>
      <c r="Y302" s="55"/>
      <c r="Z302" s="55"/>
      <c r="AA302" s="55"/>
    </row>
    <row r="303">
      <c r="A303" s="55"/>
      <c r="B303" s="55"/>
      <c r="C303" s="55"/>
      <c r="D303" s="55"/>
      <c r="E303" s="55"/>
      <c r="F303" s="365"/>
      <c r="G303" s="55"/>
      <c r="H303" s="55"/>
      <c r="I303" s="360"/>
      <c r="J303" s="55"/>
      <c r="K303" s="55"/>
      <c r="L303" s="360"/>
      <c r="M303" s="55"/>
      <c r="N303" s="55"/>
      <c r="O303" s="360"/>
      <c r="P303" s="55"/>
      <c r="Q303" s="55"/>
      <c r="R303" s="360"/>
      <c r="S303" s="55"/>
      <c r="T303" s="350"/>
      <c r="U303" s="55"/>
      <c r="V303" s="55"/>
      <c r="W303" s="55"/>
      <c r="X303" s="55"/>
      <c r="Y303" s="55"/>
      <c r="Z303" s="55"/>
      <c r="AA303" s="55"/>
    </row>
    <row r="304">
      <c r="A304" s="55"/>
      <c r="B304" s="55"/>
      <c r="C304" s="55"/>
      <c r="D304" s="55"/>
      <c r="E304" s="55"/>
      <c r="F304" s="365"/>
      <c r="G304" s="55"/>
      <c r="H304" s="55"/>
      <c r="I304" s="360"/>
      <c r="J304" s="55"/>
      <c r="K304" s="55"/>
      <c r="L304" s="360"/>
      <c r="M304" s="55"/>
      <c r="N304" s="55"/>
      <c r="O304" s="360"/>
      <c r="P304" s="55"/>
      <c r="Q304" s="55"/>
      <c r="R304" s="360"/>
      <c r="S304" s="55"/>
      <c r="T304" s="350"/>
      <c r="U304" s="55"/>
      <c r="V304" s="55"/>
      <c r="W304" s="55"/>
      <c r="X304" s="55"/>
      <c r="Y304" s="55"/>
      <c r="Z304" s="55"/>
      <c r="AA304" s="55"/>
    </row>
    <row r="305">
      <c r="A305" s="55"/>
      <c r="B305" s="55"/>
      <c r="C305" s="55"/>
      <c r="D305" s="55"/>
      <c r="E305" s="55"/>
      <c r="F305" s="365"/>
      <c r="G305" s="55"/>
      <c r="H305" s="55"/>
      <c r="I305" s="360"/>
      <c r="J305" s="55"/>
      <c r="K305" s="55"/>
      <c r="L305" s="360"/>
      <c r="M305" s="55"/>
      <c r="N305" s="55"/>
      <c r="O305" s="360"/>
      <c r="P305" s="55"/>
      <c r="Q305" s="55"/>
      <c r="R305" s="360"/>
      <c r="S305" s="55"/>
      <c r="T305" s="350"/>
      <c r="U305" s="55"/>
      <c r="V305" s="55"/>
      <c r="W305" s="55"/>
      <c r="X305" s="55"/>
      <c r="Y305" s="55"/>
      <c r="Z305" s="55"/>
      <c r="AA305" s="55"/>
    </row>
    <row r="306">
      <c r="A306" s="55"/>
      <c r="B306" s="55"/>
      <c r="C306" s="55"/>
      <c r="D306" s="55"/>
      <c r="E306" s="55"/>
      <c r="F306" s="365"/>
      <c r="G306" s="55"/>
      <c r="H306" s="55"/>
      <c r="I306" s="360"/>
      <c r="J306" s="55"/>
      <c r="K306" s="55"/>
      <c r="L306" s="360"/>
      <c r="M306" s="55"/>
      <c r="N306" s="55"/>
      <c r="O306" s="360"/>
      <c r="P306" s="55"/>
      <c r="Q306" s="55"/>
      <c r="R306" s="360"/>
      <c r="S306" s="55"/>
      <c r="T306" s="350"/>
      <c r="U306" s="55"/>
      <c r="V306" s="55"/>
      <c r="W306" s="55"/>
      <c r="X306" s="55"/>
      <c r="Y306" s="55"/>
      <c r="Z306" s="55"/>
      <c r="AA306" s="55"/>
    </row>
    <row r="307">
      <c r="A307" s="55"/>
      <c r="B307" s="55"/>
      <c r="C307" s="55"/>
      <c r="D307" s="55"/>
      <c r="E307" s="55"/>
      <c r="F307" s="365"/>
      <c r="G307" s="55"/>
      <c r="H307" s="55"/>
      <c r="I307" s="360"/>
      <c r="J307" s="55"/>
      <c r="K307" s="55"/>
      <c r="L307" s="360"/>
      <c r="M307" s="55"/>
      <c r="N307" s="55"/>
      <c r="O307" s="360"/>
      <c r="P307" s="55"/>
      <c r="Q307" s="55"/>
      <c r="R307" s="360"/>
      <c r="S307" s="55"/>
      <c r="T307" s="350"/>
      <c r="U307" s="55"/>
      <c r="V307" s="55"/>
      <c r="W307" s="55"/>
      <c r="X307" s="55"/>
      <c r="Y307" s="55"/>
      <c r="Z307" s="55"/>
      <c r="AA307" s="55"/>
    </row>
    <row r="308">
      <c r="A308" s="55"/>
      <c r="B308" s="55"/>
      <c r="C308" s="55"/>
      <c r="D308" s="55"/>
      <c r="E308" s="55"/>
      <c r="F308" s="365"/>
      <c r="G308" s="55"/>
      <c r="H308" s="55"/>
      <c r="I308" s="360"/>
      <c r="J308" s="55"/>
      <c r="K308" s="55"/>
      <c r="L308" s="360"/>
      <c r="M308" s="55"/>
      <c r="N308" s="55"/>
      <c r="O308" s="360"/>
      <c r="P308" s="55"/>
      <c r="Q308" s="55"/>
      <c r="R308" s="360"/>
      <c r="S308" s="55"/>
      <c r="T308" s="350"/>
      <c r="U308" s="55"/>
      <c r="V308" s="55"/>
      <c r="W308" s="55"/>
      <c r="X308" s="55"/>
      <c r="Y308" s="55"/>
      <c r="Z308" s="55"/>
      <c r="AA308" s="55"/>
    </row>
    <row r="309">
      <c r="A309" s="55"/>
      <c r="B309" s="55"/>
      <c r="C309" s="55"/>
      <c r="D309" s="55"/>
      <c r="E309" s="55"/>
      <c r="F309" s="365"/>
      <c r="G309" s="55"/>
      <c r="H309" s="55"/>
      <c r="I309" s="360"/>
      <c r="J309" s="55"/>
      <c r="K309" s="55"/>
      <c r="L309" s="360"/>
      <c r="M309" s="55"/>
      <c r="N309" s="55"/>
      <c r="O309" s="360"/>
      <c r="P309" s="55"/>
      <c r="Q309" s="55"/>
      <c r="R309" s="360"/>
      <c r="S309" s="55"/>
      <c r="T309" s="350"/>
      <c r="U309" s="55"/>
      <c r="V309" s="55"/>
      <c r="W309" s="55"/>
      <c r="X309" s="55"/>
      <c r="Y309" s="55"/>
      <c r="Z309" s="55"/>
      <c r="AA309" s="55"/>
    </row>
    <row r="310">
      <c r="A310" s="55"/>
      <c r="B310" s="55"/>
      <c r="C310" s="55"/>
      <c r="D310" s="55"/>
      <c r="E310" s="55"/>
      <c r="F310" s="365"/>
      <c r="G310" s="55"/>
      <c r="H310" s="55"/>
      <c r="I310" s="360"/>
      <c r="J310" s="55"/>
      <c r="K310" s="55"/>
      <c r="L310" s="360"/>
      <c r="M310" s="55"/>
      <c r="N310" s="55"/>
      <c r="O310" s="360"/>
      <c r="P310" s="55"/>
      <c r="Q310" s="55"/>
      <c r="R310" s="360"/>
      <c r="S310" s="55"/>
      <c r="T310" s="350"/>
      <c r="U310" s="55"/>
      <c r="V310" s="55"/>
      <c r="W310" s="55"/>
      <c r="X310" s="55"/>
      <c r="Y310" s="55"/>
      <c r="Z310" s="55"/>
      <c r="AA310" s="55"/>
    </row>
    <row r="311">
      <c r="A311" s="55"/>
      <c r="B311" s="55"/>
      <c r="C311" s="55"/>
      <c r="D311" s="55"/>
      <c r="E311" s="55"/>
      <c r="F311" s="365"/>
      <c r="G311" s="55"/>
      <c r="H311" s="55"/>
      <c r="I311" s="360"/>
      <c r="J311" s="55"/>
      <c r="K311" s="55"/>
      <c r="L311" s="360"/>
      <c r="M311" s="55"/>
      <c r="N311" s="55"/>
      <c r="O311" s="360"/>
      <c r="P311" s="55"/>
      <c r="Q311" s="55"/>
      <c r="R311" s="360"/>
      <c r="S311" s="55"/>
      <c r="T311" s="350"/>
      <c r="U311" s="55"/>
      <c r="V311" s="55"/>
      <c r="W311" s="55"/>
      <c r="X311" s="55"/>
      <c r="Y311" s="55"/>
      <c r="Z311" s="55"/>
      <c r="AA311" s="55"/>
    </row>
    <row r="312">
      <c r="A312" s="55"/>
      <c r="B312" s="55"/>
      <c r="C312" s="55"/>
      <c r="D312" s="55"/>
      <c r="E312" s="55"/>
      <c r="F312" s="365"/>
      <c r="G312" s="55"/>
      <c r="H312" s="55"/>
      <c r="I312" s="360"/>
      <c r="J312" s="55"/>
      <c r="K312" s="55"/>
      <c r="L312" s="360"/>
      <c r="M312" s="55"/>
      <c r="N312" s="55"/>
      <c r="O312" s="360"/>
      <c r="P312" s="55"/>
      <c r="Q312" s="55"/>
      <c r="R312" s="360"/>
      <c r="S312" s="55"/>
      <c r="T312" s="350"/>
      <c r="U312" s="55"/>
      <c r="V312" s="55"/>
      <c r="W312" s="55"/>
      <c r="X312" s="55"/>
      <c r="Y312" s="55"/>
      <c r="Z312" s="55"/>
      <c r="AA312" s="55"/>
    </row>
    <row r="313">
      <c r="A313" s="55"/>
      <c r="B313" s="55"/>
      <c r="C313" s="55"/>
      <c r="D313" s="55"/>
      <c r="E313" s="55"/>
      <c r="F313" s="365"/>
      <c r="G313" s="55"/>
      <c r="H313" s="55"/>
      <c r="I313" s="360"/>
      <c r="J313" s="55"/>
      <c r="K313" s="55"/>
      <c r="L313" s="360"/>
      <c r="M313" s="55"/>
      <c r="N313" s="55"/>
      <c r="O313" s="360"/>
      <c r="P313" s="55"/>
      <c r="Q313" s="55"/>
      <c r="R313" s="360"/>
      <c r="S313" s="55"/>
      <c r="T313" s="350"/>
      <c r="U313" s="55"/>
      <c r="V313" s="55"/>
      <c r="W313" s="55"/>
      <c r="X313" s="55"/>
      <c r="Y313" s="55"/>
      <c r="Z313" s="55"/>
      <c r="AA313" s="55"/>
    </row>
    <row r="314">
      <c r="A314" s="55"/>
      <c r="B314" s="55"/>
      <c r="C314" s="55"/>
      <c r="D314" s="55"/>
      <c r="E314" s="55"/>
      <c r="F314" s="365"/>
      <c r="G314" s="55"/>
      <c r="H314" s="55"/>
      <c r="I314" s="360"/>
      <c r="J314" s="55"/>
      <c r="K314" s="55"/>
      <c r="L314" s="360"/>
      <c r="M314" s="55"/>
      <c r="N314" s="55"/>
      <c r="O314" s="360"/>
      <c r="P314" s="55"/>
      <c r="Q314" s="55"/>
      <c r="R314" s="360"/>
      <c r="S314" s="55"/>
      <c r="T314" s="350"/>
      <c r="U314" s="55"/>
      <c r="V314" s="55"/>
      <c r="W314" s="55"/>
      <c r="X314" s="55"/>
      <c r="Y314" s="55"/>
      <c r="Z314" s="55"/>
      <c r="AA314" s="55"/>
    </row>
    <row r="315">
      <c r="A315" s="55"/>
      <c r="B315" s="55"/>
      <c r="C315" s="55"/>
      <c r="D315" s="55"/>
      <c r="E315" s="55"/>
      <c r="F315" s="365"/>
      <c r="G315" s="55"/>
      <c r="H315" s="55"/>
      <c r="I315" s="360"/>
      <c r="J315" s="55"/>
      <c r="K315" s="55"/>
      <c r="L315" s="360"/>
      <c r="M315" s="55"/>
      <c r="N315" s="55"/>
      <c r="O315" s="360"/>
      <c r="P315" s="55"/>
      <c r="Q315" s="55"/>
      <c r="R315" s="360"/>
      <c r="S315" s="55"/>
      <c r="T315" s="350"/>
      <c r="U315" s="55"/>
      <c r="V315" s="55"/>
      <c r="W315" s="55"/>
      <c r="X315" s="55"/>
      <c r="Y315" s="55"/>
      <c r="Z315" s="55"/>
      <c r="AA315" s="55"/>
    </row>
    <row r="316">
      <c r="A316" s="55"/>
      <c r="B316" s="55"/>
      <c r="C316" s="55"/>
      <c r="D316" s="55"/>
      <c r="E316" s="55"/>
      <c r="F316" s="365"/>
      <c r="G316" s="55"/>
      <c r="H316" s="55"/>
      <c r="I316" s="360"/>
      <c r="J316" s="55"/>
      <c r="K316" s="55"/>
      <c r="L316" s="360"/>
      <c r="M316" s="55"/>
      <c r="N316" s="55"/>
      <c r="O316" s="360"/>
      <c r="P316" s="55"/>
      <c r="Q316" s="55"/>
      <c r="R316" s="360"/>
      <c r="S316" s="55"/>
      <c r="T316" s="350"/>
      <c r="U316" s="55"/>
      <c r="V316" s="55"/>
      <c r="W316" s="55"/>
      <c r="X316" s="55"/>
      <c r="Y316" s="55"/>
      <c r="Z316" s="55"/>
      <c r="AA316" s="55"/>
    </row>
    <row r="317">
      <c r="A317" s="55"/>
      <c r="B317" s="55"/>
      <c r="C317" s="55"/>
      <c r="D317" s="55"/>
      <c r="E317" s="55"/>
      <c r="F317" s="365"/>
      <c r="G317" s="55"/>
      <c r="H317" s="55"/>
      <c r="I317" s="360"/>
      <c r="J317" s="55"/>
      <c r="K317" s="55"/>
      <c r="L317" s="360"/>
      <c r="M317" s="55"/>
      <c r="N317" s="55"/>
      <c r="O317" s="360"/>
      <c r="P317" s="55"/>
      <c r="Q317" s="55"/>
      <c r="R317" s="360"/>
      <c r="S317" s="55"/>
      <c r="T317" s="350"/>
      <c r="U317" s="55"/>
      <c r="V317" s="55"/>
      <c r="W317" s="55"/>
      <c r="X317" s="55"/>
      <c r="Y317" s="55"/>
      <c r="Z317" s="55"/>
      <c r="AA317" s="55"/>
    </row>
    <row r="318">
      <c r="A318" s="55"/>
      <c r="B318" s="55"/>
      <c r="C318" s="55"/>
      <c r="D318" s="55"/>
      <c r="E318" s="55"/>
      <c r="F318" s="365"/>
      <c r="G318" s="55"/>
      <c r="H318" s="55"/>
      <c r="I318" s="360"/>
      <c r="J318" s="55"/>
      <c r="K318" s="55"/>
      <c r="L318" s="360"/>
      <c r="M318" s="55"/>
      <c r="N318" s="55"/>
      <c r="O318" s="360"/>
      <c r="P318" s="55"/>
      <c r="Q318" s="55"/>
      <c r="R318" s="360"/>
      <c r="S318" s="55"/>
      <c r="T318" s="350"/>
      <c r="U318" s="55"/>
      <c r="V318" s="55"/>
      <c r="W318" s="55"/>
      <c r="X318" s="55"/>
      <c r="Y318" s="55"/>
      <c r="Z318" s="55"/>
      <c r="AA318" s="55"/>
    </row>
    <row r="319">
      <c r="A319" s="55"/>
      <c r="B319" s="55"/>
      <c r="C319" s="55"/>
      <c r="D319" s="55"/>
      <c r="E319" s="55"/>
      <c r="F319" s="365"/>
      <c r="G319" s="55"/>
      <c r="H319" s="55"/>
      <c r="I319" s="360"/>
      <c r="J319" s="55"/>
      <c r="K319" s="55"/>
      <c r="L319" s="360"/>
      <c r="M319" s="55"/>
      <c r="N319" s="55"/>
      <c r="O319" s="360"/>
      <c r="P319" s="55"/>
      <c r="Q319" s="55"/>
      <c r="R319" s="360"/>
      <c r="S319" s="55"/>
      <c r="T319" s="350"/>
      <c r="U319" s="55"/>
      <c r="V319" s="55"/>
      <c r="W319" s="55"/>
      <c r="X319" s="55"/>
      <c r="Y319" s="55"/>
      <c r="Z319" s="55"/>
      <c r="AA319" s="55"/>
    </row>
    <row r="320">
      <c r="A320" s="55"/>
      <c r="B320" s="55"/>
      <c r="C320" s="55"/>
      <c r="D320" s="55"/>
      <c r="E320" s="55"/>
      <c r="F320" s="365"/>
      <c r="G320" s="55"/>
      <c r="H320" s="55"/>
      <c r="I320" s="360"/>
      <c r="J320" s="55"/>
      <c r="K320" s="55"/>
      <c r="L320" s="360"/>
      <c r="M320" s="55"/>
      <c r="N320" s="55"/>
      <c r="O320" s="360"/>
      <c r="P320" s="55"/>
      <c r="Q320" s="55"/>
      <c r="R320" s="360"/>
      <c r="S320" s="55"/>
      <c r="T320" s="350"/>
      <c r="U320" s="55"/>
      <c r="V320" s="55"/>
      <c r="W320" s="55"/>
      <c r="X320" s="55"/>
      <c r="Y320" s="55"/>
      <c r="Z320" s="55"/>
      <c r="AA320" s="55"/>
    </row>
    <row r="321">
      <c r="A321" s="55"/>
      <c r="B321" s="55"/>
      <c r="C321" s="55"/>
      <c r="D321" s="55"/>
      <c r="E321" s="55"/>
      <c r="F321" s="365"/>
      <c r="G321" s="55"/>
      <c r="H321" s="55"/>
      <c r="I321" s="360"/>
      <c r="J321" s="55"/>
      <c r="K321" s="55"/>
      <c r="L321" s="360"/>
      <c r="M321" s="55"/>
      <c r="N321" s="55"/>
      <c r="O321" s="360"/>
      <c r="P321" s="55"/>
      <c r="Q321" s="55"/>
      <c r="R321" s="360"/>
      <c r="S321" s="55"/>
      <c r="T321" s="350"/>
      <c r="U321" s="55"/>
      <c r="V321" s="55"/>
      <c r="W321" s="55"/>
      <c r="X321" s="55"/>
      <c r="Y321" s="55"/>
      <c r="Z321" s="55"/>
      <c r="AA321" s="55"/>
    </row>
    <row r="322">
      <c r="A322" s="55"/>
      <c r="B322" s="55"/>
      <c r="C322" s="55"/>
      <c r="D322" s="55"/>
      <c r="E322" s="55"/>
      <c r="F322" s="365"/>
      <c r="G322" s="55"/>
      <c r="H322" s="55"/>
      <c r="I322" s="360"/>
      <c r="J322" s="55"/>
      <c r="K322" s="55"/>
      <c r="L322" s="360"/>
      <c r="M322" s="55"/>
      <c r="N322" s="55"/>
      <c r="O322" s="360"/>
      <c r="P322" s="55"/>
      <c r="Q322" s="55"/>
      <c r="R322" s="360"/>
      <c r="S322" s="55"/>
      <c r="T322" s="350"/>
      <c r="U322" s="55"/>
      <c r="V322" s="55"/>
      <c r="W322" s="55"/>
      <c r="X322" s="55"/>
      <c r="Y322" s="55"/>
      <c r="Z322" s="55"/>
      <c r="AA322" s="55"/>
    </row>
    <row r="323">
      <c r="A323" s="55"/>
      <c r="B323" s="55"/>
      <c r="C323" s="55"/>
      <c r="D323" s="55"/>
      <c r="E323" s="55"/>
      <c r="F323" s="365"/>
      <c r="G323" s="55"/>
      <c r="H323" s="55"/>
      <c r="I323" s="360"/>
      <c r="J323" s="55"/>
      <c r="K323" s="55"/>
      <c r="L323" s="360"/>
      <c r="M323" s="55"/>
      <c r="N323" s="55"/>
      <c r="O323" s="360"/>
      <c r="P323" s="55"/>
      <c r="Q323" s="55"/>
      <c r="R323" s="360"/>
      <c r="S323" s="55"/>
      <c r="T323" s="350"/>
      <c r="U323" s="55"/>
      <c r="V323" s="55"/>
      <c r="W323" s="55"/>
      <c r="X323" s="55"/>
      <c r="Y323" s="55"/>
      <c r="Z323" s="55"/>
      <c r="AA323" s="55"/>
    </row>
    <row r="324">
      <c r="A324" s="55"/>
      <c r="B324" s="55"/>
      <c r="C324" s="55"/>
      <c r="D324" s="55"/>
      <c r="E324" s="55"/>
      <c r="F324" s="365"/>
      <c r="G324" s="55"/>
      <c r="H324" s="55"/>
      <c r="I324" s="360"/>
      <c r="J324" s="55"/>
      <c r="K324" s="55"/>
      <c r="L324" s="360"/>
      <c r="M324" s="55"/>
      <c r="N324" s="55"/>
      <c r="O324" s="360"/>
      <c r="P324" s="55"/>
      <c r="Q324" s="55"/>
      <c r="R324" s="360"/>
      <c r="S324" s="55"/>
      <c r="T324" s="350"/>
      <c r="U324" s="55"/>
      <c r="V324" s="55"/>
      <c r="W324" s="55"/>
      <c r="X324" s="55"/>
      <c r="Y324" s="55"/>
      <c r="Z324" s="55"/>
      <c r="AA324" s="55"/>
    </row>
    <row r="325">
      <c r="A325" s="55"/>
      <c r="B325" s="55"/>
      <c r="C325" s="55"/>
      <c r="D325" s="55"/>
      <c r="E325" s="55"/>
      <c r="F325" s="365"/>
      <c r="G325" s="55"/>
      <c r="H325" s="55"/>
      <c r="I325" s="360"/>
      <c r="J325" s="55"/>
      <c r="K325" s="55"/>
      <c r="L325" s="360"/>
      <c r="M325" s="55"/>
      <c r="N325" s="55"/>
      <c r="O325" s="360"/>
      <c r="P325" s="55"/>
      <c r="Q325" s="55"/>
      <c r="R325" s="360"/>
      <c r="S325" s="55"/>
      <c r="T325" s="350"/>
      <c r="U325" s="55"/>
      <c r="V325" s="55"/>
      <c r="W325" s="55"/>
      <c r="X325" s="55"/>
      <c r="Y325" s="55"/>
      <c r="Z325" s="55"/>
      <c r="AA325" s="55"/>
    </row>
    <row r="326">
      <c r="A326" s="55"/>
      <c r="B326" s="55"/>
      <c r="C326" s="55"/>
      <c r="D326" s="55"/>
      <c r="E326" s="55"/>
      <c r="F326" s="365"/>
      <c r="G326" s="55"/>
      <c r="H326" s="55"/>
      <c r="I326" s="360"/>
      <c r="J326" s="55"/>
      <c r="K326" s="55"/>
      <c r="L326" s="360"/>
      <c r="M326" s="55"/>
      <c r="N326" s="55"/>
      <c r="O326" s="360"/>
      <c r="P326" s="55"/>
      <c r="Q326" s="55"/>
      <c r="R326" s="360"/>
      <c r="S326" s="55"/>
      <c r="T326" s="350"/>
      <c r="U326" s="55"/>
      <c r="V326" s="55"/>
      <c r="W326" s="55"/>
      <c r="X326" s="55"/>
      <c r="Y326" s="55"/>
      <c r="Z326" s="55"/>
      <c r="AA326" s="55"/>
    </row>
    <row r="327">
      <c r="A327" s="55"/>
      <c r="B327" s="55"/>
      <c r="C327" s="55"/>
      <c r="D327" s="55"/>
      <c r="E327" s="55"/>
      <c r="F327" s="365"/>
      <c r="G327" s="55"/>
      <c r="H327" s="55"/>
      <c r="I327" s="360"/>
      <c r="J327" s="55"/>
      <c r="K327" s="55"/>
      <c r="L327" s="360"/>
      <c r="M327" s="55"/>
      <c r="N327" s="55"/>
      <c r="O327" s="360"/>
      <c r="P327" s="55"/>
      <c r="Q327" s="55"/>
      <c r="R327" s="360"/>
      <c r="S327" s="55"/>
      <c r="T327" s="350"/>
      <c r="U327" s="55"/>
      <c r="V327" s="55"/>
      <c r="W327" s="55"/>
      <c r="X327" s="55"/>
      <c r="Y327" s="55"/>
      <c r="Z327" s="55"/>
      <c r="AA327" s="55"/>
    </row>
    <row r="328">
      <c r="A328" s="55"/>
      <c r="B328" s="55"/>
      <c r="C328" s="55"/>
      <c r="D328" s="55"/>
      <c r="E328" s="55"/>
      <c r="F328" s="365"/>
      <c r="G328" s="55"/>
      <c r="H328" s="55"/>
      <c r="I328" s="360"/>
      <c r="J328" s="55"/>
      <c r="K328" s="55"/>
      <c r="L328" s="360"/>
      <c r="M328" s="55"/>
      <c r="N328" s="55"/>
      <c r="O328" s="360"/>
      <c r="P328" s="55"/>
      <c r="Q328" s="55"/>
      <c r="R328" s="360"/>
      <c r="S328" s="55"/>
      <c r="T328" s="350"/>
      <c r="U328" s="55"/>
      <c r="V328" s="55"/>
      <c r="W328" s="55"/>
      <c r="X328" s="55"/>
      <c r="Y328" s="55"/>
      <c r="Z328" s="55"/>
      <c r="AA328" s="55"/>
    </row>
    <row r="329">
      <c r="A329" s="55"/>
      <c r="B329" s="55"/>
      <c r="C329" s="55"/>
      <c r="D329" s="55"/>
      <c r="E329" s="55"/>
      <c r="F329" s="365"/>
      <c r="G329" s="55"/>
      <c r="H329" s="55"/>
      <c r="I329" s="360"/>
      <c r="J329" s="55"/>
      <c r="K329" s="55"/>
      <c r="L329" s="360"/>
      <c r="M329" s="55"/>
      <c r="N329" s="55"/>
      <c r="O329" s="360"/>
      <c r="P329" s="55"/>
      <c r="Q329" s="55"/>
      <c r="R329" s="360"/>
      <c r="S329" s="55"/>
      <c r="T329" s="350"/>
      <c r="U329" s="55"/>
      <c r="V329" s="55"/>
      <c r="W329" s="55"/>
      <c r="X329" s="55"/>
      <c r="Y329" s="55"/>
      <c r="Z329" s="55"/>
      <c r="AA329" s="55"/>
    </row>
    <row r="330">
      <c r="A330" s="55"/>
      <c r="B330" s="55"/>
      <c r="C330" s="55"/>
      <c r="D330" s="55"/>
      <c r="E330" s="55"/>
      <c r="F330" s="365"/>
      <c r="G330" s="55"/>
      <c r="H330" s="55"/>
      <c r="I330" s="360"/>
      <c r="J330" s="55"/>
      <c r="K330" s="55"/>
      <c r="L330" s="360"/>
      <c r="M330" s="55"/>
      <c r="N330" s="55"/>
      <c r="O330" s="360"/>
      <c r="P330" s="55"/>
      <c r="Q330" s="55"/>
      <c r="R330" s="360"/>
      <c r="S330" s="55"/>
      <c r="T330" s="350"/>
      <c r="U330" s="55"/>
      <c r="V330" s="55"/>
      <c r="W330" s="55"/>
      <c r="X330" s="55"/>
      <c r="Y330" s="55"/>
      <c r="Z330" s="55"/>
      <c r="AA330" s="55"/>
    </row>
    <row r="331">
      <c r="A331" s="55"/>
      <c r="B331" s="55"/>
      <c r="C331" s="55"/>
      <c r="D331" s="55"/>
      <c r="E331" s="55"/>
      <c r="F331" s="365"/>
      <c r="G331" s="55"/>
      <c r="H331" s="55"/>
      <c r="I331" s="360"/>
      <c r="J331" s="55"/>
      <c r="K331" s="55"/>
      <c r="L331" s="360"/>
      <c r="M331" s="55"/>
      <c r="N331" s="55"/>
      <c r="O331" s="360"/>
      <c r="P331" s="55"/>
      <c r="Q331" s="55"/>
      <c r="R331" s="360"/>
      <c r="S331" s="55"/>
      <c r="T331" s="350"/>
      <c r="U331" s="55"/>
      <c r="V331" s="55"/>
      <c r="W331" s="55"/>
      <c r="X331" s="55"/>
      <c r="Y331" s="55"/>
      <c r="Z331" s="55"/>
      <c r="AA331" s="55"/>
    </row>
    <row r="332">
      <c r="A332" s="55"/>
      <c r="B332" s="55"/>
      <c r="C332" s="55"/>
      <c r="D332" s="55"/>
      <c r="E332" s="55"/>
      <c r="F332" s="365"/>
      <c r="G332" s="55"/>
      <c r="H332" s="55"/>
      <c r="I332" s="360"/>
      <c r="J332" s="55"/>
      <c r="K332" s="55"/>
      <c r="L332" s="360"/>
      <c r="M332" s="55"/>
      <c r="N332" s="55"/>
      <c r="O332" s="360"/>
      <c r="P332" s="55"/>
      <c r="Q332" s="55"/>
      <c r="R332" s="360"/>
      <c r="S332" s="55"/>
      <c r="T332" s="350"/>
      <c r="U332" s="55"/>
      <c r="V332" s="55"/>
      <c r="W332" s="55"/>
      <c r="X332" s="55"/>
      <c r="Y332" s="55"/>
      <c r="Z332" s="55"/>
      <c r="AA332" s="55"/>
    </row>
    <row r="333">
      <c r="A333" s="55"/>
      <c r="B333" s="55"/>
      <c r="C333" s="55"/>
      <c r="D333" s="55"/>
      <c r="E333" s="55"/>
      <c r="F333" s="365"/>
      <c r="G333" s="55"/>
      <c r="H333" s="55"/>
      <c r="I333" s="360"/>
      <c r="J333" s="55"/>
      <c r="K333" s="55"/>
      <c r="L333" s="360"/>
      <c r="M333" s="55"/>
      <c r="N333" s="55"/>
      <c r="O333" s="360"/>
      <c r="P333" s="55"/>
      <c r="Q333" s="55"/>
      <c r="R333" s="360"/>
      <c r="S333" s="55"/>
      <c r="T333" s="350"/>
      <c r="U333" s="55"/>
      <c r="V333" s="55"/>
      <c r="W333" s="55"/>
      <c r="X333" s="55"/>
      <c r="Y333" s="55"/>
      <c r="Z333" s="55"/>
      <c r="AA333" s="55"/>
    </row>
    <row r="334">
      <c r="A334" s="55"/>
      <c r="B334" s="55"/>
      <c r="C334" s="55"/>
      <c r="D334" s="55"/>
      <c r="E334" s="55"/>
      <c r="F334" s="365"/>
      <c r="G334" s="55"/>
      <c r="H334" s="55"/>
      <c r="I334" s="360"/>
      <c r="J334" s="55"/>
      <c r="K334" s="55"/>
      <c r="L334" s="360"/>
      <c r="M334" s="55"/>
      <c r="N334" s="55"/>
      <c r="O334" s="360"/>
      <c r="P334" s="55"/>
      <c r="Q334" s="55"/>
      <c r="R334" s="360"/>
      <c r="S334" s="55"/>
      <c r="T334" s="350"/>
      <c r="U334" s="55"/>
      <c r="V334" s="55"/>
      <c r="W334" s="55"/>
      <c r="X334" s="55"/>
      <c r="Y334" s="55"/>
      <c r="Z334" s="55"/>
      <c r="AA334" s="55"/>
    </row>
    <row r="335">
      <c r="A335" s="55"/>
      <c r="B335" s="55"/>
      <c r="C335" s="55"/>
      <c r="D335" s="55"/>
      <c r="E335" s="55"/>
      <c r="F335" s="365"/>
      <c r="G335" s="55"/>
      <c r="H335" s="55"/>
      <c r="I335" s="360"/>
      <c r="J335" s="55"/>
      <c r="K335" s="55"/>
      <c r="L335" s="360"/>
      <c r="M335" s="55"/>
      <c r="N335" s="55"/>
      <c r="O335" s="360"/>
      <c r="P335" s="55"/>
      <c r="Q335" s="55"/>
      <c r="R335" s="360"/>
      <c r="S335" s="55"/>
      <c r="T335" s="350"/>
      <c r="U335" s="55"/>
      <c r="V335" s="55"/>
      <c r="W335" s="55"/>
      <c r="X335" s="55"/>
      <c r="Y335" s="55"/>
      <c r="Z335" s="55"/>
      <c r="AA335" s="55"/>
    </row>
    <row r="336">
      <c r="A336" s="55"/>
      <c r="B336" s="55"/>
      <c r="C336" s="55"/>
      <c r="D336" s="55"/>
      <c r="E336" s="55"/>
      <c r="F336" s="365"/>
      <c r="G336" s="55"/>
      <c r="H336" s="55"/>
      <c r="I336" s="360"/>
      <c r="J336" s="55"/>
      <c r="K336" s="55"/>
      <c r="L336" s="360"/>
      <c r="M336" s="55"/>
      <c r="N336" s="55"/>
      <c r="O336" s="360"/>
      <c r="P336" s="55"/>
      <c r="Q336" s="55"/>
      <c r="R336" s="360"/>
      <c r="S336" s="55"/>
      <c r="T336" s="350"/>
      <c r="U336" s="55"/>
      <c r="V336" s="55"/>
      <c r="W336" s="55"/>
      <c r="X336" s="55"/>
      <c r="Y336" s="55"/>
      <c r="Z336" s="55"/>
      <c r="AA336" s="55"/>
    </row>
    <row r="337">
      <c r="A337" s="55"/>
      <c r="B337" s="55"/>
      <c r="C337" s="55"/>
      <c r="D337" s="55"/>
      <c r="E337" s="55"/>
      <c r="F337" s="365"/>
      <c r="G337" s="55"/>
      <c r="H337" s="55"/>
      <c r="I337" s="360"/>
      <c r="J337" s="55"/>
      <c r="K337" s="55"/>
      <c r="L337" s="360"/>
      <c r="M337" s="55"/>
      <c r="N337" s="55"/>
      <c r="O337" s="360"/>
      <c r="P337" s="55"/>
      <c r="Q337" s="55"/>
      <c r="R337" s="360"/>
      <c r="S337" s="55"/>
      <c r="T337" s="350"/>
      <c r="U337" s="55"/>
      <c r="V337" s="55"/>
      <c r="W337" s="55"/>
      <c r="X337" s="55"/>
      <c r="Y337" s="55"/>
      <c r="Z337" s="55"/>
      <c r="AA337" s="55"/>
    </row>
    <row r="338">
      <c r="A338" s="55"/>
      <c r="B338" s="55"/>
      <c r="C338" s="55"/>
      <c r="D338" s="55"/>
      <c r="E338" s="55"/>
      <c r="F338" s="365"/>
      <c r="G338" s="55"/>
      <c r="H338" s="55"/>
      <c r="I338" s="360"/>
      <c r="J338" s="55"/>
      <c r="K338" s="55"/>
      <c r="L338" s="360"/>
      <c r="M338" s="55"/>
      <c r="N338" s="55"/>
      <c r="O338" s="360"/>
      <c r="P338" s="55"/>
      <c r="Q338" s="55"/>
      <c r="R338" s="360"/>
      <c r="S338" s="55"/>
      <c r="T338" s="350"/>
      <c r="U338" s="55"/>
      <c r="V338" s="55"/>
      <c r="W338" s="55"/>
      <c r="X338" s="55"/>
      <c r="Y338" s="55"/>
      <c r="Z338" s="55"/>
      <c r="AA338" s="55"/>
    </row>
    <row r="339">
      <c r="A339" s="55"/>
      <c r="B339" s="55"/>
      <c r="C339" s="55"/>
      <c r="D339" s="55"/>
      <c r="E339" s="55"/>
      <c r="F339" s="365"/>
      <c r="G339" s="55"/>
      <c r="H339" s="55"/>
      <c r="I339" s="360"/>
      <c r="J339" s="55"/>
      <c r="K339" s="55"/>
      <c r="L339" s="360"/>
      <c r="M339" s="55"/>
      <c r="N339" s="55"/>
      <c r="O339" s="360"/>
      <c r="P339" s="55"/>
      <c r="Q339" s="55"/>
      <c r="R339" s="360"/>
      <c r="S339" s="55"/>
      <c r="T339" s="350"/>
      <c r="U339" s="55"/>
      <c r="V339" s="55"/>
      <c r="W339" s="55"/>
      <c r="X339" s="55"/>
      <c r="Y339" s="55"/>
      <c r="Z339" s="55"/>
      <c r="AA339" s="55"/>
    </row>
    <row r="340">
      <c r="A340" s="55"/>
      <c r="B340" s="55"/>
      <c r="C340" s="55"/>
      <c r="D340" s="55"/>
      <c r="E340" s="55"/>
      <c r="F340" s="365"/>
      <c r="G340" s="55"/>
      <c r="H340" s="55"/>
      <c r="I340" s="360"/>
      <c r="J340" s="55"/>
      <c r="K340" s="55"/>
      <c r="L340" s="360"/>
      <c r="M340" s="55"/>
      <c r="N340" s="55"/>
      <c r="O340" s="360"/>
      <c r="P340" s="55"/>
      <c r="Q340" s="55"/>
      <c r="R340" s="360"/>
      <c r="S340" s="55"/>
      <c r="T340" s="350"/>
      <c r="U340" s="55"/>
      <c r="V340" s="55"/>
      <c r="W340" s="55"/>
      <c r="X340" s="55"/>
      <c r="Y340" s="55"/>
      <c r="Z340" s="55"/>
      <c r="AA340" s="55"/>
    </row>
    <row r="341">
      <c r="A341" s="55"/>
      <c r="B341" s="55"/>
      <c r="C341" s="55"/>
      <c r="D341" s="55"/>
      <c r="E341" s="55"/>
      <c r="F341" s="365"/>
      <c r="G341" s="55"/>
      <c r="H341" s="55"/>
      <c r="I341" s="360"/>
      <c r="J341" s="55"/>
      <c r="K341" s="55"/>
      <c r="L341" s="360"/>
      <c r="M341" s="55"/>
      <c r="N341" s="55"/>
      <c r="O341" s="360"/>
      <c r="P341" s="55"/>
      <c r="Q341" s="55"/>
      <c r="R341" s="360"/>
      <c r="S341" s="55"/>
      <c r="T341" s="350"/>
      <c r="U341" s="55"/>
      <c r="V341" s="55"/>
      <c r="W341" s="55"/>
      <c r="X341" s="55"/>
      <c r="Y341" s="55"/>
      <c r="Z341" s="55"/>
      <c r="AA341" s="55"/>
    </row>
    <row r="342">
      <c r="A342" s="55"/>
      <c r="B342" s="55"/>
      <c r="C342" s="55"/>
      <c r="D342" s="55"/>
      <c r="E342" s="55"/>
      <c r="F342" s="365"/>
      <c r="G342" s="55"/>
      <c r="H342" s="55"/>
      <c r="I342" s="360"/>
      <c r="J342" s="55"/>
      <c r="K342" s="55"/>
      <c r="L342" s="360"/>
      <c r="M342" s="55"/>
      <c r="N342" s="55"/>
      <c r="O342" s="360"/>
      <c r="P342" s="55"/>
      <c r="Q342" s="55"/>
      <c r="R342" s="360"/>
      <c r="S342" s="55"/>
      <c r="T342" s="350"/>
      <c r="U342" s="55"/>
      <c r="V342" s="55"/>
      <c r="W342" s="55"/>
      <c r="X342" s="55"/>
      <c r="Y342" s="55"/>
      <c r="Z342" s="55"/>
      <c r="AA342" s="55"/>
    </row>
    <row r="343">
      <c r="A343" s="55"/>
      <c r="B343" s="55"/>
      <c r="C343" s="55"/>
      <c r="D343" s="55"/>
      <c r="E343" s="55"/>
      <c r="F343" s="365"/>
      <c r="G343" s="55"/>
      <c r="H343" s="55"/>
      <c r="I343" s="360"/>
      <c r="J343" s="55"/>
      <c r="K343" s="55"/>
      <c r="L343" s="360"/>
      <c r="M343" s="55"/>
      <c r="N343" s="55"/>
      <c r="O343" s="360"/>
      <c r="P343" s="55"/>
      <c r="Q343" s="55"/>
      <c r="R343" s="360"/>
      <c r="S343" s="55"/>
      <c r="T343" s="350"/>
      <c r="U343" s="55"/>
      <c r="V343" s="55"/>
      <c r="W343" s="55"/>
      <c r="X343" s="55"/>
      <c r="Y343" s="55"/>
      <c r="Z343" s="55"/>
      <c r="AA343" s="55"/>
    </row>
    <row r="344">
      <c r="A344" s="55"/>
      <c r="B344" s="55"/>
      <c r="C344" s="55"/>
      <c r="D344" s="55"/>
      <c r="E344" s="55"/>
      <c r="F344" s="365"/>
      <c r="G344" s="55"/>
      <c r="H344" s="55"/>
      <c r="I344" s="360"/>
      <c r="J344" s="55"/>
      <c r="K344" s="55"/>
      <c r="L344" s="360"/>
      <c r="M344" s="55"/>
      <c r="N344" s="55"/>
      <c r="O344" s="360"/>
      <c r="P344" s="55"/>
      <c r="Q344" s="55"/>
      <c r="R344" s="360"/>
      <c r="S344" s="55"/>
      <c r="T344" s="350"/>
      <c r="U344" s="55"/>
      <c r="V344" s="55"/>
      <c r="W344" s="55"/>
      <c r="X344" s="55"/>
      <c r="Y344" s="55"/>
      <c r="Z344" s="55"/>
      <c r="AA344" s="55"/>
    </row>
    <row r="345">
      <c r="A345" s="55"/>
      <c r="B345" s="55"/>
      <c r="C345" s="55"/>
      <c r="D345" s="55"/>
      <c r="E345" s="55"/>
      <c r="F345" s="365"/>
      <c r="G345" s="55"/>
      <c r="H345" s="55"/>
      <c r="I345" s="360"/>
      <c r="J345" s="55"/>
      <c r="K345" s="55"/>
      <c r="L345" s="360"/>
      <c r="M345" s="55"/>
      <c r="N345" s="55"/>
      <c r="O345" s="360"/>
      <c r="P345" s="55"/>
      <c r="Q345" s="55"/>
      <c r="R345" s="360"/>
      <c r="S345" s="55"/>
      <c r="T345" s="350"/>
      <c r="U345" s="55"/>
      <c r="V345" s="55"/>
      <c r="W345" s="55"/>
      <c r="X345" s="55"/>
      <c r="Y345" s="55"/>
      <c r="Z345" s="55"/>
      <c r="AA345" s="55"/>
    </row>
    <row r="346">
      <c r="A346" s="55"/>
      <c r="B346" s="55"/>
      <c r="C346" s="55"/>
      <c r="D346" s="55"/>
      <c r="E346" s="55"/>
      <c r="F346" s="365"/>
      <c r="G346" s="55"/>
      <c r="H346" s="55"/>
      <c r="I346" s="360"/>
      <c r="J346" s="55"/>
      <c r="K346" s="55"/>
      <c r="L346" s="360"/>
      <c r="M346" s="55"/>
      <c r="N346" s="55"/>
      <c r="O346" s="360"/>
      <c r="P346" s="55"/>
      <c r="Q346" s="55"/>
      <c r="R346" s="360"/>
      <c r="S346" s="55"/>
      <c r="T346" s="350"/>
      <c r="U346" s="55"/>
      <c r="V346" s="55"/>
      <c r="W346" s="55"/>
      <c r="X346" s="55"/>
      <c r="Y346" s="55"/>
      <c r="Z346" s="55"/>
      <c r="AA346" s="55"/>
    </row>
    <row r="347">
      <c r="A347" s="55"/>
      <c r="B347" s="55"/>
      <c r="C347" s="55"/>
      <c r="D347" s="55"/>
      <c r="E347" s="55"/>
      <c r="F347" s="365"/>
      <c r="G347" s="55"/>
      <c r="H347" s="55"/>
      <c r="I347" s="360"/>
      <c r="J347" s="55"/>
      <c r="K347" s="55"/>
      <c r="L347" s="360"/>
      <c r="M347" s="55"/>
      <c r="N347" s="55"/>
      <c r="O347" s="360"/>
      <c r="P347" s="55"/>
      <c r="Q347" s="55"/>
      <c r="R347" s="360"/>
      <c r="S347" s="55"/>
      <c r="T347" s="350"/>
      <c r="U347" s="55"/>
      <c r="V347" s="55"/>
      <c r="W347" s="55"/>
      <c r="X347" s="55"/>
      <c r="Y347" s="55"/>
      <c r="Z347" s="55"/>
      <c r="AA347" s="55"/>
    </row>
    <row r="348">
      <c r="A348" s="55"/>
      <c r="B348" s="55"/>
      <c r="C348" s="55"/>
      <c r="D348" s="55"/>
      <c r="E348" s="55"/>
      <c r="F348" s="365"/>
      <c r="G348" s="55"/>
      <c r="H348" s="55"/>
      <c r="I348" s="360"/>
      <c r="J348" s="55"/>
      <c r="K348" s="55"/>
      <c r="L348" s="360"/>
      <c r="M348" s="55"/>
      <c r="N348" s="55"/>
      <c r="O348" s="360"/>
      <c r="P348" s="55"/>
      <c r="Q348" s="55"/>
      <c r="R348" s="360"/>
      <c r="S348" s="55"/>
      <c r="T348" s="350"/>
      <c r="U348" s="55"/>
      <c r="V348" s="55"/>
      <c r="W348" s="55"/>
      <c r="X348" s="55"/>
      <c r="Y348" s="55"/>
      <c r="Z348" s="55"/>
      <c r="AA348" s="55"/>
    </row>
    <row r="349">
      <c r="A349" s="55"/>
      <c r="B349" s="55"/>
      <c r="C349" s="55"/>
      <c r="D349" s="55"/>
      <c r="E349" s="55"/>
      <c r="F349" s="365"/>
      <c r="G349" s="55"/>
      <c r="H349" s="55"/>
      <c r="I349" s="360"/>
      <c r="J349" s="55"/>
      <c r="K349" s="55"/>
      <c r="L349" s="360"/>
      <c r="M349" s="55"/>
      <c r="N349" s="55"/>
      <c r="O349" s="360"/>
      <c r="P349" s="55"/>
      <c r="Q349" s="55"/>
      <c r="R349" s="360"/>
      <c r="S349" s="55"/>
      <c r="T349" s="350"/>
      <c r="U349" s="55"/>
      <c r="V349" s="55"/>
      <c r="W349" s="55"/>
      <c r="X349" s="55"/>
      <c r="Y349" s="55"/>
      <c r="Z349" s="55"/>
      <c r="AA349" s="55"/>
    </row>
    <row r="350">
      <c r="A350" s="55"/>
      <c r="B350" s="55"/>
      <c r="C350" s="55"/>
      <c r="D350" s="55"/>
      <c r="E350" s="55"/>
      <c r="F350" s="365"/>
      <c r="G350" s="55"/>
      <c r="H350" s="55"/>
      <c r="I350" s="360"/>
      <c r="J350" s="55"/>
      <c r="K350" s="55"/>
      <c r="L350" s="360"/>
      <c r="M350" s="55"/>
      <c r="N350" s="55"/>
      <c r="O350" s="360"/>
      <c r="P350" s="55"/>
      <c r="Q350" s="55"/>
      <c r="R350" s="360"/>
      <c r="S350" s="55"/>
      <c r="T350" s="350"/>
      <c r="U350" s="55"/>
      <c r="V350" s="55"/>
      <c r="W350" s="55"/>
      <c r="X350" s="55"/>
      <c r="Y350" s="55"/>
      <c r="Z350" s="55"/>
      <c r="AA350" s="55"/>
    </row>
    <row r="351">
      <c r="A351" s="55"/>
      <c r="B351" s="55"/>
      <c r="C351" s="55"/>
      <c r="D351" s="55"/>
      <c r="E351" s="55"/>
      <c r="F351" s="365"/>
      <c r="G351" s="55"/>
      <c r="H351" s="55"/>
      <c r="I351" s="360"/>
      <c r="J351" s="55"/>
      <c r="K351" s="55"/>
      <c r="L351" s="360"/>
      <c r="M351" s="55"/>
      <c r="N351" s="55"/>
      <c r="O351" s="360"/>
      <c r="P351" s="55"/>
      <c r="Q351" s="55"/>
      <c r="R351" s="360"/>
      <c r="S351" s="55"/>
      <c r="T351" s="350"/>
      <c r="U351" s="55"/>
      <c r="V351" s="55"/>
      <c r="W351" s="55"/>
      <c r="X351" s="55"/>
      <c r="Y351" s="55"/>
      <c r="Z351" s="55"/>
      <c r="AA351" s="55"/>
    </row>
    <row r="352">
      <c r="A352" s="55"/>
      <c r="B352" s="55"/>
      <c r="C352" s="55"/>
      <c r="D352" s="55"/>
      <c r="E352" s="55"/>
      <c r="F352" s="365"/>
      <c r="G352" s="55"/>
      <c r="H352" s="55"/>
      <c r="I352" s="360"/>
      <c r="J352" s="55"/>
      <c r="K352" s="55"/>
      <c r="L352" s="360"/>
      <c r="M352" s="55"/>
      <c r="N352" s="55"/>
      <c r="O352" s="360"/>
      <c r="P352" s="55"/>
      <c r="Q352" s="55"/>
      <c r="R352" s="360"/>
      <c r="S352" s="55"/>
      <c r="T352" s="350"/>
      <c r="U352" s="55"/>
      <c r="V352" s="55"/>
      <c r="W352" s="55"/>
      <c r="X352" s="55"/>
      <c r="Y352" s="55"/>
      <c r="Z352" s="55"/>
      <c r="AA352" s="55"/>
    </row>
    <row r="353">
      <c r="A353" s="55"/>
      <c r="B353" s="55"/>
      <c r="C353" s="55"/>
      <c r="D353" s="55"/>
      <c r="E353" s="55"/>
      <c r="F353" s="365"/>
      <c r="G353" s="55"/>
      <c r="H353" s="55"/>
      <c r="I353" s="360"/>
      <c r="J353" s="55"/>
      <c r="K353" s="55"/>
      <c r="L353" s="360"/>
      <c r="M353" s="55"/>
      <c r="N353" s="55"/>
      <c r="O353" s="360"/>
      <c r="P353" s="55"/>
      <c r="Q353" s="55"/>
      <c r="R353" s="360"/>
      <c r="S353" s="55"/>
      <c r="T353" s="350"/>
      <c r="U353" s="55"/>
      <c r="V353" s="55"/>
      <c r="W353" s="55"/>
      <c r="X353" s="55"/>
      <c r="Y353" s="55"/>
      <c r="Z353" s="55"/>
      <c r="AA353" s="55"/>
    </row>
    <row r="354">
      <c r="A354" s="55"/>
      <c r="B354" s="55"/>
      <c r="C354" s="55"/>
      <c r="D354" s="55"/>
      <c r="E354" s="55"/>
      <c r="F354" s="365"/>
      <c r="G354" s="55"/>
      <c r="H354" s="55"/>
      <c r="I354" s="360"/>
      <c r="J354" s="55"/>
      <c r="K354" s="55"/>
      <c r="L354" s="360"/>
      <c r="M354" s="55"/>
      <c r="N354" s="55"/>
      <c r="O354" s="360"/>
      <c r="P354" s="55"/>
      <c r="Q354" s="55"/>
      <c r="R354" s="360"/>
      <c r="S354" s="55"/>
      <c r="T354" s="350"/>
      <c r="U354" s="55"/>
      <c r="V354" s="55"/>
      <c r="W354" s="55"/>
      <c r="X354" s="55"/>
      <c r="Y354" s="55"/>
      <c r="Z354" s="55"/>
      <c r="AA354" s="55"/>
    </row>
    <row r="355">
      <c r="A355" s="55"/>
      <c r="B355" s="55"/>
      <c r="C355" s="55"/>
      <c r="D355" s="55"/>
      <c r="E355" s="55"/>
      <c r="F355" s="365"/>
      <c r="G355" s="55"/>
      <c r="H355" s="55"/>
      <c r="I355" s="360"/>
      <c r="J355" s="55"/>
      <c r="K355" s="55"/>
      <c r="L355" s="360"/>
      <c r="M355" s="55"/>
      <c r="N355" s="55"/>
      <c r="O355" s="360"/>
      <c r="P355" s="55"/>
      <c r="Q355" s="55"/>
      <c r="R355" s="360"/>
      <c r="S355" s="55"/>
      <c r="T355" s="350"/>
      <c r="U355" s="55"/>
      <c r="V355" s="55"/>
      <c r="W355" s="55"/>
      <c r="X355" s="55"/>
      <c r="Y355" s="55"/>
      <c r="Z355" s="55"/>
      <c r="AA355" s="55"/>
    </row>
    <row r="356">
      <c r="A356" s="55"/>
      <c r="B356" s="55"/>
      <c r="C356" s="55"/>
      <c r="D356" s="55"/>
      <c r="E356" s="55"/>
      <c r="F356" s="365"/>
      <c r="G356" s="55"/>
      <c r="H356" s="55"/>
      <c r="I356" s="360"/>
      <c r="J356" s="55"/>
      <c r="K356" s="55"/>
      <c r="L356" s="360"/>
      <c r="M356" s="55"/>
      <c r="N356" s="55"/>
      <c r="O356" s="360"/>
      <c r="P356" s="55"/>
      <c r="Q356" s="55"/>
      <c r="R356" s="360"/>
      <c r="S356" s="55"/>
      <c r="T356" s="350"/>
      <c r="U356" s="55"/>
      <c r="V356" s="55"/>
      <c r="W356" s="55"/>
      <c r="X356" s="55"/>
      <c r="Y356" s="55"/>
      <c r="Z356" s="55"/>
      <c r="AA356" s="55"/>
    </row>
    <row r="357">
      <c r="A357" s="55"/>
      <c r="B357" s="55"/>
      <c r="C357" s="55"/>
      <c r="D357" s="55"/>
      <c r="E357" s="55"/>
      <c r="F357" s="365"/>
      <c r="G357" s="55"/>
      <c r="H357" s="55"/>
      <c r="I357" s="360"/>
      <c r="J357" s="55"/>
      <c r="K357" s="55"/>
      <c r="L357" s="360"/>
      <c r="M357" s="55"/>
      <c r="N357" s="55"/>
      <c r="O357" s="360"/>
      <c r="P357" s="55"/>
      <c r="Q357" s="55"/>
      <c r="R357" s="360"/>
      <c r="S357" s="55"/>
      <c r="T357" s="350"/>
      <c r="U357" s="55"/>
      <c r="V357" s="55"/>
      <c r="W357" s="55"/>
      <c r="X357" s="55"/>
      <c r="Y357" s="55"/>
      <c r="Z357" s="55"/>
      <c r="AA357" s="55"/>
    </row>
    <row r="358">
      <c r="A358" s="55"/>
      <c r="B358" s="55"/>
      <c r="C358" s="55"/>
      <c r="D358" s="55"/>
      <c r="E358" s="55"/>
      <c r="F358" s="365"/>
      <c r="G358" s="55"/>
      <c r="H358" s="55"/>
      <c r="I358" s="360"/>
      <c r="J358" s="55"/>
      <c r="K358" s="55"/>
      <c r="L358" s="360"/>
      <c r="M358" s="55"/>
      <c r="N358" s="55"/>
      <c r="O358" s="360"/>
      <c r="P358" s="55"/>
      <c r="Q358" s="55"/>
      <c r="R358" s="360"/>
      <c r="S358" s="55"/>
      <c r="T358" s="350"/>
      <c r="U358" s="55"/>
      <c r="V358" s="55"/>
      <c r="W358" s="55"/>
      <c r="X358" s="55"/>
      <c r="Y358" s="55"/>
      <c r="Z358" s="55"/>
      <c r="AA358" s="55"/>
    </row>
    <row r="359">
      <c r="A359" s="55"/>
      <c r="B359" s="55"/>
      <c r="C359" s="55"/>
      <c r="D359" s="55"/>
      <c r="E359" s="55"/>
      <c r="F359" s="365"/>
      <c r="G359" s="55"/>
      <c r="H359" s="55"/>
      <c r="I359" s="360"/>
      <c r="J359" s="55"/>
      <c r="K359" s="55"/>
      <c r="L359" s="360"/>
      <c r="M359" s="55"/>
      <c r="N359" s="55"/>
      <c r="O359" s="360"/>
      <c r="P359" s="55"/>
      <c r="Q359" s="55"/>
      <c r="R359" s="360"/>
      <c r="S359" s="55"/>
      <c r="T359" s="350"/>
      <c r="U359" s="55"/>
      <c r="V359" s="55"/>
      <c r="W359" s="55"/>
      <c r="X359" s="55"/>
      <c r="Y359" s="55"/>
      <c r="Z359" s="55"/>
      <c r="AA359" s="55"/>
    </row>
    <row r="360">
      <c r="A360" s="55"/>
      <c r="B360" s="55"/>
      <c r="C360" s="55"/>
      <c r="D360" s="55"/>
      <c r="E360" s="55"/>
      <c r="F360" s="365"/>
      <c r="G360" s="55"/>
      <c r="H360" s="55"/>
      <c r="I360" s="360"/>
      <c r="J360" s="55"/>
      <c r="K360" s="55"/>
      <c r="L360" s="360"/>
      <c r="M360" s="55"/>
      <c r="N360" s="55"/>
      <c r="O360" s="360"/>
      <c r="P360" s="55"/>
      <c r="Q360" s="55"/>
      <c r="R360" s="360"/>
      <c r="S360" s="55"/>
      <c r="T360" s="350"/>
      <c r="U360" s="55"/>
      <c r="V360" s="55"/>
      <c r="W360" s="55"/>
      <c r="X360" s="55"/>
      <c r="Y360" s="55"/>
      <c r="Z360" s="55"/>
      <c r="AA360" s="55"/>
    </row>
    <row r="361">
      <c r="A361" s="55"/>
      <c r="B361" s="55"/>
      <c r="C361" s="55"/>
      <c r="D361" s="55"/>
      <c r="E361" s="55"/>
      <c r="F361" s="365"/>
      <c r="G361" s="55"/>
      <c r="H361" s="55"/>
      <c r="I361" s="360"/>
      <c r="J361" s="55"/>
      <c r="K361" s="55"/>
      <c r="L361" s="360"/>
      <c r="M361" s="55"/>
      <c r="N361" s="55"/>
      <c r="O361" s="360"/>
      <c r="P361" s="55"/>
      <c r="Q361" s="55"/>
      <c r="R361" s="360"/>
      <c r="S361" s="55"/>
      <c r="T361" s="350"/>
      <c r="U361" s="55"/>
      <c r="V361" s="55"/>
      <c r="W361" s="55"/>
      <c r="X361" s="55"/>
      <c r="Y361" s="55"/>
      <c r="Z361" s="55"/>
      <c r="AA361" s="55"/>
    </row>
    <row r="362">
      <c r="A362" s="55"/>
      <c r="B362" s="55"/>
      <c r="C362" s="55"/>
      <c r="D362" s="55"/>
      <c r="E362" s="55"/>
      <c r="F362" s="365"/>
      <c r="G362" s="55"/>
      <c r="H362" s="55"/>
      <c r="I362" s="360"/>
      <c r="J362" s="55"/>
      <c r="K362" s="55"/>
      <c r="L362" s="360"/>
      <c r="M362" s="55"/>
      <c r="N362" s="55"/>
      <c r="O362" s="360"/>
      <c r="P362" s="55"/>
      <c r="Q362" s="55"/>
      <c r="R362" s="360"/>
      <c r="S362" s="55"/>
      <c r="T362" s="350"/>
      <c r="U362" s="55"/>
      <c r="V362" s="55"/>
      <c r="W362" s="55"/>
      <c r="X362" s="55"/>
      <c r="Y362" s="55"/>
      <c r="Z362" s="55"/>
      <c r="AA362" s="55"/>
    </row>
    <row r="363">
      <c r="A363" s="55"/>
      <c r="B363" s="55"/>
      <c r="C363" s="55"/>
      <c r="D363" s="55"/>
      <c r="E363" s="55"/>
      <c r="F363" s="365"/>
      <c r="G363" s="55"/>
      <c r="H363" s="55"/>
      <c r="I363" s="360"/>
      <c r="J363" s="55"/>
      <c r="K363" s="55"/>
      <c r="L363" s="360"/>
      <c r="M363" s="55"/>
      <c r="N363" s="55"/>
      <c r="O363" s="360"/>
      <c r="P363" s="55"/>
      <c r="Q363" s="55"/>
      <c r="R363" s="360"/>
      <c r="S363" s="55"/>
      <c r="T363" s="350"/>
      <c r="U363" s="55"/>
      <c r="V363" s="55"/>
      <c r="W363" s="55"/>
      <c r="X363" s="55"/>
      <c r="Y363" s="55"/>
      <c r="Z363" s="55"/>
      <c r="AA363" s="55"/>
    </row>
    <row r="364">
      <c r="A364" s="55"/>
      <c r="B364" s="55"/>
      <c r="C364" s="55"/>
      <c r="D364" s="55"/>
      <c r="E364" s="55"/>
      <c r="F364" s="365"/>
      <c r="G364" s="55"/>
      <c r="H364" s="55"/>
      <c r="I364" s="360"/>
      <c r="J364" s="55"/>
      <c r="K364" s="55"/>
      <c r="L364" s="360"/>
      <c r="M364" s="55"/>
      <c r="N364" s="55"/>
      <c r="O364" s="360"/>
      <c r="P364" s="55"/>
      <c r="Q364" s="55"/>
      <c r="R364" s="360"/>
      <c r="S364" s="55"/>
      <c r="T364" s="350"/>
      <c r="U364" s="55"/>
      <c r="V364" s="55"/>
      <c r="W364" s="55"/>
      <c r="X364" s="55"/>
      <c r="Y364" s="55"/>
      <c r="Z364" s="55"/>
      <c r="AA364" s="55"/>
    </row>
    <row r="365">
      <c r="A365" s="55"/>
      <c r="B365" s="55"/>
      <c r="C365" s="55"/>
      <c r="D365" s="55"/>
      <c r="E365" s="55"/>
      <c r="F365" s="365"/>
      <c r="G365" s="55"/>
      <c r="H365" s="55"/>
      <c r="I365" s="360"/>
      <c r="J365" s="55"/>
      <c r="K365" s="55"/>
      <c r="L365" s="360"/>
      <c r="M365" s="55"/>
      <c r="N365" s="55"/>
      <c r="O365" s="360"/>
      <c r="P365" s="55"/>
      <c r="Q365" s="55"/>
      <c r="R365" s="360"/>
      <c r="S365" s="55"/>
      <c r="T365" s="350"/>
      <c r="U365" s="55"/>
      <c r="V365" s="55"/>
      <c r="W365" s="55"/>
      <c r="X365" s="55"/>
      <c r="Y365" s="55"/>
      <c r="Z365" s="55"/>
      <c r="AA365" s="55"/>
    </row>
    <row r="366">
      <c r="A366" s="55"/>
      <c r="B366" s="55"/>
      <c r="C366" s="55"/>
      <c r="D366" s="55"/>
      <c r="E366" s="55"/>
      <c r="F366" s="365"/>
      <c r="G366" s="55"/>
      <c r="H366" s="55"/>
      <c r="I366" s="360"/>
      <c r="J366" s="55"/>
      <c r="K366" s="55"/>
      <c r="L366" s="360"/>
      <c r="M366" s="55"/>
      <c r="N366" s="55"/>
      <c r="O366" s="360"/>
      <c r="P366" s="55"/>
      <c r="Q366" s="55"/>
      <c r="R366" s="360"/>
      <c r="S366" s="55"/>
      <c r="T366" s="350"/>
      <c r="U366" s="55"/>
      <c r="V366" s="55"/>
      <c r="W366" s="55"/>
      <c r="X366" s="55"/>
      <c r="Y366" s="55"/>
      <c r="Z366" s="55"/>
      <c r="AA366" s="55"/>
    </row>
    <row r="367">
      <c r="A367" s="55"/>
      <c r="B367" s="55"/>
      <c r="C367" s="55"/>
      <c r="D367" s="55"/>
      <c r="E367" s="55"/>
      <c r="F367" s="365"/>
      <c r="G367" s="55"/>
      <c r="H367" s="55"/>
      <c r="I367" s="360"/>
      <c r="J367" s="55"/>
      <c r="K367" s="55"/>
      <c r="L367" s="360"/>
      <c r="M367" s="55"/>
      <c r="N367" s="55"/>
      <c r="O367" s="360"/>
      <c r="P367" s="55"/>
      <c r="Q367" s="55"/>
      <c r="R367" s="360"/>
      <c r="S367" s="55"/>
      <c r="T367" s="350"/>
      <c r="U367" s="55"/>
      <c r="V367" s="55"/>
      <c r="W367" s="55"/>
      <c r="X367" s="55"/>
      <c r="Y367" s="55"/>
      <c r="Z367" s="55"/>
      <c r="AA367" s="55"/>
    </row>
    <row r="368">
      <c r="A368" s="55"/>
      <c r="B368" s="55"/>
      <c r="C368" s="55"/>
      <c r="D368" s="55"/>
      <c r="E368" s="55"/>
      <c r="F368" s="365"/>
      <c r="G368" s="55"/>
      <c r="H368" s="55"/>
      <c r="I368" s="360"/>
      <c r="J368" s="55"/>
      <c r="K368" s="55"/>
      <c r="L368" s="360"/>
      <c r="M368" s="55"/>
      <c r="N368" s="55"/>
      <c r="O368" s="360"/>
      <c r="P368" s="55"/>
      <c r="Q368" s="55"/>
      <c r="R368" s="360"/>
      <c r="S368" s="55"/>
      <c r="T368" s="350"/>
      <c r="U368" s="55"/>
      <c r="V368" s="55"/>
      <c r="W368" s="55"/>
      <c r="X368" s="55"/>
      <c r="Y368" s="55"/>
      <c r="Z368" s="55"/>
      <c r="AA368" s="55"/>
    </row>
    <row r="369">
      <c r="A369" s="55"/>
      <c r="B369" s="55"/>
      <c r="C369" s="55"/>
      <c r="D369" s="55"/>
      <c r="E369" s="55"/>
      <c r="F369" s="365"/>
      <c r="G369" s="55"/>
      <c r="H369" s="55"/>
      <c r="I369" s="360"/>
      <c r="J369" s="55"/>
      <c r="K369" s="55"/>
      <c r="L369" s="360"/>
      <c r="M369" s="55"/>
      <c r="N369" s="55"/>
      <c r="O369" s="360"/>
      <c r="P369" s="55"/>
      <c r="Q369" s="55"/>
      <c r="R369" s="360"/>
      <c r="S369" s="55"/>
      <c r="T369" s="350"/>
      <c r="U369" s="55"/>
      <c r="V369" s="55"/>
      <c r="W369" s="55"/>
      <c r="X369" s="55"/>
      <c r="Y369" s="55"/>
      <c r="Z369" s="55"/>
      <c r="AA369" s="55"/>
    </row>
    <row r="370">
      <c r="A370" s="55"/>
      <c r="B370" s="55"/>
      <c r="C370" s="55"/>
      <c r="D370" s="55"/>
      <c r="E370" s="55"/>
      <c r="F370" s="365"/>
      <c r="G370" s="55"/>
      <c r="H370" s="55"/>
      <c r="I370" s="360"/>
      <c r="J370" s="55"/>
      <c r="K370" s="55"/>
      <c r="L370" s="360"/>
      <c r="M370" s="55"/>
      <c r="N370" s="55"/>
      <c r="O370" s="360"/>
      <c r="P370" s="55"/>
      <c r="Q370" s="55"/>
      <c r="R370" s="360"/>
      <c r="S370" s="55"/>
      <c r="T370" s="350"/>
      <c r="U370" s="55"/>
      <c r="V370" s="55"/>
      <c r="W370" s="55"/>
      <c r="X370" s="55"/>
      <c r="Y370" s="55"/>
      <c r="Z370" s="55"/>
      <c r="AA370" s="55"/>
    </row>
    <row r="371">
      <c r="A371" s="55"/>
      <c r="B371" s="55"/>
      <c r="C371" s="55"/>
      <c r="D371" s="55"/>
      <c r="E371" s="55"/>
      <c r="F371" s="365"/>
      <c r="G371" s="55"/>
      <c r="H371" s="55"/>
      <c r="I371" s="360"/>
      <c r="J371" s="55"/>
      <c r="K371" s="55"/>
      <c r="L371" s="360"/>
      <c r="M371" s="55"/>
      <c r="N371" s="55"/>
      <c r="O371" s="360"/>
      <c r="P371" s="55"/>
      <c r="Q371" s="55"/>
      <c r="R371" s="360"/>
      <c r="S371" s="55"/>
      <c r="T371" s="350"/>
      <c r="U371" s="55"/>
      <c r="V371" s="55"/>
      <c r="W371" s="55"/>
      <c r="X371" s="55"/>
      <c r="Y371" s="55"/>
      <c r="Z371" s="55"/>
      <c r="AA371" s="55"/>
    </row>
    <row r="372">
      <c r="A372" s="55"/>
      <c r="B372" s="55"/>
      <c r="C372" s="55"/>
      <c r="D372" s="55"/>
      <c r="E372" s="55"/>
      <c r="F372" s="365"/>
      <c r="G372" s="55"/>
      <c r="H372" s="55"/>
      <c r="I372" s="360"/>
      <c r="J372" s="55"/>
      <c r="K372" s="55"/>
      <c r="L372" s="360"/>
      <c r="M372" s="55"/>
      <c r="N372" s="55"/>
      <c r="O372" s="360"/>
      <c r="P372" s="55"/>
      <c r="Q372" s="55"/>
      <c r="R372" s="360"/>
      <c r="S372" s="55"/>
      <c r="T372" s="350"/>
      <c r="U372" s="55"/>
      <c r="V372" s="55"/>
      <c r="W372" s="55"/>
      <c r="X372" s="55"/>
      <c r="Y372" s="55"/>
      <c r="Z372" s="55"/>
      <c r="AA372" s="55"/>
    </row>
    <row r="373">
      <c r="A373" s="55"/>
      <c r="B373" s="55"/>
      <c r="C373" s="55"/>
      <c r="D373" s="55"/>
      <c r="E373" s="55"/>
      <c r="F373" s="365"/>
      <c r="G373" s="55"/>
      <c r="H373" s="55"/>
      <c r="I373" s="360"/>
      <c r="J373" s="55"/>
      <c r="K373" s="55"/>
      <c r="L373" s="360"/>
      <c r="M373" s="55"/>
      <c r="N373" s="55"/>
      <c r="O373" s="360"/>
      <c r="P373" s="55"/>
      <c r="Q373" s="55"/>
      <c r="R373" s="360"/>
      <c r="S373" s="55"/>
      <c r="T373" s="350"/>
      <c r="U373" s="55"/>
      <c r="V373" s="55"/>
      <c r="W373" s="55"/>
      <c r="X373" s="55"/>
      <c r="Y373" s="55"/>
      <c r="Z373" s="55"/>
      <c r="AA373" s="55"/>
    </row>
    <row r="374">
      <c r="A374" s="55"/>
      <c r="B374" s="55"/>
      <c r="C374" s="55"/>
      <c r="D374" s="55"/>
      <c r="E374" s="55"/>
      <c r="F374" s="365"/>
      <c r="G374" s="55"/>
      <c r="H374" s="55"/>
      <c r="I374" s="360"/>
      <c r="J374" s="55"/>
      <c r="K374" s="55"/>
      <c r="L374" s="360"/>
      <c r="M374" s="55"/>
      <c r="N374" s="55"/>
      <c r="O374" s="360"/>
      <c r="P374" s="55"/>
      <c r="Q374" s="55"/>
      <c r="R374" s="360"/>
      <c r="S374" s="55"/>
      <c r="T374" s="350"/>
      <c r="U374" s="55"/>
      <c r="V374" s="55"/>
      <c r="W374" s="55"/>
      <c r="X374" s="55"/>
      <c r="Y374" s="55"/>
      <c r="Z374" s="55"/>
      <c r="AA374" s="55"/>
    </row>
    <row r="375">
      <c r="A375" s="55"/>
      <c r="B375" s="55"/>
      <c r="C375" s="55"/>
      <c r="D375" s="55"/>
      <c r="E375" s="55"/>
      <c r="F375" s="365"/>
      <c r="G375" s="55"/>
      <c r="H375" s="55"/>
      <c r="I375" s="360"/>
      <c r="J375" s="55"/>
      <c r="K375" s="55"/>
      <c r="L375" s="360"/>
      <c r="M375" s="55"/>
      <c r="N375" s="55"/>
      <c r="O375" s="360"/>
      <c r="P375" s="55"/>
      <c r="Q375" s="55"/>
      <c r="R375" s="360"/>
      <c r="S375" s="55"/>
      <c r="T375" s="350"/>
      <c r="U375" s="55"/>
      <c r="V375" s="55"/>
      <c r="W375" s="55"/>
      <c r="X375" s="55"/>
      <c r="Y375" s="55"/>
      <c r="Z375" s="55"/>
      <c r="AA375" s="55"/>
    </row>
    <row r="376">
      <c r="A376" s="55"/>
      <c r="B376" s="55"/>
      <c r="C376" s="55"/>
      <c r="D376" s="55"/>
      <c r="E376" s="55"/>
      <c r="F376" s="365"/>
      <c r="G376" s="55"/>
      <c r="H376" s="55"/>
      <c r="I376" s="360"/>
      <c r="J376" s="55"/>
      <c r="K376" s="55"/>
      <c r="L376" s="360"/>
      <c r="M376" s="55"/>
      <c r="N376" s="55"/>
      <c r="O376" s="360"/>
      <c r="P376" s="55"/>
      <c r="Q376" s="55"/>
      <c r="R376" s="360"/>
      <c r="S376" s="55"/>
      <c r="T376" s="350"/>
      <c r="U376" s="55"/>
      <c r="V376" s="55"/>
      <c r="W376" s="55"/>
      <c r="X376" s="55"/>
      <c r="Y376" s="55"/>
      <c r="Z376" s="55"/>
      <c r="AA376" s="55"/>
    </row>
    <row r="377">
      <c r="A377" s="55"/>
      <c r="B377" s="55"/>
      <c r="C377" s="55"/>
      <c r="D377" s="55"/>
      <c r="E377" s="55"/>
      <c r="F377" s="365"/>
      <c r="G377" s="55"/>
      <c r="H377" s="55"/>
      <c r="I377" s="360"/>
      <c r="J377" s="55"/>
      <c r="K377" s="55"/>
      <c r="L377" s="360"/>
      <c r="M377" s="55"/>
      <c r="N377" s="55"/>
      <c r="O377" s="360"/>
      <c r="P377" s="55"/>
      <c r="Q377" s="55"/>
      <c r="R377" s="360"/>
      <c r="S377" s="55"/>
      <c r="T377" s="350"/>
      <c r="U377" s="55"/>
      <c r="V377" s="55"/>
      <c r="W377" s="55"/>
      <c r="X377" s="55"/>
      <c r="Y377" s="55"/>
      <c r="Z377" s="55"/>
      <c r="AA377" s="55"/>
    </row>
    <row r="378">
      <c r="A378" s="55"/>
      <c r="B378" s="55"/>
      <c r="C378" s="55"/>
      <c r="D378" s="55"/>
      <c r="E378" s="55"/>
      <c r="F378" s="365"/>
      <c r="G378" s="55"/>
      <c r="H378" s="55"/>
      <c r="I378" s="360"/>
      <c r="J378" s="55"/>
      <c r="K378" s="55"/>
      <c r="L378" s="360"/>
      <c r="M378" s="55"/>
      <c r="N378" s="55"/>
      <c r="O378" s="360"/>
      <c r="P378" s="55"/>
      <c r="Q378" s="55"/>
      <c r="R378" s="360"/>
      <c r="S378" s="55"/>
      <c r="T378" s="350"/>
      <c r="U378" s="55"/>
      <c r="V378" s="55"/>
      <c r="W378" s="55"/>
      <c r="X378" s="55"/>
      <c r="Y378" s="55"/>
      <c r="Z378" s="55"/>
      <c r="AA378" s="55"/>
    </row>
    <row r="379">
      <c r="A379" s="55"/>
      <c r="B379" s="55"/>
      <c r="C379" s="55"/>
      <c r="D379" s="55"/>
      <c r="E379" s="55"/>
      <c r="F379" s="365"/>
      <c r="G379" s="55"/>
      <c r="H379" s="55"/>
      <c r="I379" s="360"/>
      <c r="J379" s="55"/>
      <c r="K379" s="55"/>
      <c r="L379" s="360"/>
      <c r="M379" s="55"/>
      <c r="N379" s="55"/>
      <c r="O379" s="360"/>
      <c r="P379" s="55"/>
      <c r="Q379" s="55"/>
      <c r="R379" s="360"/>
      <c r="S379" s="55"/>
      <c r="T379" s="350"/>
      <c r="U379" s="55"/>
      <c r="V379" s="55"/>
      <c r="W379" s="55"/>
      <c r="X379" s="55"/>
      <c r="Y379" s="55"/>
      <c r="Z379" s="55"/>
      <c r="AA379" s="55"/>
    </row>
    <row r="380">
      <c r="A380" s="55"/>
      <c r="B380" s="55"/>
      <c r="C380" s="55"/>
      <c r="D380" s="55"/>
      <c r="E380" s="55"/>
      <c r="F380" s="365"/>
      <c r="G380" s="55"/>
      <c r="H380" s="55"/>
      <c r="I380" s="360"/>
      <c r="J380" s="55"/>
      <c r="K380" s="55"/>
      <c r="L380" s="360"/>
      <c r="M380" s="55"/>
      <c r="N380" s="55"/>
      <c r="O380" s="360"/>
      <c r="P380" s="55"/>
      <c r="Q380" s="55"/>
      <c r="R380" s="360"/>
      <c r="S380" s="55"/>
      <c r="T380" s="350"/>
      <c r="U380" s="55"/>
      <c r="V380" s="55"/>
      <c r="W380" s="55"/>
      <c r="X380" s="55"/>
      <c r="Y380" s="55"/>
      <c r="Z380" s="55"/>
      <c r="AA380" s="55"/>
    </row>
    <row r="381">
      <c r="A381" s="55"/>
      <c r="B381" s="55"/>
      <c r="C381" s="55"/>
      <c r="D381" s="55"/>
      <c r="E381" s="55"/>
      <c r="F381" s="365"/>
      <c r="G381" s="55"/>
      <c r="H381" s="55"/>
      <c r="I381" s="360"/>
      <c r="J381" s="55"/>
      <c r="K381" s="55"/>
      <c r="L381" s="360"/>
      <c r="M381" s="55"/>
      <c r="N381" s="55"/>
      <c r="O381" s="360"/>
      <c r="P381" s="55"/>
      <c r="Q381" s="55"/>
      <c r="R381" s="360"/>
      <c r="S381" s="55"/>
      <c r="T381" s="350"/>
      <c r="U381" s="55"/>
      <c r="V381" s="55"/>
      <c r="W381" s="55"/>
      <c r="X381" s="55"/>
      <c r="Y381" s="55"/>
      <c r="Z381" s="55"/>
      <c r="AA381" s="55"/>
    </row>
    <row r="382">
      <c r="A382" s="55"/>
      <c r="B382" s="55"/>
      <c r="C382" s="55"/>
      <c r="D382" s="55"/>
      <c r="E382" s="55"/>
      <c r="F382" s="365"/>
      <c r="G382" s="55"/>
      <c r="H382" s="55"/>
      <c r="I382" s="360"/>
      <c r="J382" s="55"/>
      <c r="K382" s="55"/>
      <c r="L382" s="360"/>
      <c r="M382" s="55"/>
      <c r="N382" s="55"/>
      <c r="O382" s="360"/>
      <c r="P382" s="55"/>
      <c r="Q382" s="55"/>
      <c r="R382" s="360"/>
      <c r="S382" s="55"/>
      <c r="T382" s="350"/>
      <c r="U382" s="55"/>
      <c r="V382" s="55"/>
      <c r="W382" s="55"/>
      <c r="X382" s="55"/>
      <c r="Y382" s="55"/>
      <c r="Z382" s="55"/>
      <c r="AA382" s="55"/>
    </row>
    <row r="383">
      <c r="A383" s="55"/>
      <c r="B383" s="55"/>
      <c r="C383" s="55"/>
      <c r="D383" s="55"/>
      <c r="E383" s="55"/>
      <c r="F383" s="365"/>
      <c r="G383" s="55"/>
      <c r="H383" s="55"/>
      <c r="I383" s="360"/>
      <c r="J383" s="55"/>
      <c r="K383" s="55"/>
      <c r="L383" s="360"/>
      <c r="M383" s="55"/>
      <c r="N383" s="55"/>
      <c r="O383" s="360"/>
      <c r="P383" s="55"/>
      <c r="Q383" s="55"/>
      <c r="R383" s="360"/>
      <c r="S383" s="55"/>
      <c r="T383" s="350"/>
      <c r="U383" s="55"/>
      <c r="V383" s="55"/>
      <c r="W383" s="55"/>
      <c r="X383" s="55"/>
      <c r="Y383" s="55"/>
      <c r="Z383" s="55"/>
      <c r="AA383" s="55"/>
    </row>
    <row r="384">
      <c r="A384" s="55"/>
      <c r="B384" s="55"/>
      <c r="C384" s="55"/>
      <c r="D384" s="55"/>
      <c r="E384" s="55"/>
      <c r="F384" s="365"/>
      <c r="G384" s="55"/>
      <c r="H384" s="55"/>
      <c r="I384" s="360"/>
      <c r="J384" s="55"/>
      <c r="K384" s="55"/>
      <c r="L384" s="360"/>
      <c r="M384" s="55"/>
      <c r="N384" s="55"/>
      <c r="O384" s="360"/>
      <c r="P384" s="55"/>
      <c r="Q384" s="55"/>
      <c r="R384" s="360"/>
      <c r="S384" s="55"/>
      <c r="T384" s="350"/>
      <c r="U384" s="55"/>
      <c r="V384" s="55"/>
      <c r="W384" s="55"/>
      <c r="X384" s="55"/>
      <c r="Y384" s="55"/>
      <c r="Z384" s="55"/>
      <c r="AA384" s="55"/>
    </row>
    <row r="385">
      <c r="A385" s="55"/>
      <c r="B385" s="55"/>
      <c r="C385" s="55"/>
      <c r="D385" s="55"/>
      <c r="E385" s="55"/>
      <c r="F385" s="365"/>
      <c r="G385" s="55"/>
      <c r="H385" s="55"/>
      <c r="I385" s="360"/>
      <c r="J385" s="55"/>
      <c r="K385" s="55"/>
      <c r="L385" s="360"/>
      <c r="M385" s="55"/>
      <c r="N385" s="55"/>
      <c r="O385" s="360"/>
      <c r="P385" s="55"/>
      <c r="Q385" s="55"/>
      <c r="R385" s="360"/>
      <c r="S385" s="55"/>
      <c r="T385" s="350"/>
      <c r="U385" s="55"/>
      <c r="V385" s="55"/>
      <c r="W385" s="55"/>
      <c r="X385" s="55"/>
      <c r="Y385" s="55"/>
      <c r="Z385" s="55"/>
      <c r="AA385" s="55"/>
    </row>
    <row r="386">
      <c r="A386" s="55"/>
      <c r="B386" s="55"/>
      <c r="C386" s="55"/>
      <c r="D386" s="55"/>
      <c r="E386" s="55"/>
      <c r="F386" s="365"/>
      <c r="G386" s="55"/>
      <c r="H386" s="55"/>
      <c r="I386" s="360"/>
      <c r="J386" s="55"/>
      <c r="K386" s="55"/>
      <c r="L386" s="360"/>
      <c r="M386" s="55"/>
      <c r="N386" s="55"/>
      <c r="O386" s="360"/>
      <c r="P386" s="55"/>
      <c r="Q386" s="55"/>
      <c r="R386" s="360"/>
      <c r="S386" s="55"/>
      <c r="T386" s="350"/>
      <c r="U386" s="55"/>
      <c r="V386" s="55"/>
      <c r="W386" s="55"/>
      <c r="X386" s="55"/>
      <c r="Y386" s="55"/>
      <c r="Z386" s="55"/>
      <c r="AA386" s="55"/>
    </row>
    <row r="387">
      <c r="A387" s="55"/>
      <c r="B387" s="55"/>
      <c r="C387" s="55"/>
      <c r="D387" s="55"/>
      <c r="E387" s="55"/>
      <c r="F387" s="365"/>
      <c r="G387" s="55"/>
      <c r="H387" s="55"/>
      <c r="I387" s="360"/>
      <c r="J387" s="55"/>
      <c r="K387" s="55"/>
      <c r="L387" s="360"/>
      <c r="M387" s="55"/>
      <c r="N387" s="55"/>
      <c r="O387" s="360"/>
      <c r="P387" s="55"/>
      <c r="Q387" s="55"/>
      <c r="R387" s="360"/>
      <c r="S387" s="55"/>
      <c r="T387" s="350"/>
      <c r="U387" s="55"/>
      <c r="V387" s="55"/>
      <c r="W387" s="55"/>
      <c r="X387" s="55"/>
      <c r="Y387" s="55"/>
      <c r="Z387" s="55"/>
      <c r="AA387" s="55"/>
    </row>
    <row r="388">
      <c r="A388" s="55"/>
      <c r="B388" s="55"/>
      <c r="C388" s="55"/>
      <c r="D388" s="55"/>
      <c r="E388" s="55"/>
      <c r="F388" s="365"/>
      <c r="G388" s="55"/>
      <c r="H388" s="55"/>
      <c r="I388" s="360"/>
      <c r="J388" s="55"/>
      <c r="K388" s="55"/>
      <c r="L388" s="360"/>
      <c r="M388" s="55"/>
      <c r="N388" s="55"/>
      <c r="O388" s="360"/>
      <c r="P388" s="55"/>
      <c r="Q388" s="55"/>
      <c r="R388" s="360"/>
      <c r="S388" s="55"/>
      <c r="T388" s="350"/>
      <c r="U388" s="55"/>
      <c r="V388" s="55"/>
      <c r="W388" s="55"/>
      <c r="X388" s="55"/>
      <c r="Y388" s="55"/>
      <c r="Z388" s="55"/>
      <c r="AA388" s="55"/>
    </row>
    <row r="389">
      <c r="A389" s="55"/>
      <c r="B389" s="55"/>
      <c r="C389" s="55"/>
      <c r="D389" s="55"/>
      <c r="E389" s="55"/>
      <c r="F389" s="365"/>
      <c r="G389" s="55"/>
      <c r="H389" s="55"/>
      <c r="I389" s="360"/>
      <c r="J389" s="55"/>
      <c r="K389" s="55"/>
      <c r="L389" s="360"/>
      <c r="M389" s="55"/>
      <c r="N389" s="55"/>
      <c r="O389" s="360"/>
      <c r="P389" s="55"/>
      <c r="Q389" s="55"/>
      <c r="R389" s="360"/>
      <c r="S389" s="55"/>
      <c r="T389" s="350"/>
      <c r="U389" s="55"/>
      <c r="V389" s="55"/>
      <c r="W389" s="55"/>
      <c r="X389" s="55"/>
      <c r="Y389" s="55"/>
      <c r="Z389" s="55"/>
      <c r="AA389" s="55"/>
    </row>
    <row r="390">
      <c r="A390" s="55"/>
      <c r="B390" s="55"/>
      <c r="C390" s="55"/>
      <c r="D390" s="55"/>
      <c r="E390" s="55"/>
      <c r="F390" s="365"/>
      <c r="G390" s="55"/>
      <c r="H390" s="55"/>
      <c r="I390" s="360"/>
      <c r="J390" s="55"/>
      <c r="K390" s="55"/>
      <c r="L390" s="360"/>
      <c r="M390" s="55"/>
      <c r="N390" s="55"/>
      <c r="O390" s="360"/>
      <c r="P390" s="55"/>
      <c r="Q390" s="55"/>
      <c r="R390" s="360"/>
      <c r="S390" s="55"/>
      <c r="T390" s="350"/>
      <c r="U390" s="55"/>
      <c r="V390" s="55"/>
      <c r="W390" s="55"/>
      <c r="X390" s="55"/>
      <c r="Y390" s="55"/>
      <c r="Z390" s="55"/>
      <c r="AA390" s="55"/>
    </row>
    <row r="391">
      <c r="A391" s="55"/>
      <c r="B391" s="55"/>
      <c r="C391" s="55"/>
      <c r="D391" s="55"/>
      <c r="E391" s="55"/>
      <c r="F391" s="365"/>
      <c r="G391" s="55"/>
      <c r="H391" s="55"/>
      <c r="I391" s="360"/>
      <c r="J391" s="55"/>
      <c r="K391" s="55"/>
      <c r="L391" s="360"/>
      <c r="M391" s="55"/>
      <c r="N391" s="55"/>
      <c r="O391" s="360"/>
      <c r="P391" s="55"/>
      <c r="Q391" s="55"/>
      <c r="R391" s="360"/>
      <c r="S391" s="55"/>
      <c r="T391" s="350"/>
      <c r="U391" s="55"/>
      <c r="V391" s="55"/>
      <c r="W391" s="55"/>
      <c r="X391" s="55"/>
      <c r="Y391" s="55"/>
      <c r="Z391" s="55"/>
      <c r="AA391" s="55"/>
    </row>
    <row r="392">
      <c r="A392" s="55"/>
      <c r="B392" s="55"/>
      <c r="C392" s="55"/>
      <c r="D392" s="55"/>
      <c r="E392" s="55"/>
      <c r="F392" s="365"/>
      <c r="G392" s="55"/>
      <c r="H392" s="55"/>
      <c r="I392" s="360"/>
      <c r="J392" s="55"/>
      <c r="K392" s="55"/>
      <c r="L392" s="360"/>
      <c r="M392" s="55"/>
      <c r="N392" s="55"/>
      <c r="O392" s="360"/>
      <c r="P392" s="55"/>
      <c r="Q392" s="55"/>
      <c r="R392" s="360"/>
      <c r="S392" s="55"/>
      <c r="T392" s="350"/>
      <c r="U392" s="55"/>
      <c r="V392" s="55"/>
      <c r="W392" s="55"/>
      <c r="X392" s="55"/>
      <c r="Y392" s="55"/>
      <c r="Z392" s="55"/>
      <c r="AA392" s="55"/>
    </row>
    <row r="393">
      <c r="A393" s="55"/>
      <c r="B393" s="55"/>
      <c r="C393" s="55"/>
      <c r="D393" s="55"/>
      <c r="E393" s="55"/>
      <c r="F393" s="365"/>
      <c r="G393" s="55"/>
      <c r="H393" s="55"/>
      <c r="I393" s="360"/>
      <c r="J393" s="55"/>
      <c r="K393" s="55"/>
      <c r="L393" s="360"/>
      <c r="M393" s="55"/>
      <c r="N393" s="55"/>
      <c r="O393" s="360"/>
      <c r="P393" s="55"/>
      <c r="Q393" s="55"/>
      <c r="R393" s="360"/>
      <c r="S393" s="55"/>
      <c r="T393" s="350"/>
      <c r="U393" s="55"/>
      <c r="V393" s="55"/>
      <c r="W393" s="55"/>
      <c r="X393" s="55"/>
      <c r="Y393" s="55"/>
      <c r="Z393" s="55"/>
      <c r="AA393" s="55"/>
    </row>
    <row r="394">
      <c r="A394" s="55"/>
      <c r="B394" s="55"/>
      <c r="C394" s="55"/>
      <c r="D394" s="55"/>
      <c r="E394" s="55"/>
      <c r="F394" s="365"/>
      <c r="G394" s="55"/>
      <c r="H394" s="55"/>
      <c r="I394" s="360"/>
      <c r="J394" s="55"/>
      <c r="K394" s="55"/>
      <c r="L394" s="360"/>
      <c r="M394" s="55"/>
      <c r="N394" s="55"/>
      <c r="O394" s="360"/>
      <c r="P394" s="55"/>
      <c r="Q394" s="55"/>
      <c r="R394" s="360"/>
      <c r="S394" s="55"/>
      <c r="T394" s="350"/>
      <c r="U394" s="55"/>
      <c r="V394" s="55"/>
      <c r="W394" s="55"/>
      <c r="X394" s="55"/>
      <c r="Y394" s="55"/>
      <c r="Z394" s="55"/>
      <c r="AA394" s="55"/>
    </row>
    <row r="395">
      <c r="A395" s="55"/>
      <c r="B395" s="55"/>
      <c r="C395" s="55"/>
      <c r="D395" s="55"/>
      <c r="E395" s="55"/>
      <c r="F395" s="365"/>
      <c r="G395" s="55"/>
      <c r="H395" s="55"/>
      <c r="I395" s="360"/>
      <c r="J395" s="55"/>
      <c r="K395" s="55"/>
      <c r="L395" s="360"/>
      <c r="M395" s="55"/>
      <c r="N395" s="55"/>
      <c r="O395" s="360"/>
      <c r="P395" s="55"/>
      <c r="Q395" s="55"/>
      <c r="R395" s="360"/>
      <c r="S395" s="55"/>
      <c r="T395" s="350"/>
      <c r="U395" s="55"/>
      <c r="V395" s="55"/>
      <c r="W395" s="55"/>
      <c r="X395" s="55"/>
      <c r="Y395" s="55"/>
      <c r="Z395" s="55"/>
      <c r="AA395" s="55"/>
    </row>
    <row r="396">
      <c r="A396" s="55"/>
      <c r="B396" s="55"/>
      <c r="C396" s="55"/>
      <c r="D396" s="55"/>
      <c r="E396" s="55"/>
      <c r="F396" s="365"/>
      <c r="G396" s="55"/>
      <c r="H396" s="55"/>
      <c r="I396" s="360"/>
      <c r="J396" s="55"/>
      <c r="K396" s="55"/>
      <c r="L396" s="360"/>
      <c r="M396" s="55"/>
      <c r="N396" s="55"/>
      <c r="O396" s="360"/>
      <c r="P396" s="55"/>
      <c r="Q396" s="55"/>
      <c r="R396" s="360"/>
      <c r="S396" s="55"/>
      <c r="T396" s="350"/>
      <c r="U396" s="55"/>
      <c r="V396" s="55"/>
      <c r="W396" s="55"/>
      <c r="X396" s="55"/>
      <c r="Y396" s="55"/>
      <c r="Z396" s="55"/>
      <c r="AA396" s="55"/>
    </row>
    <row r="397">
      <c r="A397" s="55"/>
      <c r="B397" s="55"/>
      <c r="C397" s="55"/>
      <c r="D397" s="55"/>
      <c r="E397" s="55"/>
      <c r="F397" s="365"/>
      <c r="G397" s="55"/>
      <c r="H397" s="55"/>
      <c r="I397" s="360"/>
      <c r="J397" s="55"/>
      <c r="K397" s="55"/>
      <c r="L397" s="360"/>
      <c r="M397" s="55"/>
      <c r="N397" s="55"/>
      <c r="O397" s="360"/>
      <c r="P397" s="55"/>
      <c r="Q397" s="55"/>
      <c r="R397" s="360"/>
      <c r="S397" s="55"/>
      <c r="T397" s="350"/>
      <c r="U397" s="55"/>
      <c r="V397" s="55"/>
      <c r="W397" s="55"/>
      <c r="X397" s="55"/>
      <c r="Y397" s="55"/>
      <c r="Z397" s="55"/>
      <c r="AA397" s="55"/>
    </row>
    <row r="398">
      <c r="A398" s="55"/>
      <c r="B398" s="55"/>
      <c r="C398" s="55"/>
      <c r="D398" s="55"/>
      <c r="E398" s="55"/>
      <c r="F398" s="365"/>
      <c r="G398" s="55"/>
      <c r="H398" s="55"/>
      <c r="I398" s="360"/>
      <c r="J398" s="55"/>
      <c r="K398" s="55"/>
      <c r="L398" s="360"/>
      <c r="M398" s="55"/>
      <c r="N398" s="55"/>
      <c r="O398" s="360"/>
      <c r="P398" s="55"/>
      <c r="Q398" s="55"/>
      <c r="R398" s="360"/>
      <c r="S398" s="55"/>
      <c r="T398" s="350"/>
      <c r="U398" s="55"/>
      <c r="V398" s="55"/>
      <c r="W398" s="55"/>
      <c r="X398" s="55"/>
      <c r="Y398" s="55"/>
      <c r="Z398" s="55"/>
      <c r="AA398" s="55"/>
    </row>
    <row r="399">
      <c r="A399" s="55"/>
      <c r="B399" s="55"/>
      <c r="C399" s="55"/>
      <c r="D399" s="55"/>
      <c r="E399" s="55"/>
      <c r="F399" s="365"/>
      <c r="G399" s="55"/>
      <c r="H399" s="55"/>
      <c r="I399" s="360"/>
      <c r="J399" s="55"/>
      <c r="K399" s="55"/>
      <c r="L399" s="360"/>
      <c r="M399" s="55"/>
      <c r="N399" s="55"/>
      <c r="O399" s="360"/>
      <c r="P399" s="55"/>
      <c r="Q399" s="55"/>
      <c r="R399" s="360"/>
      <c r="S399" s="55"/>
      <c r="T399" s="350"/>
      <c r="U399" s="55"/>
      <c r="V399" s="55"/>
      <c r="W399" s="55"/>
      <c r="X399" s="55"/>
      <c r="Y399" s="55"/>
      <c r="Z399" s="55"/>
      <c r="AA399" s="55"/>
    </row>
    <row r="400">
      <c r="A400" s="55"/>
      <c r="B400" s="55"/>
      <c r="C400" s="55"/>
      <c r="D400" s="55"/>
      <c r="E400" s="55"/>
      <c r="F400" s="365"/>
      <c r="G400" s="55"/>
      <c r="H400" s="55"/>
      <c r="I400" s="360"/>
      <c r="J400" s="55"/>
      <c r="K400" s="55"/>
      <c r="L400" s="360"/>
      <c r="M400" s="55"/>
      <c r="N400" s="55"/>
      <c r="O400" s="360"/>
      <c r="P400" s="55"/>
      <c r="Q400" s="55"/>
      <c r="R400" s="360"/>
      <c r="S400" s="55"/>
      <c r="T400" s="350"/>
      <c r="U400" s="55"/>
      <c r="V400" s="55"/>
      <c r="W400" s="55"/>
      <c r="X400" s="55"/>
      <c r="Y400" s="55"/>
      <c r="Z400" s="55"/>
      <c r="AA400" s="55"/>
    </row>
    <row r="401">
      <c r="A401" s="55"/>
      <c r="B401" s="55"/>
      <c r="C401" s="55"/>
      <c r="D401" s="55"/>
      <c r="E401" s="55"/>
      <c r="F401" s="365"/>
      <c r="G401" s="55"/>
      <c r="H401" s="55"/>
      <c r="I401" s="360"/>
      <c r="J401" s="55"/>
      <c r="K401" s="55"/>
      <c r="L401" s="360"/>
      <c r="M401" s="55"/>
      <c r="N401" s="55"/>
      <c r="O401" s="360"/>
      <c r="P401" s="55"/>
      <c r="Q401" s="55"/>
      <c r="R401" s="360"/>
      <c r="S401" s="55"/>
      <c r="T401" s="350"/>
      <c r="U401" s="55"/>
      <c r="V401" s="55"/>
      <c r="W401" s="55"/>
      <c r="X401" s="55"/>
      <c r="Y401" s="55"/>
      <c r="Z401" s="55"/>
      <c r="AA401" s="55"/>
    </row>
    <row r="402">
      <c r="A402" s="55"/>
      <c r="B402" s="55"/>
      <c r="C402" s="55"/>
      <c r="D402" s="55"/>
      <c r="E402" s="55"/>
      <c r="F402" s="365"/>
      <c r="G402" s="55"/>
      <c r="H402" s="55"/>
      <c r="I402" s="360"/>
      <c r="J402" s="55"/>
      <c r="K402" s="55"/>
      <c r="L402" s="360"/>
      <c r="M402" s="55"/>
      <c r="N402" s="55"/>
      <c r="O402" s="360"/>
      <c r="P402" s="55"/>
      <c r="Q402" s="55"/>
      <c r="R402" s="360"/>
      <c r="S402" s="55"/>
      <c r="T402" s="350"/>
      <c r="U402" s="55"/>
      <c r="V402" s="55"/>
      <c r="W402" s="55"/>
      <c r="X402" s="55"/>
      <c r="Y402" s="55"/>
      <c r="Z402" s="55"/>
      <c r="AA402" s="55"/>
    </row>
    <row r="403">
      <c r="A403" s="55"/>
      <c r="B403" s="55"/>
      <c r="C403" s="55"/>
      <c r="D403" s="55"/>
      <c r="E403" s="55"/>
      <c r="F403" s="365"/>
      <c r="G403" s="55"/>
      <c r="H403" s="55"/>
      <c r="I403" s="360"/>
      <c r="J403" s="55"/>
      <c r="K403" s="55"/>
      <c r="L403" s="360"/>
      <c r="M403" s="55"/>
      <c r="N403" s="55"/>
      <c r="O403" s="360"/>
      <c r="P403" s="55"/>
      <c r="Q403" s="55"/>
      <c r="R403" s="360"/>
      <c r="S403" s="55"/>
      <c r="T403" s="350"/>
      <c r="U403" s="55"/>
      <c r="V403" s="55"/>
      <c r="W403" s="55"/>
      <c r="X403" s="55"/>
      <c r="Y403" s="55"/>
      <c r="Z403" s="55"/>
      <c r="AA403" s="55"/>
    </row>
    <row r="404">
      <c r="A404" s="55"/>
      <c r="B404" s="55"/>
      <c r="C404" s="55"/>
      <c r="D404" s="55"/>
      <c r="E404" s="55"/>
      <c r="F404" s="365"/>
      <c r="G404" s="55"/>
      <c r="H404" s="55"/>
      <c r="I404" s="360"/>
      <c r="J404" s="55"/>
      <c r="K404" s="55"/>
      <c r="L404" s="360"/>
      <c r="M404" s="55"/>
      <c r="N404" s="55"/>
      <c r="O404" s="360"/>
      <c r="P404" s="55"/>
      <c r="Q404" s="55"/>
      <c r="R404" s="360"/>
      <c r="S404" s="55"/>
      <c r="T404" s="350"/>
      <c r="U404" s="55"/>
      <c r="V404" s="55"/>
      <c r="W404" s="55"/>
      <c r="X404" s="55"/>
      <c r="Y404" s="55"/>
      <c r="Z404" s="55"/>
      <c r="AA404" s="55"/>
    </row>
    <row r="405">
      <c r="A405" s="55"/>
      <c r="B405" s="55"/>
      <c r="C405" s="55"/>
      <c r="D405" s="55"/>
      <c r="E405" s="55"/>
      <c r="F405" s="365"/>
      <c r="G405" s="55"/>
      <c r="H405" s="55"/>
      <c r="I405" s="360"/>
      <c r="J405" s="55"/>
      <c r="K405" s="55"/>
      <c r="L405" s="360"/>
      <c r="M405" s="55"/>
      <c r="N405" s="55"/>
      <c r="O405" s="360"/>
      <c r="P405" s="55"/>
      <c r="Q405" s="55"/>
      <c r="R405" s="360"/>
      <c r="S405" s="55"/>
      <c r="T405" s="350"/>
      <c r="U405" s="55"/>
      <c r="V405" s="55"/>
      <c r="W405" s="55"/>
      <c r="X405" s="55"/>
      <c r="Y405" s="55"/>
      <c r="Z405" s="55"/>
      <c r="AA405" s="55"/>
    </row>
    <row r="406">
      <c r="A406" s="55"/>
      <c r="B406" s="55"/>
      <c r="C406" s="55"/>
      <c r="D406" s="55"/>
      <c r="E406" s="55"/>
      <c r="F406" s="365"/>
      <c r="G406" s="55"/>
      <c r="H406" s="55"/>
      <c r="I406" s="360"/>
      <c r="J406" s="55"/>
      <c r="K406" s="55"/>
      <c r="L406" s="360"/>
      <c r="M406" s="55"/>
      <c r="N406" s="55"/>
      <c r="O406" s="360"/>
      <c r="P406" s="55"/>
      <c r="Q406" s="55"/>
      <c r="R406" s="360"/>
      <c r="S406" s="55"/>
      <c r="T406" s="350"/>
      <c r="U406" s="55"/>
      <c r="V406" s="55"/>
      <c r="W406" s="55"/>
      <c r="X406" s="55"/>
      <c r="Y406" s="55"/>
      <c r="Z406" s="55"/>
      <c r="AA406" s="55"/>
    </row>
    <row r="407">
      <c r="A407" s="55"/>
      <c r="B407" s="55"/>
      <c r="C407" s="55"/>
      <c r="D407" s="55"/>
      <c r="E407" s="55"/>
      <c r="F407" s="365"/>
      <c r="G407" s="55"/>
      <c r="H407" s="55"/>
      <c r="I407" s="360"/>
      <c r="J407" s="55"/>
      <c r="K407" s="55"/>
      <c r="L407" s="360"/>
      <c r="M407" s="55"/>
      <c r="N407" s="55"/>
      <c r="O407" s="360"/>
      <c r="P407" s="55"/>
      <c r="Q407" s="55"/>
      <c r="R407" s="360"/>
      <c r="S407" s="55"/>
      <c r="T407" s="350"/>
      <c r="U407" s="55"/>
      <c r="V407" s="55"/>
      <c r="W407" s="55"/>
      <c r="X407" s="55"/>
      <c r="Y407" s="55"/>
      <c r="Z407" s="55"/>
      <c r="AA407" s="55"/>
    </row>
    <row r="408">
      <c r="A408" s="55"/>
      <c r="B408" s="55"/>
      <c r="C408" s="55"/>
      <c r="D408" s="55"/>
      <c r="E408" s="55"/>
      <c r="F408" s="365"/>
      <c r="G408" s="55"/>
      <c r="H408" s="55"/>
      <c r="I408" s="360"/>
      <c r="J408" s="55"/>
      <c r="K408" s="55"/>
      <c r="L408" s="360"/>
      <c r="M408" s="55"/>
      <c r="N408" s="55"/>
      <c r="O408" s="360"/>
      <c r="P408" s="55"/>
      <c r="Q408" s="55"/>
      <c r="R408" s="360"/>
      <c r="S408" s="55"/>
      <c r="T408" s="350"/>
      <c r="U408" s="55"/>
      <c r="V408" s="55"/>
      <c r="W408" s="55"/>
      <c r="X408" s="55"/>
      <c r="Y408" s="55"/>
      <c r="Z408" s="55"/>
      <c r="AA408" s="55"/>
    </row>
    <row r="409">
      <c r="A409" s="55"/>
      <c r="B409" s="55"/>
      <c r="C409" s="55"/>
      <c r="D409" s="55"/>
      <c r="E409" s="55"/>
      <c r="F409" s="365"/>
      <c r="G409" s="55"/>
      <c r="H409" s="55"/>
      <c r="I409" s="360"/>
      <c r="J409" s="55"/>
      <c r="K409" s="55"/>
      <c r="L409" s="360"/>
      <c r="M409" s="55"/>
      <c r="N409" s="55"/>
      <c r="O409" s="360"/>
      <c r="P409" s="55"/>
      <c r="Q409" s="55"/>
      <c r="R409" s="360"/>
      <c r="S409" s="55"/>
      <c r="T409" s="350"/>
      <c r="U409" s="55"/>
      <c r="V409" s="55"/>
      <c r="W409" s="55"/>
      <c r="X409" s="55"/>
      <c r="Y409" s="55"/>
      <c r="Z409" s="55"/>
      <c r="AA409" s="55"/>
    </row>
    <row r="410">
      <c r="A410" s="55"/>
      <c r="B410" s="55"/>
      <c r="C410" s="55"/>
      <c r="D410" s="55"/>
      <c r="E410" s="55"/>
      <c r="F410" s="365"/>
      <c r="G410" s="55"/>
      <c r="H410" s="55"/>
      <c r="I410" s="360"/>
      <c r="J410" s="55"/>
      <c r="K410" s="55"/>
      <c r="L410" s="360"/>
      <c r="M410" s="55"/>
      <c r="N410" s="55"/>
      <c r="O410" s="360"/>
      <c r="P410" s="55"/>
      <c r="Q410" s="55"/>
      <c r="R410" s="360"/>
      <c r="S410" s="55"/>
      <c r="T410" s="350"/>
      <c r="U410" s="55"/>
      <c r="V410" s="55"/>
      <c r="W410" s="55"/>
      <c r="X410" s="55"/>
      <c r="Y410" s="55"/>
      <c r="Z410" s="55"/>
      <c r="AA410" s="55"/>
    </row>
    <row r="411">
      <c r="A411" s="55"/>
      <c r="B411" s="55"/>
      <c r="C411" s="55"/>
      <c r="D411" s="55"/>
      <c r="E411" s="55"/>
      <c r="F411" s="365"/>
      <c r="G411" s="55"/>
      <c r="H411" s="55"/>
      <c r="I411" s="360"/>
      <c r="J411" s="55"/>
      <c r="K411" s="55"/>
      <c r="L411" s="360"/>
      <c r="M411" s="55"/>
      <c r="N411" s="55"/>
      <c r="O411" s="360"/>
      <c r="P411" s="55"/>
      <c r="Q411" s="55"/>
      <c r="R411" s="360"/>
      <c r="S411" s="55"/>
      <c r="T411" s="350"/>
      <c r="U411" s="55"/>
      <c r="V411" s="55"/>
      <c r="W411" s="55"/>
      <c r="X411" s="55"/>
      <c r="Y411" s="55"/>
      <c r="Z411" s="55"/>
      <c r="AA411" s="55"/>
    </row>
    <row r="412">
      <c r="A412" s="55"/>
      <c r="B412" s="55"/>
      <c r="C412" s="55"/>
      <c r="D412" s="55"/>
      <c r="E412" s="55"/>
      <c r="F412" s="365"/>
      <c r="G412" s="55"/>
      <c r="H412" s="55"/>
      <c r="I412" s="360"/>
      <c r="J412" s="55"/>
      <c r="K412" s="55"/>
      <c r="L412" s="360"/>
      <c r="M412" s="55"/>
      <c r="N412" s="55"/>
      <c r="O412" s="360"/>
      <c r="P412" s="55"/>
      <c r="Q412" s="55"/>
      <c r="R412" s="360"/>
      <c r="S412" s="55"/>
      <c r="T412" s="350"/>
      <c r="U412" s="55"/>
      <c r="V412" s="55"/>
      <c r="W412" s="55"/>
      <c r="X412" s="55"/>
      <c r="Y412" s="55"/>
      <c r="Z412" s="55"/>
      <c r="AA412" s="55"/>
    </row>
    <row r="413">
      <c r="A413" s="55"/>
      <c r="B413" s="55"/>
      <c r="C413" s="55"/>
      <c r="D413" s="55"/>
      <c r="E413" s="55"/>
      <c r="F413" s="365"/>
      <c r="G413" s="55"/>
      <c r="H413" s="55"/>
      <c r="I413" s="360"/>
      <c r="J413" s="55"/>
      <c r="K413" s="55"/>
      <c r="L413" s="360"/>
      <c r="M413" s="55"/>
      <c r="N413" s="55"/>
      <c r="O413" s="360"/>
      <c r="P413" s="55"/>
      <c r="Q413" s="55"/>
      <c r="R413" s="360"/>
      <c r="S413" s="55"/>
      <c r="T413" s="350"/>
      <c r="U413" s="55"/>
      <c r="V413" s="55"/>
      <c r="W413" s="55"/>
      <c r="X413" s="55"/>
      <c r="Y413" s="55"/>
      <c r="Z413" s="55"/>
      <c r="AA413" s="55"/>
    </row>
    <row r="414">
      <c r="A414" s="55"/>
      <c r="B414" s="55"/>
      <c r="C414" s="55"/>
      <c r="D414" s="55"/>
      <c r="E414" s="55"/>
      <c r="F414" s="365"/>
      <c r="G414" s="55"/>
      <c r="H414" s="55"/>
      <c r="I414" s="360"/>
      <c r="J414" s="55"/>
      <c r="K414" s="55"/>
      <c r="L414" s="360"/>
      <c r="M414" s="55"/>
      <c r="N414" s="55"/>
      <c r="O414" s="360"/>
      <c r="P414" s="55"/>
      <c r="Q414" s="55"/>
      <c r="R414" s="360"/>
      <c r="S414" s="55"/>
      <c r="T414" s="350"/>
      <c r="U414" s="55"/>
      <c r="V414" s="55"/>
      <c r="W414" s="55"/>
      <c r="X414" s="55"/>
      <c r="Y414" s="55"/>
      <c r="Z414" s="55"/>
      <c r="AA414" s="55"/>
    </row>
    <row r="415">
      <c r="A415" s="55"/>
      <c r="B415" s="55"/>
      <c r="C415" s="55"/>
      <c r="D415" s="55"/>
      <c r="E415" s="55"/>
      <c r="F415" s="365"/>
      <c r="G415" s="55"/>
      <c r="H415" s="55"/>
      <c r="I415" s="360"/>
      <c r="J415" s="55"/>
      <c r="K415" s="55"/>
      <c r="L415" s="360"/>
      <c r="M415" s="55"/>
      <c r="N415" s="55"/>
      <c r="O415" s="360"/>
      <c r="P415" s="55"/>
      <c r="Q415" s="55"/>
      <c r="R415" s="360"/>
      <c r="S415" s="55"/>
      <c r="T415" s="350"/>
      <c r="U415" s="55"/>
      <c r="V415" s="55"/>
      <c r="W415" s="55"/>
      <c r="X415" s="55"/>
      <c r="Y415" s="55"/>
      <c r="Z415" s="55"/>
      <c r="AA415" s="55"/>
    </row>
    <row r="416">
      <c r="A416" s="55"/>
      <c r="B416" s="55"/>
      <c r="C416" s="55"/>
      <c r="D416" s="55"/>
      <c r="E416" s="55"/>
      <c r="F416" s="365"/>
      <c r="G416" s="55"/>
      <c r="H416" s="55"/>
      <c r="I416" s="360"/>
      <c r="J416" s="55"/>
      <c r="K416" s="55"/>
      <c r="L416" s="360"/>
      <c r="M416" s="55"/>
      <c r="N416" s="55"/>
      <c r="O416" s="360"/>
      <c r="P416" s="55"/>
      <c r="Q416" s="55"/>
      <c r="R416" s="360"/>
      <c r="S416" s="55"/>
      <c r="T416" s="350"/>
      <c r="U416" s="55"/>
      <c r="V416" s="55"/>
      <c r="W416" s="55"/>
      <c r="X416" s="55"/>
      <c r="Y416" s="55"/>
      <c r="Z416" s="55"/>
      <c r="AA416" s="55"/>
    </row>
    <row r="417">
      <c r="A417" s="55"/>
      <c r="B417" s="55"/>
      <c r="C417" s="55"/>
      <c r="D417" s="55"/>
      <c r="E417" s="55"/>
      <c r="F417" s="365"/>
      <c r="G417" s="55"/>
      <c r="H417" s="55"/>
      <c r="I417" s="360"/>
      <c r="J417" s="55"/>
      <c r="K417" s="55"/>
      <c r="L417" s="360"/>
      <c r="M417" s="55"/>
      <c r="N417" s="55"/>
      <c r="O417" s="360"/>
      <c r="P417" s="55"/>
      <c r="Q417" s="55"/>
      <c r="R417" s="360"/>
      <c r="S417" s="55"/>
      <c r="T417" s="350"/>
      <c r="U417" s="55"/>
      <c r="V417" s="55"/>
      <c r="W417" s="55"/>
      <c r="X417" s="55"/>
      <c r="Y417" s="55"/>
      <c r="Z417" s="55"/>
      <c r="AA417" s="55"/>
    </row>
    <row r="418">
      <c r="A418" s="55"/>
      <c r="B418" s="55"/>
      <c r="C418" s="55"/>
      <c r="D418" s="55"/>
      <c r="E418" s="55"/>
      <c r="F418" s="365"/>
      <c r="G418" s="55"/>
      <c r="H418" s="55"/>
      <c r="I418" s="360"/>
      <c r="J418" s="55"/>
      <c r="K418" s="55"/>
      <c r="L418" s="360"/>
      <c r="M418" s="55"/>
      <c r="N418" s="55"/>
      <c r="O418" s="360"/>
      <c r="P418" s="55"/>
      <c r="Q418" s="55"/>
      <c r="R418" s="360"/>
      <c r="S418" s="55"/>
      <c r="T418" s="350"/>
      <c r="U418" s="55"/>
      <c r="V418" s="55"/>
      <c r="W418" s="55"/>
      <c r="X418" s="55"/>
      <c r="Y418" s="55"/>
      <c r="Z418" s="55"/>
      <c r="AA418" s="55"/>
    </row>
    <row r="419">
      <c r="A419" s="55"/>
      <c r="B419" s="55"/>
      <c r="C419" s="55"/>
      <c r="D419" s="55"/>
      <c r="E419" s="55"/>
      <c r="F419" s="365"/>
      <c r="G419" s="55"/>
      <c r="H419" s="55"/>
      <c r="I419" s="360"/>
      <c r="J419" s="55"/>
      <c r="K419" s="55"/>
      <c r="L419" s="360"/>
      <c r="M419" s="55"/>
      <c r="N419" s="55"/>
      <c r="O419" s="360"/>
      <c r="P419" s="55"/>
      <c r="Q419" s="55"/>
      <c r="R419" s="360"/>
      <c r="S419" s="55"/>
      <c r="T419" s="350"/>
      <c r="U419" s="55"/>
      <c r="V419" s="55"/>
      <c r="W419" s="55"/>
      <c r="X419" s="55"/>
      <c r="Y419" s="55"/>
      <c r="Z419" s="55"/>
      <c r="AA419" s="55"/>
    </row>
    <row r="420">
      <c r="A420" s="55"/>
      <c r="B420" s="55"/>
      <c r="C420" s="55"/>
      <c r="D420" s="55"/>
      <c r="E420" s="55"/>
      <c r="F420" s="365"/>
      <c r="G420" s="55"/>
      <c r="H420" s="55"/>
      <c r="I420" s="360"/>
      <c r="J420" s="55"/>
      <c r="K420" s="55"/>
      <c r="L420" s="360"/>
      <c r="M420" s="55"/>
      <c r="N420" s="55"/>
      <c r="O420" s="360"/>
      <c r="P420" s="55"/>
      <c r="Q420" s="55"/>
      <c r="R420" s="360"/>
      <c r="S420" s="55"/>
      <c r="T420" s="350"/>
      <c r="U420" s="55"/>
      <c r="V420" s="55"/>
      <c r="W420" s="55"/>
      <c r="X420" s="55"/>
      <c r="Y420" s="55"/>
      <c r="Z420" s="55"/>
      <c r="AA420" s="55"/>
    </row>
    <row r="421">
      <c r="A421" s="55"/>
      <c r="B421" s="55"/>
      <c r="C421" s="55"/>
      <c r="D421" s="55"/>
      <c r="E421" s="55"/>
      <c r="F421" s="365"/>
      <c r="G421" s="55"/>
      <c r="H421" s="55"/>
      <c r="I421" s="360"/>
      <c r="J421" s="55"/>
      <c r="K421" s="55"/>
      <c r="L421" s="360"/>
      <c r="M421" s="55"/>
      <c r="N421" s="55"/>
      <c r="O421" s="360"/>
      <c r="P421" s="55"/>
      <c r="Q421" s="55"/>
      <c r="R421" s="360"/>
      <c r="S421" s="55"/>
      <c r="T421" s="350"/>
      <c r="U421" s="55"/>
      <c r="V421" s="55"/>
      <c r="W421" s="55"/>
      <c r="X421" s="55"/>
      <c r="Y421" s="55"/>
      <c r="Z421" s="55"/>
      <c r="AA421" s="55"/>
    </row>
    <row r="422">
      <c r="A422" s="55"/>
      <c r="B422" s="55"/>
      <c r="C422" s="55"/>
      <c r="D422" s="55"/>
      <c r="E422" s="55"/>
      <c r="F422" s="365"/>
      <c r="G422" s="55"/>
      <c r="H422" s="55"/>
      <c r="I422" s="360"/>
      <c r="J422" s="55"/>
      <c r="K422" s="55"/>
      <c r="L422" s="360"/>
      <c r="M422" s="55"/>
      <c r="N422" s="55"/>
      <c r="O422" s="360"/>
      <c r="P422" s="55"/>
      <c r="Q422" s="55"/>
      <c r="R422" s="360"/>
      <c r="S422" s="55"/>
      <c r="T422" s="350"/>
      <c r="U422" s="55"/>
      <c r="V422" s="55"/>
      <c r="W422" s="55"/>
      <c r="X422" s="55"/>
      <c r="Y422" s="55"/>
      <c r="Z422" s="55"/>
      <c r="AA422" s="55"/>
    </row>
    <row r="423">
      <c r="A423" s="55"/>
      <c r="B423" s="55"/>
      <c r="C423" s="55"/>
      <c r="D423" s="55"/>
      <c r="E423" s="55"/>
      <c r="F423" s="365"/>
      <c r="G423" s="55"/>
      <c r="H423" s="55"/>
      <c r="I423" s="360"/>
      <c r="J423" s="55"/>
      <c r="K423" s="55"/>
      <c r="L423" s="360"/>
      <c r="M423" s="55"/>
      <c r="N423" s="55"/>
      <c r="O423" s="360"/>
      <c r="P423" s="55"/>
      <c r="Q423" s="55"/>
      <c r="R423" s="360"/>
      <c r="S423" s="55"/>
      <c r="T423" s="350"/>
      <c r="U423" s="55"/>
      <c r="V423" s="55"/>
      <c r="W423" s="55"/>
      <c r="X423" s="55"/>
      <c r="Y423" s="55"/>
      <c r="Z423" s="55"/>
      <c r="AA423" s="55"/>
    </row>
    <row r="424">
      <c r="A424" s="55"/>
      <c r="B424" s="55"/>
      <c r="C424" s="55"/>
      <c r="D424" s="55"/>
      <c r="E424" s="55"/>
      <c r="F424" s="365"/>
      <c r="G424" s="55"/>
      <c r="H424" s="55"/>
      <c r="I424" s="360"/>
      <c r="J424" s="55"/>
      <c r="K424" s="55"/>
      <c r="L424" s="360"/>
      <c r="M424" s="55"/>
      <c r="N424" s="55"/>
      <c r="O424" s="360"/>
      <c r="P424" s="55"/>
      <c r="Q424" s="55"/>
      <c r="R424" s="360"/>
      <c r="S424" s="55"/>
      <c r="T424" s="350"/>
      <c r="U424" s="55"/>
      <c r="V424" s="55"/>
      <c r="W424" s="55"/>
      <c r="X424" s="55"/>
      <c r="Y424" s="55"/>
      <c r="Z424" s="55"/>
      <c r="AA424" s="55"/>
    </row>
    <row r="425">
      <c r="A425" s="55"/>
      <c r="B425" s="55"/>
      <c r="C425" s="55"/>
      <c r="D425" s="55"/>
      <c r="E425" s="55"/>
      <c r="F425" s="365"/>
      <c r="G425" s="55"/>
      <c r="H425" s="55"/>
      <c r="I425" s="360"/>
      <c r="J425" s="55"/>
      <c r="K425" s="55"/>
      <c r="L425" s="360"/>
      <c r="M425" s="55"/>
      <c r="N425" s="55"/>
      <c r="O425" s="360"/>
      <c r="P425" s="55"/>
      <c r="Q425" s="55"/>
      <c r="R425" s="360"/>
      <c r="S425" s="55"/>
      <c r="T425" s="350"/>
      <c r="U425" s="55"/>
      <c r="V425" s="55"/>
      <c r="W425" s="55"/>
      <c r="X425" s="55"/>
      <c r="Y425" s="55"/>
      <c r="Z425" s="55"/>
      <c r="AA425" s="55"/>
    </row>
    <row r="426">
      <c r="A426" s="55"/>
      <c r="B426" s="55"/>
      <c r="C426" s="55"/>
      <c r="D426" s="55"/>
      <c r="E426" s="55"/>
      <c r="F426" s="365"/>
      <c r="G426" s="55"/>
      <c r="H426" s="55"/>
      <c r="I426" s="360"/>
      <c r="J426" s="55"/>
      <c r="K426" s="55"/>
      <c r="L426" s="360"/>
      <c r="M426" s="55"/>
      <c r="N426" s="55"/>
      <c r="O426" s="360"/>
      <c r="P426" s="55"/>
      <c r="Q426" s="55"/>
      <c r="R426" s="360"/>
      <c r="S426" s="55"/>
      <c r="T426" s="350"/>
      <c r="U426" s="55"/>
      <c r="V426" s="55"/>
      <c r="W426" s="55"/>
      <c r="X426" s="55"/>
      <c r="Y426" s="55"/>
      <c r="Z426" s="55"/>
      <c r="AA426" s="55"/>
    </row>
    <row r="427">
      <c r="A427" s="55"/>
      <c r="B427" s="55"/>
      <c r="C427" s="55"/>
      <c r="D427" s="55"/>
      <c r="E427" s="55"/>
      <c r="F427" s="365"/>
      <c r="G427" s="55"/>
      <c r="H427" s="55"/>
      <c r="I427" s="360"/>
      <c r="J427" s="55"/>
      <c r="K427" s="55"/>
      <c r="L427" s="360"/>
      <c r="M427" s="55"/>
      <c r="N427" s="55"/>
      <c r="O427" s="360"/>
      <c r="P427" s="55"/>
      <c r="Q427" s="55"/>
      <c r="R427" s="360"/>
      <c r="S427" s="55"/>
      <c r="T427" s="350"/>
      <c r="U427" s="55"/>
      <c r="V427" s="55"/>
      <c r="W427" s="55"/>
      <c r="X427" s="55"/>
      <c r="Y427" s="55"/>
      <c r="Z427" s="55"/>
      <c r="AA427" s="55"/>
    </row>
    <row r="428">
      <c r="A428" s="55"/>
      <c r="B428" s="55"/>
      <c r="C428" s="55"/>
      <c r="D428" s="55"/>
      <c r="E428" s="55"/>
      <c r="F428" s="365"/>
      <c r="G428" s="55"/>
      <c r="H428" s="55"/>
      <c r="I428" s="360"/>
      <c r="J428" s="55"/>
      <c r="K428" s="55"/>
      <c r="L428" s="360"/>
      <c r="M428" s="55"/>
      <c r="N428" s="55"/>
      <c r="O428" s="360"/>
      <c r="P428" s="55"/>
      <c r="Q428" s="55"/>
      <c r="R428" s="360"/>
      <c r="S428" s="55"/>
      <c r="T428" s="350"/>
      <c r="U428" s="55"/>
      <c r="V428" s="55"/>
      <c r="W428" s="55"/>
      <c r="X428" s="55"/>
      <c r="Y428" s="55"/>
      <c r="Z428" s="55"/>
      <c r="AA428" s="55"/>
    </row>
    <row r="429">
      <c r="A429" s="55"/>
      <c r="B429" s="55"/>
      <c r="C429" s="55"/>
      <c r="D429" s="55"/>
      <c r="E429" s="55"/>
      <c r="F429" s="365"/>
      <c r="G429" s="55"/>
      <c r="H429" s="55"/>
      <c r="I429" s="360"/>
      <c r="J429" s="55"/>
      <c r="K429" s="55"/>
      <c r="L429" s="360"/>
      <c r="M429" s="55"/>
      <c r="N429" s="55"/>
      <c r="O429" s="360"/>
      <c r="P429" s="55"/>
      <c r="Q429" s="55"/>
      <c r="R429" s="360"/>
      <c r="S429" s="55"/>
      <c r="T429" s="350"/>
      <c r="U429" s="55"/>
      <c r="V429" s="55"/>
      <c r="W429" s="55"/>
      <c r="X429" s="55"/>
      <c r="Y429" s="55"/>
      <c r="Z429" s="55"/>
      <c r="AA429" s="55"/>
    </row>
    <row r="430">
      <c r="A430" s="55"/>
      <c r="B430" s="55"/>
      <c r="C430" s="55"/>
      <c r="D430" s="55"/>
      <c r="E430" s="55"/>
      <c r="F430" s="365"/>
      <c r="G430" s="55"/>
      <c r="H430" s="55"/>
      <c r="I430" s="360"/>
      <c r="J430" s="55"/>
      <c r="K430" s="55"/>
      <c r="L430" s="360"/>
      <c r="M430" s="55"/>
      <c r="N430" s="55"/>
      <c r="O430" s="360"/>
      <c r="P430" s="55"/>
      <c r="Q430" s="55"/>
      <c r="R430" s="360"/>
      <c r="S430" s="55"/>
      <c r="T430" s="350"/>
      <c r="U430" s="55"/>
      <c r="V430" s="55"/>
      <c r="W430" s="55"/>
      <c r="X430" s="55"/>
      <c r="Y430" s="55"/>
      <c r="Z430" s="55"/>
      <c r="AA430" s="55"/>
    </row>
    <row r="431">
      <c r="A431" s="55"/>
      <c r="B431" s="55"/>
      <c r="C431" s="55"/>
      <c r="D431" s="55"/>
      <c r="E431" s="55"/>
      <c r="F431" s="365"/>
      <c r="G431" s="55"/>
      <c r="H431" s="55"/>
      <c r="I431" s="360"/>
      <c r="J431" s="55"/>
      <c r="K431" s="55"/>
      <c r="L431" s="360"/>
      <c r="M431" s="55"/>
      <c r="N431" s="55"/>
      <c r="O431" s="360"/>
      <c r="P431" s="55"/>
      <c r="Q431" s="55"/>
      <c r="R431" s="360"/>
      <c r="S431" s="55"/>
      <c r="T431" s="350"/>
      <c r="U431" s="55"/>
      <c r="V431" s="55"/>
      <c r="W431" s="55"/>
      <c r="X431" s="55"/>
      <c r="Y431" s="55"/>
      <c r="Z431" s="55"/>
      <c r="AA431" s="55"/>
    </row>
    <row r="432">
      <c r="A432" s="55"/>
      <c r="B432" s="55"/>
      <c r="C432" s="55"/>
      <c r="D432" s="55"/>
      <c r="E432" s="55"/>
      <c r="F432" s="365"/>
      <c r="G432" s="55"/>
      <c r="H432" s="55"/>
      <c r="I432" s="360"/>
      <c r="J432" s="55"/>
      <c r="K432" s="55"/>
      <c r="L432" s="360"/>
      <c r="M432" s="55"/>
      <c r="N432" s="55"/>
      <c r="O432" s="360"/>
      <c r="P432" s="55"/>
      <c r="Q432" s="55"/>
      <c r="R432" s="360"/>
      <c r="S432" s="55"/>
      <c r="T432" s="350"/>
      <c r="U432" s="55"/>
      <c r="V432" s="55"/>
      <c r="W432" s="55"/>
      <c r="X432" s="55"/>
      <c r="Y432" s="55"/>
      <c r="Z432" s="55"/>
      <c r="AA432" s="55"/>
    </row>
    <row r="433">
      <c r="A433" s="55"/>
      <c r="B433" s="55"/>
      <c r="C433" s="55"/>
      <c r="D433" s="55"/>
      <c r="E433" s="55"/>
      <c r="F433" s="365"/>
      <c r="G433" s="55"/>
      <c r="H433" s="55"/>
      <c r="I433" s="360"/>
      <c r="J433" s="55"/>
      <c r="K433" s="55"/>
      <c r="L433" s="360"/>
      <c r="M433" s="55"/>
      <c r="N433" s="55"/>
      <c r="O433" s="360"/>
      <c r="P433" s="55"/>
      <c r="Q433" s="55"/>
      <c r="R433" s="360"/>
      <c r="S433" s="55"/>
      <c r="T433" s="350"/>
      <c r="U433" s="55"/>
      <c r="V433" s="55"/>
      <c r="W433" s="55"/>
      <c r="X433" s="55"/>
      <c r="Y433" s="55"/>
      <c r="Z433" s="55"/>
      <c r="AA433" s="55"/>
    </row>
    <row r="434">
      <c r="A434" s="55"/>
      <c r="B434" s="55"/>
      <c r="C434" s="55"/>
      <c r="D434" s="55"/>
      <c r="E434" s="55"/>
      <c r="F434" s="365"/>
      <c r="G434" s="55"/>
      <c r="H434" s="55"/>
      <c r="I434" s="360"/>
      <c r="J434" s="55"/>
      <c r="K434" s="55"/>
      <c r="L434" s="360"/>
      <c r="M434" s="55"/>
      <c r="N434" s="55"/>
      <c r="O434" s="360"/>
      <c r="P434" s="55"/>
      <c r="Q434" s="55"/>
      <c r="R434" s="360"/>
      <c r="S434" s="55"/>
      <c r="T434" s="350"/>
      <c r="U434" s="55"/>
      <c r="V434" s="55"/>
      <c r="W434" s="55"/>
      <c r="X434" s="55"/>
      <c r="Y434" s="55"/>
      <c r="Z434" s="55"/>
      <c r="AA434" s="55"/>
    </row>
    <row r="435">
      <c r="A435" s="55"/>
      <c r="B435" s="55"/>
      <c r="C435" s="55"/>
      <c r="D435" s="55"/>
      <c r="E435" s="55"/>
      <c r="F435" s="365"/>
      <c r="G435" s="55"/>
      <c r="H435" s="55"/>
      <c r="I435" s="360"/>
      <c r="J435" s="55"/>
      <c r="K435" s="55"/>
      <c r="L435" s="360"/>
      <c r="M435" s="55"/>
      <c r="N435" s="55"/>
      <c r="O435" s="360"/>
      <c r="P435" s="55"/>
      <c r="Q435" s="55"/>
      <c r="R435" s="360"/>
      <c r="S435" s="55"/>
      <c r="T435" s="350"/>
      <c r="U435" s="55"/>
      <c r="V435" s="55"/>
      <c r="W435" s="55"/>
      <c r="X435" s="55"/>
      <c r="Y435" s="55"/>
      <c r="Z435" s="55"/>
      <c r="AA435" s="55"/>
    </row>
    <row r="436">
      <c r="A436" s="55"/>
      <c r="B436" s="55"/>
      <c r="C436" s="55"/>
      <c r="D436" s="55"/>
      <c r="E436" s="55"/>
      <c r="F436" s="365"/>
      <c r="G436" s="55"/>
      <c r="H436" s="55"/>
      <c r="I436" s="360"/>
      <c r="J436" s="55"/>
      <c r="K436" s="55"/>
      <c r="L436" s="360"/>
      <c r="M436" s="55"/>
      <c r="N436" s="55"/>
      <c r="O436" s="360"/>
      <c r="P436" s="55"/>
      <c r="Q436" s="55"/>
      <c r="R436" s="360"/>
      <c r="S436" s="55"/>
      <c r="T436" s="350"/>
      <c r="U436" s="55"/>
      <c r="V436" s="55"/>
      <c r="W436" s="55"/>
      <c r="X436" s="55"/>
      <c r="Y436" s="55"/>
      <c r="Z436" s="55"/>
      <c r="AA436" s="55"/>
    </row>
    <row r="437">
      <c r="A437" s="55"/>
      <c r="B437" s="55"/>
      <c r="C437" s="55"/>
      <c r="D437" s="55"/>
      <c r="E437" s="55"/>
      <c r="F437" s="365"/>
      <c r="G437" s="55"/>
      <c r="H437" s="55"/>
      <c r="I437" s="360"/>
      <c r="J437" s="55"/>
      <c r="K437" s="55"/>
      <c r="L437" s="360"/>
      <c r="M437" s="55"/>
      <c r="N437" s="55"/>
      <c r="O437" s="360"/>
      <c r="P437" s="55"/>
      <c r="Q437" s="55"/>
      <c r="R437" s="360"/>
      <c r="S437" s="55"/>
      <c r="T437" s="350"/>
      <c r="U437" s="55"/>
      <c r="V437" s="55"/>
      <c r="W437" s="55"/>
      <c r="X437" s="55"/>
      <c r="Y437" s="55"/>
      <c r="Z437" s="55"/>
      <c r="AA437" s="55"/>
    </row>
    <row r="438">
      <c r="A438" s="55"/>
      <c r="B438" s="55"/>
      <c r="C438" s="55"/>
      <c r="D438" s="55"/>
      <c r="E438" s="55"/>
      <c r="F438" s="365"/>
      <c r="G438" s="55"/>
      <c r="H438" s="55"/>
      <c r="I438" s="360"/>
      <c r="J438" s="55"/>
      <c r="K438" s="55"/>
      <c r="L438" s="360"/>
      <c r="M438" s="55"/>
      <c r="N438" s="55"/>
      <c r="O438" s="360"/>
      <c r="P438" s="55"/>
      <c r="Q438" s="55"/>
      <c r="R438" s="360"/>
      <c r="S438" s="55"/>
      <c r="T438" s="350"/>
      <c r="U438" s="55"/>
      <c r="V438" s="55"/>
      <c r="W438" s="55"/>
      <c r="X438" s="55"/>
      <c r="Y438" s="55"/>
      <c r="Z438" s="55"/>
      <c r="AA438" s="55"/>
    </row>
    <row r="439">
      <c r="A439" s="55"/>
      <c r="B439" s="55"/>
      <c r="C439" s="55"/>
      <c r="D439" s="55"/>
      <c r="E439" s="55"/>
      <c r="F439" s="365"/>
      <c r="G439" s="55"/>
      <c r="H439" s="55"/>
      <c r="I439" s="360"/>
      <c r="J439" s="55"/>
      <c r="K439" s="55"/>
      <c r="L439" s="360"/>
      <c r="M439" s="55"/>
      <c r="N439" s="55"/>
      <c r="O439" s="360"/>
      <c r="P439" s="55"/>
      <c r="Q439" s="55"/>
      <c r="R439" s="360"/>
      <c r="S439" s="55"/>
      <c r="T439" s="350"/>
      <c r="U439" s="55"/>
      <c r="V439" s="55"/>
      <c r="W439" s="55"/>
      <c r="X439" s="55"/>
      <c r="Y439" s="55"/>
      <c r="Z439" s="55"/>
      <c r="AA439" s="55"/>
    </row>
    <row r="440">
      <c r="A440" s="55"/>
      <c r="B440" s="55"/>
      <c r="C440" s="55"/>
      <c r="D440" s="55"/>
      <c r="E440" s="55"/>
      <c r="F440" s="365"/>
      <c r="G440" s="55"/>
      <c r="H440" s="55"/>
      <c r="I440" s="360"/>
      <c r="J440" s="55"/>
      <c r="K440" s="55"/>
      <c r="L440" s="360"/>
      <c r="M440" s="55"/>
      <c r="N440" s="55"/>
      <c r="O440" s="360"/>
      <c r="P440" s="55"/>
      <c r="Q440" s="55"/>
      <c r="R440" s="360"/>
      <c r="S440" s="55"/>
      <c r="T440" s="350"/>
      <c r="U440" s="55"/>
      <c r="V440" s="55"/>
      <c r="W440" s="55"/>
      <c r="X440" s="55"/>
      <c r="Y440" s="55"/>
      <c r="Z440" s="55"/>
      <c r="AA440" s="55"/>
    </row>
    <row r="441">
      <c r="A441" s="55"/>
      <c r="B441" s="55"/>
      <c r="C441" s="55"/>
      <c r="D441" s="55"/>
      <c r="E441" s="55"/>
      <c r="F441" s="365"/>
      <c r="G441" s="55"/>
      <c r="H441" s="55"/>
      <c r="I441" s="360"/>
      <c r="J441" s="55"/>
      <c r="K441" s="55"/>
      <c r="L441" s="360"/>
      <c r="M441" s="55"/>
      <c r="N441" s="55"/>
      <c r="O441" s="360"/>
      <c r="P441" s="55"/>
      <c r="Q441" s="55"/>
      <c r="R441" s="360"/>
      <c r="S441" s="55"/>
      <c r="T441" s="350"/>
      <c r="U441" s="55"/>
      <c r="V441" s="55"/>
      <c r="W441" s="55"/>
      <c r="X441" s="55"/>
      <c r="Y441" s="55"/>
      <c r="Z441" s="55"/>
      <c r="AA441" s="55"/>
    </row>
    <row r="442">
      <c r="A442" s="55"/>
      <c r="B442" s="55"/>
      <c r="C442" s="55"/>
      <c r="D442" s="55"/>
      <c r="E442" s="55"/>
      <c r="F442" s="365"/>
      <c r="G442" s="55"/>
      <c r="H442" s="55"/>
      <c r="I442" s="360"/>
      <c r="J442" s="55"/>
      <c r="K442" s="55"/>
      <c r="L442" s="360"/>
      <c r="M442" s="55"/>
      <c r="N442" s="55"/>
      <c r="O442" s="360"/>
      <c r="P442" s="55"/>
      <c r="Q442" s="55"/>
      <c r="R442" s="360"/>
      <c r="S442" s="55"/>
      <c r="T442" s="350"/>
      <c r="U442" s="55"/>
      <c r="V442" s="55"/>
      <c r="W442" s="55"/>
      <c r="X442" s="55"/>
      <c r="Y442" s="55"/>
      <c r="Z442" s="55"/>
      <c r="AA442" s="55"/>
    </row>
    <row r="443">
      <c r="A443" s="55"/>
      <c r="B443" s="55"/>
      <c r="C443" s="55"/>
      <c r="D443" s="55"/>
      <c r="E443" s="55"/>
      <c r="F443" s="365"/>
      <c r="G443" s="55"/>
      <c r="H443" s="55"/>
      <c r="I443" s="360"/>
      <c r="J443" s="55"/>
      <c r="K443" s="55"/>
      <c r="L443" s="360"/>
      <c r="M443" s="55"/>
      <c r="N443" s="55"/>
      <c r="O443" s="360"/>
      <c r="P443" s="55"/>
      <c r="Q443" s="55"/>
      <c r="R443" s="360"/>
      <c r="S443" s="55"/>
      <c r="T443" s="350"/>
      <c r="U443" s="55"/>
      <c r="V443" s="55"/>
      <c r="W443" s="55"/>
      <c r="X443" s="55"/>
      <c r="Y443" s="55"/>
      <c r="Z443" s="55"/>
      <c r="AA443" s="55"/>
    </row>
    <row r="444">
      <c r="A444" s="55"/>
      <c r="B444" s="55"/>
      <c r="C444" s="55"/>
      <c r="D444" s="55"/>
      <c r="E444" s="55"/>
      <c r="F444" s="365"/>
      <c r="G444" s="55"/>
      <c r="H444" s="55"/>
      <c r="I444" s="360"/>
      <c r="J444" s="55"/>
      <c r="K444" s="55"/>
      <c r="L444" s="360"/>
      <c r="M444" s="55"/>
      <c r="N444" s="55"/>
      <c r="O444" s="360"/>
      <c r="P444" s="55"/>
      <c r="Q444" s="55"/>
      <c r="R444" s="360"/>
      <c r="S444" s="55"/>
      <c r="T444" s="350"/>
      <c r="U444" s="55"/>
      <c r="V444" s="55"/>
      <c r="W444" s="55"/>
      <c r="X444" s="55"/>
      <c r="Y444" s="55"/>
      <c r="Z444" s="55"/>
      <c r="AA444" s="55"/>
    </row>
    <row r="445">
      <c r="A445" s="55"/>
      <c r="B445" s="55"/>
      <c r="C445" s="55"/>
      <c r="D445" s="55"/>
      <c r="E445" s="55"/>
      <c r="F445" s="365"/>
      <c r="G445" s="55"/>
      <c r="H445" s="55"/>
      <c r="I445" s="360"/>
      <c r="J445" s="55"/>
      <c r="K445" s="55"/>
      <c r="L445" s="360"/>
      <c r="M445" s="55"/>
      <c r="N445" s="55"/>
      <c r="O445" s="360"/>
      <c r="P445" s="55"/>
      <c r="Q445" s="55"/>
      <c r="R445" s="360"/>
      <c r="S445" s="55"/>
      <c r="T445" s="350"/>
      <c r="U445" s="55"/>
      <c r="V445" s="55"/>
      <c r="W445" s="55"/>
      <c r="X445" s="55"/>
      <c r="Y445" s="55"/>
      <c r="Z445" s="55"/>
      <c r="AA445" s="55"/>
    </row>
    <row r="446">
      <c r="A446" s="55"/>
      <c r="B446" s="55"/>
      <c r="C446" s="55"/>
      <c r="D446" s="55"/>
      <c r="E446" s="55"/>
      <c r="F446" s="365"/>
      <c r="G446" s="55"/>
      <c r="H446" s="55"/>
      <c r="I446" s="360"/>
      <c r="J446" s="55"/>
      <c r="K446" s="55"/>
      <c r="L446" s="360"/>
      <c r="M446" s="55"/>
      <c r="N446" s="55"/>
      <c r="O446" s="360"/>
      <c r="P446" s="55"/>
      <c r="Q446" s="55"/>
      <c r="R446" s="360"/>
      <c r="S446" s="55"/>
      <c r="T446" s="350"/>
      <c r="U446" s="55"/>
      <c r="V446" s="55"/>
      <c r="W446" s="55"/>
      <c r="X446" s="55"/>
      <c r="Y446" s="55"/>
      <c r="Z446" s="55"/>
      <c r="AA446" s="55"/>
    </row>
    <row r="447">
      <c r="A447" s="55"/>
      <c r="B447" s="55"/>
      <c r="C447" s="55"/>
      <c r="D447" s="55"/>
      <c r="E447" s="55"/>
      <c r="F447" s="365"/>
      <c r="G447" s="55"/>
      <c r="H447" s="55"/>
      <c r="I447" s="360"/>
      <c r="J447" s="55"/>
      <c r="K447" s="55"/>
      <c r="L447" s="360"/>
      <c r="M447" s="55"/>
      <c r="N447" s="55"/>
      <c r="O447" s="360"/>
      <c r="P447" s="55"/>
      <c r="Q447" s="55"/>
      <c r="R447" s="360"/>
      <c r="S447" s="55"/>
      <c r="T447" s="350"/>
      <c r="U447" s="55"/>
      <c r="V447" s="55"/>
      <c r="W447" s="55"/>
      <c r="X447" s="55"/>
      <c r="Y447" s="55"/>
      <c r="Z447" s="55"/>
      <c r="AA447" s="55"/>
    </row>
    <row r="448">
      <c r="A448" s="55"/>
      <c r="B448" s="55"/>
      <c r="C448" s="55"/>
      <c r="D448" s="55"/>
      <c r="E448" s="55"/>
      <c r="F448" s="365"/>
      <c r="G448" s="55"/>
      <c r="H448" s="55"/>
      <c r="I448" s="360"/>
      <c r="J448" s="55"/>
      <c r="K448" s="55"/>
      <c r="L448" s="360"/>
      <c r="M448" s="55"/>
      <c r="N448" s="55"/>
      <c r="O448" s="360"/>
      <c r="P448" s="55"/>
      <c r="Q448" s="55"/>
      <c r="R448" s="360"/>
      <c r="S448" s="55"/>
      <c r="T448" s="350"/>
      <c r="U448" s="55"/>
      <c r="V448" s="55"/>
      <c r="W448" s="55"/>
      <c r="X448" s="55"/>
      <c r="Y448" s="55"/>
      <c r="Z448" s="55"/>
      <c r="AA448" s="55"/>
    </row>
    <row r="449">
      <c r="A449" s="55"/>
      <c r="B449" s="55"/>
      <c r="C449" s="55"/>
      <c r="D449" s="55"/>
      <c r="E449" s="55"/>
      <c r="F449" s="365"/>
      <c r="G449" s="55"/>
      <c r="H449" s="55"/>
      <c r="I449" s="360"/>
      <c r="J449" s="55"/>
      <c r="K449" s="55"/>
      <c r="L449" s="360"/>
      <c r="M449" s="55"/>
      <c r="N449" s="55"/>
      <c r="O449" s="360"/>
      <c r="P449" s="55"/>
      <c r="Q449" s="55"/>
      <c r="R449" s="360"/>
      <c r="S449" s="55"/>
      <c r="T449" s="350"/>
      <c r="U449" s="55"/>
      <c r="V449" s="55"/>
      <c r="W449" s="55"/>
      <c r="X449" s="55"/>
      <c r="Y449" s="55"/>
      <c r="Z449" s="55"/>
      <c r="AA449" s="55"/>
    </row>
    <row r="450">
      <c r="A450" s="55"/>
      <c r="B450" s="55"/>
      <c r="C450" s="55"/>
      <c r="D450" s="55"/>
      <c r="E450" s="55"/>
      <c r="F450" s="365"/>
      <c r="G450" s="55"/>
      <c r="H450" s="55"/>
      <c r="I450" s="360"/>
      <c r="J450" s="55"/>
      <c r="K450" s="55"/>
      <c r="L450" s="360"/>
      <c r="M450" s="55"/>
      <c r="N450" s="55"/>
      <c r="O450" s="360"/>
      <c r="P450" s="55"/>
      <c r="Q450" s="55"/>
      <c r="R450" s="360"/>
      <c r="S450" s="55"/>
      <c r="T450" s="350"/>
      <c r="U450" s="55"/>
      <c r="V450" s="55"/>
      <c r="W450" s="55"/>
      <c r="X450" s="55"/>
      <c r="Y450" s="55"/>
      <c r="Z450" s="55"/>
      <c r="AA450" s="55"/>
    </row>
    <row r="451">
      <c r="A451" s="55"/>
      <c r="B451" s="55"/>
      <c r="C451" s="55"/>
      <c r="D451" s="55"/>
      <c r="E451" s="55"/>
      <c r="F451" s="365"/>
      <c r="G451" s="55"/>
      <c r="H451" s="55"/>
      <c r="I451" s="360"/>
      <c r="J451" s="55"/>
      <c r="K451" s="55"/>
      <c r="L451" s="360"/>
      <c r="M451" s="55"/>
      <c r="N451" s="55"/>
      <c r="O451" s="360"/>
      <c r="P451" s="55"/>
      <c r="Q451" s="55"/>
      <c r="R451" s="360"/>
      <c r="S451" s="55"/>
      <c r="T451" s="350"/>
      <c r="U451" s="55"/>
      <c r="V451" s="55"/>
      <c r="W451" s="55"/>
      <c r="X451" s="55"/>
      <c r="Y451" s="55"/>
      <c r="Z451" s="55"/>
      <c r="AA451" s="55"/>
    </row>
    <row r="452">
      <c r="A452" s="55"/>
      <c r="B452" s="55"/>
      <c r="C452" s="55"/>
      <c r="D452" s="55"/>
      <c r="E452" s="55"/>
      <c r="F452" s="365"/>
      <c r="G452" s="55"/>
      <c r="H452" s="55"/>
      <c r="I452" s="360"/>
      <c r="J452" s="55"/>
      <c r="K452" s="55"/>
      <c r="L452" s="360"/>
      <c r="M452" s="55"/>
      <c r="N452" s="55"/>
      <c r="O452" s="360"/>
      <c r="P452" s="55"/>
      <c r="Q452" s="55"/>
      <c r="R452" s="360"/>
      <c r="S452" s="55"/>
      <c r="T452" s="350"/>
      <c r="U452" s="55"/>
      <c r="V452" s="55"/>
      <c r="W452" s="55"/>
      <c r="X452" s="55"/>
      <c r="Y452" s="55"/>
      <c r="Z452" s="55"/>
      <c r="AA452" s="55"/>
    </row>
    <row r="453">
      <c r="A453" s="55"/>
      <c r="B453" s="55"/>
      <c r="C453" s="55"/>
      <c r="D453" s="55"/>
      <c r="E453" s="55"/>
      <c r="F453" s="365"/>
      <c r="G453" s="55"/>
      <c r="H453" s="55"/>
      <c r="I453" s="360"/>
      <c r="J453" s="55"/>
      <c r="K453" s="55"/>
      <c r="L453" s="360"/>
      <c r="M453" s="55"/>
      <c r="N453" s="55"/>
      <c r="O453" s="360"/>
      <c r="P453" s="55"/>
      <c r="Q453" s="55"/>
      <c r="R453" s="360"/>
      <c r="S453" s="55"/>
      <c r="T453" s="350"/>
      <c r="U453" s="55"/>
      <c r="V453" s="55"/>
      <c r="W453" s="55"/>
      <c r="X453" s="55"/>
      <c r="Y453" s="55"/>
      <c r="Z453" s="55"/>
      <c r="AA453" s="55"/>
    </row>
    <row r="454">
      <c r="A454" s="55"/>
      <c r="B454" s="55"/>
      <c r="C454" s="55"/>
      <c r="D454" s="55"/>
      <c r="E454" s="55"/>
      <c r="F454" s="365"/>
      <c r="G454" s="55"/>
      <c r="H454" s="55"/>
      <c r="I454" s="360"/>
      <c r="J454" s="55"/>
      <c r="K454" s="55"/>
      <c r="L454" s="360"/>
      <c r="M454" s="55"/>
      <c r="N454" s="55"/>
      <c r="O454" s="360"/>
      <c r="P454" s="55"/>
      <c r="Q454" s="55"/>
      <c r="R454" s="360"/>
      <c r="S454" s="55"/>
      <c r="T454" s="350"/>
      <c r="U454" s="55"/>
      <c r="V454" s="55"/>
      <c r="W454" s="55"/>
      <c r="X454" s="55"/>
      <c r="Y454" s="55"/>
      <c r="Z454" s="55"/>
      <c r="AA454" s="55"/>
    </row>
    <row r="455">
      <c r="A455" s="55"/>
      <c r="B455" s="55"/>
      <c r="C455" s="55"/>
      <c r="D455" s="55"/>
      <c r="E455" s="55"/>
      <c r="F455" s="365"/>
      <c r="G455" s="55"/>
      <c r="H455" s="55"/>
      <c r="I455" s="360"/>
      <c r="J455" s="55"/>
      <c r="K455" s="55"/>
      <c r="L455" s="360"/>
      <c r="M455" s="55"/>
      <c r="N455" s="55"/>
      <c r="O455" s="360"/>
      <c r="P455" s="55"/>
      <c r="Q455" s="55"/>
      <c r="R455" s="360"/>
      <c r="S455" s="55"/>
      <c r="T455" s="350"/>
      <c r="U455" s="55"/>
      <c r="V455" s="55"/>
      <c r="W455" s="55"/>
      <c r="X455" s="55"/>
      <c r="Y455" s="55"/>
      <c r="Z455" s="55"/>
      <c r="AA455" s="55"/>
    </row>
    <row r="456">
      <c r="A456" s="55"/>
      <c r="B456" s="55"/>
      <c r="C456" s="55"/>
      <c r="D456" s="55"/>
      <c r="E456" s="55"/>
      <c r="F456" s="365"/>
      <c r="G456" s="55"/>
      <c r="H456" s="55"/>
      <c r="I456" s="360"/>
      <c r="J456" s="55"/>
      <c r="K456" s="55"/>
      <c r="L456" s="360"/>
      <c r="M456" s="55"/>
      <c r="N456" s="55"/>
      <c r="O456" s="360"/>
      <c r="P456" s="55"/>
      <c r="Q456" s="55"/>
      <c r="R456" s="360"/>
      <c r="S456" s="55"/>
      <c r="T456" s="350"/>
      <c r="U456" s="55"/>
      <c r="V456" s="55"/>
      <c r="W456" s="55"/>
      <c r="X456" s="55"/>
      <c r="Y456" s="55"/>
      <c r="Z456" s="55"/>
      <c r="AA456" s="55"/>
    </row>
    <row r="457">
      <c r="A457" s="55"/>
      <c r="B457" s="55"/>
      <c r="C457" s="55"/>
      <c r="D457" s="55"/>
      <c r="E457" s="55"/>
      <c r="F457" s="365"/>
      <c r="G457" s="55"/>
      <c r="H457" s="55"/>
      <c r="I457" s="360"/>
      <c r="J457" s="55"/>
      <c r="K457" s="55"/>
      <c r="L457" s="360"/>
      <c r="M457" s="55"/>
      <c r="N457" s="55"/>
      <c r="O457" s="360"/>
      <c r="P457" s="55"/>
      <c r="Q457" s="55"/>
      <c r="R457" s="360"/>
      <c r="S457" s="55"/>
      <c r="T457" s="350"/>
      <c r="U457" s="55"/>
      <c r="V457" s="55"/>
      <c r="W457" s="55"/>
      <c r="X457" s="55"/>
      <c r="Y457" s="55"/>
      <c r="Z457" s="55"/>
      <c r="AA457" s="55"/>
    </row>
    <row r="458">
      <c r="A458" s="55"/>
      <c r="B458" s="55"/>
      <c r="C458" s="55"/>
      <c r="D458" s="55"/>
      <c r="E458" s="55"/>
      <c r="F458" s="365"/>
      <c r="G458" s="55"/>
      <c r="H458" s="55"/>
      <c r="I458" s="360"/>
      <c r="J458" s="55"/>
      <c r="K458" s="55"/>
      <c r="L458" s="360"/>
      <c r="M458" s="55"/>
      <c r="N458" s="55"/>
      <c r="O458" s="360"/>
      <c r="P458" s="55"/>
      <c r="Q458" s="55"/>
      <c r="R458" s="360"/>
      <c r="S458" s="55"/>
      <c r="T458" s="350"/>
      <c r="U458" s="55"/>
      <c r="V458" s="55"/>
      <c r="W458" s="55"/>
      <c r="X458" s="55"/>
      <c r="Y458" s="55"/>
      <c r="Z458" s="55"/>
      <c r="AA458" s="55"/>
    </row>
    <row r="459">
      <c r="A459" s="55"/>
      <c r="B459" s="55"/>
      <c r="C459" s="55"/>
      <c r="D459" s="55"/>
      <c r="E459" s="55"/>
      <c r="F459" s="365"/>
      <c r="G459" s="55"/>
      <c r="H459" s="55"/>
      <c r="I459" s="360"/>
      <c r="J459" s="55"/>
      <c r="K459" s="55"/>
      <c r="L459" s="360"/>
      <c r="M459" s="55"/>
      <c r="N459" s="55"/>
      <c r="O459" s="360"/>
      <c r="P459" s="55"/>
      <c r="Q459" s="55"/>
      <c r="R459" s="360"/>
      <c r="S459" s="55"/>
      <c r="T459" s="350"/>
      <c r="U459" s="55"/>
      <c r="V459" s="55"/>
      <c r="W459" s="55"/>
      <c r="X459" s="55"/>
      <c r="Y459" s="55"/>
      <c r="Z459" s="55"/>
      <c r="AA459" s="55"/>
    </row>
    <row r="460">
      <c r="A460" s="55"/>
      <c r="B460" s="55"/>
      <c r="C460" s="55"/>
      <c r="D460" s="55"/>
      <c r="E460" s="55"/>
      <c r="F460" s="365"/>
      <c r="G460" s="55"/>
      <c r="H460" s="55"/>
      <c r="I460" s="360"/>
      <c r="J460" s="55"/>
      <c r="K460" s="55"/>
      <c r="L460" s="360"/>
      <c r="M460" s="55"/>
      <c r="N460" s="55"/>
      <c r="O460" s="360"/>
      <c r="P460" s="55"/>
      <c r="Q460" s="55"/>
      <c r="R460" s="360"/>
      <c r="S460" s="55"/>
      <c r="T460" s="350"/>
      <c r="U460" s="55"/>
      <c r="V460" s="55"/>
      <c r="W460" s="55"/>
      <c r="X460" s="55"/>
      <c r="Y460" s="55"/>
      <c r="Z460" s="55"/>
      <c r="AA460" s="55"/>
    </row>
    <row r="461">
      <c r="A461" s="55"/>
      <c r="B461" s="55"/>
      <c r="C461" s="55"/>
      <c r="D461" s="55"/>
      <c r="E461" s="55"/>
      <c r="F461" s="365"/>
      <c r="G461" s="55"/>
      <c r="H461" s="55"/>
      <c r="I461" s="360"/>
      <c r="J461" s="55"/>
      <c r="K461" s="55"/>
      <c r="L461" s="360"/>
      <c r="M461" s="55"/>
      <c r="N461" s="55"/>
      <c r="O461" s="360"/>
      <c r="P461" s="55"/>
      <c r="Q461" s="55"/>
      <c r="R461" s="360"/>
      <c r="S461" s="55"/>
      <c r="T461" s="350"/>
      <c r="U461" s="55"/>
      <c r="V461" s="55"/>
      <c r="W461" s="55"/>
      <c r="X461" s="55"/>
      <c r="Y461" s="55"/>
      <c r="Z461" s="55"/>
      <c r="AA461" s="55"/>
    </row>
    <row r="462">
      <c r="A462" s="55"/>
      <c r="B462" s="55"/>
      <c r="C462" s="55"/>
      <c r="D462" s="55"/>
      <c r="E462" s="55"/>
      <c r="F462" s="365"/>
      <c r="G462" s="55"/>
      <c r="H462" s="55"/>
      <c r="I462" s="360"/>
      <c r="J462" s="55"/>
      <c r="K462" s="55"/>
      <c r="L462" s="360"/>
      <c r="M462" s="55"/>
      <c r="N462" s="55"/>
      <c r="O462" s="360"/>
      <c r="P462" s="55"/>
      <c r="Q462" s="55"/>
      <c r="R462" s="360"/>
      <c r="S462" s="55"/>
      <c r="T462" s="350"/>
      <c r="U462" s="55"/>
      <c r="V462" s="55"/>
      <c r="W462" s="55"/>
      <c r="X462" s="55"/>
      <c r="Y462" s="55"/>
      <c r="Z462" s="55"/>
      <c r="AA462" s="55"/>
    </row>
    <row r="463">
      <c r="A463" s="55"/>
      <c r="B463" s="55"/>
      <c r="C463" s="55"/>
      <c r="D463" s="55"/>
      <c r="E463" s="55"/>
      <c r="F463" s="365"/>
      <c r="G463" s="55"/>
      <c r="H463" s="55"/>
      <c r="I463" s="360"/>
      <c r="J463" s="55"/>
      <c r="K463" s="55"/>
      <c r="L463" s="360"/>
      <c r="M463" s="55"/>
      <c r="N463" s="55"/>
      <c r="O463" s="360"/>
      <c r="P463" s="55"/>
      <c r="Q463" s="55"/>
      <c r="R463" s="360"/>
      <c r="S463" s="55"/>
      <c r="T463" s="350"/>
      <c r="U463" s="55"/>
      <c r="V463" s="55"/>
      <c r="W463" s="55"/>
      <c r="X463" s="55"/>
      <c r="Y463" s="55"/>
      <c r="Z463" s="55"/>
      <c r="AA463" s="55"/>
    </row>
    <row r="464">
      <c r="A464" s="55"/>
      <c r="B464" s="55"/>
      <c r="C464" s="55"/>
      <c r="D464" s="55"/>
      <c r="E464" s="55"/>
      <c r="F464" s="365"/>
      <c r="G464" s="55"/>
      <c r="H464" s="55"/>
      <c r="I464" s="360"/>
      <c r="J464" s="55"/>
      <c r="K464" s="55"/>
      <c r="L464" s="360"/>
      <c r="M464" s="55"/>
      <c r="N464" s="55"/>
      <c r="O464" s="360"/>
      <c r="P464" s="55"/>
      <c r="Q464" s="55"/>
      <c r="R464" s="360"/>
      <c r="S464" s="55"/>
      <c r="T464" s="350"/>
      <c r="U464" s="55"/>
      <c r="V464" s="55"/>
      <c r="W464" s="55"/>
      <c r="X464" s="55"/>
      <c r="Y464" s="55"/>
      <c r="Z464" s="55"/>
      <c r="AA464" s="55"/>
    </row>
    <row r="465">
      <c r="A465" s="55"/>
      <c r="B465" s="55"/>
      <c r="C465" s="55"/>
      <c r="D465" s="55"/>
      <c r="E465" s="55"/>
      <c r="F465" s="365"/>
      <c r="G465" s="55"/>
      <c r="H465" s="55"/>
      <c r="I465" s="360"/>
      <c r="J465" s="55"/>
      <c r="K465" s="55"/>
      <c r="L465" s="360"/>
      <c r="M465" s="55"/>
      <c r="N465" s="55"/>
      <c r="O465" s="360"/>
      <c r="P465" s="55"/>
      <c r="Q465" s="55"/>
      <c r="R465" s="360"/>
      <c r="S465" s="55"/>
      <c r="T465" s="350"/>
      <c r="U465" s="55"/>
      <c r="V465" s="55"/>
      <c r="W465" s="55"/>
      <c r="X465" s="55"/>
      <c r="Y465" s="55"/>
      <c r="Z465" s="55"/>
      <c r="AA465" s="55"/>
    </row>
    <row r="466">
      <c r="A466" s="55"/>
      <c r="B466" s="55"/>
      <c r="C466" s="55"/>
      <c r="D466" s="55"/>
      <c r="E466" s="55"/>
      <c r="F466" s="365"/>
      <c r="G466" s="55"/>
      <c r="H466" s="55"/>
      <c r="I466" s="360"/>
      <c r="J466" s="55"/>
      <c r="K466" s="55"/>
      <c r="L466" s="360"/>
      <c r="M466" s="55"/>
      <c r="N466" s="55"/>
      <c r="O466" s="360"/>
      <c r="P466" s="55"/>
      <c r="Q466" s="55"/>
      <c r="R466" s="360"/>
      <c r="S466" s="55"/>
      <c r="T466" s="350"/>
      <c r="U466" s="55"/>
      <c r="V466" s="55"/>
      <c r="W466" s="55"/>
      <c r="X466" s="55"/>
      <c r="Y466" s="55"/>
      <c r="Z466" s="55"/>
      <c r="AA466" s="55"/>
    </row>
    <row r="467">
      <c r="A467" s="55"/>
      <c r="B467" s="55"/>
      <c r="C467" s="55"/>
      <c r="D467" s="55"/>
      <c r="E467" s="55"/>
      <c r="F467" s="365"/>
      <c r="G467" s="55"/>
      <c r="H467" s="55"/>
      <c r="I467" s="360"/>
      <c r="J467" s="55"/>
      <c r="K467" s="55"/>
      <c r="L467" s="360"/>
      <c r="M467" s="55"/>
      <c r="N467" s="55"/>
      <c r="O467" s="360"/>
      <c r="P467" s="55"/>
      <c r="Q467" s="55"/>
      <c r="R467" s="360"/>
      <c r="S467" s="55"/>
      <c r="T467" s="350"/>
      <c r="U467" s="55"/>
      <c r="V467" s="55"/>
      <c r="W467" s="55"/>
      <c r="X467" s="55"/>
      <c r="Y467" s="55"/>
      <c r="Z467" s="55"/>
      <c r="AA467" s="55"/>
    </row>
    <row r="468">
      <c r="A468" s="55"/>
      <c r="B468" s="55"/>
      <c r="C468" s="55"/>
      <c r="D468" s="55"/>
      <c r="E468" s="55"/>
      <c r="F468" s="365"/>
      <c r="G468" s="55"/>
      <c r="H468" s="55"/>
      <c r="I468" s="360"/>
      <c r="J468" s="55"/>
      <c r="K468" s="55"/>
      <c r="L468" s="360"/>
      <c r="M468" s="55"/>
      <c r="N468" s="55"/>
      <c r="O468" s="360"/>
      <c r="P468" s="55"/>
      <c r="Q468" s="55"/>
      <c r="R468" s="360"/>
      <c r="S468" s="55"/>
      <c r="T468" s="350"/>
      <c r="U468" s="55"/>
      <c r="V468" s="55"/>
      <c r="W468" s="55"/>
      <c r="X468" s="55"/>
      <c r="Y468" s="55"/>
      <c r="Z468" s="55"/>
      <c r="AA468" s="55"/>
    </row>
    <row r="469">
      <c r="A469" s="55"/>
      <c r="B469" s="55"/>
      <c r="C469" s="55"/>
      <c r="D469" s="55"/>
      <c r="E469" s="55"/>
      <c r="F469" s="365"/>
      <c r="G469" s="55"/>
      <c r="H469" s="55"/>
      <c r="I469" s="360"/>
      <c r="J469" s="55"/>
      <c r="K469" s="55"/>
      <c r="L469" s="360"/>
      <c r="M469" s="55"/>
      <c r="N469" s="55"/>
      <c r="O469" s="360"/>
      <c r="P469" s="55"/>
      <c r="Q469" s="55"/>
      <c r="R469" s="360"/>
      <c r="S469" s="55"/>
      <c r="T469" s="350"/>
      <c r="U469" s="55"/>
      <c r="V469" s="55"/>
      <c r="W469" s="55"/>
      <c r="X469" s="55"/>
      <c r="Y469" s="55"/>
      <c r="Z469" s="55"/>
      <c r="AA469" s="55"/>
    </row>
    <row r="470">
      <c r="A470" s="55"/>
      <c r="B470" s="55"/>
      <c r="C470" s="55"/>
      <c r="D470" s="55"/>
      <c r="E470" s="55"/>
      <c r="F470" s="365"/>
      <c r="G470" s="55"/>
      <c r="H470" s="55"/>
      <c r="I470" s="360"/>
      <c r="J470" s="55"/>
      <c r="K470" s="55"/>
      <c r="L470" s="360"/>
      <c r="M470" s="55"/>
      <c r="N470" s="55"/>
      <c r="O470" s="360"/>
      <c r="P470" s="55"/>
      <c r="Q470" s="55"/>
      <c r="R470" s="360"/>
      <c r="S470" s="55"/>
      <c r="T470" s="350"/>
      <c r="U470" s="55"/>
      <c r="V470" s="55"/>
      <c r="W470" s="55"/>
      <c r="X470" s="55"/>
      <c r="Y470" s="55"/>
      <c r="Z470" s="55"/>
      <c r="AA470" s="55"/>
    </row>
    <row r="471">
      <c r="A471" s="55"/>
      <c r="B471" s="55"/>
      <c r="C471" s="55"/>
      <c r="D471" s="55"/>
      <c r="E471" s="55"/>
      <c r="F471" s="365"/>
      <c r="G471" s="55"/>
      <c r="H471" s="55"/>
      <c r="I471" s="360"/>
      <c r="J471" s="55"/>
      <c r="K471" s="55"/>
      <c r="L471" s="360"/>
      <c r="M471" s="55"/>
      <c r="N471" s="55"/>
      <c r="O471" s="360"/>
      <c r="P471" s="55"/>
      <c r="Q471" s="55"/>
      <c r="R471" s="360"/>
      <c r="S471" s="55"/>
      <c r="T471" s="350"/>
      <c r="U471" s="55"/>
      <c r="V471" s="55"/>
      <c r="W471" s="55"/>
      <c r="X471" s="55"/>
      <c r="Y471" s="55"/>
      <c r="Z471" s="55"/>
      <c r="AA471" s="55"/>
    </row>
    <row r="472">
      <c r="A472" s="55"/>
      <c r="B472" s="55"/>
      <c r="C472" s="55"/>
      <c r="D472" s="55"/>
      <c r="E472" s="55"/>
      <c r="F472" s="365"/>
      <c r="G472" s="55"/>
      <c r="H472" s="55"/>
      <c r="I472" s="360"/>
      <c r="J472" s="55"/>
      <c r="K472" s="55"/>
      <c r="L472" s="360"/>
      <c r="M472" s="55"/>
      <c r="N472" s="55"/>
      <c r="O472" s="360"/>
      <c r="P472" s="55"/>
      <c r="Q472" s="55"/>
      <c r="R472" s="360"/>
      <c r="S472" s="55"/>
      <c r="T472" s="350"/>
      <c r="U472" s="55"/>
      <c r="V472" s="55"/>
      <c r="W472" s="55"/>
      <c r="X472" s="55"/>
      <c r="Y472" s="55"/>
      <c r="Z472" s="55"/>
      <c r="AA472" s="55"/>
    </row>
    <row r="473">
      <c r="A473" s="55"/>
      <c r="B473" s="55"/>
      <c r="C473" s="55"/>
      <c r="D473" s="55"/>
      <c r="E473" s="55"/>
      <c r="F473" s="365"/>
      <c r="G473" s="55"/>
      <c r="H473" s="55"/>
      <c r="I473" s="360"/>
      <c r="J473" s="55"/>
      <c r="K473" s="55"/>
      <c r="L473" s="360"/>
      <c r="M473" s="55"/>
      <c r="N473" s="55"/>
      <c r="O473" s="360"/>
      <c r="P473" s="55"/>
      <c r="Q473" s="55"/>
      <c r="R473" s="360"/>
      <c r="S473" s="55"/>
      <c r="T473" s="350"/>
      <c r="U473" s="55"/>
      <c r="V473" s="55"/>
      <c r="W473" s="55"/>
      <c r="X473" s="55"/>
      <c r="Y473" s="55"/>
      <c r="Z473" s="55"/>
      <c r="AA473" s="55"/>
    </row>
    <row r="474">
      <c r="A474" s="55"/>
      <c r="B474" s="55"/>
      <c r="C474" s="55"/>
      <c r="D474" s="55"/>
      <c r="E474" s="55"/>
      <c r="F474" s="365"/>
      <c r="G474" s="55"/>
      <c r="H474" s="55"/>
      <c r="I474" s="360"/>
      <c r="J474" s="55"/>
      <c r="K474" s="55"/>
      <c r="L474" s="360"/>
      <c r="M474" s="55"/>
      <c r="N474" s="55"/>
      <c r="O474" s="360"/>
      <c r="P474" s="55"/>
      <c r="Q474" s="55"/>
      <c r="R474" s="360"/>
      <c r="S474" s="55"/>
      <c r="T474" s="350"/>
      <c r="U474" s="55"/>
      <c r="V474" s="55"/>
      <c r="W474" s="55"/>
      <c r="X474" s="55"/>
      <c r="Y474" s="55"/>
      <c r="Z474" s="55"/>
      <c r="AA474" s="55"/>
    </row>
    <row r="475">
      <c r="A475" s="55"/>
      <c r="B475" s="55"/>
      <c r="C475" s="55"/>
      <c r="D475" s="55"/>
      <c r="E475" s="55"/>
      <c r="F475" s="365"/>
      <c r="G475" s="55"/>
      <c r="H475" s="55"/>
      <c r="I475" s="360"/>
      <c r="J475" s="55"/>
      <c r="K475" s="55"/>
      <c r="L475" s="360"/>
      <c r="M475" s="55"/>
      <c r="N475" s="55"/>
      <c r="O475" s="360"/>
      <c r="P475" s="55"/>
      <c r="Q475" s="55"/>
      <c r="R475" s="360"/>
      <c r="S475" s="55"/>
      <c r="T475" s="350"/>
      <c r="U475" s="55"/>
      <c r="V475" s="55"/>
      <c r="W475" s="55"/>
      <c r="X475" s="55"/>
      <c r="Y475" s="55"/>
      <c r="Z475" s="55"/>
      <c r="AA475" s="55"/>
    </row>
    <row r="476">
      <c r="A476" s="55"/>
      <c r="B476" s="55"/>
      <c r="C476" s="55"/>
      <c r="D476" s="55"/>
      <c r="E476" s="55"/>
      <c r="F476" s="365"/>
      <c r="G476" s="55"/>
      <c r="H476" s="55"/>
      <c r="I476" s="360"/>
      <c r="J476" s="55"/>
      <c r="K476" s="55"/>
      <c r="L476" s="360"/>
      <c r="M476" s="55"/>
      <c r="N476" s="55"/>
      <c r="O476" s="360"/>
      <c r="P476" s="55"/>
      <c r="Q476" s="55"/>
      <c r="R476" s="360"/>
      <c r="S476" s="55"/>
      <c r="T476" s="350"/>
      <c r="U476" s="55"/>
      <c r="V476" s="55"/>
      <c r="W476" s="55"/>
      <c r="X476" s="55"/>
      <c r="Y476" s="55"/>
      <c r="Z476" s="55"/>
      <c r="AA476" s="55"/>
    </row>
    <row r="477">
      <c r="A477" s="55"/>
      <c r="B477" s="55"/>
      <c r="C477" s="55"/>
      <c r="D477" s="55"/>
      <c r="E477" s="55"/>
      <c r="F477" s="365"/>
      <c r="G477" s="55"/>
      <c r="H477" s="55"/>
      <c r="I477" s="360"/>
      <c r="J477" s="55"/>
      <c r="K477" s="55"/>
      <c r="L477" s="360"/>
      <c r="M477" s="55"/>
      <c r="N477" s="55"/>
      <c r="O477" s="360"/>
      <c r="P477" s="55"/>
      <c r="Q477" s="55"/>
      <c r="R477" s="360"/>
      <c r="S477" s="55"/>
      <c r="T477" s="350"/>
      <c r="U477" s="55"/>
      <c r="V477" s="55"/>
      <c r="W477" s="55"/>
      <c r="X477" s="55"/>
      <c r="Y477" s="55"/>
      <c r="Z477" s="55"/>
      <c r="AA477" s="55"/>
    </row>
    <row r="478">
      <c r="A478" s="55"/>
      <c r="B478" s="55"/>
      <c r="C478" s="55"/>
      <c r="D478" s="55"/>
      <c r="E478" s="55"/>
      <c r="F478" s="365"/>
      <c r="G478" s="55"/>
      <c r="H478" s="55"/>
      <c r="I478" s="360"/>
      <c r="J478" s="55"/>
      <c r="K478" s="55"/>
      <c r="L478" s="360"/>
      <c r="M478" s="55"/>
      <c r="N478" s="55"/>
      <c r="O478" s="360"/>
      <c r="P478" s="55"/>
      <c r="Q478" s="55"/>
      <c r="R478" s="360"/>
      <c r="S478" s="55"/>
      <c r="T478" s="350"/>
      <c r="U478" s="55"/>
      <c r="V478" s="55"/>
      <c r="W478" s="55"/>
      <c r="X478" s="55"/>
      <c r="Y478" s="55"/>
      <c r="Z478" s="55"/>
      <c r="AA478" s="55"/>
    </row>
    <row r="479">
      <c r="A479" s="55"/>
      <c r="B479" s="55"/>
      <c r="C479" s="55"/>
      <c r="D479" s="55"/>
      <c r="E479" s="55"/>
      <c r="F479" s="365"/>
      <c r="G479" s="55"/>
      <c r="H479" s="55"/>
      <c r="I479" s="360"/>
      <c r="J479" s="55"/>
      <c r="K479" s="55"/>
      <c r="L479" s="360"/>
      <c r="M479" s="55"/>
      <c r="N479" s="55"/>
      <c r="O479" s="360"/>
      <c r="P479" s="55"/>
      <c r="Q479" s="55"/>
      <c r="R479" s="360"/>
      <c r="S479" s="55"/>
      <c r="T479" s="350"/>
      <c r="U479" s="55"/>
      <c r="V479" s="55"/>
      <c r="W479" s="55"/>
      <c r="X479" s="55"/>
      <c r="Y479" s="55"/>
      <c r="Z479" s="55"/>
      <c r="AA479" s="55"/>
    </row>
    <row r="480">
      <c r="A480" s="55"/>
      <c r="B480" s="55"/>
      <c r="C480" s="55"/>
      <c r="D480" s="55"/>
      <c r="E480" s="55"/>
      <c r="F480" s="365"/>
      <c r="G480" s="55"/>
      <c r="H480" s="55"/>
      <c r="I480" s="360"/>
      <c r="J480" s="55"/>
      <c r="K480" s="55"/>
      <c r="L480" s="360"/>
      <c r="M480" s="55"/>
      <c r="N480" s="55"/>
      <c r="O480" s="360"/>
      <c r="P480" s="55"/>
      <c r="Q480" s="55"/>
      <c r="R480" s="360"/>
      <c r="S480" s="55"/>
      <c r="T480" s="350"/>
      <c r="U480" s="55"/>
      <c r="V480" s="55"/>
      <c r="W480" s="55"/>
      <c r="X480" s="55"/>
      <c r="Y480" s="55"/>
      <c r="Z480" s="55"/>
      <c r="AA480" s="55"/>
    </row>
    <row r="481">
      <c r="A481" s="55"/>
      <c r="B481" s="55"/>
      <c r="C481" s="55"/>
      <c r="D481" s="55"/>
      <c r="E481" s="55"/>
      <c r="F481" s="365"/>
      <c r="G481" s="55"/>
      <c r="H481" s="55"/>
      <c r="I481" s="360"/>
      <c r="J481" s="55"/>
      <c r="K481" s="55"/>
      <c r="L481" s="360"/>
      <c r="M481" s="55"/>
      <c r="N481" s="55"/>
      <c r="O481" s="360"/>
      <c r="P481" s="55"/>
      <c r="Q481" s="55"/>
      <c r="R481" s="360"/>
      <c r="S481" s="55"/>
      <c r="T481" s="350"/>
      <c r="U481" s="55"/>
      <c r="V481" s="55"/>
      <c r="W481" s="55"/>
      <c r="X481" s="55"/>
      <c r="Y481" s="55"/>
      <c r="Z481" s="55"/>
      <c r="AA481" s="55"/>
    </row>
    <row r="482">
      <c r="A482" s="55"/>
      <c r="B482" s="55"/>
      <c r="C482" s="55"/>
      <c r="D482" s="55"/>
      <c r="E482" s="55"/>
      <c r="F482" s="365"/>
      <c r="G482" s="55"/>
      <c r="H482" s="55"/>
      <c r="I482" s="360"/>
      <c r="J482" s="55"/>
      <c r="K482" s="55"/>
      <c r="L482" s="360"/>
      <c r="M482" s="55"/>
      <c r="N482" s="55"/>
      <c r="O482" s="360"/>
      <c r="P482" s="55"/>
      <c r="Q482" s="55"/>
      <c r="R482" s="360"/>
      <c r="S482" s="55"/>
      <c r="T482" s="350"/>
      <c r="U482" s="55"/>
      <c r="V482" s="55"/>
      <c r="W482" s="55"/>
      <c r="X482" s="55"/>
      <c r="Y482" s="55"/>
      <c r="Z482" s="55"/>
      <c r="AA482" s="55"/>
    </row>
    <row r="483">
      <c r="A483" s="55"/>
      <c r="B483" s="55"/>
      <c r="C483" s="55"/>
      <c r="D483" s="55"/>
      <c r="E483" s="55"/>
      <c r="F483" s="365"/>
      <c r="G483" s="55"/>
      <c r="H483" s="55"/>
      <c r="I483" s="360"/>
      <c r="J483" s="55"/>
      <c r="K483" s="55"/>
      <c r="L483" s="360"/>
      <c r="M483" s="55"/>
      <c r="N483" s="55"/>
      <c r="O483" s="360"/>
      <c r="P483" s="55"/>
      <c r="Q483" s="55"/>
      <c r="R483" s="360"/>
      <c r="S483" s="55"/>
      <c r="T483" s="350"/>
      <c r="U483" s="55"/>
      <c r="V483" s="55"/>
      <c r="W483" s="55"/>
      <c r="X483" s="55"/>
      <c r="Y483" s="55"/>
      <c r="Z483" s="55"/>
      <c r="AA483" s="55"/>
    </row>
    <row r="484">
      <c r="A484" s="55"/>
      <c r="B484" s="55"/>
      <c r="C484" s="55"/>
      <c r="D484" s="55"/>
      <c r="E484" s="55"/>
      <c r="F484" s="365"/>
      <c r="G484" s="55"/>
      <c r="H484" s="55"/>
      <c r="I484" s="360"/>
      <c r="J484" s="55"/>
      <c r="K484" s="55"/>
      <c r="L484" s="360"/>
      <c r="M484" s="55"/>
      <c r="N484" s="55"/>
      <c r="O484" s="360"/>
      <c r="P484" s="55"/>
      <c r="Q484" s="55"/>
      <c r="R484" s="360"/>
      <c r="S484" s="55"/>
      <c r="T484" s="350"/>
      <c r="U484" s="55"/>
      <c r="V484" s="55"/>
      <c r="W484" s="55"/>
      <c r="X484" s="55"/>
      <c r="Y484" s="55"/>
      <c r="Z484" s="55"/>
      <c r="AA484" s="55"/>
    </row>
    <row r="485">
      <c r="A485" s="55"/>
      <c r="B485" s="55"/>
      <c r="C485" s="55"/>
      <c r="D485" s="55"/>
      <c r="E485" s="55"/>
      <c r="F485" s="365"/>
      <c r="G485" s="55"/>
      <c r="H485" s="55"/>
      <c r="I485" s="360"/>
      <c r="J485" s="55"/>
      <c r="K485" s="55"/>
      <c r="L485" s="360"/>
      <c r="M485" s="55"/>
      <c r="N485" s="55"/>
      <c r="O485" s="360"/>
      <c r="P485" s="55"/>
      <c r="Q485" s="55"/>
      <c r="R485" s="360"/>
      <c r="S485" s="55"/>
      <c r="T485" s="350"/>
      <c r="U485" s="55"/>
      <c r="V485" s="55"/>
      <c r="W485" s="55"/>
      <c r="X485" s="55"/>
      <c r="Y485" s="55"/>
      <c r="Z485" s="55"/>
      <c r="AA485" s="55"/>
    </row>
    <row r="486">
      <c r="A486" s="55"/>
      <c r="B486" s="55"/>
      <c r="C486" s="55"/>
      <c r="D486" s="55"/>
      <c r="E486" s="55"/>
      <c r="F486" s="365"/>
      <c r="G486" s="55"/>
      <c r="H486" s="55"/>
      <c r="I486" s="360"/>
      <c r="J486" s="55"/>
      <c r="K486" s="55"/>
      <c r="L486" s="360"/>
      <c r="M486" s="55"/>
      <c r="N486" s="55"/>
      <c r="O486" s="360"/>
      <c r="P486" s="55"/>
      <c r="Q486" s="55"/>
      <c r="R486" s="360"/>
      <c r="S486" s="55"/>
      <c r="T486" s="350"/>
      <c r="U486" s="55"/>
      <c r="V486" s="55"/>
      <c r="W486" s="55"/>
      <c r="X486" s="55"/>
      <c r="Y486" s="55"/>
      <c r="Z486" s="55"/>
      <c r="AA486" s="55"/>
    </row>
    <row r="487">
      <c r="A487" s="55"/>
      <c r="B487" s="55"/>
      <c r="C487" s="55"/>
      <c r="D487" s="55"/>
      <c r="E487" s="55"/>
      <c r="F487" s="365"/>
      <c r="G487" s="55"/>
      <c r="H487" s="55"/>
      <c r="I487" s="360"/>
      <c r="J487" s="55"/>
      <c r="K487" s="55"/>
      <c r="L487" s="360"/>
      <c r="M487" s="55"/>
      <c r="N487" s="55"/>
      <c r="O487" s="360"/>
      <c r="P487" s="55"/>
      <c r="Q487" s="55"/>
      <c r="R487" s="360"/>
      <c r="S487" s="55"/>
      <c r="T487" s="350"/>
      <c r="U487" s="55"/>
      <c r="V487" s="55"/>
      <c r="W487" s="55"/>
      <c r="X487" s="55"/>
      <c r="Y487" s="55"/>
      <c r="Z487" s="55"/>
      <c r="AA487" s="55"/>
    </row>
    <row r="488">
      <c r="A488" s="55"/>
      <c r="B488" s="55"/>
      <c r="C488" s="55"/>
      <c r="D488" s="55"/>
      <c r="E488" s="55"/>
      <c r="F488" s="365"/>
      <c r="G488" s="55"/>
      <c r="H488" s="55"/>
      <c r="I488" s="360"/>
      <c r="J488" s="55"/>
      <c r="K488" s="55"/>
      <c r="L488" s="360"/>
      <c r="M488" s="55"/>
      <c r="N488" s="55"/>
      <c r="O488" s="360"/>
      <c r="P488" s="55"/>
      <c r="Q488" s="55"/>
      <c r="R488" s="360"/>
      <c r="S488" s="55"/>
      <c r="T488" s="350"/>
      <c r="U488" s="55"/>
      <c r="V488" s="55"/>
      <c r="W488" s="55"/>
      <c r="X488" s="55"/>
      <c r="Y488" s="55"/>
      <c r="Z488" s="55"/>
      <c r="AA488" s="55"/>
    </row>
    <row r="489">
      <c r="A489" s="55"/>
      <c r="B489" s="55"/>
      <c r="C489" s="55"/>
      <c r="D489" s="55"/>
      <c r="E489" s="55"/>
      <c r="F489" s="365"/>
      <c r="G489" s="55"/>
      <c r="H489" s="55"/>
      <c r="I489" s="360"/>
      <c r="J489" s="55"/>
      <c r="K489" s="55"/>
      <c r="L489" s="360"/>
      <c r="M489" s="55"/>
      <c r="N489" s="55"/>
      <c r="O489" s="360"/>
      <c r="P489" s="55"/>
      <c r="Q489" s="55"/>
      <c r="R489" s="360"/>
      <c r="S489" s="55"/>
      <c r="T489" s="350"/>
      <c r="U489" s="55"/>
      <c r="V489" s="55"/>
      <c r="W489" s="55"/>
      <c r="X489" s="55"/>
      <c r="Y489" s="55"/>
      <c r="Z489" s="55"/>
      <c r="AA489" s="55"/>
    </row>
    <row r="490">
      <c r="A490" s="55"/>
      <c r="B490" s="55"/>
      <c r="C490" s="55"/>
      <c r="D490" s="55"/>
      <c r="E490" s="55"/>
      <c r="F490" s="365"/>
      <c r="G490" s="55"/>
      <c r="H490" s="55"/>
      <c r="I490" s="360"/>
      <c r="J490" s="55"/>
      <c r="K490" s="55"/>
      <c r="L490" s="360"/>
      <c r="M490" s="55"/>
      <c r="N490" s="55"/>
      <c r="O490" s="360"/>
      <c r="P490" s="55"/>
      <c r="Q490" s="55"/>
      <c r="R490" s="360"/>
      <c r="S490" s="55"/>
      <c r="T490" s="350"/>
      <c r="U490" s="55"/>
      <c r="V490" s="55"/>
      <c r="W490" s="55"/>
      <c r="X490" s="55"/>
      <c r="Y490" s="55"/>
      <c r="Z490" s="55"/>
      <c r="AA490" s="55"/>
    </row>
    <row r="491">
      <c r="A491" s="55"/>
      <c r="B491" s="55"/>
      <c r="C491" s="55"/>
      <c r="D491" s="55"/>
      <c r="E491" s="55"/>
      <c r="F491" s="365"/>
      <c r="G491" s="55"/>
      <c r="H491" s="55"/>
      <c r="I491" s="360"/>
      <c r="J491" s="55"/>
      <c r="K491" s="55"/>
      <c r="L491" s="360"/>
      <c r="M491" s="55"/>
      <c r="N491" s="55"/>
      <c r="O491" s="360"/>
      <c r="P491" s="55"/>
      <c r="Q491" s="55"/>
      <c r="R491" s="360"/>
      <c r="S491" s="55"/>
      <c r="T491" s="350"/>
      <c r="U491" s="55"/>
      <c r="V491" s="55"/>
      <c r="W491" s="55"/>
      <c r="X491" s="55"/>
      <c r="Y491" s="55"/>
      <c r="Z491" s="55"/>
      <c r="AA491" s="55"/>
    </row>
    <row r="492">
      <c r="A492" s="55"/>
      <c r="B492" s="55"/>
      <c r="C492" s="55"/>
      <c r="D492" s="55"/>
      <c r="E492" s="55"/>
      <c r="F492" s="365"/>
      <c r="G492" s="55"/>
      <c r="H492" s="55"/>
      <c r="I492" s="360"/>
      <c r="J492" s="55"/>
      <c r="K492" s="55"/>
      <c r="L492" s="360"/>
      <c r="M492" s="55"/>
      <c r="N492" s="55"/>
      <c r="O492" s="360"/>
      <c r="P492" s="55"/>
      <c r="Q492" s="55"/>
      <c r="R492" s="360"/>
      <c r="S492" s="55"/>
      <c r="T492" s="350"/>
      <c r="U492" s="55"/>
      <c r="V492" s="55"/>
      <c r="W492" s="55"/>
      <c r="X492" s="55"/>
      <c r="Y492" s="55"/>
      <c r="Z492" s="55"/>
      <c r="AA492" s="55"/>
    </row>
    <row r="493">
      <c r="A493" s="55"/>
      <c r="B493" s="55"/>
      <c r="C493" s="55"/>
      <c r="D493" s="55"/>
      <c r="E493" s="55"/>
      <c r="F493" s="365"/>
      <c r="G493" s="55"/>
      <c r="H493" s="55"/>
      <c r="I493" s="360"/>
      <c r="J493" s="55"/>
      <c r="K493" s="55"/>
      <c r="L493" s="360"/>
      <c r="M493" s="55"/>
      <c r="N493" s="55"/>
      <c r="O493" s="360"/>
      <c r="P493" s="55"/>
      <c r="Q493" s="55"/>
      <c r="R493" s="360"/>
      <c r="S493" s="55"/>
      <c r="T493" s="350"/>
      <c r="U493" s="55"/>
      <c r="V493" s="55"/>
      <c r="W493" s="55"/>
      <c r="X493" s="55"/>
      <c r="Y493" s="55"/>
      <c r="Z493" s="55"/>
      <c r="AA493" s="55"/>
    </row>
    <row r="494">
      <c r="A494" s="55"/>
      <c r="B494" s="55"/>
      <c r="C494" s="55"/>
      <c r="D494" s="55"/>
      <c r="E494" s="55"/>
      <c r="F494" s="365"/>
      <c r="G494" s="55"/>
      <c r="H494" s="55"/>
      <c r="I494" s="360"/>
      <c r="J494" s="55"/>
      <c r="K494" s="55"/>
      <c r="L494" s="360"/>
      <c r="M494" s="55"/>
      <c r="N494" s="55"/>
      <c r="O494" s="360"/>
      <c r="P494" s="55"/>
      <c r="Q494" s="55"/>
      <c r="R494" s="360"/>
      <c r="S494" s="55"/>
      <c r="T494" s="350"/>
      <c r="U494" s="55"/>
      <c r="V494" s="55"/>
      <c r="W494" s="55"/>
      <c r="X494" s="55"/>
      <c r="Y494" s="55"/>
      <c r="Z494" s="55"/>
      <c r="AA494" s="55"/>
    </row>
    <row r="495">
      <c r="A495" s="55"/>
      <c r="B495" s="55"/>
      <c r="C495" s="55"/>
      <c r="D495" s="55"/>
      <c r="E495" s="55"/>
      <c r="F495" s="365"/>
      <c r="G495" s="55"/>
      <c r="H495" s="55"/>
      <c r="I495" s="360"/>
      <c r="J495" s="55"/>
      <c r="K495" s="55"/>
      <c r="L495" s="360"/>
      <c r="M495" s="55"/>
      <c r="N495" s="55"/>
      <c r="O495" s="360"/>
      <c r="P495" s="55"/>
      <c r="Q495" s="55"/>
      <c r="R495" s="360"/>
      <c r="S495" s="55"/>
      <c r="T495" s="350"/>
      <c r="U495" s="55"/>
      <c r="V495" s="55"/>
      <c r="W495" s="55"/>
      <c r="X495" s="55"/>
      <c r="Y495" s="55"/>
      <c r="Z495" s="55"/>
      <c r="AA495" s="55"/>
    </row>
    <row r="496">
      <c r="A496" s="55"/>
      <c r="B496" s="55"/>
      <c r="C496" s="55"/>
      <c r="D496" s="55"/>
      <c r="E496" s="55"/>
      <c r="F496" s="365"/>
      <c r="G496" s="55"/>
      <c r="H496" s="55"/>
      <c r="I496" s="360"/>
      <c r="J496" s="55"/>
      <c r="K496" s="55"/>
      <c r="L496" s="360"/>
      <c r="M496" s="55"/>
      <c r="N496" s="55"/>
      <c r="O496" s="360"/>
      <c r="P496" s="55"/>
      <c r="Q496" s="55"/>
      <c r="R496" s="360"/>
      <c r="S496" s="55"/>
      <c r="T496" s="350"/>
      <c r="U496" s="55"/>
      <c r="V496" s="55"/>
      <c r="W496" s="55"/>
      <c r="X496" s="55"/>
      <c r="Y496" s="55"/>
      <c r="Z496" s="55"/>
      <c r="AA496" s="55"/>
    </row>
    <row r="497">
      <c r="A497" s="55"/>
      <c r="B497" s="55"/>
      <c r="C497" s="55"/>
      <c r="D497" s="55"/>
      <c r="E497" s="55"/>
      <c r="F497" s="365"/>
      <c r="G497" s="55"/>
      <c r="H497" s="55"/>
      <c r="I497" s="360"/>
      <c r="J497" s="55"/>
      <c r="K497" s="55"/>
      <c r="L497" s="360"/>
      <c r="M497" s="55"/>
      <c r="N497" s="55"/>
      <c r="O497" s="360"/>
      <c r="P497" s="55"/>
      <c r="Q497" s="55"/>
      <c r="R497" s="360"/>
      <c r="S497" s="55"/>
      <c r="T497" s="350"/>
      <c r="U497" s="55"/>
      <c r="V497" s="55"/>
      <c r="W497" s="55"/>
      <c r="X497" s="55"/>
      <c r="Y497" s="55"/>
      <c r="Z497" s="55"/>
      <c r="AA497" s="55"/>
    </row>
    <row r="498">
      <c r="A498" s="55"/>
      <c r="B498" s="55"/>
      <c r="C498" s="55"/>
      <c r="D498" s="55"/>
      <c r="E498" s="55"/>
      <c r="F498" s="365"/>
      <c r="G498" s="55"/>
      <c r="H498" s="55"/>
      <c r="I498" s="360"/>
      <c r="J498" s="55"/>
      <c r="K498" s="55"/>
      <c r="L498" s="360"/>
      <c r="M498" s="55"/>
      <c r="N498" s="55"/>
      <c r="O498" s="360"/>
      <c r="P498" s="55"/>
      <c r="Q498" s="55"/>
      <c r="R498" s="360"/>
      <c r="S498" s="55"/>
      <c r="T498" s="350"/>
      <c r="U498" s="55"/>
      <c r="V498" s="55"/>
      <c r="W498" s="55"/>
      <c r="X498" s="55"/>
      <c r="Y498" s="55"/>
      <c r="Z498" s="55"/>
      <c r="AA498" s="55"/>
    </row>
    <row r="499">
      <c r="A499" s="55"/>
      <c r="B499" s="55"/>
      <c r="C499" s="55"/>
      <c r="D499" s="55"/>
      <c r="E499" s="55"/>
      <c r="F499" s="365"/>
      <c r="G499" s="55"/>
      <c r="H499" s="55"/>
      <c r="I499" s="360"/>
      <c r="J499" s="55"/>
      <c r="K499" s="55"/>
      <c r="L499" s="360"/>
      <c r="M499" s="55"/>
      <c r="N499" s="55"/>
      <c r="O499" s="360"/>
      <c r="P499" s="55"/>
      <c r="Q499" s="55"/>
      <c r="R499" s="360"/>
      <c r="S499" s="55"/>
      <c r="T499" s="350"/>
      <c r="U499" s="55"/>
      <c r="V499" s="55"/>
      <c r="W499" s="55"/>
      <c r="X499" s="55"/>
      <c r="Y499" s="55"/>
      <c r="Z499" s="55"/>
      <c r="AA499" s="55"/>
    </row>
    <row r="500">
      <c r="A500" s="55"/>
      <c r="B500" s="55"/>
      <c r="C500" s="55"/>
      <c r="D500" s="55"/>
      <c r="E500" s="55"/>
      <c r="F500" s="365"/>
      <c r="G500" s="55"/>
      <c r="H500" s="55"/>
      <c r="I500" s="360"/>
      <c r="J500" s="55"/>
      <c r="K500" s="55"/>
      <c r="L500" s="360"/>
      <c r="M500" s="55"/>
      <c r="N500" s="55"/>
      <c r="O500" s="360"/>
      <c r="P500" s="55"/>
      <c r="Q500" s="55"/>
      <c r="R500" s="360"/>
      <c r="S500" s="55"/>
      <c r="T500" s="350"/>
      <c r="U500" s="55"/>
      <c r="V500" s="55"/>
      <c r="W500" s="55"/>
      <c r="X500" s="55"/>
      <c r="Y500" s="55"/>
      <c r="Z500" s="55"/>
      <c r="AA500" s="55"/>
    </row>
    <row r="501">
      <c r="A501" s="55"/>
      <c r="B501" s="55"/>
      <c r="C501" s="55"/>
      <c r="D501" s="55"/>
      <c r="E501" s="55"/>
      <c r="F501" s="365"/>
      <c r="G501" s="55"/>
      <c r="H501" s="55"/>
      <c r="I501" s="360"/>
      <c r="J501" s="55"/>
      <c r="K501" s="55"/>
      <c r="L501" s="360"/>
      <c r="M501" s="55"/>
      <c r="N501" s="55"/>
      <c r="O501" s="360"/>
      <c r="P501" s="55"/>
      <c r="Q501" s="55"/>
      <c r="R501" s="360"/>
      <c r="S501" s="55"/>
      <c r="T501" s="350"/>
      <c r="U501" s="55"/>
      <c r="V501" s="55"/>
      <c r="W501" s="55"/>
      <c r="X501" s="55"/>
      <c r="Y501" s="55"/>
      <c r="Z501" s="55"/>
      <c r="AA501" s="55"/>
    </row>
    <row r="502">
      <c r="A502" s="55"/>
      <c r="B502" s="55"/>
      <c r="C502" s="55"/>
      <c r="D502" s="55"/>
      <c r="E502" s="55"/>
      <c r="F502" s="365"/>
      <c r="G502" s="55"/>
      <c r="H502" s="55"/>
      <c r="I502" s="360"/>
      <c r="J502" s="55"/>
      <c r="K502" s="55"/>
      <c r="L502" s="360"/>
      <c r="M502" s="55"/>
      <c r="N502" s="55"/>
      <c r="O502" s="360"/>
      <c r="P502" s="55"/>
      <c r="Q502" s="55"/>
      <c r="R502" s="360"/>
      <c r="S502" s="55"/>
      <c r="T502" s="350"/>
      <c r="U502" s="55"/>
      <c r="V502" s="55"/>
      <c r="W502" s="55"/>
      <c r="X502" s="55"/>
      <c r="Y502" s="55"/>
      <c r="Z502" s="55"/>
      <c r="AA502" s="55"/>
    </row>
    <row r="503">
      <c r="A503" s="55"/>
      <c r="B503" s="55"/>
      <c r="C503" s="55"/>
      <c r="D503" s="55"/>
      <c r="E503" s="55"/>
      <c r="F503" s="365"/>
      <c r="G503" s="55"/>
      <c r="H503" s="55"/>
      <c r="I503" s="360"/>
      <c r="J503" s="55"/>
      <c r="K503" s="55"/>
      <c r="L503" s="360"/>
      <c r="M503" s="55"/>
      <c r="N503" s="55"/>
      <c r="O503" s="360"/>
      <c r="P503" s="55"/>
      <c r="Q503" s="55"/>
      <c r="R503" s="360"/>
      <c r="S503" s="55"/>
      <c r="T503" s="350"/>
      <c r="U503" s="55"/>
      <c r="V503" s="55"/>
      <c r="W503" s="55"/>
      <c r="X503" s="55"/>
      <c r="Y503" s="55"/>
      <c r="Z503" s="55"/>
      <c r="AA503" s="55"/>
    </row>
    <row r="504">
      <c r="A504" s="55"/>
      <c r="B504" s="55"/>
      <c r="C504" s="55"/>
      <c r="D504" s="55"/>
      <c r="E504" s="55"/>
      <c r="F504" s="365"/>
      <c r="G504" s="55"/>
      <c r="H504" s="55"/>
      <c r="I504" s="360"/>
      <c r="J504" s="55"/>
      <c r="K504" s="55"/>
      <c r="L504" s="360"/>
      <c r="M504" s="55"/>
      <c r="N504" s="55"/>
      <c r="O504" s="360"/>
      <c r="P504" s="55"/>
      <c r="Q504" s="55"/>
      <c r="R504" s="360"/>
      <c r="S504" s="55"/>
      <c r="T504" s="350"/>
      <c r="U504" s="55"/>
      <c r="V504" s="55"/>
      <c r="W504" s="55"/>
      <c r="X504" s="55"/>
      <c r="Y504" s="55"/>
      <c r="Z504" s="55"/>
      <c r="AA504" s="55"/>
    </row>
    <row r="505">
      <c r="A505" s="55"/>
      <c r="B505" s="55"/>
      <c r="C505" s="55"/>
      <c r="D505" s="55"/>
      <c r="E505" s="55"/>
      <c r="F505" s="365"/>
      <c r="G505" s="55"/>
      <c r="H505" s="55"/>
      <c r="I505" s="360"/>
      <c r="J505" s="55"/>
      <c r="K505" s="55"/>
      <c r="L505" s="360"/>
      <c r="M505" s="55"/>
      <c r="N505" s="55"/>
      <c r="O505" s="360"/>
      <c r="P505" s="55"/>
      <c r="Q505" s="55"/>
      <c r="R505" s="360"/>
      <c r="S505" s="55"/>
      <c r="T505" s="350"/>
      <c r="U505" s="55"/>
      <c r="V505" s="55"/>
      <c r="W505" s="55"/>
      <c r="X505" s="55"/>
      <c r="Y505" s="55"/>
      <c r="Z505" s="55"/>
      <c r="AA505" s="55"/>
    </row>
    <row r="506">
      <c r="A506" s="55"/>
      <c r="B506" s="55"/>
      <c r="C506" s="55"/>
      <c r="D506" s="55"/>
      <c r="E506" s="55"/>
      <c r="F506" s="365"/>
      <c r="G506" s="55"/>
      <c r="H506" s="55"/>
      <c r="I506" s="360"/>
      <c r="J506" s="55"/>
      <c r="K506" s="55"/>
      <c r="L506" s="360"/>
      <c r="M506" s="55"/>
      <c r="N506" s="55"/>
      <c r="O506" s="360"/>
      <c r="P506" s="55"/>
      <c r="Q506" s="55"/>
      <c r="R506" s="360"/>
      <c r="S506" s="55"/>
      <c r="T506" s="350"/>
      <c r="U506" s="55"/>
      <c r="V506" s="55"/>
      <c r="W506" s="55"/>
      <c r="X506" s="55"/>
      <c r="Y506" s="55"/>
      <c r="Z506" s="55"/>
      <c r="AA506" s="55"/>
    </row>
    <row r="507">
      <c r="A507" s="55"/>
      <c r="B507" s="55"/>
      <c r="C507" s="55"/>
      <c r="D507" s="55"/>
      <c r="E507" s="55"/>
      <c r="F507" s="365"/>
      <c r="G507" s="55"/>
      <c r="H507" s="55"/>
      <c r="I507" s="360"/>
      <c r="J507" s="55"/>
      <c r="K507" s="55"/>
      <c r="L507" s="360"/>
      <c r="M507" s="55"/>
      <c r="N507" s="55"/>
      <c r="O507" s="360"/>
      <c r="P507" s="55"/>
      <c r="Q507" s="55"/>
      <c r="R507" s="360"/>
      <c r="S507" s="55"/>
      <c r="T507" s="350"/>
      <c r="U507" s="55"/>
      <c r="V507" s="55"/>
      <c r="W507" s="55"/>
      <c r="X507" s="55"/>
      <c r="Y507" s="55"/>
      <c r="Z507" s="55"/>
      <c r="AA507" s="55"/>
    </row>
    <row r="508">
      <c r="A508" s="55"/>
      <c r="B508" s="55"/>
      <c r="C508" s="55"/>
      <c r="D508" s="55"/>
      <c r="E508" s="55"/>
      <c r="F508" s="365"/>
      <c r="G508" s="55"/>
      <c r="H508" s="55"/>
      <c r="I508" s="360"/>
      <c r="J508" s="55"/>
      <c r="K508" s="55"/>
      <c r="L508" s="360"/>
      <c r="M508" s="55"/>
      <c r="N508" s="55"/>
      <c r="O508" s="360"/>
      <c r="P508" s="55"/>
      <c r="Q508" s="55"/>
      <c r="R508" s="360"/>
      <c r="S508" s="55"/>
      <c r="T508" s="350"/>
      <c r="U508" s="55"/>
      <c r="V508" s="55"/>
      <c r="W508" s="55"/>
      <c r="X508" s="55"/>
      <c r="Y508" s="55"/>
      <c r="Z508" s="55"/>
      <c r="AA508" s="55"/>
    </row>
    <row r="509">
      <c r="A509" s="55"/>
      <c r="B509" s="55"/>
      <c r="C509" s="55"/>
      <c r="D509" s="55"/>
      <c r="E509" s="55"/>
      <c r="F509" s="365"/>
      <c r="G509" s="55"/>
      <c r="H509" s="55"/>
      <c r="I509" s="360"/>
      <c r="J509" s="55"/>
      <c r="K509" s="55"/>
      <c r="L509" s="360"/>
      <c r="M509" s="55"/>
      <c r="N509" s="55"/>
      <c r="O509" s="360"/>
      <c r="P509" s="55"/>
      <c r="Q509" s="55"/>
      <c r="R509" s="360"/>
      <c r="S509" s="55"/>
      <c r="T509" s="350"/>
      <c r="U509" s="55"/>
      <c r="V509" s="55"/>
      <c r="W509" s="55"/>
      <c r="X509" s="55"/>
      <c r="Y509" s="55"/>
      <c r="Z509" s="55"/>
      <c r="AA509" s="55"/>
    </row>
    <row r="510">
      <c r="A510" s="55"/>
      <c r="B510" s="55"/>
      <c r="C510" s="55"/>
      <c r="D510" s="55"/>
      <c r="E510" s="55"/>
      <c r="F510" s="365"/>
      <c r="G510" s="55"/>
      <c r="H510" s="55"/>
      <c r="I510" s="360"/>
      <c r="J510" s="55"/>
      <c r="K510" s="55"/>
      <c r="L510" s="360"/>
      <c r="M510" s="55"/>
      <c r="N510" s="55"/>
      <c r="O510" s="360"/>
      <c r="P510" s="55"/>
      <c r="Q510" s="55"/>
      <c r="R510" s="360"/>
      <c r="S510" s="55"/>
      <c r="T510" s="350"/>
      <c r="U510" s="55"/>
      <c r="V510" s="55"/>
      <c r="W510" s="55"/>
      <c r="X510" s="55"/>
      <c r="Y510" s="55"/>
      <c r="Z510" s="55"/>
      <c r="AA510" s="55"/>
    </row>
    <row r="511">
      <c r="A511" s="55"/>
      <c r="B511" s="55"/>
      <c r="C511" s="55"/>
      <c r="D511" s="55"/>
      <c r="E511" s="55"/>
      <c r="F511" s="365"/>
      <c r="G511" s="55"/>
      <c r="H511" s="55"/>
      <c r="I511" s="360"/>
      <c r="J511" s="55"/>
      <c r="K511" s="55"/>
      <c r="L511" s="360"/>
      <c r="M511" s="55"/>
      <c r="N511" s="55"/>
      <c r="O511" s="360"/>
      <c r="P511" s="55"/>
      <c r="Q511" s="55"/>
      <c r="R511" s="360"/>
      <c r="S511" s="55"/>
      <c r="T511" s="350"/>
      <c r="U511" s="55"/>
      <c r="V511" s="55"/>
      <c r="W511" s="55"/>
      <c r="X511" s="55"/>
      <c r="Y511" s="55"/>
      <c r="Z511" s="55"/>
      <c r="AA511" s="55"/>
    </row>
    <row r="512">
      <c r="A512" s="55"/>
      <c r="B512" s="55"/>
      <c r="C512" s="55"/>
      <c r="D512" s="55"/>
      <c r="E512" s="55"/>
      <c r="F512" s="365"/>
      <c r="G512" s="55"/>
      <c r="H512" s="55"/>
      <c r="I512" s="360"/>
      <c r="J512" s="55"/>
      <c r="K512" s="55"/>
      <c r="L512" s="360"/>
      <c r="M512" s="55"/>
      <c r="N512" s="55"/>
      <c r="O512" s="360"/>
      <c r="P512" s="55"/>
      <c r="Q512" s="55"/>
      <c r="R512" s="360"/>
      <c r="S512" s="55"/>
      <c r="T512" s="350"/>
      <c r="U512" s="55"/>
      <c r="V512" s="55"/>
      <c r="W512" s="55"/>
      <c r="X512" s="55"/>
      <c r="Y512" s="55"/>
      <c r="Z512" s="55"/>
      <c r="AA512" s="55"/>
    </row>
    <row r="513">
      <c r="A513" s="55"/>
      <c r="B513" s="55"/>
      <c r="C513" s="55"/>
      <c r="D513" s="55"/>
      <c r="E513" s="55"/>
      <c r="F513" s="365"/>
      <c r="G513" s="55"/>
      <c r="H513" s="55"/>
      <c r="I513" s="360"/>
      <c r="J513" s="55"/>
      <c r="K513" s="55"/>
      <c r="L513" s="360"/>
      <c r="M513" s="55"/>
      <c r="N513" s="55"/>
      <c r="O513" s="360"/>
      <c r="P513" s="55"/>
      <c r="Q513" s="55"/>
      <c r="R513" s="360"/>
      <c r="S513" s="55"/>
      <c r="T513" s="350"/>
      <c r="U513" s="55"/>
      <c r="V513" s="55"/>
      <c r="W513" s="55"/>
      <c r="X513" s="55"/>
      <c r="Y513" s="55"/>
      <c r="Z513" s="55"/>
      <c r="AA513" s="55"/>
    </row>
    <row r="514">
      <c r="A514" s="55"/>
      <c r="B514" s="55"/>
      <c r="C514" s="55"/>
      <c r="D514" s="55"/>
      <c r="E514" s="55"/>
      <c r="F514" s="365"/>
      <c r="G514" s="55"/>
      <c r="H514" s="55"/>
      <c r="I514" s="360"/>
      <c r="J514" s="55"/>
      <c r="K514" s="55"/>
      <c r="L514" s="360"/>
      <c r="M514" s="55"/>
      <c r="N514" s="55"/>
      <c r="O514" s="360"/>
      <c r="P514" s="55"/>
      <c r="Q514" s="55"/>
      <c r="R514" s="360"/>
      <c r="S514" s="55"/>
      <c r="T514" s="350"/>
      <c r="U514" s="55"/>
      <c r="V514" s="55"/>
      <c r="W514" s="55"/>
      <c r="X514" s="55"/>
      <c r="Y514" s="55"/>
      <c r="Z514" s="55"/>
      <c r="AA514" s="55"/>
    </row>
    <row r="515">
      <c r="A515" s="55"/>
      <c r="B515" s="55"/>
      <c r="C515" s="55"/>
      <c r="D515" s="55"/>
      <c r="E515" s="55"/>
      <c r="F515" s="365"/>
      <c r="G515" s="55"/>
      <c r="H515" s="55"/>
      <c r="I515" s="360"/>
      <c r="J515" s="55"/>
      <c r="K515" s="55"/>
      <c r="L515" s="360"/>
      <c r="M515" s="55"/>
      <c r="N515" s="55"/>
      <c r="O515" s="360"/>
      <c r="P515" s="55"/>
      <c r="Q515" s="55"/>
      <c r="R515" s="360"/>
      <c r="S515" s="55"/>
      <c r="T515" s="350"/>
      <c r="U515" s="55"/>
      <c r="V515" s="55"/>
      <c r="W515" s="55"/>
      <c r="X515" s="55"/>
      <c r="Y515" s="55"/>
      <c r="Z515" s="55"/>
      <c r="AA515" s="55"/>
    </row>
    <row r="516">
      <c r="A516" s="55"/>
      <c r="B516" s="55"/>
      <c r="C516" s="55"/>
      <c r="D516" s="55"/>
      <c r="E516" s="55"/>
      <c r="F516" s="365"/>
      <c r="G516" s="55"/>
      <c r="H516" s="55"/>
      <c r="I516" s="360"/>
      <c r="J516" s="55"/>
      <c r="K516" s="55"/>
      <c r="L516" s="360"/>
      <c r="M516" s="55"/>
      <c r="N516" s="55"/>
      <c r="O516" s="360"/>
      <c r="P516" s="55"/>
      <c r="Q516" s="55"/>
      <c r="R516" s="360"/>
      <c r="S516" s="55"/>
      <c r="T516" s="350"/>
      <c r="U516" s="55"/>
      <c r="V516" s="55"/>
      <c r="W516" s="55"/>
      <c r="X516" s="55"/>
      <c r="Y516" s="55"/>
      <c r="Z516" s="55"/>
      <c r="AA516" s="55"/>
    </row>
    <row r="517">
      <c r="A517" s="55"/>
      <c r="B517" s="55"/>
      <c r="C517" s="55"/>
      <c r="D517" s="55"/>
      <c r="E517" s="55"/>
      <c r="F517" s="365"/>
      <c r="G517" s="55"/>
      <c r="H517" s="55"/>
      <c r="I517" s="360"/>
      <c r="J517" s="55"/>
      <c r="K517" s="55"/>
      <c r="L517" s="360"/>
      <c r="M517" s="55"/>
      <c r="N517" s="55"/>
      <c r="O517" s="360"/>
      <c r="P517" s="55"/>
      <c r="Q517" s="55"/>
      <c r="R517" s="360"/>
      <c r="S517" s="55"/>
      <c r="T517" s="350"/>
      <c r="U517" s="55"/>
      <c r="V517" s="55"/>
      <c r="W517" s="55"/>
      <c r="X517" s="55"/>
      <c r="Y517" s="55"/>
      <c r="Z517" s="55"/>
      <c r="AA517" s="55"/>
    </row>
    <row r="518">
      <c r="A518" s="55"/>
      <c r="B518" s="55"/>
      <c r="C518" s="55"/>
      <c r="D518" s="55"/>
      <c r="E518" s="55"/>
      <c r="F518" s="365"/>
      <c r="G518" s="55"/>
      <c r="H518" s="55"/>
      <c r="I518" s="360"/>
      <c r="J518" s="55"/>
      <c r="K518" s="55"/>
      <c r="L518" s="360"/>
      <c r="M518" s="55"/>
      <c r="N518" s="55"/>
      <c r="O518" s="360"/>
      <c r="P518" s="55"/>
      <c r="Q518" s="55"/>
      <c r="R518" s="360"/>
      <c r="S518" s="55"/>
      <c r="T518" s="350"/>
      <c r="U518" s="55"/>
      <c r="V518" s="55"/>
      <c r="W518" s="55"/>
      <c r="X518" s="55"/>
      <c r="Y518" s="55"/>
      <c r="Z518" s="55"/>
      <c r="AA518" s="55"/>
    </row>
    <row r="519">
      <c r="A519" s="55"/>
      <c r="B519" s="55"/>
      <c r="C519" s="55"/>
      <c r="D519" s="55"/>
      <c r="E519" s="55"/>
      <c r="F519" s="365"/>
      <c r="G519" s="55"/>
      <c r="H519" s="55"/>
      <c r="I519" s="360"/>
      <c r="J519" s="55"/>
      <c r="K519" s="55"/>
      <c r="L519" s="360"/>
      <c r="M519" s="55"/>
      <c r="N519" s="55"/>
      <c r="O519" s="360"/>
      <c r="P519" s="55"/>
      <c r="Q519" s="55"/>
      <c r="R519" s="360"/>
      <c r="S519" s="55"/>
      <c r="T519" s="350"/>
      <c r="U519" s="55"/>
      <c r="V519" s="55"/>
      <c r="W519" s="55"/>
      <c r="X519" s="55"/>
      <c r="Y519" s="55"/>
      <c r="Z519" s="55"/>
      <c r="AA519" s="55"/>
    </row>
    <row r="520">
      <c r="A520" s="55"/>
      <c r="B520" s="55"/>
      <c r="C520" s="55"/>
      <c r="D520" s="55"/>
      <c r="E520" s="55"/>
      <c r="F520" s="365"/>
      <c r="G520" s="55"/>
      <c r="H520" s="55"/>
      <c r="I520" s="360"/>
      <c r="J520" s="55"/>
      <c r="K520" s="55"/>
      <c r="L520" s="360"/>
      <c r="M520" s="55"/>
      <c r="N520" s="55"/>
      <c r="O520" s="360"/>
      <c r="P520" s="55"/>
      <c r="Q520" s="55"/>
      <c r="R520" s="360"/>
      <c r="S520" s="55"/>
      <c r="T520" s="350"/>
      <c r="U520" s="55"/>
      <c r="V520" s="55"/>
      <c r="W520" s="55"/>
      <c r="X520" s="55"/>
      <c r="Y520" s="55"/>
      <c r="Z520" s="55"/>
      <c r="AA520" s="55"/>
    </row>
    <row r="521">
      <c r="A521" s="55"/>
      <c r="B521" s="55"/>
      <c r="C521" s="55"/>
      <c r="D521" s="55"/>
      <c r="E521" s="55"/>
      <c r="F521" s="365"/>
      <c r="G521" s="55"/>
      <c r="H521" s="55"/>
      <c r="I521" s="360"/>
      <c r="J521" s="55"/>
      <c r="K521" s="55"/>
      <c r="L521" s="360"/>
      <c r="M521" s="55"/>
      <c r="N521" s="55"/>
      <c r="O521" s="360"/>
      <c r="P521" s="55"/>
      <c r="Q521" s="55"/>
      <c r="R521" s="360"/>
      <c r="S521" s="55"/>
      <c r="T521" s="350"/>
      <c r="U521" s="55"/>
      <c r="V521" s="55"/>
      <c r="W521" s="55"/>
      <c r="X521" s="55"/>
      <c r="Y521" s="55"/>
      <c r="Z521" s="55"/>
      <c r="AA521" s="55"/>
    </row>
    <row r="522">
      <c r="A522" s="55"/>
      <c r="B522" s="55"/>
      <c r="C522" s="55"/>
      <c r="D522" s="55"/>
      <c r="E522" s="55"/>
      <c r="F522" s="365"/>
      <c r="G522" s="55"/>
      <c r="H522" s="55"/>
      <c r="I522" s="360"/>
      <c r="J522" s="55"/>
      <c r="K522" s="55"/>
      <c r="L522" s="360"/>
      <c r="M522" s="55"/>
      <c r="N522" s="55"/>
      <c r="O522" s="360"/>
      <c r="P522" s="55"/>
      <c r="Q522" s="55"/>
      <c r="R522" s="360"/>
      <c r="S522" s="55"/>
      <c r="T522" s="350"/>
      <c r="U522" s="55"/>
      <c r="V522" s="55"/>
      <c r="W522" s="55"/>
      <c r="X522" s="55"/>
      <c r="Y522" s="55"/>
      <c r="Z522" s="55"/>
      <c r="AA522" s="55"/>
    </row>
    <row r="523">
      <c r="A523" s="55"/>
      <c r="B523" s="55"/>
      <c r="C523" s="55"/>
      <c r="D523" s="55"/>
      <c r="E523" s="55"/>
      <c r="F523" s="365"/>
      <c r="G523" s="55"/>
      <c r="H523" s="55"/>
      <c r="I523" s="360"/>
      <c r="J523" s="55"/>
      <c r="K523" s="55"/>
      <c r="L523" s="360"/>
      <c r="M523" s="55"/>
      <c r="N523" s="55"/>
      <c r="O523" s="360"/>
      <c r="P523" s="55"/>
      <c r="Q523" s="55"/>
      <c r="R523" s="360"/>
      <c r="S523" s="55"/>
      <c r="T523" s="350"/>
      <c r="U523" s="55"/>
      <c r="V523" s="55"/>
      <c r="W523" s="55"/>
      <c r="X523" s="55"/>
      <c r="Y523" s="55"/>
      <c r="Z523" s="55"/>
      <c r="AA523" s="55"/>
    </row>
    <row r="524">
      <c r="A524" s="55"/>
      <c r="B524" s="55"/>
      <c r="C524" s="55"/>
      <c r="D524" s="55"/>
      <c r="E524" s="55"/>
      <c r="F524" s="365"/>
      <c r="G524" s="55"/>
      <c r="H524" s="55"/>
      <c r="I524" s="360"/>
      <c r="J524" s="55"/>
      <c r="K524" s="55"/>
      <c r="L524" s="360"/>
      <c r="M524" s="55"/>
      <c r="N524" s="55"/>
      <c r="O524" s="360"/>
      <c r="P524" s="55"/>
      <c r="Q524" s="55"/>
      <c r="R524" s="360"/>
      <c r="S524" s="55"/>
      <c r="T524" s="350"/>
      <c r="U524" s="55"/>
      <c r="V524" s="55"/>
      <c r="W524" s="55"/>
      <c r="X524" s="55"/>
      <c r="Y524" s="55"/>
      <c r="Z524" s="55"/>
      <c r="AA524" s="55"/>
    </row>
    <row r="525">
      <c r="A525" s="55"/>
      <c r="B525" s="55"/>
      <c r="C525" s="55"/>
      <c r="D525" s="55"/>
      <c r="E525" s="55"/>
      <c r="F525" s="365"/>
      <c r="G525" s="55"/>
      <c r="H525" s="55"/>
      <c r="I525" s="360"/>
      <c r="J525" s="55"/>
      <c r="K525" s="55"/>
      <c r="L525" s="360"/>
      <c r="M525" s="55"/>
      <c r="N525" s="55"/>
      <c r="O525" s="360"/>
      <c r="P525" s="55"/>
      <c r="Q525" s="55"/>
      <c r="R525" s="360"/>
      <c r="S525" s="55"/>
      <c r="T525" s="350"/>
      <c r="U525" s="55"/>
      <c r="V525" s="55"/>
      <c r="W525" s="55"/>
      <c r="X525" s="55"/>
      <c r="Y525" s="55"/>
      <c r="Z525" s="55"/>
      <c r="AA525" s="55"/>
    </row>
    <row r="526">
      <c r="A526" s="55"/>
      <c r="B526" s="55"/>
      <c r="C526" s="55"/>
      <c r="D526" s="55"/>
      <c r="E526" s="55"/>
      <c r="F526" s="365"/>
      <c r="G526" s="55"/>
      <c r="H526" s="55"/>
      <c r="I526" s="360"/>
      <c r="J526" s="55"/>
      <c r="K526" s="55"/>
      <c r="L526" s="360"/>
      <c r="M526" s="55"/>
      <c r="N526" s="55"/>
      <c r="O526" s="360"/>
      <c r="P526" s="55"/>
      <c r="Q526" s="55"/>
      <c r="R526" s="360"/>
      <c r="S526" s="55"/>
      <c r="T526" s="350"/>
      <c r="U526" s="55"/>
      <c r="V526" s="55"/>
      <c r="W526" s="55"/>
      <c r="X526" s="55"/>
      <c r="Y526" s="55"/>
      <c r="Z526" s="55"/>
      <c r="AA526" s="55"/>
    </row>
    <row r="527">
      <c r="A527" s="55"/>
      <c r="B527" s="55"/>
      <c r="C527" s="55"/>
      <c r="D527" s="55"/>
      <c r="E527" s="55"/>
      <c r="F527" s="365"/>
      <c r="G527" s="55"/>
      <c r="H527" s="55"/>
      <c r="I527" s="360"/>
      <c r="J527" s="55"/>
      <c r="K527" s="55"/>
      <c r="L527" s="360"/>
      <c r="M527" s="55"/>
      <c r="N527" s="55"/>
      <c r="O527" s="360"/>
      <c r="P527" s="55"/>
      <c r="Q527" s="55"/>
      <c r="R527" s="360"/>
      <c r="S527" s="55"/>
      <c r="T527" s="350"/>
      <c r="U527" s="55"/>
      <c r="V527" s="55"/>
      <c r="W527" s="55"/>
      <c r="X527" s="55"/>
      <c r="Y527" s="55"/>
      <c r="Z527" s="55"/>
      <c r="AA527" s="55"/>
    </row>
    <row r="528">
      <c r="A528" s="55"/>
      <c r="B528" s="55"/>
      <c r="C528" s="55"/>
      <c r="D528" s="55"/>
      <c r="E528" s="55"/>
      <c r="F528" s="365"/>
      <c r="G528" s="55"/>
      <c r="H528" s="55"/>
      <c r="I528" s="360"/>
      <c r="J528" s="55"/>
      <c r="K528" s="55"/>
      <c r="L528" s="360"/>
      <c r="M528" s="55"/>
      <c r="N528" s="55"/>
      <c r="O528" s="360"/>
      <c r="P528" s="55"/>
      <c r="Q528" s="55"/>
      <c r="R528" s="360"/>
      <c r="S528" s="55"/>
      <c r="T528" s="350"/>
      <c r="U528" s="55"/>
      <c r="V528" s="55"/>
      <c r="W528" s="55"/>
      <c r="X528" s="55"/>
      <c r="Y528" s="55"/>
      <c r="Z528" s="55"/>
      <c r="AA528" s="55"/>
    </row>
    <row r="529">
      <c r="A529" s="55"/>
      <c r="B529" s="55"/>
      <c r="C529" s="55"/>
      <c r="D529" s="55"/>
      <c r="E529" s="55"/>
      <c r="F529" s="365"/>
      <c r="G529" s="55"/>
      <c r="H529" s="55"/>
      <c r="I529" s="360"/>
      <c r="J529" s="55"/>
      <c r="K529" s="55"/>
      <c r="L529" s="360"/>
      <c r="M529" s="55"/>
      <c r="N529" s="55"/>
      <c r="O529" s="360"/>
      <c r="P529" s="55"/>
      <c r="Q529" s="55"/>
      <c r="R529" s="360"/>
      <c r="S529" s="55"/>
      <c r="T529" s="350"/>
      <c r="U529" s="55"/>
      <c r="V529" s="55"/>
      <c r="W529" s="55"/>
      <c r="X529" s="55"/>
      <c r="Y529" s="55"/>
      <c r="Z529" s="55"/>
      <c r="AA529" s="55"/>
    </row>
    <row r="530">
      <c r="A530" s="55"/>
      <c r="B530" s="55"/>
      <c r="C530" s="55"/>
      <c r="D530" s="55"/>
      <c r="E530" s="55"/>
      <c r="F530" s="365"/>
      <c r="G530" s="55"/>
      <c r="H530" s="55"/>
      <c r="I530" s="360"/>
      <c r="J530" s="55"/>
      <c r="K530" s="55"/>
      <c r="L530" s="360"/>
      <c r="M530" s="55"/>
      <c r="N530" s="55"/>
      <c r="O530" s="360"/>
      <c r="P530" s="55"/>
      <c r="Q530" s="55"/>
      <c r="R530" s="360"/>
      <c r="S530" s="55"/>
      <c r="T530" s="350"/>
      <c r="U530" s="55"/>
      <c r="V530" s="55"/>
      <c r="W530" s="55"/>
      <c r="X530" s="55"/>
      <c r="Y530" s="55"/>
      <c r="Z530" s="55"/>
      <c r="AA530" s="55"/>
    </row>
    <row r="531">
      <c r="A531" s="55"/>
      <c r="B531" s="55"/>
      <c r="C531" s="55"/>
      <c r="D531" s="55"/>
      <c r="E531" s="55"/>
      <c r="F531" s="365"/>
      <c r="G531" s="55"/>
      <c r="H531" s="55"/>
      <c r="I531" s="360"/>
      <c r="J531" s="55"/>
      <c r="K531" s="55"/>
      <c r="L531" s="360"/>
      <c r="M531" s="55"/>
      <c r="N531" s="55"/>
      <c r="O531" s="360"/>
      <c r="P531" s="55"/>
      <c r="Q531" s="55"/>
      <c r="R531" s="360"/>
      <c r="S531" s="55"/>
      <c r="T531" s="350"/>
      <c r="U531" s="55"/>
      <c r="V531" s="55"/>
      <c r="W531" s="55"/>
      <c r="X531" s="55"/>
      <c r="Y531" s="55"/>
      <c r="Z531" s="55"/>
      <c r="AA531" s="55"/>
    </row>
    <row r="532">
      <c r="A532" s="55"/>
      <c r="B532" s="55"/>
      <c r="C532" s="55"/>
      <c r="D532" s="55"/>
      <c r="E532" s="55"/>
      <c r="F532" s="365"/>
      <c r="G532" s="55"/>
      <c r="H532" s="55"/>
      <c r="I532" s="360"/>
      <c r="J532" s="55"/>
      <c r="K532" s="55"/>
      <c r="L532" s="360"/>
      <c r="M532" s="55"/>
      <c r="N532" s="55"/>
      <c r="O532" s="360"/>
      <c r="P532" s="55"/>
      <c r="Q532" s="55"/>
      <c r="R532" s="360"/>
      <c r="S532" s="55"/>
      <c r="T532" s="350"/>
      <c r="U532" s="55"/>
      <c r="V532" s="55"/>
      <c r="W532" s="55"/>
      <c r="X532" s="55"/>
      <c r="Y532" s="55"/>
      <c r="Z532" s="55"/>
      <c r="AA532" s="55"/>
    </row>
    <row r="533">
      <c r="A533" s="55"/>
      <c r="B533" s="55"/>
      <c r="C533" s="55"/>
      <c r="D533" s="55"/>
      <c r="E533" s="55"/>
      <c r="F533" s="365"/>
      <c r="G533" s="55"/>
      <c r="H533" s="55"/>
      <c r="I533" s="360"/>
      <c r="J533" s="55"/>
      <c r="K533" s="55"/>
      <c r="L533" s="360"/>
      <c r="M533" s="55"/>
      <c r="N533" s="55"/>
      <c r="O533" s="360"/>
      <c r="P533" s="55"/>
      <c r="Q533" s="55"/>
      <c r="R533" s="360"/>
      <c r="S533" s="55"/>
      <c r="T533" s="350"/>
      <c r="U533" s="55"/>
      <c r="V533" s="55"/>
      <c r="W533" s="55"/>
      <c r="X533" s="55"/>
      <c r="Y533" s="55"/>
      <c r="Z533" s="55"/>
      <c r="AA533" s="55"/>
    </row>
    <row r="534">
      <c r="A534" s="55"/>
      <c r="B534" s="55"/>
      <c r="C534" s="55"/>
      <c r="D534" s="55"/>
      <c r="E534" s="55"/>
      <c r="F534" s="365"/>
      <c r="G534" s="55"/>
      <c r="H534" s="55"/>
      <c r="I534" s="360"/>
      <c r="J534" s="55"/>
      <c r="K534" s="55"/>
      <c r="L534" s="360"/>
      <c r="M534" s="55"/>
      <c r="N534" s="55"/>
      <c r="O534" s="360"/>
      <c r="P534" s="55"/>
      <c r="Q534" s="55"/>
      <c r="R534" s="360"/>
      <c r="S534" s="55"/>
      <c r="T534" s="350"/>
      <c r="U534" s="55"/>
      <c r="V534" s="55"/>
      <c r="W534" s="55"/>
      <c r="X534" s="55"/>
      <c r="Y534" s="55"/>
      <c r="Z534" s="55"/>
      <c r="AA534" s="55"/>
    </row>
    <row r="535">
      <c r="A535" s="55"/>
      <c r="B535" s="55"/>
      <c r="C535" s="55"/>
      <c r="D535" s="55"/>
      <c r="E535" s="55"/>
      <c r="F535" s="365"/>
      <c r="G535" s="55"/>
      <c r="H535" s="55"/>
      <c r="I535" s="360"/>
      <c r="J535" s="55"/>
      <c r="K535" s="55"/>
      <c r="L535" s="360"/>
      <c r="M535" s="55"/>
      <c r="N535" s="55"/>
      <c r="O535" s="360"/>
      <c r="P535" s="55"/>
      <c r="Q535" s="55"/>
      <c r="R535" s="360"/>
      <c r="S535" s="55"/>
      <c r="T535" s="350"/>
      <c r="U535" s="55"/>
      <c r="V535" s="55"/>
      <c r="W535" s="55"/>
      <c r="X535" s="55"/>
      <c r="Y535" s="55"/>
      <c r="Z535" s="55"/>
      <c r="AA535" s="55"/>
    </row>
    <row r="536">
      <c r="A536" s="55"/>
      <c r="B536" s="55"/>
      <c r="C536" s="55"/>
      <c r="D536" s="55"/>
      <c r="E536" s="55"/>
      <c r="F536" s="365"/>
      <c r="G536" s="55"/>
      <c r="H536" s="55"/>
      <c r="I536" s="360"/>
      <c r="J536" s="55"/>
      <c r="K536" s="55"/>
      <c r="L536" s="360"/>
      <c r="M536" s="55"/>
      <c r="N536" s="55"/>
      <c r="O536" s="360"/>
      <c r="P536" s="55"/>
      <c r="Q536" s="55"/>
      <c r="R536" s="360"/>
      <c r="S536" s="55"/>
      <c r="T536" s="350"/>
      <c r="U536" s="55"/>
      <c r="V536" s="55"/>
      <c r="W536" s="55"/>
      <c r="X536" s="55"/>
      <c r="Y536" s="55"/>
      <c r="Z536" s="55"/>
      <c r="AA536" s="55"/>
    </row>
    <row r="537">
      <c r="A537" s="55"/>
      <c r="B537" s="55"/>
      <c r="C537" s="55"/>
      <c r="D537" s="55"/>
      <c r="E537" s="55"/>
      <c r="F537" s="365"/>
      <c r="G537" s="55"/>
      <c r="H537" s="55"/>
      <c r="I537" s="360"/>
      <c r="J537" s="55"/>
      <c r="K537" s="55"/>
      <c r="L537" s="360"/>
      <c r="M537" s="55"/>
      <c r="N537" s="55"/>
      <c r="O537" s="360"/>
      <c r="P537" s="55"/>
      <c r="Q537" s="55"/>
      <c r="R537" s="360"/>
      <c r="S537" s="55"/>
      <c r="T537" s="350"/>
      <c r="U537" s="55"/>
      <c r="V537" s="55"/>
      <c r="W537" s="55"/>
      <c r="X537" s="55"/>
      <c r="Y537" s="55"/>
      <c r="Z537" s="55"/>
      <c r="AA537" s="55"/>
    </row>
    <row r="538">
      <c r="A538" s="55"/>
      <c r="B538" s="55"/>
      <c r="C538" s="55"/>
      <c r="D538" s="55"/>
      <c r="E538" s="55"/>
      <c r="F538" s="365"/>
      <c r="G538" s="55"/>
      <c r="H538" s="55"/>
      <c r="I538" s="360"/>
      <c r="J538" s="55"/>
      <c r="K538" s="55"/>
      <c r="L538" s="360"/>
      <c r="M538" s="55"/>
      <c r="N538" s="55"/>
      <c r="O538" s="360"/>
      <c r="P538" s="55"/>
      <c r="Q538" s="55"/>
      <c r="R538" s="360"/>
      <c r="S538" s="55"/>
      <c r="T538" s="350"/>
      <c r="U538" s="55"/>
      <c r="V538" s="55"/>
      <c r="W538" s="55"/>
      <c r="X538" s="55"/>
      <c r="Y538" s="55"/>
      <c r="Z538" s="55"/>
      <c r="AA538" s="55"/>
    </row>
    <row r="539">
      <c r="A539" s="55"/>
      <c r="B539" s="55"/>
      <c r="C539" s="55"/>
      <c r="D539" s="55"/>
      <c r="E539" s="55"/>
      <c r="F539" s="365"/>
      <c r="G539" s="55"/>
      <c r="H539" s="55"/>
      <c r="I539" s="360"/>
      <c r="J539" s="55"/>
      <c r="K539" s="55"/>
      <c r="L539" s="360"/>
      <c r="M539" s="55"/>
      <c r="N539" s="55"/>
      <c r="O539" s="360"/>
      <c r="P539" s="55"/>
      <c r="Q539" s="55"/>
      <c r="R539" s="360"/>
      <c r="S539" s="55"/>
      <c r="T539" s="350"/>
      <c r="U539" s="55"/>
      <c r="V539" s="55"/>
      <c r="W539" s="55"/>
      <c r="X539" s="55"/>
      <c r="Y539" s="55"/>
      <c r="Z539" s="55"/>
      <c r="AA539" s="55"/>
    </row>
    <row r="540">
      <c r="A540" s="55"/>
      <c r="B540" s="55"/>
      <c r="C540" s="55"/>
      <c r="D540" s="55"/>
      <c r="E540" s="55"/>
      <c r="F540" s="365"/>
      <c r="G540" s="55"/>
      <c r="H540" s="55"/>
      <c r="I540" s="360"/>
      <c r="J540" s="55"/>
      <c r="K540" s="55"/>
      <c r="L540" s="360"/>
      <c r="M540" s="55"/>
      <c r="N540" s="55"/>
      <c r="O540" s="360"/>
      <c r="P540" s="55"/>
      <c r="Q540" s="55"/>
      <c r="R540" s="360"/>
      <c r="S540" s="55"/>
      <c r="T540" s="350"/>
      <c r="U540" s="55"/>
      <c r="V540" s="55"/>
      <c r="W540" s="55"/>
      <c r="X540" s="55"/>
      <c r="Y540" s="55"/>
      <c r="Z540" s="55"/>
      <c r="AA540" s="55"/>
    </row>
    <row r="541">
      <c r="A541" s="55"/>
      <c r="B541" s="55"/>
      <c r="C541" s="55"/>
      <c r="D541" s="55"/>
      <c r="E541" s="55"/>
      <c r="F541" s="365"/>
      <c r="G541" s="55"/>
      <c r="H541" s="55"/>
      <c r="I541" s="360"/>
      <c r="J541" s="55"/>
      <c r="K541" s="55"/>
      <c r="L541" s="360"/>
      <c r="M541" s="55"/>
      <c r="N541" s="55"/>
      <c r="O541" s="360"/>
      <c r="P541" s="55"/>
      <c r="Q541" s="55"/>
      <c r="R541" s="360"/>
      <c r="S541" s="55"/>
      <c r="T541" s="350"/>
      <c r="U541" s="55"/>
      <c r="V541" s="55"/>
      <c r="W541" s="55"/>
      <c r="X541" s="55"/>
      <c r="Y541" s="55"/>
      <c r="Z541" s="55"/>
      <c r="AA541" s="55"/>
    </row>
    <row r="542">
      <c r="A542" s="55"/>
      <c r="B542" s="55"/>
      <c r="C542" s="55"/>
      <c r="D542" s="55"/>
      <c r="E542" s="55"/>
      <c r="F542" s="365"/>
      <c r="G542" s="55"/>
      <c r="H542" s="55"/>
      <c r="I542" s="360"/>
      <c r="J542" s="55"/>
      <c r="K542" s="55"/>
      <c r="L542" s="360"/>
      <c r="M542" s="55"/>
      <c r="N542" s="55"/>
      <c r="O542" s="360"/>
      <c r="P542" s="55"/>
      <c r="Q542" s="55"/>
      <c r="R542" s="360"/>
      <c r="S542" s="55"/>
      <c r="T542" s="350"/>
      <c r="U542" s="55"/>
      <c r="V542" s="55"/>
      <c r="W542" s="55"/>
      <c r="X542" s="55"/>
      <c r="Y542" s="55"/>
      <c r="Z542" s="55"/>
      <c r="AA542" s="55"/>
    </row>
    <row r="543">
      <c r="A543" s="55"/>
      <c r="B543" s="55"/>
      <c r="C543" s="55"/>
      <c r="D543" s="55"/>
      <c r="E543" s="55"/>
      <c r="F543" s="365"/>
      <c r="G543" s="55"/>
      <c r="H543" s="55"/>
      <c r="I543" s="360"/>
      <c r="J543" s="55"/>
      <c r="K543" s="55"/>
      <c r="L543" s="360"/>
      <c r="M543" s="55"/>
      <c r="N543" s="55"/>
      <c r="O543" s="360"/>
      <c r="P543" s="55"/>
      <c r="Q543" s="55"/>
      <c r="R543" s="360"/>
      <c r="S543" s="55"/>
      <c r="T543" s="350"/>
      <c r="U543" s="55"/>
      <c r="V543" s="55"/>
      <c r="W543" s="55"/>
      <c r="X543" s="55"/>
      <c r="Y543" s="55"/>
      <c r="Z543" s="55"/>
      <c r="AA543" s="55"/>
    </row>
    <row r="544">
      <c r="A544" s="55"/>
      <c r="B544" s="55"/>
      <c r="C544" s="55"/>
      <c r="D544" s="55"/>
      <c r="E544" s="55"/>
      <c r="F544" s="365"/>
      <c r="G544" s="55"/>
      <c r="H544" s="55"/>
      <c r="I544" s="360"/>
      <c r="J544" s="55"/>
      <c r="K544" s="55"/>
      <c r="L544" s="360"/>
      <c r="M544" s="55"/>
      <c r="N544" s="55"/>
      <c r="O544" s="360"/>
      <c r="P544" s="55"/>
      <c r="Q544" s="55"/>
      <c r="R544" s="360"/>
      <c r="S544" s="55"/>
      <c r="T544" s="350"/>
      <c r="U544" s="55"/>
      <c r="V544" s="55"/>
      <c r="W544" s="55"/>
      <c r="X544" s="55"/>
      <c r="Y544" s="55"/>
      <c r="Z544" s="55"/>
      <c r="AA544" s="55"/>
    </row>
    <row r="545">
      <c r="A545" s="55"/>
      <c r="B545" s="55"/>
      <c r="C545" s="55"/>
      <c r="D545" s="55"/>
      <c r="E545" s="55"/>
      <c r="F545" s="365"/>
      <c r="G545" s="55"/>
      <c r="H545" s="55"/>
      <c r="I545" s="360"/>
      <c r="J545" s="55"/>
      <c r="K545" s="55"/>
      <c r="L545" s="360"/>
      <c r="M545" s="55"/>
      <c r="N545" s="55"/>
      <c r="O545" s="360"/>
      <c r="P545" s="55"/>
      <c r="Q545" s="55"/>
      <c r="R545" s="360"/>
      <c r="S545" s="55"/>
      <c r="T545" s="350"/>
      <c r="U545" s="55"/>
      <c r="V545" s="55"/>
      <c r="W545" s="55"/>
      <c r="X545" s="55"/>
      <c r="Y545" s="55"/>
      <c r="Z545" s="55"/>
      <c r="AA545" s="55"/>
    </row>
    <row r="546">
      <c r="A546" s="55"/>
      <c r="B546" s="55"/>
      <c r="C546" s="55"/>
      <c r="D546" s="55"/>
      <c r="E546" s="55"/>
      <c r="F546" s="365"/>
      <c r="G546" s="55"/>
      <c r="H546" s="55"/>
      <c r="I546" s="360"/>
      <c r="J546" s="55"/>
      <c r="K546" s="55"/>
      <c r="L546" s="360"/>
      <c r="M546" s="55"/>
      <c r="N546" s="55"/>
      <c r="O546" s="360"/>
      <c r="P546" s="55"/>
      <c r="Q546" s="55"/>
      <c r="R546" s="360"/>
      <c r="S546" s="55"/>
      <c r="T546" s="350"/>
      <c r="U546" s="55"/>
      <c r="V546" s="55"/>
      <c r="W546" s="55"/>
      <c r="X546" s="55"/>
      <c r="Y546" s="55"/>
      <c r="Z546" s="55"/>
      <c r="AA546" s="55"/>
    </row>
    <row r="547">
      <c r="A547" s="55"/>
      <c r="B547" s="55"/>
      <c r="C547" s="55"/>
      <c r="D547" s="55"/>
      <c r="E547" s="55"/>
      <c r="F547" s="365"/>
      <c r="G547" s="55"/>
      <c r="H547" s="55"/>
      <c r="I547" s="360"/>
      <c r="J547" s="55"/>
      <c r="K547" s="55"/>
      <c r="L547" s="360"/>
      <c r="M547" s="55"/>
      <c r="N547" s="55"/>
      <c r="O547" s="360"/>
      <c r="P547" s="55"/>
      <c r="Q547" s="55"/>
      <c r="R547" s="360"/>
      <c r="S547" s="55"/>
      <c r="T547" s="350"/>
      <c r="U547" s="55"/>
      <c r="V547" s="55"/>
      <c r="W547" s="55"/>
      <c r="X547" s="55"/>
      <c r="Y547" s="55"/>
      <c r="Z547" s="55"/>
      <c r="AA547" s="55"/>
    </row>
    <row r="548">
      <c r="A548" s="55"/>
      <c r="B548" s="55"/>
      <c r="C548" s="55"/>
      <c r="D548" s="55"/>
      <c r="E548" s="55"/>
      <c r="F548" s="365"/>
      <c r="G548" s="55"/>
      <c r="H548" s="55"/>
      <c r="I548" s="360"/>
      <c r="J548" s="55"/>
      <c r="K548" s="55"/>
      <c r="L548" s="360"/>
      <c r="M548" s="55"/>
      <c r="N548" s="55"/>
      <c r="O548" s="360"/>
      <c r="P548" s="55"/>
      <c r="Q548" s="55"/>
      <c r="R548" s="360"/>
      <c r="S548" s="55"/>
      <c r="T548" s="350"/>
      <c r="U548" s="55"/>
      <c r="V548" s="55"/>
      <c r="W548" s="55"/>
      <c r="X548" s="55"/>
      <c r="Y548" s="55"/>
      <c r="Z548" s="55"/>
      <c r="AA548" s="55"/>
    </row>
    <row r="549">
      <c r="A549" s="55"/>
      <c r="B549" s="55"/>
      <c r="C549" s="55"/>
      <c r="D549" s="55"/>
      <c r="E549" s="55"/>
      <c r="F549" s="365"/>
      <c r="G549" s="55"/>
      <c r="H549" s="55"/>
      <c r="I549" s="360"/>
      <c r="J549" s="55"/>
      <c r="K549" s="55"/>
      <c r="L549" s="360"/>
      <c r="M549" s="55"/>
      <c r="N549" s="55"/>
      <c r="O549" s="360"/>
      <c r="P549" s="55"/>
      <c r="Q549" s="55"/>
      <c r="R549" s="360"/>
      <c r="S549" s="55"/>
      <c r="T549" s="350"/>
      <c r="U549" s="55"/>
      <c r="V549" s="55"/>
      <c r="W549" s="55"/>
      <c r="X549" s="55"/>
      <c r="Y549" s="55"/>
      <c r="Z549" s="55"/>
      <c r="AA549" s="55"/>
    </row>
    <row r="550">
      <c r="A550" s="55"/>
      <c r="B550" s="55"/>
      <c r="C550" s="55"/>
      <c r="D550" s="55"/>
      <c r="E550" s="55"/>
      <c r="F550" s="365"/>
      <c r="G550" s="55"/>
      <c r="H550" s="55"/>
      <c r="I550" s="360"/>
      <c r="J550" s="55"/>
      <c r="K550" s="55"/>
      <c r="L550" s="360"/>
      <c r="M550" s="55"/>
      <c r="N550" s="55"/>
      <c r="O550" s="360"/>
      <c r="P550" s="55"/>
      <c r="Q550" s="55"/>
      <c r="R550" s="360"/>
      <c r="S550" s="55"/>
      <c r="T550" s="350"/>
      <c r="U550" s="55"/>
      <c r="V550" s="55"/>
      <c r="W550" s="55"/>
      <c r="X550" s="55"/>
      <c r="Y550" s="55"/>
      <c r="Z550" s="55"/>
      <c r="AA550" s="55"/>
    </row>
    <row r="551">
      <c r="A551" s="55"/>
      <c r="B551" s="55"/>
      <c r="C551" s="55"/>
      <c r="D551" s="55"/>
      <c r="E551" s="55"/>
      <c r="F551" s="365"/>
      <c r="G551" s="55"/>
      <c r="H551" s="55"/>
      <c r="I551" s="360"/>
      <c r="J551" s="55"/>
      <c r="K551" s="55"/>
      <c r="L551" s="360"/>
      <c r="M551" s="55"/>
      <c r="N551" s="55"/>
      <c r="O551" s="360"/>
      <c r="P551" s="55"/>
      <c r="Q551" s="55"/>
      <c r="R551" s="360"/>
      <c r="S551" s="55"/>
      <c r="T551" s="350"/>
      <c r="U551" s="55"/>
      <c r="V551" s="55"/>
      <c r="W551" s="55"/>
      <c r="X551" s="55"/>
      <c r="Y551" s="55"/>
      <c r="Z551" s="55"/>
      <c r="AA551" s="55"/>
    </row>
    <row r="552">
      <c r="A552" s="55"/>
      <c r="B552" s="55"/>
      <c r="C552" s="55"/>
      <c r="D552" s="55"/>
      <c r="E552" s="55"/>
      <c r="F552" s="365"/>
      <c r="G552" s="55"/>
      <c r="H552" s="55"/>
      <c r="I552" s="360"/>
      <c r="J552" s="55"/>
      <c r="K552" s="55"/>
      <c r="L552" s="360"/>
      <c r="M552" s="55"/>
      <c r="N552" s="55"/>
      <c r="O552" s="360"/>
      <c r="P552" s="55"/>
      <c r="Q552" s="55"/>
      <c r="R552" s="360"/>
      <c r="S552" s="55"/>
      <c r="T552" s="350"/>
      <c r="U552" s="55"/>
      <c r="V552" s="55"/>
      <c r="W552" s="55"/>
      <c r="X552" s="55"/>
      <c r="Y552" s="55"/>
      <c r="Z552" s="55"/>
      <c r="AA552" s="55"/>
    </row>
    <row r="553">
      <c r="A553" s="55"/>
      <c r="B553" s="55"/>
      <c r="C553" s="55"/>
      <c r="D553" s="55"/>
      <c r="E553" s="55"/>
      <c r="F553" s="365"/>
      <c r="G553" s="55"/>
      <c r="H553" s="55"/>
      <c r="I553" s="360"/>
      <c r="J553" s="55"/>
      <c r="K553" s="55"/>
      <c r="L553" s="360"/>
      <c r="M553" s="55"/>
      <c r="N553" s="55"/>
      <c r="O553" s="360"/>
      <c r="P553" s="55"/>
      <c r="Q553" s="55"/>
      <c r="R553" s="360"/>
      <c r="S553" s="55"/>
      <c r="T553" s="350"/>
      <c r="U553" s="55"/>
      <c r="V553" s="55"/>
      <c r="W553" s="55"/>
      <c r="X553" s="55"/>
      <c r="Y553" s="55"/>
      <c r="Z553" s="55"/>
      <c r="AA553" s="55"/>
    </row>
    <row r="554">
      <c r="A554" s="55"/>
      <c r="B554" s="55"/>
      <c r="C554" s="55"/>
      <c r="D554" s="55"/>
      <c r="E554" s="55"/>
      <c r="F554" s="365"/>
      <c r="G554" s="55"/>
      <c r="H554" s="55"/>
      <c r="I554" s="360"/>
      <c r="J554" s="55"/>
      <c r="K554" s="55"/>
      <c r="L554" s="360"/>
      <c r="M554" s="55"/>
      <c r="N554" s="55"/>
      <c r="O554" s="360"/>
      <c r="P554" s="55"/>
      <c r="Q554" s="55"/>
      <c r="R554" s="360"/>
      <c r="S554" s="55"/>
      <c r="T554" s="350"/>
      <c r="U554" s="55"/>
      <c r="V554" s="55"/>
      <c r="W554" s="55"/>
      <c r="X554" s="55"/>
      <c r="Y554" s="55"/>
      <c r="Z554" s="55"/>
      <c r="AA554" s="55"/>
    </row>
    <row r="555">
      <c r="A555" s="55"/>
      <c r="B555" s="55"/>
      <c r="C555" s="55"/>
      <c r="D555" s="55"/>
      <c r="E555" s="55"/>
      <c r="F555" s="365"/>
      <c r="G555" s="55"/>
      <c r="H555" s="55"/>
      <c r="I555" s="360"/>
      <c r="J555" s="55"/>
      <c r="K555" s="55"/>
      <c r="L555" s="360"/>
      <c r="M555" s="55"/>
      <c r="N555" s="55"/>
      <c r="O555" s="360"/>
      <c r="P555" s="55"/>
      <c r="Q555" s="55"/>
      <c r="R555" s="360"/>
      <c r="S555" s="55"/>
      <c r="T555" s="350"/>
      <c r="U555" s="55"/>
      <c r="V555" s="55"/>
      <c r="W555" s="55"/>
      <c r="X555" s="55"/>
      <c r="Y555" s="55"/>
      <c r="Z555" s="55"/>
      <c r="AA555" s="55"/>
    </row>
    <row r="556">
      <c r="A556" s="55"/>
      <c r="B556" s="55"/>
      <c r="C556" s="55"/>
      <c r="D556" s="55"/>
      <c r="E556" s="55"/>
      <c r="F556" s="365"/>
      <c r="G556" s="55"/>
      <c r="H556" s="55"/>
      <c r="I556" s="360"/>
      <c r="J556" s="55"/>
      <c r="K556" s="55"/>
      <c r="L556" s="360"/>
      <c r="M556" s="55"/>
      <c r="N556" s="55"/>
      <c r="O556" s="360"/>
      <c r="P556" s="55"/>
      <c r="Q556" s="55"/>
      <c r="R556" s="360"/>
      <c r="S556" s="55"/>
      <c r="T556" s="350"/>
      <c r="U556" s="55"/>
      <c r="V556" s="55"/>
      <c r="W556" s="55"/>
      <c r="X556" s="55"/>
      <c r="Y556" s="55"/>
      <c r="Z556" s="55"/>
      <c r="AA556" s="55"/>
    </row>
    <row r="557">
      <c r="A557" s="55"/>
      <c r="B557" s="55"/>
      <c r="C557" s="55"/>
      <c r="D557" s="55"/>
      <c r="E557" s="55"/>
      <c r="F557" s="365"/>
      <c r="G557" s="55"/>
      <c r="H557" s="55"/>
      <c r="I557" s="360"/>
      <c r="J557" s="55"/>
      <c r="K557" s="55"/>
      <c r="L557" s="360"/>
      <c r="M557" s="55"/>
      <c r="N557" s="55"/>
      <c r="O557" s="360"/>
      <c r="P557" s="55"/>
      <c r="Q557" s="55"/>
      <c r="R557" s="360"/>
      <c r="S557" s="55"/>
      <c r="T557" s="350"/>
      <c r="U557" s="55"/>
      <c r="V557" s="55"/>
      <c r="W557" s="55"/>
      <c r="X557" s="55"/>
      <c r="Y557" s="55"/>
      <c r="Z557" s="55"/>
      <c r="AA557" s="55"/>
    </row>
    <row r="558">
      <c r="A558" s="55"/>
      <c r="B558" s="55"/>
      <c r="C558" s="55"/>
      <c r="D558" s="55"/>
      <c r="E558" s="55"/>
      <c r="F558" s="365"/>
      <c r="G558" s="55"/>
      <c r="H558" s="55"/>
      <c r="I558" s="360"/>
      <c r="J558" s="55"/>
      <c r="K558" s="55"/>
      <c r="L558" s="360"/>
      <c r="M558" s="55"/>
      <c r="N558" s="55"/>
      <c r="O558" s="360"/>
      <c r="P558" s="55"/>
      <c r="Q558" s="55"/>
      <c r="R558" s="360"/>
      <c r="S558" s="55"/>
      <c r="T558" s="350"/>
      <c r="U558" s="55"/>
      <c r="V558" s="55"/>
      <c r="W558" s="55"/>
      <c r="X558" s="55"/>
      <c r="Y558" s="55"/>
      <c r="Z558" s="55"/>
      <c r="AA558" s="55"/>
    </row>
    <row r="559">
      <c r="A559" s="55"/>
      <c r="B559" s="55"/>
      <c r="C559" s="55"/>
      <c r="D559" s="55"/>
      <c r="E559" s="55"/>
      <c r="F559" s="365"/>
      <c r="G559" s="55"/>
      <c r="H559" s="55"/>
      <c r="I559" s="360"/>
      <c r="J559" s="55"/>
      <c r="K559" s="55"/>
      <c r="L559" s="360"/>
      <c r="M559" s="55"/>
      <c r="N559" s="55"/>
      <c r="O559" s="360"/>
      <c r="P559" s="55"/>
      <c r="Q559" s="55"/>
      <c r="R559" s="360"/>
      <c r="S559" s="55"/>
      <c r="T559" s="350"/>
      <c r="U559" s="55"/>
      <c r="V559" s="55"/>
      <c r="W559" s="55"/>
      <c r="X559" s="55"/>
      <c r="Y559" s="55"/>
      <c r="Z559" s="55"/>
      <c r="AA559" s="55"/>
    </row>
    <row r="560">
      <c r="A560" s="55"/>
      <c r="B560" s="55"/>
      <c r="C560" s="55"/>
      <c r="D560" s="55"/>
      <c r="E560" s="55"/>
      <c r="F560" s="365"/>
      <c r="G560" s="55"/>
      <c r="H560" s="55"/>
      <c r="I560" s="360"/>
      <c r="J560" s="55"/>
      <c r="K560" s="55"/>
      <c r="L560" s="360"/>
      <c r="M560" s="55"/>
      <c r="N560" s="55"/>
      <c r="O560" s="360"/>
      <c r="P560" s="55"/>
      <c r="Q560" s="55"/>
      <c r="R560" s="360"/>
      <c r="S560" s="55"/>
      <c r="T560" s="350"/>
      <c r="U560" s="55"/>
      <c r="V560" s="55"/>
      <c r="W560" s="55"/>
      <c r="X560" s="55"/>
      <c r="Y560" s="55"/>
      <c r="Z560" s="55"/>
      <c r="AA560" s="55"/>
    </row>
    <row r="561">
      <c r="A561" s="55"/>
      <c r="B561" s="55"/>
      <c r="C561" s="55"/>
      <c r="D561" s="55"/>
      <c r="E561" s="55"/>
      <c r="F561" s="365"/>
      <c r="G561" s="55"/>
      <c r="H561" s="55"/>
      <c r="I561" s="360"/>
      <c r="J561" s="55"/>
      <c r="K561" s="55"/>
      <c r="L561" s="360"/>
      <c r="M561" s="55"/>
      <c r="N561" s="55"/>
      <c r="O561" s="360"/>
      <c r="P561" s="55"/>
      <c r="Q561" s="55"/>
      <c r="R561" s="360"/>
      <c r="S561" s="55"/>
      <c r="T561" s="350"/>
      <c r="U561" s="55"/>
      <c r="V561" s="55"/>
      <c r="W561" s="55"/>
      <c r="X561" s="55"/>
      <c r="Y561" s="55"/>
      <c r="Z561" s="55"/>
      <c r="AA561" s="55"/>
    </row>
    <row r="562">
      <c r="A562" s="55"/>
      <c r="B562" s="55"/>
      <c r="C562" s="55"/>
      <c r="D562" s="55"/>
      <c r="E562" s="55"/>
      <c r="F562" s="365"/>
      <c r="G562" s="55"/>
      <c r="H562" s="55"/>
      <c r="I562" s="360"/>
      <c r="J562" s="55"/>
      <c r="K562" s="55"/>
      <c r="L562" s="360"/>
      <c r="M562" s="55"/>
      <c r="N562" s="55"/>
      <c r="O562" s="360"/>
      <c r="P562" s="55"/>
      <c r="Q562" s="55"/>
      <c r="R562" s="360"/>
      <c r="S562" s="55"/>
      <c r="T562" s="350"/>
      <c r="U562" s="55"/>
      <c r="V562" s="55"/>
      <c r="W562" s="55"/>
      <c r="X562" s="55"/>
      <c r="Y562" s="55"/>
      <c r="Z562" s="55"/>
      <c r="AA562" s="55"/>
    </row>
    <row r="563">
      <c r="A563" s="55"/>
      <c r="B563" s="55"/>
      <c r="C563" s="55"/>
      <c r="D563" s="55"/>
      <c r="E563" s="55"/>
      <c r="F563" s="365"/>
      <c r="G563" s="55"/>
      <c r="H563" s="55"/>
      <c r="I563" s="360"/>
      <c r="J563" s="55"/>
      <c r="K563" s="55"/>
      <c r="L563" s="360"/>
      <c r="M563" s="55"/>
      <c r="N563" s="55"/>
      <c r="O563" s="360"/>
      <c r="P563" s="55"/>
      <c r="Q563" s="55"/>
      <c r="R563" s="360"/>
      <c r="S563" s="55"/>
      <c r="T563" s="350"/>
      <c r="U563" s="55"/>
      <c r="V563" s="55"/>
      <c r="W563" s="55"/>
      <c r="X563" s="55"/>
      <c r="Y563" s="55"/>
      <c r="Z563" s="55"/>
      <c r="AA563" s="55"/>
    </row>
    <row r="564">
      <c r="A564" s="55"/>
      <c r="B564" s="55"/>
      <c r="C564" s="55"/>
      <c r="D564" s="55"/>
      <c r="E564" s="55"/>
      <c r="F564" s="365"/>
      <c r="G564" s="55"/>
      <c r="H564" s="55"/>
      <c r="I564" s="360"/>
      <c r="J564" s="55"/>
      <c r="K564" s="55"/>
      <c r="L564" s="360"/>
      <c r="M564" s="55"/>
      <c r="N564" s="55"/>
      <c r="O564" s="360"/>
      <c r="P564" s="55"/>
      <c r="Q564" s="55"/>
      <c r="R564" s="360"/>
      <c r="S564" s="55"/>
      <c r="T564" s="350"/>
      <c r="U564" s="55"/>
      <c r="V564" s="55"/>
      <c r="W564" s="55"/>
      <c r="X564" s="55"/>
      <c r="Y564" s="55"/>
      <c r="Z564" s="55"/>
      <c r="AA564" s="55"/>
    </row>
    <row r="565">
      <c r="A565" s="55"/>
      <c r="B565" s="55"/>
      <c r="C565" s="55"/>
      <c r="D565" s="55"/>
      <c r="E565" s="55"/>
      <c r="F565" s="365"/>
      <c r="G565" s="55"/>
      <c r="H565" s="55"/>
      <c r="I565" s="360"/>
      <c r="J565" s="55"/>
      <c r="K565" s="55"/>
      <c r="L565" s="360"/>
      <c r="M565" s="55"/>
      <c r="N565" s="55"/>
      <c r="O565" s="360"/>
      <c r="P565" s="55"/>
      <c r="Q565" s="55"/>
      <c r="R565" s="360"/>
      <c r="S565" s="55"/>
      <c r="T565" s="350"/>
      <c r="U565" s="55"/>
      <c r="V565" s="55"/>
      <c r="W565" s="55"/>
      <c r="X565" s="55"/>
      <c r="Y565" s="55"/>
      <c r="Z565" s="55"/>
      <c r="AA565" s="55"/>
    </row>
    <row r="566">
      <c r="A566" s="55"/>
      <c r="B566" s="55"/>
      <c r="C566" s="55"/>
      <c r="D566" s="55"/>
      <c r="E566" s="55"/>
      <c r="F566" s="365"/>
      <c r="G566" s="55"/>
      <c r="H566" s="55"/>
      <c r="I566" s="360"/>
      <c r="J566" s="55"/>
      <c r="K566" s="55"/>
      <c r="L566" s="360"/>
      <c r="M566" s="55"/>
      <c r="N566" s="55"/>
      <c r="O566" s="360"/>
      <c r="P566" s="55"/>
      <c r="Q566" s="55"/>
      <c r="R566" s="360"/>
      <c r="S566" s="55"/>
      <c r="T566" s="350"/>
      <c r="U566" s="55"/>
      <c r="V566" s="55"/>
      <c r="W566" s="55"/>
      <c r="X566" s="55"/>
      <c r="Y566" s="55"/>
      <c r="Z566" s="55"/>
      <c r="AA566" s="55"/>
    </row>
    <row r="567">
      <c r="A567" s="55"/>
      <c r="B567" s="55"/>
      <c r="C567" s="55"/>
      <c r="D567" s="55"/>
      <c r="E567" s="55"/>
      <c r="F567" s="365"/>
      <c r="G567" s="55"/>
      <c r="H567" s="55"/>
      <c r="I567" s="360"/>
      <c r="J567" s="55"/>
      <c r="K567" s="55"/>
      <c r="L567" s="360"/>
      <c r="M567" s="55"/>
      <c r="N567" s="55"/>
      <c r="O567" s="360"/>
      <c r="P567" s="55"/>
      <c r="Q567" s="55"/>
      <c r="R567" s="360"/>
      <c r="S567" s="55"/>
      <c r="T567" s="350"/>
      <c r="U567" s="55"/>
      <c r="V567" s="55"/>
      <c r="W567" s="55"/>
      <c r="X567" s="55"/>
      <c r="Y567" s="55"/>
      <c r="Z567" s="55"/>
      <c r="AA567" s="55"/>
    </row>
    <row r="568">
      <c r="A568" s="55"/>
      <c r="B568" s="55"/>
      <c r="C568" s="55"/>
      <c r="D568" s="55"/>
      <c r="E568" s="55"/>
      <c r="F568" s="365"/>
      <c r="G568" s="55"/>
      <c r="H568" s="55"/>
      <c r="I568" s="360"/>
      <c r="J568" s="55"/>
      <c r="K568" s="55"/>
      <c r="L568" s="360"/>
      <c r="M568" s="55"/>
      <c r="N568" s="55"/>
      <c r="O568" s="360"/>
      <c r="P568" s="55"/>
      <c r="Q568" s="55"/>
      <c r="R568" s="360"/>
      <c r="S568" s="55"/>
      <c r="T568" s="350"/>
      <c r="U568" s="55"/>
      <c r="V568" s="55"/>
      <c r="W568" s="55"/>
      <c r="X568" s="55"/>
      <c r="Y568" s="55"/>
      <c r="Z568" s="55"/>
      <c r="AA568" s="55"/>
    </row>
    <row r="569">
      <c r="A569" s="55"/>
      <c r="B569" s="55"/>
      <c r="C569" s="55"/>
      <c r="D569" s="55"/>
      <c r="E569" s="55"/>
      <c r="F569" s="365"/>
      <c r="G569" s="55"/>
      <c r="H569" s="55"/>
      <c r="I569" s="360"/>
      <c r="J569" s="55"/>
      <c r="K569" s="55"/>
      <c r="L569" s="360"/>
      <c r="M569" s="55"/>
      <c r="N569" s="55"/>
      <c r="O569" s="360"/>
      <c r="P569" s="55"/>
      <c r="Q569" s="55"/>
      <c r="R569" s="360"/>
      <c r="S569" s="55"/>
      <c r="T569" s="350"/>
      <c r="U569" s="55"/>
      <c r="V569" s="55"/>
      <c r="W569" s="55"/>
      <c r="X569" s="55"/>
      <c r="Y569" s="55"/>
      <c r="Z569" s="55"/>
      <c r="AA569" s="55"/>
    </row>
    <row r="570">
      <c r="A570" s="55"/>
      <c r="B570" s="55"/>
      <c r="C570" s="55"/>
      <c r="D570" s="55"/>
      <c r="E570" s="55"/>
      <c r="F570" s="365"/>
      <c r="G570" s="55"/>
      <c r="H570" s="55"/>
      <c r="I570" s="360"/>
      <c r="J570" s="55"/>
      <c r="K570" s="55"/>
      <c r="L570" s="360"/>
      <c r="M570" s="55"/>
      <c r="N570" s="55"/>
      <c r="O570" s="360"/>
      <c r="P570" s="55"/>
      <c r="Q570" s="55"/>
      <c r="R570" s="360"/>
      <c r="S570" s="55"/>
      <c r="T570" s="350"/>
      <c r="U570" s="55"/>
      <c r="V570" s="55"/>
      <c r="W570" s="55"/>
      <c r="X570" s="55"/>
      <c r="Y570" s="55"/>
      <c r="Z570" s="55"/>
      <c r="AA570" s="55"/>
    </row>
    <row r="571">
      <c r="A571" s="55"/>
      <c r="B571" s="55"/>
      <c r="C571" s="55"/>
      <c r="D571" s="55"/>
      <c r="E571" s="55"/>
      <c r="F571" s="365"/>
      <c r="G571" s="55"/>
      <c r="H571" s="55"/>
      <c r="I571" s="360"/>
      <c r="J571" s="55"/>
      <c r="K571" s="55"/>
      <c r="L571" s="360"/>
      <c r="M571" s="55"/>
      <c r="N571" s="55"/>
      <c r="O571" s="360"/>
      <c r="P571" s="55"/>
      <c r="Q571" s="55"/>
      <c r="R571" s="360"/>
      <c r="S571" s="55"/>
      <c r="T571" s="350"/>
      <c r="U571" s="55"/>
      <c r="V571" s="55"/>
      <c r="W571" s="55"/>
      <c r="X571" s="55"/>
      <c r="Y571" s="55"/>
      <c r="Z571" s="55"/>
      <c r="AA571" s="55"/>
    </row>
    <row r="572">
      <c r="A572" s="55"/>
      <c r="B572" s="55"/>
      <c r="C572" s="55"/>
      <c r="D572" s="55"/>
      <c r="E572" s="55"/>
      <c r="F572" s="365"/>
      <c r="G572" s="55"/>
      <c r="H572" s="55"/>
      <c r="I572" s="360"/>
      <c r="J572" s="55"/>
      <c r="K572" s="55"/>
      <c r="L572" s="360"/>
      <c r="M572" s="55"/>
      <c r="N572" s="55"/>
      <c r="O572" s="360"/>
      <c r="P572" s="55"/>
      <c r="Q572" s="55"/>
      <c r="R572" s="360"/>
      <c r="S572" s="55"/>
      <c r="T572" s="350"/>
      <c r="U572" s="55"/>
      <c r="V572" s="55"/>
      <c r="W572" s="55"/>
      <c r="X572" s="55"/>
      <c r="Y572" s="55"/>
      <c r="Z572" s="55"/>
      <c r="AA572" s="55"/>
    </row>
    <row r="573">
      <c r="A573" s="55"/>
      <c r="B573" s="55"/>
      <c r="C573" s="55"/>
      <c r="D573" s="55"/>
      <c r="E573" s="55"/>
      <c r="F573" s="365"/>
      <c r="G573" s="55"/>
      <c r="H573" s="55"/>
      <c r="I573" s="360"/>
      <c r="J573" s="55"/>
      <c r="K573" s="55"/>
      <c r="L573" s="360"/>
      <c r="M573" s="55"/>
      <c r="N573" s="55"/>
      <c r="O573" s="360"/>
      <c r="P573" s="55"/>
      <c r="Q573" s="55"/>
      <c r="R573" s="360"/>
      <c r="S573" s="55"/>
      <c r="T573" s="350"/>
      <c r="U573" s="55"/>
      <c r="V573" s="55"/>
      <c r="W573" s="55"/>
      <c r="X573" s="55"/>
      <c r="Y573" s="55"/>
      <c r="Z573" s="55"/>
      <c r="AA573" s="55"/>
    </row>
    <row r="574">
      <c r="A574" s="55"/>
      <c r="B574" s="55"/>
      <c r="C574" s="55"/>
      <c r="D574" s="55"/>
      <c r="E574" s="55"/>
      <c r="F574" s="365"/>
      <c r="G574" s="55"/>
      <c r="H574" s="55"/>
      <c r="I574" s="360"/>
      <c r="J574" s="55"/>
      <c r="K574" s="55"/>
      <c r="L574" s="360"/>
      <c r="M574" s="55"/>
      <c r="N574" s="55"/>
      <c r="O574" s="360"/>
      <c r="P574" s="55"/>
      <c r="Q574" s="55"/>
      <c r="R574" s="360"/>
      <c r="S574" s="55"/>
      <c r="T574" s="350"/>
      <c r="U574" s="55"/>
      <c r="V574" s="55"/>
      <c r="W574" s="55"/>
      <c r="X574" s="55"/>
      <c r="Y574" s="55"/>
      <c r="Z574" s="55"/>
      <c r="AA574" s="55"/>
    </row>
    <row r="575">
      <c r="A575" s="55"/>
      <c r="B575" s="55"/>
      <c r="C575" s="55"/>
      <c r="D575" s="55"/>
      <c r="E575" s="55"/>
      <c r="F575" s="365"/>
      <c r="G575" s="55"/>
      <c r="H575" s="55"/>
      <c r="I575" s="360"/>
      <c r="J575" s="55"/>
      <c r="K575" s="55"/>
      <c r="L575" s="360"/>
      <c r="M575" s="55"/>
      <c r="N575" s="55"/>
      <c r="O575" s="360"/>
      <c r="P575" s="55"/>
      <c r="Q575" s="55"/>
      <c r="R575" s="360"/>
      <c r="S575" s="55"/>
      <c r="T575" s="350"/>
      <c r="U575" s="55"/>
      <c r="V575" s="55"/>
      <c r="W575" s="55"/>
      <c r="X575" s="55"/>
      <c r="Y575" s="55"/>
      <c r="Z575" s="55"/>
      <c r="AA575" s="55"/>
    </row>
    <row r="576">
      <c r="A576" s="55"/>
      <c r="B576" s="55"/>
      <c r="C576" s="55"/>
      <c r="D576" s="55"/>
      <c r="E576" s="55"/>
      <c r="F576" s="365"/>
      <c r="G576" s="55"/>
      <c r="H576" s="55"/>
      <c r="I576" s="360"/>
      <c r="J576" s="55"/>
      <c r="K576" s="55"/>
      <c r="L576" s="360"/>
      <c r="M576" s="55"/>
      <c r="N576" s="55"/>
      <c r="O576" s="360"/>
      <c r="P576" s="55"/>
      <c r="Q576" s="55"/>
      <c r="R576" s="360"/>
      <c r="S576" s="55"/>
      <c r="T576" s="350"/>
      <c r="U576" s="55"/>
      <c r="V576" s="55"/>
      <c r="W576" s="55"/>
      <c r="X576" s="55"/>
      <c r="Y576" s="55"/>
      <c r="Z576" s="55"/>
      <c r="AA576" s="55"/>
    </row>
    <row r="577">
      <c r="A577" s="55"/>
      <c r="B577" s="55"/>
      <c r="C577" s="55"/>
      <c r="D577" s="55"/>
      <c r="E577" s="55"/>
      <c r="F577" s="365"/>
      <c r="G577" s="55"/>
      <c r="H577" s="55"/>
      <c r="I577" s="360"/>
      <c r="J577" s="55"/>
      <c r="K577" s="55"/>
      <c r="L577" s="360"/>
      <c r="M577" s="55"/>
      <c r="N577" s="55"/>
      <c r="O577" s="360"/>
      <c r="P577" s="55"/>
      <c r="Q577" s="55"/>
      <c r="R577" s="360"/>
      <c r="S577" s="55"/>
      <c r="T577" s="350"/>
      <c r="U577" s="55"/>
      <c r="V577" s="55"/>
      <c r="W577" s="55"/>
      <c r="X577" s="55"/>
      <c r="Y577" s="55"/>
      <c r="Z577" s="55"/>
      <c r="AA577" s="55"/>
    </row>
    <row r="578">
      <c r="A578" s="55"/>
      <c r="B578" s="55"/>
      <c r="C578" s="55"/>
      <c r="D578" s="55"/>
      <c r="E578" s="55"/>
      <c r="F578" s="365"/>
      <c r="G578" s="55"/>
      <c r="H578" s="55"/>
      <c r="I578" s="360"/>
      <c r="J578" s="55"/>
      <c r="K578" s="55"/>
      <c r="L578" s="360"/>
      <c r="M578" s="55"/>
      <c r="N578" s="55"/>
      <c r="O578" s="360"/>
      <c r="P578" s="55"/>
      <c r="Q578" s="55"/>
      <c r="R578" s="360"/>
      <c r="S578" s="55"/>
      <c r="T578" s="350"/>
      <c r="U578" s="55"/>
      <c r="V578" s="55"/>
      <c r="W578" s="55"/>
      <c r="X578" s="55"/>
      <c r="Y578" s="55"/>
      <c r="Z578" s="55"/>
      <c r="AA578" s="55"/>
    </row>
    <row r="579">
      <c r="A579" s="55"/>
      <c r="B579" s="55"/>
      <c r="C579" s="55"/>
      <c r="D579" s="55"/>
      <c r="E579" s="55"/>
      <c r="F579" s="365"/>
      <c r="G579" s="55"/>
      <c r="H579" s="55"/>
      <c r="I579" s="360"/>
      <c r="J579" s="55"/>
      <c r="K579" s="55"/>
      <c r="L579" s="360"/>
      <c r="M579" s="55"/>
      <c r="N579" s="55"/>
      <c r="O579" s="360"/>
      <c r="P579" s="55"/>
      <c r="Q579" s="55"/>
      <c r="R579" s="360"/>
      <c r="S579" s="55"/>
      <c r="T579" s="350"/>
      <c r="U579" s="55"/>
      <c r="V579" s="55"/>
      <c r="W579" s="55"/>
      <c r="X579" s="55"/>
      <c r="Y579" s="55"/>
      <c r="Z579" s="55"/>
      <c r="AA579" s="55"/>
    </row>
    <row r="580">
      <c r="A580" s="55"/>
      <c r="B580" s="55"/>
      <c r="C580" s="55"/>
      <c r="D580" s="55"/>
      <c r="E580" s="55"/>
      <c r="F580" s="365"/>
      <c r="G580" s="55"/>
      <c r="H580" s="55"/>
      <c r="I580" s="360"/>
      <c r="J580" s="55"/>
      <c r="K580" s="55"/>
      <c r="L580" s="360"/>
      <c r="M580" s="55"/>
      <c r="N580" s="55"/>
      <c r="O580" s="360"/>
      <c r="P580" s="55"/>
      <c r="Q580" s="55"/>
      <c r="R580" s="360"/>
      <c r="S580" s="55"/>
      <c r="T580" s="350"/>
      <c r="U580" s="55"/>
      <c r="V580" s="55"/>
      <c r="W580" s="55"/>
      <c r="X580" s="55"/>
      <c r="Y580" s="55"/>
      <c r="Z580" s="55"/>
      <c r="AA580" s="55"/>
    </row>
    <row r="581">
      <c r="A581" s="55"/>
      <c r="B581" s="55"/>
      <c r="C581" s="55"/>
      <c r="D581" s="55"/>
      <c r="E581" s="55"/>
      <c r="F581" s="365"/>
      <c r="G581" s="55"/>
      <c r="H581" s="55"/>
      <c r="I581" s="360"/>
      <c r="J581" s="55"/>
      <c r="K581" s="55"/>
      <c r="L581" s="360"/>
      <c r="M581" s="55"/>
      <c r="N581" s="55"/>
      <c r="O581" s="360"/>
      <c r="P581" s="55"/>
      <c r="Q581" s="55"/>
      <c r="R581" s="360"/>
      <c r="S581" s="55"/>
      <c r="T581" s="350"/>
      <c r="U581" s="55"/>
      <c r="V581" s="55"/>
      <c r="W581" s="55"/>
      <c r="X581" s="55"/>
      <c r="Y581" s="55"/>
      <c r="Z581" s="55"/>
      <c r="AA581" s="55"/>
    </row>
    <row r="582">
      <c r="A582" s="55"/>
      <c r="B582" s="55"/>
      <c r="C582" s="55"/>
      <c r="D582" s="55"/>
      <c r="E582" s="55"/>
      <c r="F582" s="365"/>
      <c r="G582" s="55"/>
      <c r="H582" s="55"/>
      <c r="I582" s="360"/>
      <c r="J582" s="55"/>
      <c r="K582" s="55"/>
      <c r="L582" s="360"/>
      <c r="M582" s="55"/>
      <c r="N582" s="55"/>
      <c r="O582" s="360"/>
      <c r="P582" s="55"/>
      <c r="Q582" s="55"/>
      <c r="R582" s="360"/>
      <c r="S582" s="55"/>
      <c r="T582" s="350"/>
      <c r="U582" s="55"/>
      <c r="V582" s="55"/>
      <c r="W582" s="55"/>
      <c r="X582" s="55"/>
      <c r="Y582" s="55"/>
      <c r="Z582" s="55"/>
      <c r="AA582" s="55"/>
    </row>
    <row r="583">
      <c r="A583" s="55"/>
      <c r="B583" s="55"/>
      <c r="C583" s="55"/>
      <c r="D583" s="55"/>
      <c r="E583" s="55"/>
      <c r="F583" s="365"/>
      <c r="G583" s="55"/>
      <c r="H583" s="55"/>
      <c r="I583" s="360"/>
      <c r="J583" s="55"/>
      <c r="K583" s="55"/>
      <c r="L583" s="360"/>
      <c r="M583" s="55"/>
      <c r="N583" s="55"/>
      <c r="O583" s="360"/>
      <c r="P583" s="55"/>
      <c r="Q583" s="55"/>
      <c r="R583" s="360"/>
      <c r="S583" s="55"/>
      <c r="T583" s="350"/>
      <c r="U583" s="55"/>
      <c r="V583" s="55"/>
      <c r="W583" s="55"/>
      <c r="X583" s="55"/>
      <c r="Y583" s="55"/>
      <c r="Z583" s="55"/>
      <c r="AA583" s="55"/>
    </row>
    <row r="584">
      <c r="A584" s="55"/>
      <c r="B584" s="55"/>
      <c r="C584" s="55"/>
      <c r="D584" s="55"/>
      <c r="E584" s="55"/>
      <c r="F584" s="365"/>
      <c r="G584" s="55"/>
      <c r="H584" s="55"/>
      <c r="I584" s="360"/>
      <c r="J584" s="55"/>
      <c r="K584" s="55"/>
      <c r="L584" s="360"/>
      <c r="M584" s="55"/>
      <c r="N584" s="55"/>
      <c r="O584" s="360"/>
      <c r="P584" s="55"/>
      <c r="Q584" s="55"/>
      <c r="R584" s="360"/>
      <c r="S584" s="55"/>
      <c r="T584" s="350"/>
      <c r="U584" s="55"/>
      <c r="V584" s="55"/>
      <c r="W584" s="55"/>
      <c r="X584" s="55"/>
      <c r="Y584" s="55"/>
      <c r="Z584" s="55"/>
      <c r="AA584" s="55"/>
    </row>
    <row r="585">
      <c r="A585" s="55"/>
      <c r="B585" s="55"/>
      <c r="C585" s="55"/>
      <c r="D585" s="55"/>
      <c r="E585" s="55"/>
      <c r="F585" s="365"/>
      <c r="G585" s="55"/>
      <c r="H585" s="55"/>
      <c r="I585" s="360"/>
      <c r="J585" s="55"/>
      <c r="K585" s="55"/>
      <c r="L585" s="360"/>
      <c r="M585" s="55"/>
      <c r="N585" s="55"/>
      <c r="O585" s="360"/>
      <c r="P585" s="55"/>
      <c r="Q585" s="55"/>
      <c r="R585" s="360"/>
      <c r="S585" s="55"/>
      <c r="T585" s="350"/>
      <c r="U585" s="55"/>
      <c r="V585" s="55"/>
      <c r="W585" s="55"/>
      <c r="X585" s="55"/>
      <c r="Y585" s="55"/>
      <c r="Z585" s="55"/>
      <c r="AA585" s="55"/>
    </row>
    <row r="586">
      <c r="A586" s="55"/>
      <c r="B586" s="55"/>
      <c r="C586" s="55"/>
      <c r="D586" s="55"/>
      <c r="E586" s="55"/>
      <c r="F586" s="365"/>
      <c r="G586" s="55"/>
      <c r="H586" s="55"/>
      <c r="I586" s="360"/>
      <c r="J586" s="55"/>
      <c r="K586" s="55"/>
      <c r="L586" s="360"/>
      <c r="M586" s="55"/>
      <c r="N586" s="55"/>
      <c r="O586" s="360"/>
      <c r="P586" s="55"/>
      <c r="Q586" s="55"/>
      <c r="R586" s="360"/>
      <c r="S586" s="55"/>
      <c r="T586" s="350"/>
      <c r="U586" s="55"/>
      <c r="V586" s="55"/>
      <c r="W586" s="55"/>
      <c r="X586" s="55"/>
      <c r="Y586" s="55"/>
      <c r="Z586" s="55"/>
      <c r="AA586" s="55"/>
    </row>
    <row r="587">
      <c r="A587" s="55"/>
      <c r="B587" s="55"/>
      <c r="C587" s="55"/>
      <c r="D587" s="55"/>
      <c r="E587" s="55"/>
      <c r="F587" s="365"/>
      <c r="G587" s="55"/>
      <c r="H587" s="55"/>
      <c r="I587" s="360"/>
      <c r="J587" s="55"/>
      <c r="K587" s="55"/>
      <c r="L587" s="360"/>
      <c r="M587" s="55"/>
      <c r="N587" s="55"/>
      <c r="O587" s="360"/>
      <c r="P587" s="55"/>
      <c r="Q587" s="55"/>
      <c r="R587" s="360"/>
      <c r="S587" s="55"/>
      <c r="T587" s="350"/>
      <c r="U587" s="55"/>
      <c r="V587" s="55"/>
      <c r="W587" s="55"/>
      <c r="X587" s="55"/>
      <c r="Y587" s="55"/>
      <c r="Z587" s="55"/>
      <c r="AA587" s="55"/>
    </row>
    <row r="588">
      <c r="A588" s="55"/>
      <c r="B588" s="55"/>
      <c r="C588" s="55"/>
      <c r="D588" s="55"/>
      <c r="E588" s="55"/>
      <c r="F588" s="365"/>
      <c r="G588" s="55"/>
      <c r="H588" s="55"/>
      <c r="I588" s="360"/>
      <c r="J588" s="55"/>
      <c r="K588" s="55"/>
      <c r="L588" s="360"/>
      <c r="M588" s="55"/>
      <c r="N588" s="55"/>
      <c r="O588" s="360"/>
      <c r="P588" s="55"/>
      <c r="Q588" s="55"/>
      <c r="R588" s="360"/>
      <c r="S588" s="55"/>
      <c r="T588" s="350"/>
      <c r="U588" s="55"/>
      <c r="V588" s="55"/>
      <c r="W588" s="55"/>
      <c r="X588" s="55"/>
      <c r="Y588" s="55"/>
      <c r="Z588" s="55"/>
      <c r="AA588" s="55"/>
    </row>
    <row r="589">
      <c r="A589" s="55"/>
      <c r="B589" s="55"/>
      <c r="C589" s="55"/>
      <c r="D589" s="55"/>
      <c r="E589" s="55"/>
      <c r="F589" s="365"/>
      <c r="G589" s="55"/>
      <c r="H589" s="55"/>
      <c r="I589" s="360"/>
      <c r="J589" s="55"/>
      <c r="K589" s="55"/>
      <c r="L589" s="360"/>
      <c r="M589" s="55"/>
      <c r="N589" s="55"/>
      <c r="O589" s="360"/>
      <c r="P589" s="55"/>
      <c r="Q589" s="55"/>
      <c r="R589" s="360"/>
      <c r="S589" s="55"/>
      <c r="T589" s="350"/>
      <c r="U589" s="55"/>
      <c r="V589" s="55"/>
      <c r="W589" s="55"/>
      <c r="X589" s="55"/>
      <c r="Y589" s="55"/>
      <c r="Z589" s="55"/>
      <c r="AA589" s="55"/>
    </row>
    <row r="590">
      <c r="A590" s="55"/>
      <c r="B590" s="55"/>
      <c r="C590" s="55"/>
      <c r="D590" s="55"/>
      <c r="E590" s="55"/>
      <c r="F590" s="365"/>
      <c r="G590" s="55"/>
      <c r="H590" s="55"/>
      <c r="I590" s="360"/>
      <c r="J590" s="55"/>
      <c r="K590" s="55"/>
      <c r="L590" s="360"/>
      <c r="M590" s="55"/>
      <c r="N590" s="55"/>
      <c r="O590" s="360"/>
      <c r="P590" s="55"/>
      <c r="Q590" s="55"/>
      <c r="R590" s="360"/>
      <c r="S590" s="55"/>
      <c r="T590" s="350"/>
      <c r="U590" s="55"/>
      <c r="V590" s="55"/>
      <c r="W590" s="55"/>
      <c r="X590" s="55"/>
      <c r="Y590" s="55"/>
      <c r="Z590" s="55"/>
      <c r="AA590" s="55"/>
    </row>
    <row r="591">
      <c r="A591" s="55"/>
      <c r="B591" s="55"/>
      <c r="C591" s="55"/>
      <c r="D591" s="55"/>
      <c r="E591" s="55"/>
      <c r="F591" s="365"/>
      <c r="G591" s="55"/>
      <c r="H591" s="55"/>
      <c r="I591" s="360"/>
      <c r="J591" s="55"/>
      <c r="K591" s="55"/>
      <c r="L591" s="360"/>
      <c r="M591" s="55"/>
      <c r="N591" s="55"/>
      <c r="O591" s="360"/>
      <c r="P591" s="55"/>
      <c r="Q591" s="55"/>
      <c r="R591" s="360"/>
      <c r="S591" s="55"/>
      <c r="T591" s="350"/>
      <c r="U591" s="55"/>
      <c r="V591" s="55"/>
      <c r="W591" s="55"/>
      <c r="X591" s="55"/>
      <c r="Y591" s="55"/>
      <c r="Z591" s="55"/>
      <c r="AA591" s="55"/>
    </row>
    <row r="592">
      <c r="A592" s="55"/>
      <c r="B592" s="55"/>
      <c r="C592" s="55"/>
      <c r="D592" s="55"/>
      <c r="E592" s="55"/>
      <c r="F592" s="365"/>
      <c r="G592" s="55"/>
      <c r="H592" s="55"/>
      <c r="I592" s="360"/>
      <c r="J592" s="55"/>
      <c r="K592" s="55"/>
      <c r="L592" s="360"/>
      <c r="M592" s="55"/>
      <c r="N592" s="55"/>
      <c r="O592" s="360"/>
      <c r="P592" s="55"/>
      <c r="Q592" s="55"/>
      <c r="R592" s="360"/>
      <c r="S592" s="55"/>
      <c r="T592" s="350"/>
      <c r="U592" s="55"/>
      <c r="V592" s="55"/>
      <c r="W592" s="55"/>
      <c r="X592" s="55"/>
      <c r="Y592" s="55"/>
      <c r="Z592" s="55"/>
      <c r="AA592" s="55"/>
    </row>
    <row r="593">
      <c r="A593" s="55"/>
      <c r="B593" s="55"/>
      <c r="C593" s="55"/>
      <c r="D593" s="55"/>
      <c r="E593" s="55"/>
      <c r="F593" s="365"/>
      <c r="G593" s="55"/>
      <c r="H593" s="55"/>
      <c r="I593" s="360"/>
      <c r="J593" s="55"/>
      <c r="K593" s="55"/>
      <c r="L593" s="360"/>
      <c r="M593" s="55"/>
      <c r="N593" s="55"/>
      <c r="O593" s="360"/>
      <c r="P593" s="55"/>
      <c r="Q593" s="55"/>
      <c r="R593" s="360"/>
      <c r="S593" s="55"/>
      <c r="T593" s="350"/>
      <c r="U593" s="55"/>
      <c r="V593" s="55"/>
      <c r="W593" s="55"/>
      <c r="X593" s="55"/>
      <c r="Y593" s="55"/>
      <c r="Z593" s="55"/>
      <c r="AA593" s="55"/>
    </row>
    <row r="594">
      <c r="A594" s="55"/>
      <c r="B594" s="55"/>
      <c r="C594" s="55"/>
      <c r="D594" s="55"/>
      <c r="E594" s="55"/>
      <c r="F594" s="365"/>
      <c r="G594" s="55"/>
      <c r="H594" s="55"/>
      <c r="I594" s="360"/>
      <c r="J594" s="55"/>
      <c r="K594" s="55"/>
      <c r="L594" s="360"/>
      <c r="M594" s="55"/>
      <c r="N594" s="55"/>
      <c r="O594" s="360"/>
      <c r="P594" s="55"/>
      <c r="Q594" s="55"/>
      <c r="R594" s="360"/>
      <c r="S594" s="55"/>
      <c r="T594" s="350"/>
      <c r="U594" s="55"/>
      <c r="V594" s="55"/>
      <c r="W594" s="55"/>
      <c r="X594" s="55"/>
      <c r="Y594" s="55"/>
      <c r="Z594" s="55"/>
      <c r="AA594" s="55"/>
    </row>
    <row r="595">
      <c r="A595" s="55"/>
      <c r="B595" s="55"/>
      <c r="C595" s="55"/>
      <c r="D595" s="55"/>
      <c r="E595" s="55"/>
      <c r="F595" s="365"/>
      <c r="G595" s="55"/>
      <c r="H595" s="55"/>
      <c r="I595" s="360"/>
      <c r="J595" s="55"/>
      <c r="K595" s="55"/>
      <c r="L595" s="360"/>
      <c r="M595" s="55"/>
      <c r="N595" s="55"/>
      <c r="O595" s="360"/>
      <c r="P595" s="55"/>
      <c r="Q595" s="55"/>
      <c r="R595" s="360"/>
      <c r="S595" s="55"/>
      <c r="T595" s="350"/>
      <c r="U595" s="55"/>
      <c r="V595" s="55"/>
      <c r="W595" s="55"/>
      <c r="X595" s="55"/>
      <c r="Y595" s="55"/>
      <c r="Z595" s="55"/>
      <c r="AA595" s="55"/>
    </row>
    <row r="596">
      <c r="A596" s="55"/>
      <c r="B596" s="55"/>
      <c r="C596" s="55"/>
      <c r="D596" s="55"/>
      <c r="E596" s="55"/>
      <c r="F596" s="365"/>
      <c r="G596" s="55"/>
      <c r="H596" s="55"/>
      <c r="I596" s="360"/>
      <c r="J596" s="55"/>
      <c r="K596" s="55"/>
      <c r="L596" s="360"/>
      <c r="M596" s="55"/>
      <c r="N596" s="55"/>
      <c r="O596" s="360"/>
      <c r="P596" s="55"/>
      <c r="Q596" s="55"/>
      <c r="R596" s="360"/>
      <c r="S596" s="55"/>
      <c r="T596" s="350"/>
      <c r="U596" s="55"/>
      <c r="V596" s="55"/>
      <c r="W596" s="55"/>
      <c r="X596" s="55"/>
      <c r="Y596" s="55"/>
      <c r="Z596" s="55"/>
      <c r="AA596" s="55"/>
    </row>
    <row r="597">
      <c r="A597" s="55"/>
      <c r="B597" s="55"/>
      <c r="C597" s="55"/>
      <c r="D597" s="55"/>
      <c r="E597" s="55"/>
      <c r="F597" s="365"/>
      <c r="G597" s="55"/>
      <c r="H597" s="55"/>
      <c r="I597" s="360"/>
      <c r="J597" s="55"/>
      <c r="K597" s="55"/>
      <c r="L597" s="360"/>
      <c r="M597" s="55"/>
      <c r="N597" s="55"/>
      <c r="O597" s="360"/>
      <c r="P597" s="55"/>
      <c r="Q597" s="55"/>
      <c r="R597" s="360"/>
      <c r="S597" s="55"/>
      <c r="T597" s="350"/>
      <c r="U597" s="55"/>
      <c r="V597" s="55"/>
      <c r="W597" s="55"/>
      <c r="X597" s="55"/>
      <c r="Y597" s="55"/>
      <c r="Z597" s="55"/>
      <c r="AA597" s="55"/>
    </row>
    <row r="598">
      <c r="A598" s="55"/>
      <c r="B598" s="55"/>
      <c r="C598" s="55"/>
      <c r="D598" s="55"/>
      <c r="E598" s="55"/>
      <c r="F598" s="365"/>
      <c r="G598" s="55"/>
      <c r="H598" s="55"/>
      <c r="I598" s="360"/>
      <c r="J598" s="55"/>
      <c r="K598" s="55"/>
      <c r="L598" s="360"/>
      <c r="M598" s="55"/>
      <c r="N598" s="55"/>
      <c r="O598" s="360"/>
      <c r="P598" s="55"/>
      <c r="Q598" s="55"/>
      <c r="R598" s="360"/>
      <c r="S598" s="55"/>
      <c r="T598" s="350"/>
      <c r="U598" s="55"/>
      <c r="V598" s="55"/>
      <c r="W598" s="55"/>
      <c r="X598" s="55"/>
      <c r="Y598" s="55"/>
      <c r="Z598" s="55"/>
      <c r="AA598" s="55"/>
    </row>
    <row r="599">
      <c r="A599" s="55"/>
      <c r="B599" s="55"/>
      <c r="C599" s="55"/>
      <c r="D599" s="55"/>
      <c r="E599" s="55"/>
      <c r="F599" s="365"/>
      <c r="G599" s="55"/>
      <c r="H599" s="55"/>
      <c r="I599" s="360"/>
      <c r="J599" s="55"/>
      <c r="K599" s="55"/>
      <c r="L599" s="360"/>
      <c r="M599" s="55"/>
      <c r="N599" s="55"/>
      <c r="O599" s="360"/>
      <c r="P599" s="55"/>
      <c r="Q599" s="55"/>
      <c r="R599" s="360"/>
      <c r="S599" s="55"/>
      <c r="T599" s="350"/>
      <c r="U599" s="55"/>
      <c r="V599" s="55"/>
      <c r="W599" s="55"/>
      <c r="X599" s="55"/>
      <c r="Y599" s="55"/>
      <c r="Z599" s="55"/>
      <c r="AA599" s="55"/>
    </row>
    <row r="600">
      <c r="A600" s="55"/>
      <c r="B600" s="55"/>
      <c r="C600" s="55"/>
      <c r="D600" s="55"/>
      <c r="E600" s="55"/>
      <c r="F600" s="365"/>
      <c r="G600" s="55"/>
      <c r="H600" s="55"/>
      <c r="I600" s="360"/>
      <c r="J600" s="55"/>
      <c r="K600" s="55"/>
      <c r="L600" s="360"/>
      <c r="M600" s="55"/>
      <c r="N600" s="55"/>
      <c r="O600" s="360"/>
      <c r="P600" s="55"/>
      <c r="Q600" s="55"/>
      <c r="R600" s="360"/>
      <c r="S600" s="55"/>
      <c r="T600" s="350"/>
      <c r="U600" s="55"/>
      <c r="V600" s="55"/>
      <c r="W600" s="55"/>
      <c r="X600" s="55"/>
      <c r="Y600" s="55"/>
      <c r="Z600" s="55"/>
      <c r="AA600" s="55"/>
    </row>
    <row r="601">
      <c r="A601" s="55"/>
      <c r="B601" s="55"/>
      <c r="C601" s="55"/>
      <c r="D601" s="55"/>
      <c r="E601" s="55"/>
      <c r="F601" s="365"/>
      <c r="G601" s="55"/>
      <c r="H601" s="55"/>
      <c r="I601" s="360"/>
      <c r="J601" s="55"/>
      <c r="K601" s="55"/>
      <c r="L601" s="360"/>
      <c r="M601" s="55"/>
      <c r="N601" s="55"/>
      <c r="O601" s="360"/>
      <c r="P601" s="55"/>
      <c r="Q601" s="55"/>
      <c r="R601" s="360"/>
      <c r="S601" s="55"/>
      <c r="T601" s="350"/>
      <c r="U601" s="55"/>
      <c r="V601" s="55"/>
      <c r="W601" s="55"/>
      <c r="X601" s="55"/>
      <c r="Y601" s="55"/>
      <c r="Z601" s="55"/>
      <c r="AA601" s="55"/>
    </row>
    <row r="602">
      <c r="A602" s="55"/>
      <c r="B602" s="55"/>
      <c r="C602" s="55"/>
      <c r="D602" s="55"/>
      <c r="E602" s="55"/>
      <c r="F602" s="365"/>
      <c r="G602" s="55"/>
      <c r="H602" s="55"/>
      <c r="I602" s="360"/>
      <c r="J602" s="55"/>
      <c r="K602" s="55"/>
      <c r="L602" s="360"/>
      <c r="M602" s="55"/>
      <c r="N602" s="55"/>
      <c r="O602" s="360"/>
      <c r="P602" s="55"/>
      <c r="Q602" s="55"/>
      <c r="R602" s="360"/>
      <c r="S602" s="55"/>
      <c r="T602" s="350"/>
      <c r="U602" s="55"/>
      <c r="V602" s="55"/>
      <c r="W602" s="55"/>
      <c r="X602" s="55"/>
      <c r="Y602" s="55"/>
      <c r="Z602" s="55"/>
      <c r="AA602" s="55"/>
    </row>
    <row r="603">
      <c r="A603" s="55"/>
      <c r="B603" s="55"/>
      <c r="C603" s="55"/>
      <c r="D603" s="55"/>
      <c r="E603" s="55"/>
      <c r="F603" s="365"/>
      <c r="G603" s="55"/>
      <c r="H603" s="55"/>
      <c r="I603" s="360"/>
      <c r="J603" s="55"/>
      <c r="K603" s="55"/>
      <c r="L603" s="360"/>
      <c r="M603" s="55"/>
      <c r="N603" s="55"/>
      <c r="O603" s="360"/>
      <c r="P603" s="55"/>
      <c r="Q603" s="55"/>
      <c r="R603" s="360"/>
      <c r="S603" s="55"/>
      <c r="T603" s="350"/>
      <c r="U603" s="55"/>
      <c r="V603" s="55"/>
      <c r="W603" s="55"/>
      <c r="X603" s="55"/>
      <c r="Y603" s="55"/>
      <c r="Z603" s="55"/>
      <c r="AA603" s="55"/>
    </row>
    <row r="604">
      <c r="A604" s="55"/>
      <c r="B604" s="55"/>
      <c r="C604" s="55"/>
      <c r="D604" s="55"/>
      <c r="E604" s="55"/>
      <c r="F604" s="365"/>
      <c r="G604" s="55"/>
      <c r="H604" s="55"/>
      <c r="I604" s="360"/>
      <c r="J604" s="55"/>
      <c r="K604" s="55"/>
      <c r="L604" s="360"/>
      <c r="M604" s="55"/>
      <c r="N604" s="55"/>
      <c r="O604" s="360"/>
      <c r="P604" s="55"/>
      <c r="Q604" s="55"/>
      <c r="R604" s="360"/>
      <c r="S604" s="55"/>
      <c r="T604" s="350"/>
      <c r="U604" s="55"/>
      <c r="V604" s="55"/>
      <c r="W604" s="55"/>
      <c r="X604" s="55"/>
      <c r="Y604" s="55"/>
      <c r="Z604" s="55"/>
      <c r="AA604" s="55"/>
    </row>
    <row r="605">
      <c r="A605" s="55"/>
      <c r="B605" s="55"/>
      <c r="C605" s="55"/>
      <c r="D605" s="55"/>
      <c r="E605" s="55"/>
      <c r="F605" s="365"/>
      <c r="G605" s="55"/>
      <c r="H605" s="55"/>
      <c r="I605" s="360"/>
      <c r="J605" s="55"/>
      <c r="K605" s="55"/>
      <c r="L605" s="360"/>
      <c r="M605" s="55"/>
      <c r="N605" s="55"/>
      <c r="O605" s="360"/>
      <c r="P605" s="55"/>
      <c r="Q605" s="55"/>
      <c r="R605" s="360"/>
      <c r="S605" s="55"/>
      <c r="T605" s="350"/>
      <c r="U605" s="55"/>
      <c r="V605" s="55"/>
      <c r="W605" s="55"/>
      <c r="X605" s="55"/>
      <c r="Y605" s="55"/>
      <c r="Z605" s="55"/>
      <c r="AA605" s="55"/>
    </row>
    <row r="606">
      <c r="A606" s="55"/>
      <c r="B606" s="55"/>
      <c r="C606" s="55"/>
      <c r="D606" s="55"/>
      <c r="E606" s="55"/>
      <c r="F606" s="365"/>
      <c r="G606" s="55"/>
      <c r="H606" s="55"/>
      <c r="I606" s="360"/>
      <c r="J606" s="55"/>
      <c r="K606" s="55"/>
      <c r="L606" s="360"/>
      <c r="M606" s="55"/>
      <c r="N606" s="55"/>
      <c r="O606" s="360"/>
      <c r="P606" s="55"/>
      <c r="Q606" s="55"/>
      <c r="R606" s="360"/>
      <c r="S606" s="55"/>
      <c r="T606" s="350"/>
      <c r="U606" s="55"/>
      <c r="V606" s="55"/>
      <c r="W606" s="55"/>
      <c r="X606" s="55"/>
      <c r="Y606" s="55"/>
      <c r="Z606" s="55"/>
      <c r="AA606" s="55"/>
    </row>
    <row r="607">
      <c r="A607" s="55"/>
      <c r="B607" s="55"/>
      <c r="C607" s="55"/>
      <c r="D607" s="55"/>
      <c r="E607" s="55"/>
      <c r="F607" s="365"/>
      <c r="G607" s="55"/>
      <c r="H607" s="55"/>
      <c r="I607" s="360"/>
      <c r="J607" s="55"/>
      <c r="K607" s="55"/>
      <c r="L607" s="360"/>
      <c r="M607" s="55"/>
      <c r="N607" s="55"/>
      <c r="O607" s="360"/>
      <c r="P607" s="55"/>
      <c r="Q607" s="55"/>
      <c r="R607" s="360"/>
      <c r="S607" s="55"/>
      <c r="T607" s="350"/>
      <c r="U607" s="55"/>
      <c r="V607" s="55"/>
      <c r="W607" s="55"/>
      <c r="X607" s="55"/>
      <c r="Y607" s="55"/>
      <c r="Z607" s="55"/>
      <c r="AA607" s="55"/>
    </row>
    <row r="608">
      <c r="A608" s="55"/>
      <c r="B608" s="55"/>
      <c r="C608" s="55"/>
      <c r="D608" s="55"/>
      <c r="E608" s="55"/>
      <c r="F608" s="365"/>
      <c r="G608" s="55"/>
      <c r="H608" s="55"/>
      <c r="I608" s="360"/>
      <c r="J608" s="55"/>
      <c r="K608" s="55"/>
      <c r="L608" s="360"/>
      <c r="M608" s="55"/>
      <c r="N608" s="55"/>
      <c r="O608" s="360"/>
      <c r="P608" s="55"/>
      <c r="Q608" s="55"/>
      <c r="R608" s="360"/>
      <c r="S608" s="55"/>
      <c r="T608" s="350"/>
      <c r="U608" s="55"/>
      <c r="V608" s="55"/>
      <c r="W608" s="55"/>
      <c r="X608" s="55"/>
      <c r="Y608" s="55"/>
      <c r="Z608" s="55"/>
      <c r="AA608" s="55"/>
    </row>
    <row r="609">
      <c r="A609" s="55"/>
      <c r="B609" s="55"/>
      <c r="C609" s="55"/>
      <c r="D609" s="55"/>
      <c r="E609" s="55"/>
      <c r="F609" s="365"/>
      <c r="G609" s="55"/>
      <c r="H609" s="55"/>
      <c r="I609" s="360"/>
      <c r="J609" s="55"/>
      <c r="K609" s="55"/>
      <c r="L609" s="360"/>
      <c r="M609" s="55"/>
      <c r="N609" s="55"/>
      <c r="O609" s="360"/>
      <c r="P609" s="55"/>
      <c r="Q609" s="55"/>
      <c r="R609" s="360"/>
      <c r="S609" s="55"/>
      <c r="T609" s="350"/>
      <c r="U609" s="55"/>
      <c r="V609" s="55"/>
      <c r="W609" s="55"/>
      <c r="X609" s="55"/>
      <c r="Y609" s="55"/>
      <c r="Z609" s="55"/>
      <c r="AA609" s="55"/>
    </row>
    <row r="610">
      <c r="A610" s="55"/>
      <c r="B610" s="55"/>
      <c r="C610" s="55"/>
      <c r="D610" s="55"/>
      <c r="E610" s="55"/>
      <c r="F610" s="365"/>
      <c r="G610" s="55"/>
      <c r="H610" s="55"/>
      <c r="I610" s="360"/>
      <c r="J610" s="55"/>
      <c r="K610" s="55"/>
      <c r="L610" s="360"/>
      <c r="M610" s="55"/>
      <c r="N610" s="55"/>
      <c r="O610" s="360"/>
      <c r="P610" s="55"/>
      <c r="Q610" s="55"/>
      <c r="R610" s="360"/>
      <c r="S610" s="55"/>
      <c r="T610" s="350"/>
      <c r="U610" s="55"/>
      <c r="V610" s="55"/>
      <c r="W610" s="55"/>
      <c r="X610" s="55"/>
      <c r="Y610" s="55"/>
      <c r="Z610" s="55"/>
      <c r="AA610" s="55"/>
    </row>
    <row r="611">
      <c r="A611" s="55"/>
      <c r="B611" s="55"/>
      <c r="C611" s="55"/>
      <c r="D611" s="55"/>
      <c r="E611" s="55"/>
      <c r="F611" s="365"/>
      <c r="G611" s="55"/>
      <c r="H611" s="55"/>
      <c r="I611" s="360"/>
      <c r="J611" s="55"/>
      <c r="K611" s="55"/>
      <c r="L611" s="360"/>
      <c r="M611" s="55"/>
      <c r="N611" s="55"/>
      <c r="O611" s="360"/>
      <c r="P611" s="55"/>
      <c r="Q611" s="55"/>
      <c r="R611" s="360"/>
      <c r="S611" s="55"/>
      <c r="T611" s="350"/>
      <c r="U611" s="55"/>
      <c r="V611" s="55"/>
      <c r="W611" s="55"/>
      <c r="X611" s="55"/>
      <c r="Y611" s="55"/>
      <c r="Z611" s="55"/>
      <c r="AA611" s="55"/>
    </row>
    <row r="612">
      <c r="A612" s="55"/>
      <c r="B612" s="55"/>
      <c r="C612" s="55"/>
      <c r="D612" s="55"/>
      <c r="E612" s="55"/>
      <c r="F612" s="365"/>
      <c r="G612" s="55"/>
      <c r="H612" s="55"/>
      <c r="I612" s="360"/>
      <c r="J612" s="55"/>
      <c r="K612" s="55"/>
      <c r="L612" s="360"/>
      <c r="M612" s="55"/>
      <c r="N612" s="55"/>
      <c r="O612" s="360"/>
      <c r="P612" s="55"/>
      <c r="Q612" s="55"/>
      <c r="R612" s="360"/>
      <c r="S612" s="55"/>
      <c r="T612" s="350"/>
      <c r="U612" s="55"/>
      <c r="V612" s="55"/>
      <c r="W612" s="55"/>
      <c r="X612" s="55"/>
      <c r="Y612" s="55"/>
      <c r="Z612" s="55"/>
      <c r="AA612" s="55"/>
    </row>
    <row r="613">
      <c r="A613" s="55"/>
      <c r="B613" s="55"/>
      <c r="C613" s="55"/>
      <c r="D613" s="55"/>
      <c r="E613" s="55"/>
      <c r="F613" s="365"/>
      <c r="G613" s="55"/>
      <c r="H613" s="55"/>
      <c r="I613" s="360"/>
      <c r="J613" s="55"/>
      <c r="K613" s="55"/>
      <c r="L613" s="360"/>
      <c r="M613" s="55"/>
      <c r="N613" s="55"/>
      <c r="O613" s="360"/>
      <c r="P613" s="55"/>
      <c r="Q613" s="55"/>
      <c r="R613" s="360"/>
      <c r="S613" s="55"/>
      <c r="T613" s="350"/>
      <c r="U613" s="55"/>
      <c r="V613" s="55"/>
      <c r="W613" s="55"/>
      <c r="X613" s="55"/>
      <c r="Y613" s="55"/>
      <c r="Z613" s="55"/>
      <c r="AA613" s="55"/>
    </row>
    <row r="614">
      <c r="A614" s="55"/>
      <c r="B614" s="55"/>
      <c r="C614" s="55"/>
      <c r="D614" s="55"/>
      <c r="E614" s="55"/>
      <c r="F614" s="365"/>
      <c r="G614" s="55"/>
      <c r="H614" s="55"/>
      <c r="I614" s="360"/>
      <c r="J614" s="55"/>
      <c r="K614" s="55"/>
      <c r="L614" s="360"/>
      <c r="M614" s="55"/>
      <c r="N614" s="55"/>
      <c r="O614" s="360"/>
      <c r="P614" s="55"/>
      <c r="Q614" s="55"/>
      <c r="R614" s="360"/>
      <c r="S614" s="55"/>
      <c r="T614" s="350"/>
      <c r="U614" s="55"/>
      <c r="V614" s="55"/>
      <c r="W614" s="55"/>
      <c r="X614" s="55"/>
      <c r="Y614" s="55"/>
      <c r="Z614" s="55"/>
      <c r="AA614" s="55"/>
    </row>
    <row r="615">
      <c r="A615" s="55"/>
      <c r="B615" s="55"/>
      <c r="C615" s="55"/>
      <c r="D615" s="55"/>
      <c r="E615" s="55"/>
      <c r="F615" s="365"/>
      <c r="G615" s="55"/>
      <c r="H615" s="55"/>
      <c r="I615" s="360"/>
      <c r="J615" s="55"/>
      <c r="K615" s="55"/>
      <c r="L615" s="360"/>
      <c r="M615" s="55"/>
      <c r="N615" s="55"/>
      <c r="O615" s="360"/>
      <c r="P615" s="55"/>
      <c r="Q615" s="55"/>
      <c r="R615" s="360"/>
      <c r="S615" s="55"/>
      <c r="T615" s="350"/>
      <c r="U615" s="55"/>
      <c r="V615" s="55"/>
      <c r="W615" s="55"/>
      <c r="X615" s="55"/>
      <c r="Y615" s="55"/>
      <c r="Z615" s="55"/>
      <c r="AA615" s="55"/>
    </row>
    <row r="616">
      <c r="A616" s="55"/>
      <c r="B616" s="55"/>
      <c r="C616" s="55"/>
      <c r="D616" s="55"/>
      <c r="E616" s="55"/>
      <c r="F616" s="365"/>
      <c r="G616" s="55"/>
      <c r="H616" s="55"/>
      <c r="I616" s="360"/>
      <c r="J616" s="55"/>
      <c r="K616" s="55"/>
      <c r="L616" s="360"/>
      <c r="M616" s="55"/>
      <c r="N616" s="55"/>
      <c r="O616" s="360"/>
      <c r="P616" s="55"/>
      <c r="Q616" s="55"/>
      <c r="R616" s="360"/>
      <c r="S616" s="55"/>
      <c r="T616" s="350"/>
      <c r="U616" s="55"/>
      <c r="V616" s="55"/>
      <c r="W616" s="55"/>
      <c r="X616" s="55"/>
      <c r="Y616" s="55"/>
      <c r="Z616" s="55"/>
      <c r="AA616" s="55"/>
    </row>
    <row r="617">
      <c r="A617" s="55"/>
      <c r="B617" s="55"/>
      <c r="C617" s="55"/>
      <c r="D617" s="55"/>
      <c r="E617" s="55"/>
      <c r="F617" s="365"/>
      <c r="G617" s="55"/>
      <c r="H617" s="55"/>
      <c r="I617" s="360"/>
      <c r="J617" s="55"/>
      <c r="K617" s="55"/>
      <c r="L617" s="360"/>
      <c r="M617" s="55"/>
      <c r="N617" s="55"/>
      <c r="O617" s="360"/>
      <c r="P617" s="55"/>
      <c r="Q617" s="55"/>
      <c r="R617" s="360"/>
      <c r="S617" s="55"/>
      <c r="T617" s="350"/>
      <c r="U617" s="55"/>
      <c r="V617" s="55"/>
      <c r="W617" s="55"/>
      <c r="X617" s="55"/>
      <c r="Y617" s="55"/>
      <c r="Z617" s="55"/>
      <c r="AA617" s="55"/>
    </row>
    <row r="618">
      <c r="A618" s="55"/>
      <c r="B618" s="55"/>
      <c r="C618" s="55"/>
      <c r="D618" s="55"/>
      <c r="E618" s="55"/>
      <c r="F618" s="365"/>
      <c r="G618" s="55"/>
      <c r="H618" s="55"/>
      <c r="I618" s="360"/>
      <c r="J618" s="55"/>
      <c r="K618" s="55"/>
      <c r="L618" s="360"/>
      <c r="M618" s="55"/>
      <c r="N618" s="55"/>
      <c r="O618" s="360"/>
      <c r="P618" s="55"/>
      <c r="Q618" s="55"/>
      <c r="R618" s="360"/>
      <c r="S618" s="55"/>
      <c r="T618" s="350"/>
      <c r="U618" s="55"/>
      <c r="V618" s="55"/>
      <c r="W618" s="55"/>
      <c r="X618" s="55"/>
      <c r="Y618" s="55"/>
      <c r="Z618" s="55"/>
      <c r="AA618" s="55"/>
    </row>
    <row r="619">
      <c r="A619" s="55"/>
      <c r="B619" s="55"/>
      <c r="C619" s="55"/>
      <c r="D619" s="55"/>
      <c r="E619" s="55"/>
      <c r="F619" s="365"/>
      <c r="G619" s="55"/>
      <c r="H619" s="55"/>
      <c r="I619" s="360"/>
      <c r="J619" s="55"/>
      <c r="K619" s="55"/>
      <c r="L619" s="360"/>
      <c r="M619" s="55"/>
      <c r="N619" s="55"/>
      <c r="O619" s="360"/>
      <c r="P619" s="55"/>
      <c r="Q619" s="55"/>
      <c r="R619" s="360"/>
      <c r="S619" s="55"/>
      <c r="T619" s="350"/>
      <c r="U619" s="55"/>
      <c r="V619" s="55"/>
      <c r="W619" s="55"/>
      <c r="X619" s="55"/>
      <c r="Y619" s="55"/>
      <c r="Z619" s="55"/>
      <c r="AA619" s="55"/>
    </row>
    <row r="620">
      <c r="A620" s="55"/>
      <c r="B620" s="55"/>
      <c r="C620" s="55"/>
      <c r="D620" s="55"/>
      <c r="E620" s="55"/>
      <c r="F620" s="365"/>
      <c r="G620" s="55"/>
      <c r="H620" s="55"/>
      <c r="I620" s="360"/>
      <c r="J620" s="55"/>
      <c r="K620" s="55"/>
      <c r="L620" s="360"/>
      <c r="M620" s="55"/>
      <c r="N620" s="55"/>
      <c r="O620" s="360"/>
      <c r="P620" s="55"/>
      <c r="Q620" s="55"/>
      <c r="R620" s="360"/>
      <c r="S620" s="55"/>
      <c r="T620" s="350"/>
      <c r="U620" s="55"/>
      <c r="V620" s="55"/>
      <c r="W620" s="55"/>
      <c r="X620" s="55"/>
      <c r="Y620" s="55"/>
      <c r="Z620" s="55"/>
      <c r="AA620" s="55"/>
    </row>
    <row r="621">
      <c r="A621" s="55"/>
      <c r="B621" s="55"/>
      <c r="C621" s="55"/>
      <c r="D621" s="55"/>
      <c r="E621" s="55"/>
      <c r="F621" s="365"/>
      <c r="G621" s="55"/>
      <c r="H621" s="55"/>
      <c r="I621" s="360"/>
      <c r="J621" s="55"/>
      <c r="K621" s="55"/>
      <c r="L621" s="360"/>
      <c r="M621" s="55"/>
      <c r="N621" s="55"/>
      <c r="O621" s="360"/>
      <c r="P621" s="55"/>
      <c r="Q621" s="55"/>
      <c r="R621" s="360"/>
      <c r="S621" s="55"/>
      <c r="T621" s="350"/>
      <c r="U621" s="55"/>
      <c r="V621" s="55"/>
      <c r="W621" s="55"/>
      <c r="X621" s="55"/>
      <c r="Y621" s="55"/>
      <c r="Z621" s="55"/>
      <c r="AA621" s="55"/>
    </row>
    <row r="622">
      <c r="A622" s="55"/>
      <c r="B622" s="55"/>
      <c r="C622" s="55"/>
      <c r="D622" s="55"/>
      <c r="E622" s="55"/>
      <c r="F622" s="365"/>
      <c r="G622" s="55"/>
      <c r="H622" s="55"/>
      <c r="I622" s="360"/>
      <c r="J622" s="55"/>
      <c r="K622" s="55"/>
      <c r="L622" s="360"/>
      <c r="M622" s="55"/>
      <c r="N622" s="55"/>
      <c r="O622" s="360"/>
      <c r="P622" s="55"/>
      <c r="Q622" s="55"/>
      <c r="R622" s="360"/>
      <c r="S622" s="55"/>
      <c r="T622" s="350"/>
      <c r="U622" s="55"/>
      <c r="V622" s="55"/>
      <c r="W622" s="55"/>
      <c r="X622" s="55"/>
      <c r="Y622" s="55"/>
      <c r="Z622" s="55"/>
      <c r="AA622" s="55"/>
    </row>
    <row r="623">
      <c r="A623" s="55"/>
      <c r="B623" s="55"/>
      <c r="C623" s="55"/>
      <c r="D623" s="55"/>
      <c r="E623" s="55"/>
      <c r="F623" s="365"/>
      <c r="G623" s="55"/>
      <c r="H623" s="55"/>
      <c r="I623" s="360"/>
      <c r="J623" s="55"/>
      <c r="K623" s="55"/>
      <c r="L623" s="360"/>
      <c r="M623" s="55"/>
      <c r="N623" s="55"/>
      <c r="O623" s="360"/>
      <c r="P623" s="55"/>
      <c r="Q623" s="55"/>
      <c r="R623" s="360"/>
      <c r="S623" s="55"/>
      <c r="T623" s="350"/>
      <c r="U623" s="55"/>
      <c r="V623" s="55"/>
      <c r="W623" s="55"/>
      <c r="X623" s="55"/>
      <c r="Y623" s="55"/>
      <c r="Z623" s="55"/>
      <c r="AA623" s="55"/>
    </row>
    <row r="624">
      <c r="A624" s="55"/>
      <c r="B624" s="55"/>
      <c r="C624" s="55"/>
      <c r="D624" s="55"/>
      <c r="E624" s="55"/>
      <c r="F624" s="365"/>
      <c r="G624" s="55"/>
      <c r="H624" s="55"/>
      <c r="I624" s="360"/>
      <c r="J624" s="55"/>
      <c r="K624" s="55"/>
      <c r="L624" s="360"/>
      <c r="M624" s="55"/>
      <c r="N624" s="55"/>
      <c r="O624" s="360"/>
      <c r="P624" s="55"/>
      <c r="Q624" s="55"/>
      <c r="R624" s="360"/>
      <c r="S624" s="55"/>
      <c r="T624" s="350"/>
      <c r="U624" s="55"/>
      <c r="V624" s="55"/>
      <c r="W624" s="55"/>
      <c r="X624" s="55"/>
      <c r="Y624" s="55"/>
      <c r="Z624" s="55"/>
      <c r="AA624" s="55"/>
    </row>
    <row r="625">
      <c r="A625" s="55"/>
      <c r="B625" s="55"/>
      <c r="C625" s="55"/>
      <c r="D625" s="55"/>
      <c r="E625" s="55"/>
      <c r="F625" s="365"/>
      <c r="G625" s="55"/>
      <c r="H625" s="55"/>
      <c r="I625" s="360"/>
      <c r="J625" s="55"/>
      <c r="K625" s="55"/>
      <c r="L625" s="360"/>
      <c r="M625" s="55"/>
      <c r="N625" s="55"/>
      <c r="O625" s="360"/>
      <c r="P625" s="55"/>
      <c r="Q625" s="55"/>
      <c r="R625" s="360"/>
      <c r="S625" s="55"/>
      <c r="T625" s="350"/>
      <c r="U625" s="55"/>
      <c r="V625" s="55"/>
      <c r="W625" s="55"/>
      <c r="X625" s="55"/>
      <c r="Y625" s="55"/>
      <c r="Z625" s="55"/>
      <c r="AA625" s="55"/>
    </row>
    <row r="626">
      <c r="A626" s="55"/>
      <c r="B626" s="55"/>
      <c r="C626" s="55"/>
      <c r="D626" s="55"/>
      <c r="E626" s="55"/>
      <c r="F626" s="365"/>
      <c r="G626" s="55"/>
      <c r="H626" s="55"/>
      <c r="I626" s="360"/>
      <c r="J626" s="55"/>
      <c r="K626" s="55"/>
      <c r="L626" s="360"/>
      <c r="M626" s="55"/>
      <c r="N626" s="55"/>
      <c r="O626" s="360"/>
      <c r="P626" s="55"/>
      <c r="Q626" s="55"/>
      <c r="R626" s="360"/>
      <c r="S626" s="55"/>
      <c r="T626" s="350"/>
      <c r="U626" s="55"/>
      <c r="V626" s="55"/>
      <c r="W626" s="55"/>
      <c r="X626" s="55"/>
      <c r="Y626" s="55"/>
      <c r="Z626" s="55"/>
      <c r="AA626" s="55"/>
    </row>
    <row r="627">
      <c r="A627" s="55"/>
      <c r="B627" s="55"/>
      <c r="C627" s="55"/>
      <c r="D627" s="55"/>
      <c r="E627" s="55"/>
      <c r="F627" s="365"/>
      <c r="G627" s="55"/>
      <c r="H627" s="55"/>
      <c r="I627" s="360"/>
      <c r="J627" s="55"/>
      <c r="K627" s="55"/>
      <c r="L627" s="360"/>
      <c r="M627" s="55"/>
      <c r="N627" s="55"/>
      <c r="O627" s="360"/>
      <c r="P627" s="55"/>
      <c r="Q627" s="55"/>
      <c r="R627" s="360"/>
      <c r="S627" s="55"/>
      <c r="T627" s="350"/>
      <c r="U627" s="55"/>
      <c r="V627" s="55"/>
      <c r="W627" s="55"/>
      <c r="X627" s="55"/>
      <c r="Y627" s="55"/>
      <c r="Z627" s="55"/>
      <c r="AA627" s="55"/>
    </row>
    <row r="628">
      <c r="A628" s="55"/>
      <c r="B628" s="55"/>
      <c r="C628" s="55"/>
      <c r="D628" s="55"/>
      <c r="E628" s="55"/>
      <c r="F628" s="365"/>
      <c r="G628" s="55"/>
      <c r="H628" s="55"/>
      <c r="I628" s="360"/>
      <c r="J628" s="55"/>
      <c r="K628" s="55"/>
      <c r="L628" s="360"/>
      <c r="M628" s="55"/>
      <c r="N628" s="55"/>
      <c r="O628" s="360"/>
      <c r="P628" s="55"/>
      <c r="Q628" s="55"/>
      <c r="R628" s="360"/>
      <c r="S628" s="55"/>
      <c r="T628" s="350"/>
      <c r="U628" s="55"/>
      <c r="V628" s="55"/>
      <c r="W628" s="55"/>
      <c r="X628" s="55"/>
      <c r="Y628" s="55"/>
      <c r="Z628" s="55"/>
      <c r="AA628" s="55"/>
    </row>
    <row r="629">
      <c r="A629" s="55"/>
      <c r="B629" s="55"/>
      <c r="C629" s="55"/>
      <c r="D629" s="55"/>
      <c r="E629" s="55"/>
      <c r="F629" s="365"/>
      <c r="G629" s="55"/>
      <c r="H629" s="55"/>
      <c r="I629" s="360"/>
      <c r="J629" s="55"/>
      <c r="K629" s="55"/>
      <c r="L629" s="360"/>
      <c r="M629" s="55"/>
      <c r="N629" s="55"/>
      <c r="O629" s="360"/>
      <c r="P629" s="55"/>
      <c r="Q629" s="55"/>
      <c r="R629" s="360"/>
      <c r="S629" s="55"/>
      <c r="T629" s="350"/>
      <c r="U629" s="55"/>
      <c r="V629" s="55"/>
      <c r="W629" s="55"/>
      <c r="X629" s="55"/>
      <c r="Y629" s="55"/>
      <c r="Z629" s="55"/>
      <c r="AA629" s="55"/>
    </row>
    <row r="630">
      <c r="A630" s="55"/>
      <c r="B630" s="55"/>
      <c r="C630" s="55"/>
      <c r="D630" s="55"/>
      <c r="E630" s="55"/>
      <c r="F630" s="365"/>
      <c r="G630" s="55"/>
      <c r="H630" s="55"/>
      <c r="I630" s="360"/>
      <c r="J630" s="55"/>
      <c r="K630" s="55"/>
      <c r="L630" s="360"/>
      <c r="M630" s="55"/>
      <c r="N630" s="55"/>
      <c r="O630" s="360"/>
      <c r="P630" s="55"/>
      <c r="Q630" s="55"/>
      <c r="R630" s="360"/>
      <c r="S630" s="55"/>
      <c r="T630" s="350"/>
      <c r="U630" s="55"/>
      <c r="V630" s="55"/>
      <c r="W630" s="55"/>
      <c r="X630" s="55"/>
      <c r="Y630" s="55"/>
      <c r="Z630" s="55"/>
      <c r="AA630" s="55"/>
    </row>
    <row r="631">
      <c r="A631" s="55"/>
      <c r="B631" s="55"/>
      <c r="C631" s="55"/>
      <c r="D631" s="55"/>
      <c r="E631" s="55"/>
      <c r="F631" s="365"/>
      <c r="G631" s="55"/>
      <c r="H631" s="55"/>
      <c r="I631" s="360"/>
      <c r="J631" s="55"/>
      <c r="K631" s="55"/>
      <c r="L631" s="360"/>
      <c r="M631" s="55"/>
      <c r="N631" s="55"/>
      <c r="O631" s="360"/>
      <c r="P631" s="55"/>
      <c r="Q631" s="55"/>
      <c r="R631" s="360"/>
      <c r="S631" s="55"/>
      <c r="T631" s="350"/>
      <c r="U631" s="55"/>
      <c r="V631" s="55"/>
      <c r="W631" s="55"/>
      <c r="X631" s="55"/>
      <c r="Y631" s="55"/>
      <c r="Z631" s="55"/>
      <c r="AA631" s="55"/>
    </row>
    <row r="632">
      <c r="A632" s="55"/>
      <c r="B632" s="55"/>
      <c r="C632" s="55"/>
      <c r="D632" s="55"/>
      <c r="E632" s="55"/>
      <c r="F632" s="365"/>
      <c r="G632" s="55"/>
      <c r="H632" s="55"/>
      <c r="I632" s="360"/>
      <c r="J632" s="55"/>
      <c r="K632" s="55"/>
      <c r="L632" s="360"/>
      <c r="M632" s="55"/>
      <c r="N632" s="55"/>
      <c r="O632" s="360"/>
      <c r="P632" s="55"/>
      <c r="Q632" s="55"/>
      <c r="R632" s="360"/>
      <c r="S632" s="55"/>
      <c r="T632" s="350"/>
      <c r="U632" s="55"/>
      <c r="V632" s="55"/>
      <c r="W632" s="55"/>
      <c r="X632" s="55"/>
      <c r="Y632" s="55"/>
      <c r="Z632" s="55"/>
      <c r="AA632" s="55"/>
    </row>
    <row r="633">
      <c r="A633" s="55"/>
      <c r="B633" s="55"/>
      <c r="C633" s="55"/>
      <c r="D633" s="55"/>
      <c r="E633" s="55"/>
      <c r="F633" s="365"/>
      <c r="G633" s="55"/>
      <c r="H633" s="55"/>
      <c r="I633" s="360"/>
      <c r="J633" s="55"/>
      <c r="K633" s="55"/>
      <c r="L633" s="360"/>
      <c r="M633" s="55"/>
      <c r="N633" s="55"/>
      <c r="O633" s="360"/>
      <c r="P633" s="55"/>
      <c r="Q633" s="55"/>
      <c r="R633" s="360"/>
      <c r="S633" s="55"/>
      <c r="T633" s="350"/>
      <c r="U633" s="55"/>
      <c r="V633" s="55"/>
      <c r="W633" s="55"/>
      <c r="X633" s="55"/>
      <c r="Y633" s="55"/>
      <c r="Z633" s="55"/>
      <c r="AA633" s="55"/>
    </row>
    <row r="634">
      <c r="A634" s="55"/>
      <c r="B634" s="55"/>
      <c r="C634" s="55"/>
      <c r="D634" s="55"/>
      <c r="E634" s="55"/>
      <c r="F634" s="365"/>
      <c r="G634" s="55"/>
      <c r="H634" s="55"/>
      <c r="I634" s="360"/>
      <c r="J634" s="55"/>
      <c r="K634" s="55"/>
      <c r="L634" s="360"/>
      <c r="M634" s="55"/>
      <c r="N634" s="55"/>
      <c r="O634" s="360"/>
      <c r="P634" s="55"/>
      <c r="Q634" s="55"/>
      <c r="R634" s="360"/>
      <c r="S634" s="55"/>
      <c r="T634" s="350"/>
      <c r="U634" s="55"/>
      <c r="V634" s="55"/>
      <c r="W634" s="55"/>
      <c r="X634" s="55"/>
      <c r="Y634" s="55"/>
      <c r="Z634" s="55"/>
      <c r="AA634" s="55"/>
    </row>
    <row r="635">
      <c r="A635" s="55"/>
      <c r="B635" s="55"/>
      <c r="C635" s="55"/>
      <c r="D635" s="55"/>
      <c r="E635" s="55"/>
      <c r="F635" s="365"/>
      <c r="G635" s="55"/>
      <c r="H635" s="55"/>
      <c r="I635" s="360"/>
      <c r="J635" s="55"/>
      <c r="K635" s="55"/>
      <c r="L635" s="360"/>
      <c r="M635" s="55"/>
      <c r="N635" s="55"/>
      <c r="O635" s="360"/>
      <c r="P635" s="55"/>
      <c r="Q635" s="55"/>
      <c r="R635" s="360"/>
      <c r="S635" s="55"/>
      <c r="T635" s="350"/>
      <c r="U635" s="55"/>
      <c r="V635" s="55"/>
      <c r="W635" s="55"/>
      <c r="X635" s="55"/>
      <c r="Y635" s="55"/>
      <c r="Z635" s="55"/>
      <c r="AA635" s="55"/>
    </row>
    <row r="636">
      <c r="A636" s="55"/>
      <c r="B636" s="55"/>
      <c r="C636" s="55"/>
      <c r="D636" s="55"/>
      <c r="E636" s="55"/>
      <c r="F636" s="365"/>
      <c r="G636" s="55"/>
      <c r="H636" s="55"/>
      <c r="I636" s="360"/>
      <c r="J636" s="55"/>
      <c r="K636" s="55"/>
      <c r="L636" s="360"/>
      <c r="M636" s="55"/>
      <c r="N636" s="55"/>
      <c r="O636" s="360"/>
      <c r="P636" s="55"/>
      <c r="Q636" s="55"/>
      <c r="R636" s="360"/>
      <c r="S636" s="55"/>
      <c r="T636" s="350"/>
      <c r="U636" s="55"/>
      <c r="V636" s="55"/>
      <c r="W636" s="55"/>
      <c r="X636" s="55"/>
      <c r="Y636" s="55"/>
      <c r="Z636" s="55"/>
      <c r="AA636" s="55"/>
    </row>
    <row r="637">
      <c r="A637" s="55"/>
      <c r="B637" s="55"/>
      <c r="C637" s="55"/>
      <c r="D637" s="55"/>
      <c r="E637" s="55"/>
      <c r="F637" s="365"/>
      <c r="G637" s="55"/>
      <c r="H637" s="55"/>
      <c r="I637" s="360"/>
      <c r="J637" s="55"/>
      <c r="K637" s="55"/>
      <c r="L637" s="360"/>
      <c r="M637" s="55"/>
      <c r="N637" s="55"/>
      <c r="O637" s="360"/>
      <c r="P637" s="55"/>
      <c r="Q637" s="55"/>
      <c r="R637" s="360"/>
      <c r="S637" s="55"/>
      <c r="T637" s="350"/>
      <c r="U637" s="55"/>
      <c r="V637" s="55"/>
      <c r="W637" s="55"/>
      <c r="X637" s="55"/>
      <c r="Y637" s="55"/>
      <c r="Z637" s="55"/>
      <c r="AA637" s="55"/>
    </row>
    <row r="638">
      <c r="A638" s="55"/>
      <c r="B638" s="55"/>
      <c r="C638" s="55"/>
      <c r="D638" s="55"/>
      <c r="E638" s="55"/>
      <c r="F638" s="365"/>
      <c r="G638" s="55"/>
      <c r="H638" s="55"/>
      <c r="I638" s="360"/>
      <c r="J638" s="55"/>
      <c r="K638" s="55"/>
      <c r="L638" s="360"/>
      <c r="M638" s="55"/>
      <c r="N638" s="55"/>
      <c r="O638" s="360"/>
      <c r="P638" s="55"/>
      <c r="Q638" s="55"/>
      <c r="R638" s="360"/>
      <c r="S638" s="55"/>
      <c r="T638" s="350"/>
      <c r="U638" s="55"/>
      <c r="V638" s="55"/>
      <c r="W638" s="55"/>
      <c r="X638" s="55"/>
      <c r="Y638" s="55"/>
      <c r="Z638" s="55"/>
      <c r="AA638" s="55"/>
    </row>
    <row r="639">
      <c r="A639" s="55"/>
      <c r="B639" s="55"/>
      <c r="C639" s="55"/>
      <c r="D639" s="55"/>
      <c r="E639" s="55"/>
      <c r="F639" s="365"/>
      <c r="G639" s="55"/>
      <c r="H639" s="55"/>
      <c r="I639" s="360"/>
      <c r="J639" s="55"/>
      <c r="K639" s="55"/>
      <c r="L639" s="360"/>
      <c r="M639" s="55"/>
      <c r="N639" s="55"/>
      <c r="O639" s="360"/>
      <c r="P639" s="55"/>
      <c r="Q639" s="55"/>
      <c r="R639" s="360"/>
      <c r="S639" s="55"/>
      <c r="T639" s="350"/>
      <c r="U639" s="55"/>
      <c r="V639" s="55"/>
      <c r="W639" s="55"/>
      <c r="X639" s="55"/>
      <c r="Y639" s="55"/>
      <c r="Z639" s="55"/>
      <c r="AA639" s="55"/>
    </row>
    <row r="640">
      <c r="A640" s="55"/>
      <c r="B640" s="55"/>
      <c r="C640" s="55"/>
      <c r="D640" s="55"/>
      <c r="E640" s="55"/>
      <c r="F640" s="365"/>
      <c r="G640" s="55"/>
      <c r="H640" s="55"/>
      <c r="I640" s="360"/>
      <c r="J640" s="55"/>
      <c r="K640" s="55"/>
      <c r="L640" s="360"/>
      <c r="M640" s="55"/>
      <c r="N640" s="55"/>
      <c r="O640" s="360"/>
      <c r="P640" s="55"/>
      <c r="Q640" s="55"/>
      <c r="R640" s="360"/>
      <c r="S640" s="55"/>
      <c r="T640" s="350"/>
      <c r="U640" s="55"/>
      <c r="V640" s="55"/>
      <c r="W640" s="55"/>
      <c r="X640" s="55"/>
      <c r="Y640" s="55"/>
      <c r="Z640" s="55"/>
      <c r="AA640" s="55"/>
    </row>
    <row r="641">
      <c r="A641" s="55"/>
      <c r="B641" s="55"/>
      <c r="C641" s="55"/>
      <c r="D641" s="55"/>
      <c r="E641" s="55"/>
      <c r="F641" s="365"/>
      <c r="G641" s="55"/>
      <c r="H641" s="55"/>
      <c r="I641" s="360"/>
      <c r="J641" s="55"/>
      <c r="K641" s="55"/>
      <c r="L641" s="360"/>
      <c r="M641" s="55"/>
      <c r="N641" s="55"/>
      <c r="O641" s="360"/>
      <c r="P641" s="55"/>
      <c r="Q641" s="55"/>
      <c r="R641" s="360"/>
      <c r="S641" s="55"/>
      <c r="T641" s="350"/>
      <c r="U641" s="55"/>
      <c r="V641" s="55"/>
      <c r="W641" s="55"/>
      <c r="X641" s="55"/>
      <c r="Y641" s="55"/>
      <c r="Z641" s="55"/>
      <c r="AA641" s="55"/>
    </row>
    <row r="642">
      <c r="A642" s="55"/>
      <c r="B642" s="55"/>
      <c r="C642" s="55"/>
      <c r="D642" s="55"/>
      <c r="E642" s="55"/>
      <c r="F642" s="365"/>
      <c r="G642" s="55"/>
      <c r="H642" s="55"/>
      <c r="I642" s="360"/>
      <c r="J642" s="55"/>
      <c r="K642" s="55"/>
      <c r="L642" s="360"/>
      <c r="M642" s="55"/>
      <c r="N642" s="55"/>
      <c r="O642" s="360"/>
      <c r="P642" s="55"/>
      <c r="Q642" s="55"/>
      <c r="R642" s="360"/>
      <c r="S642" s="55"/>
      <c r="T642" s="350"/>
      <c r="U642" s="55"/>
      <c r="V642" s="55"/>
      <c r="W642" s="55"/>
      <c r="X642" s="55"/>
      <c r="Y642" s="55"/>
      <c r="Z642" s="55"/>
      <c r="AA642" s="55"/>
    </row>
    <row r="643">
      <c r="A643" s="55"/>
      <c r="B643" s="55"/>
      <c r="C643" s="55"/>
      <c r="D643" s="55"/>
      <c r="E643" s="55"/>
      <c r="F643" s="365"/>
      <c r="G643" s="55"/>
      <c r="H643" s="55"/>
      <c r="I643" s="360"/>
      <c r="J643" s="55"/>
      <c r="K643" s="55"/>
      <c r="L643" s="360"/>
      <c r="M643" s="55"/>
      <c r="N643" s="55"/>
      <c r="O643" s="360"/>
      <c r="P643" s="55"/>
      <c r="Q643" s="55"/>
      <c r="R643" s="360"/>
      <c r="S643" s="55"/>
      <c r="T643" s="350"/>
      <c r="U643" s="55"/>
      <c r="V643" s="55"/>
      <c r="W643" s="55"/>
      <c r="X643" s="55"/>
      <c r="Y643" s="55"/>
      <c r="Z643" s="55"/>
      <c r="AA643" s="55"/>
    </row>
    <row r="644">
      <c r="A644" s="55"/>
      <c r="B644" s="55"/>
      <c r="C644" s="55"/>
      <c r="D644" s="55"/>
      <c r="E644" s="55"/>
      <c r="F644" s="365"/>
      <c r="G644" s="55"/>
      <c r="H644" s="55"/>
      <c r="I644" s="360"/>
      <c r="J644" s="55"/>
      <c r="K644" s="55"/>
      <c r="L644" s="360"/>
      <c r="M644" s="55"/>
      <c r="N644" s="55"/>
      <c r="O644" s="360"/>
      <c r="P644" s="55"/>
      <c r="Q644" s="55"/>
      <c r="R644" s="360"/>
      <c r="S644" s="55"/>
      <c r="T644" s="350"/>
      <c r="U644" s="55"/>
      <c r="V644" s="55"/>
      <c r="W644" s="55"/>
      <c r="X644" s="55"/>
      <c r="Y644" s="55"/>
      <c r="Z644" s="55"/>
      <c r="AA644" s="55"/>
    </row>
    <row r="645">
      <c r="A645" s="55"/>
      <c r="B645" s="55"/>
      <c r="C645" s="55"/>
      <c r="D645" s="55"/>
      <c r="E645" s="55"/>
      <c r="F645" s="365"/>
      <c r="G645" s="55"/>
      <c r="H645" s="55"/>
      <c r="I645" s="360"/>
      <c r="J645" s="55"/>
      <c r="K645" s="55"/>
      <c r="L645" s="360"/>
      <c r="M645" s="55"/>
      <c r="N645" s="55"/>
      <c r="O645" s="360"/>
      <c r="P645" s="55"/>
      <c r="Q645" s="55"/>
      <c r="R645" s="360"/>
      <c r="S645" s="55"/>
      <c r="T645" s="350"/>
      <c r="U645" s="55"/>
      <c r="V645" s="55"/>
      <c r="W645" s="55"/>
      <c r="X645" s="55"/>
      <c r="Y645" s="55"/>
      <c r="Z645" s="55"/>
      <c r="AA645" s="55"/>
    </row>
    <row r="646">
      <c r="A646" s="55"/>
      <c r="B646" s="55"/>
      <c r="C646" s="55"/>
      <c r="D646" s="55"/>
      <c r="E646" s="55"/>
      <c r="F646" s="365"/>
      <c r="G646" s="55"/>
      <c r="H646" s="55"/>
      <c r="I646" s="360"/>
      <c r="J646" s="55"/>
      <c r="K646" s="55"/>
      <c r="L646" s="360"/>
      <c r="M646" s="55"/>
      <c r="N646" s="55"/>
      <c r="O646" s="360"/>
      <c r="P646" s="55"/>
      <c r="Q646" s="55"/>
      <c r="R646" s="360"/>
      <c r="S646" s="55"/>
      <c r="T646" s="350"/>
      <c r="U646" s="55"/>
      <c r="V646" s="55"/>
      <c r="W646" s="55"/>
      <c r="X646" s="55"/>
      <c r="Y646" s="55"/>
      <c r="Z646" s="55"/>
      <c r="AA646" s="55"/>
    </row>
    <row r="647">
      <c r="A647" s="55"/>
      <c r="B647" s="55"/>
      <c r="C647" s="55"/>
      <c r="D647" s="55"/>
      <c r="E647" s="55"/>
      <c r="F647" s="365"/>
      <c r="G647" s="55"/>
      <c r="H647" s="55"/>
      <c r="I647" s="360"/>
      <c r="J647" s="55"/>
      <c r="K647" s="55"/>
      <c r="L647" s="360"/>
      <c r="M647" s="55"/>
      <c r="N647" s="55"/>
      <c r="O647" s="360"/>
      <c r="P647" s="55"/>
      <c r="Q647" s="55"/>
      <c r="R647" s="360"/>
      <c r="S647" s="55"/>
      <c r="T647" s="350"/>
      <c r="U647" s="55"/>
      <c r="V647" s="55"/>
      <c r="W647" s="55"/>
      <c r="X647" s="55"/>
      <c r="Y647" s="55"/>
      <c r="Z647" s="55"/>
      <c r="AA647" s="55"/>
    </row>
    <row r="648">
      <c r="A648" s="55"/>
      <c r="B648" s="55"/>
      <c r="C648" s="55"/>
      <c r="D648" s="55"/>
      <c r="E648" s="55"/>
      <c r="F648" s="365"/>
      <c r="G648" s="55"/>
      <c r="H648" s="55"/>
      <c r="I648" s="360"/>
      <c r="J648" s="55"/>
      <c r="K648" s="55"/>
      <c r="L648" s="360"/>
      <c r="M648" s="55"/>
      <c r="N648" s="55"/>
      <c r="O648" s="360"/>
      <c r="P648" s="55"/>
      <c r="Q648" s="55"/>
      <c r="R648" s="360"/>
      <c r="S648" s="55"/>
      <c r="T648" s="350"/>
      <c r="U648" s="55"/>
      <c r="V648" s="55"/>
      <c r="W648" s="55"/>
      <c r="X648" s="55"/>
      <c r="Y648" s="55"/>
      <c r="Z648" s="55"/>
      <c r="AA648" s="55"/>
    </row>
    <row r="649">
      <c r="A649" s="55"/>
      <c r="B649" s="55"/>
      <c r="C649" s="55"/>
      <c r="D649" s="55"/>
      <c r="E649" s="55"/>
      <c r="F649" s="365"/>
      <c r="G649" s="55"/>
      <c r="H649" s="55"/>
      <c r="I649" s="360"/>
      <c r="J649" s="55"/>
      <c r="K649" s="55"/>
      <c r="L649" s="360"/>
      <c r="M649" s="55"/>
      <c r="N649" s="55"/>
      <c r="O649" s="360"/>
      <c r="P649" s="55"/>
      <c r="Q649" s="55"/>
      <c r="R649" s="360"/>
      <c r="S649" s="55"/>
      <c r="T649" s="350"/>
      <c r="U649" s="55"/>
      <c r="V649" s="55"/>
      <c r="W649" s="55"/>
      <c r="X649" s="55"/>
      <c r="Y649" s="55"/>
      <c r="Z649" s="55"/>
      <c r="AA649" s="55"/>
    </row>
    <row r="650">
      <c r="A650" s="55"/>
      <c r="B650" s="55"/>
      <c r="C650" s="55"/>
      <c r="D650" s="55"/>
      <c r="E650" s="55"/>
      <c r="F650" s="365"/>
      <c r="G650" s="55"/>
      <c r="H650" s="55"/>
      <c r="I650" s="360"/>
      <c r="J650" s="55"/>
      <c r="K650" s="55"/>
      <c r="L650" s="360"/>
      <c r="M650" s="55"/>
      <c r="N650" s="55"/>
      <c r="O650" s="360"/>
      <c r="P650" s="55"/>
      <c r="Q650" s="55"/>
      <c r="R650" s="360"/>
      <c r="S650" s="55"/>
      <c r="T650" s="350"/>
      <c r="U650" s="55"/>
      <c r="V650" s="55"/>
      <c r="W650" s="55"/>
      <c r="X650" s="55"/>
      <c r="Y650" s="55"/>
      <c r="Z650" s="55"/>
      <c r="AA650" s="55"/>
    </row>
    <row r="651">
      <c r="A651" s="55"/>
      <c r="B651" s="55"/>
      <c r="C651" s="55"/>
      <c r="D651" s="55"/>
      <c r="E651" s="55"/>
      <c r="F651" s="365"/>
      <c r="G651" s="55"/>
      <c r="H651" s="55"/>
      <c r="I651" s="360"/>
      <c r="J651" s="55"/>
      <c r="K651" s="55"/>
      <c r="L651" s="360"/>
      <c r="M651" s="55"/>
      <c r="N651" s="55"/>
      <c r="O651" s="360"/>
      <c r="P651" s="55"/>
      <c r="Q651" s="55"/>
      <c r="R651" s="360"/>
      <c r="S651" s="55"/>
      <c r="T651" s="350"/>
      <c r="U651" s="55"/>
      <c r="V651" s="55"/>
      <c r="W651" s="55"/>
      <c r="X651" s="55"/>
      <c r="Y651" s="55"/>
      <c r="Z651" s="55"/>
      <c r="AA651" s="55"/>
    </row>
    <row r="652">
      <c r="A652" s="55"/>
      <c r="B652" s="55"/>
      <c r="C652" s="55"/>
      <c r="D652" s="55"/>
      <c r="E652" s="55"/>
      <c r="F652" s="365"/>
      <c r="G652" s="55"/>
      <c r="H652" s="55"/>
      <c r="I652" s="360"/>
      <c r="J652" s="55"/>
      <c r="K652" s="55"/>
      <c r="L652" s="360"/>
      <c r="M652" s="55"/>
      <c r="N652" s="55"/>
      <c r="O652" s="360"/>
      <c r="P652" s="55"/>
      <c r="Q652" s="55"/>
      <c r="R652" s="360"/>
      <c r="S652" s="55"/>
      <c r="T652" s="350"/>
      <c r="U652" s="55"/>
      <c r="V652" s="55"/>
      <c r="W652" s="55"/>
      <c r="X652" s="55"/>
      <c r="Y652" s="55"/>
      <c r="Z652" s="55"/>
      <c r="AA652" s="55"/>
    </row>
    <row r="653">
      <c r="A653" s="55"/>
      <c r="B653" s="55"/>
      <c r="C653" s="55"/>
      <c r="D653" s="55"/>
      <c r="E653" s="55"/>
      <c r="F653" s="365"/>
      <c r="G653" s="55"/>
      <c r="H653" s="55"/>
      <c r="I653" s="360"/>
      <c r="J653" s="55"/>
      <c r="K653" s="55"/>
      <c r="L653" s="360"/>
      <c r="M653" s="55"/>
      <c r="N653" s="55"/>
      <c r="O653" s="360"/>
      <c r="P653" s="55"/>
      <c r="Q653" s="55"/>
      <c r="R653" s="360"/>
      <c r="S653" s="55"/>
      <c r="T653" s="350"/>
      <c r="U653" s="55"/>
      <c r="V653" s="55"/>
      <c r="W653" s="55"/>
      <c r="X653" s="55"/>
      <c r="Y653" s="55"/>
      <c r="Z653" s="55"/>
      <c r="AA653" s="55"/>
    </row>
    <row r="654">
      <c r="A654" s="55"/>
      <c r="B654" s="55"/>
      <c r="C654" s="55"/>
      <c r="D654" s="55"/>
      <c r="E654" s="55"/>
      <c r="F654" s="365"/>
      <c r="G654" s="55"/>
      <c r="H654" s="55"/>
      <c r="I654" s="360"/>
      <c r="J654" s="55"/>
      <c r="K654" s="55"/>
      <c r="L654" s="360"/>
      <c r="M654" s="55"/>
      <c r="N654" s="55"/>
      <c r="O654" s="360"/>
      <c r="P654" s="55"/>
      <c r="Q654" s="55"/>
      <c r="R654" s="360"/>
      <c r="S654" s="55"/>
      <c r="T654" s="350"/>
      <c r="U654" s="55"/>
      <c r="V654" s="55"/>
      <c r="W654" s="55"/>
      <c r="X654" s="55"/>
      <c r="Y654" s="55"/>
      <c r="Z654" s="55"/>
      <c r="AA654" s="55"/>
    </row>
    <row r="655">
      <c r="A655" s="55"/>
      <c r="B655" s="55"/>
      <c r="C655" s="55"/>
      <c r="D655" s="55"/>
      <c r="E655" s="55"/>
      <c r="F655" s="365"/>
      <c r="G655" s="55"/>
      <c r="H655" s="55"/>
      <c r="I655" s="360"/>
      <c r="J655" s="55"/>
      <c r="K655" s="55"/>
      <c r="L655" s="360"/>
      <c r="M655" s="55"/>
      <c r="N655" s="55"/>
      <c r="O655" s="360"/>
      <c r="P655" s="55"/>
      <c r="Q655" s="55"/>
      <c r="R655" s="360"/>
      <c r="S655" s="55"/>
      <c r="T655" s="350"/>
      <c r="U655" s="55"/>
      <c r="V655" s="55"/>
      <c r="W655" s="55"/>
      <c r="X655" s="55"/>
      <c r="Y655" s="55"/>
      <c r="Z655" s="55"/>
      <c r="AA655" s="55"/>
    </row>
    <row r="656">
      <c r="A656" s="55"/>
      <c r="B656" s="55"/>
      <c r="C656" s="55"/>
      <c r="D656" s="55"/>
      <c r="E656" s="55"/>
      <c r="F656" s="365"/>
      <c r="G656" s="55"/>
      <c r="H656" s="55"/>
      <c r="I656" s="360"/>
      <c r="J656" s="55"/>
      <c r="K656" s="55"/>
      <c r="L656" s="360"/>
      <c r="M656" s="55"/>
      <c r="N656" s="55"/>
      <c r="O656" s="360"/>
      <c r="P656" s="55"/>
      <c r="Q656" s="55"/>
      <c r="R656" s="360"/>
      <c r="S656" s="55"/>
      <c r="T656" s="350"/>
      <c r="U656" s="55"/>
      <c r="V656" s="55"/>
      <c r="W656" s="55"/>
      <c r="X656" s="55"/>
      <c r="Y656" s="55"/>
      <c r="Z656" s="55"/>
      <c r="AA656" s="55"/>
    </row>
    <row r="657">
      <c r="A657" s="55"/>
      <c r="B657" s="55"/>
      <c r="C657" s="55"/>
      <c r="D657" s="55"/>
      <c r="E657" s="55"/>
      <c r="F657" s="365"/>
      <c r="G657" s="55"/>
      <c r="H657" s="55"/>
      <c r="I657" s="360"/>
      <c r="J657" s="55"/>
      <c r="K657" s="55"/>
      <c r="L657" s="360"/>
      <c r="M657" s="55"/>
      <c r="N657" s="55"/>
      <c r="O657" s="360"/>
      <c r="P657" s="55"/>
      <c r="Q657" s="55"/>
      <c r="R657" s="360"/>
      <c r="S657" s="55"/>
      <c r="T657" s="350"/>
      <c r="U657" s="55"/>
      <c r="V657" s="55"/>
      <c r="W657" s="55"/>
      <c r="X657" s="55"/>
      <c r="Y657" s="55"/>
      <c r="Z657" s="55"/>
      <c r="AA657" s="55"/>
    </row>
    <row r="658">
      <c r="A658" s="55"/>
      <c r="B658" s="55"/>
      <c r="C658" s="55"/>
      <c r="D658" s="55"/>
      <c r="E658" s="55"/>
      <c r="F658" s="365"/>
      <c r="G658" s="55"/>
      <c r="H658" s="55"/>
      <c r="I658" s="360"/>
      <c r="J658" s="55"/>
      <c r="K658" s="55"/>
      <c r="L658" s="360"/>
      <c r="M658" s="55"/>
      <c r="N658" s="55"/>
      <c r="O658" s="360"/>
      <c r="P658" s="55"/>
      <c r="Q658" s="55"/>
      <c r="R658" s="360"/>
      <c r="S658" s="55"/>
      <c r="T658" s="350"/>
      <c r="U658" s="55"/>
      <c r="V658" s="55"/>
      <c r="W658" s="55"/>
      <c r="X658" s="55"/>
      <c r="Y658" s="55"/>
      <c r="Z658" s="55"/>
      <c r="AA658" s="55"/>
    </row>
    <row r="659">
      <c r="A659" s="55"/>
      <c r="B659" s="55"/>
      <c r="C659" s="55"/>
      <c r="D659" s="55"/>
      <c r="E659" s="55"/>
      <c r="F659" s="365"/>
      <c r="G659" s="55"/>
      <c r="H659" s="55"/>
      <c r="I659" s="360"/>
      <c r="J659" s="55"/>
      <c r="K659" s="55"/>
      <c r="L659" s="360"/>
      <c r="M659" s="55"/>
      <c r="N659" s="55"/>
      <c r="O659" s="360"/>
      <c r="P659" s="55"/>
      <c r="Q659" s="55"/>
      <c r="R659" s="360"/>
      <c r="S659" s="55"/>
      <c r="T659" s="350"/>
      <c r="U659" s="55"/>
      <c r="V659" s="55"/>
      <c r="W659" s="55"/>
      <c r="X659" s="55"/>
      <c r="Y659" s="55"/>
      <c r="Z659" s="55"/>
      <c r="AA659" s="55"/>
    </row>
    <row r="660">
      <c r="A660" s="55"/>
      <c r="B660" s="55"/>
      <c r="C660" s="55"/>
      <c r="D660" s="55"/>
      <c r="E660" s="55"/>
      <c r="F660" s="365"/>
      <c r="G660" s="55"/>
      <c r="H660" s="55"/>
      <c r="I660" s="360"/>
      <c r="J660" s="55"/>
      <c r="K660" s="55"/>
      <c r="L660" s="360"/>
      <c r="M660" s="55"/>
      <c r="N660" s="55"/>
      <c r="O660" s="360"/>
      <c r="P660" s="55"/>
      <c r="Q660" s="55"/>
      <c r="R660" s="360"/>
      <c r="S660" s="55"/>
      <c r="T660" s="350"/>
      <c r="U660" s="55"/>
      <c r="V660" s="55"/>
      <c r="W660" s="55"/>
      <c r="X660" s="55"/>
      <c r="Y660" s="55"/>
      <c r="Z660" s="55"/>
      <c r="AA660" s="55"/>
    </row>
    <row r="661">
      <c r="A661" s="55"/>
      <c r="B661" s="55"/>
      <c r="C661" s="55"/>
      <c r="D661" s="55"/>
      <c r="E661" s="55"/>
      <c r="F661" s="365"/>
      <c r="G661" s="55"/>
      <c r="H661" s="55"/>
      <c r="I661" s="360"/>
      <c r="J661" s="55"/>
      <c r="K661" s="55"/>
      <c r="L661" s="360"/>
      <c r="M661" s="55"/>
      <c r="N661" s="55"/>
      <c r="O661" s="360"/>
      <c r="P661" s="55"/>
      <c r="Q661" s="55"/>
      <c r="R661" s="360"/>
      <c r="S661" s="55"/>
      <c r="T661" s="350"/>
      <c r="U661" s="55"/>
      <c r="V661" s="55"/>
      <c r="W661" s="55"/>
      <c r="X661" s="55"/>
      <c r="Y661" s="55"/>
      <c r="Z661" s="55"/>
      <c r="AA661" s="55"/>
    </row>
    <row r="662">
      <c r="A662" s="55"/>
      <c r="B662" s="55"/>
      <c r="C662" s="55"/>
      <c r="D662" s="55"/>
      <c r="E662" s="55"/>
      <c r="F662" s="365"/>
      <c r="G662" s="55"/>
      <c r="H662" s="55"/>
      <c r="I662" s="360"/>
      <c r="J662" s="55"/>
      <c r="K662" s="55"/>
      <c r="L662" s="360"/>
      <c r="M662" s="55"/>
      <c r="N662" s="55"/>
      <c r="O662" s="360"/>
      <c r="P662" s="55"/>
      <c r="Q662" s="55"/>
      <c r="R662" s="360"/>
      <c r="S662" s="55"/>
      <c r="T662" s="350"/>
      <c r="U662" s="55"/>
      <c r="V662" s="55"/>
      <c r="W662" s="55"/>
      <c r="X662" s="55"/>
      <c r="Y662" s="55"/>
      <c r="Z662" s="55"/>
      <c r="AA662" s="55"/>
    </row>
    <row r="663">
      <c r="A663" s="55"/>
      <c r="B663" s="55"/>
      <c r="C663" s="55"/>
      <c r="D663" s="55"/>
      <c r="E663" s="55"/>
      <c r="F663" s="365"/>
      <c r="G663" s="55"/>
      <c r="H663" s="55"/>
      <c r="I663" s="360"/>
      <c r="J663" s="55"/>
      <c r="K663" s="55"/>
      <c r="L663" s="360"/>
      <c r="M663" s="55"/>
      <c r="N663" s="55"/>
      <c r="O663" s="360"/>
      <c r="P663" s="55"/>
      <c r="Q663" s="55"/>
      <c r="R663" s="360"/>
      <c r="S663" s="55"/>
      <c r="T663" s="350"/>
      <c r="U663" s="55"/>
      <c r="V663" s="55"/>
      <c r="W663" s="55"/>
      <c r="X663" s="55"/>
      <c r="Y663" s="55"/>
      <c r="Z663" s="55"/>
      <c r="AA663" s="55"/>
    </row>
    <row r="664">
      <c r="A664" s="55"/>
      <c r="B664" s="55"/>
      <c r="C664" s="55"/>
      <c r="D664" s="55"/>
      <c r="E664" s="55"/>
      <c r="F664" s="365"/>
      <c r="G664" s="55"/>
      <c r="H664" s="55"/>
      <c r="I664" s="360"/>
      <c r="J664" s="55"/>
      <c r="K664" s="55"/>
      <c r="L664" s="360"/>
      <c r="M664" s="55"/>
      <c r="N664" s="55"/>
      <c r="O664" s="360"/>
      <c r="P664" s="55"/>
      <c r="Q664" s="55"/>
      <c r="R664" s="360"/>
      <c r="S664" s="55"/>
      <c r="T664" s="350"/>
      <c r="U664" s="55"/>
      <c r="V664" s="55"/>
      <c r="W664" s="55"/>
      <c r="X664" s="55"/>
      <c r="Y664" s="55"/>
      <c r="Z664" s="55"/>
      <c r="AA664" s="55"/>
    </row>
    <row r="665">
      <c r="A665" s="55"/>
      <c r="B665" s="55"/>
      <c r="C665" s="55"/>
      <c r="D665" s="55"/>
      <c r="E665" s="55"/>
      <c r="F665" s="365"/>
      <c r="G665" s="55"/>
      <c r="H665" s="55"/>
      <c r="I665" s="360"/>
      <c r="J665" s="55"/>
      <c r="K665" s="55"/>
      <c r="L665" s="360"/>
      <c r="M665" s="55"/>
      <c r="N665" s="55"/>
      <c r="O665" s="360"/>
      <c r="P665" s="55"/>
      <c r="Q665" s="55"/>
      <c r="R665" s="360"/>
      <c r="S665" s="55"/>
      <c r="T665" s="350"/>
      <c r="U665" s="55"/>
      <c r="V665" s="55"/>
      <c r="W665" s="55"/>
      <c r="X665" s="55"/>
      <c r="Y665" s="55"/>
      <c r="Z665" s="55"/>
      <c r="AA665" s="55"/>
    </row>
    <row r="666">
      <c r="A666" s="55"/>
      <c r="B666" s="55"/>
      <c r="C666" s="55"/>
      <c r="D666" s="55"/>
      <c r="E666" s="55"/>
      <c r="F666" s="365"/>
      <c r="G666" s="55"/>
      <c r="H666" s="55"/>
      <c r="I666" s="360"/>
      <c r="J666" s="55"/>
      <c r="K666" s="55"/>
      <c r="L666" s="360"/>
      <c r="M666" s="55"/>
      <c r="N666" s="55"/>
      <c r="O666" s="360"/>
      <c r="P666" s="55"/>
      <c r="Q666" s="55"/>
      <c r="R666" s="360"/>
      <c r="S666" s="55"/>
      <c r="T666" s="350"/>
      <c r="U666" s="55"/>
      <c r="V666" s="55"/>
      <c r="W666" s="55"/>
      <c r="X666" s="55"/>
      <c r="Y666" s="55"/>
      <c r="Z666" s="55"/>
      <c r="AA666" s="55"/>
    </row>
    <row r="667">
      <c r="A667" s="55"/>
      <c r="B667" s="55"/>
      <c r="C667" s="55"/>
      <c r="D667" s="55"/>
      <c r="E667" s="55"/>
      <c r="F667" s="365"/>
      <c r="G667" s="55"/>
      <c r="H667" s="55"/>
      <c r="I667" s="360"/>
      <c r="J667" s="55"/>
      <c r="K667" s="55"/>
      <c r="L667" s="360"/>
      <c r="M667" s="55"/>
      <c r="N667" s="55"/>
      <c r="O667" s="360"/>
      <c r="P667" s="55"/>
      <c r="Q667" s="55"/>
      <c r="R667" s="360"/>
      <c r="S667" s="55"/>
      <c r="T667" s="350"/>
      <c r="U667" s="55"/>
      <c r="V667" s="55"/>
      <c r="W667" s="55"/>
      <c r="X667" s="55"/>
      <c r="Y667" s="55"/>
      <c r="Z667" s="55"/>
      <c r="AA667" s="55"/>
    </row>
    <row r="668">
      <c r="A668" s="55"/>
      <c r="B668" s="55"/>
      <c r="C668" s="55"/>
      <c r="D668" s="55"/>
      <c r="E668" s="55"/>
      <c r="F668" s="365"/>
      <c r="G668" s="55"/>
      <c r="H668" s="55"/>
      <c r="I668" s="360"/>
      <c r="J668" s="55"/>
      <c r="K668" s="55"/>
      <c r="L668" s="360"/>
      <c r="M668" s="55"/>
      <c r="N668" s="55"/>
      <c r="O668" s="360"/>
      <c r="P668" s="55"/>
      <c r="Q668" s="55"/>
      <c r="R668" s="360"/>
      <c r="S668" s="55"/>
      <c r="T668" s="350"/>
      <c r="U668" s="55"/>
      <c r="V668" s="55"/>
      <c r="W668" s="55"/>
      <c r="X668" s="55"/>
      <c r="Y668" s="55"/>
      <c r="Z668" s="55"/>
      <c r="AA668" s="55"/>
    </row>
    <row r="669">
      <c r="A669" s="55"/>
      <c r="B669" s="55"/>
      <c r="C669" s="55"/>
      <c r="D669" s="55"/>
      <c r="E669" s="55"/>
      <c r="F669" s="365"/>
      <c r="G669" s="55"/>
      <c r="H669" s="55"/>
      <c r="I669" s="360"/>
      <c r="J669" s="55"/>
      <c r="K669" s="55"/>
      <c r="L669" s="360"/>
      <c r="M669" s="55"/>
      <c r="N669" s="55"/>
      <c r="O669" s="360"/>
      <c r="P669" s="55"/>
      <c r="Q669" s="55"/>
      <c r="R669" s="360"/>
      <c r="S669" s="55"/>
      <c r="T669" s="350"/>
      <c r="U669" s="55"/>
      <c r="V669" s="55"/>
      <c r="W669" s="55"/>
      <c r="X669" s="55"/>
      <c r="Y669" s="55"/>
      <c r="Z669" s="55"/>
      <c r="AA669" s="55"/>
    </row>
    <row r="670">
      <c r="A670" s="55"/>
      <c r="B670" s="55"/>
      <c r="C670" s="55"/>
      <c r="D670" s="55"/>
      <c r="E670" s="55"/>
      <c r="F670" s="365"/>
      <c r="G670" s="55"/>
      <c r="H670" s="55"/>
      <c r="I670" s="360"/>
      <c r="J670" s="55"/>
      <c r="K670" s="55"/>
      <c r="L670" s="360"/>
      <c r="M670" s="55"/>
      <c r="N670" s="55"/>
      <c r="O670" s="360"/>
      <c r="P670" s="55"/>
      <c r="Q670" s="55"/>
      <c r="R670" s="360"/>
      <c r="S670" s="55"/>
      <c r="T670" s="350"/>
      <c r="U670" s="55"/>
      <c r="V670" s="55"/>
      <c r="W670" s="55"/>
      <c r="X670" s="55"/>
      <c r="Y670" s="55"/>
      <c r="Z670" s="55"/>
      <c r="AA670" s="55"/>
    </row>
    <row r="671">
      <c r="A671" s="55"/>
      <c r="B671" s="55"/>
      <c r="C671" s="55"/>
      <c r="D671" s="55"/>
      <c r="E671" s="55"/>
      <c r="F671" s="365"/>
      <c r="G671" s="55"/>
      <c r="H671" s="55"/>
      <c r="I671" s="360"/>
      <c r="J671" s="55"/>
      <c r="K671" s="55"/>
      <c r="L671" s="360"/>
      <c r="M671" s="55"/>
      <c r="N671" s="55"/>
      <c r="O671" s="360"/>
      <c r="P671" s="55"/>
      <c r="Q671" s="55"/>
      <c r="R671" s="360"/>
      <c r="S671" s="55"/>
      <c r="T671" s="350"/>
      <c r="U671" s="55"/>
      <c r="V671" s="55"/>
      <c r="W671" s="55"/>
      <c r="X671" s="55"/>
      <c r="Y671" s="55"/>
      <c r="Z671" s="55"/>
      <c r="AA671" s="55"/>
    </row>
    <row r="672">
      <c r="A672" s="55"/>
      <c r="B672" s="55"/>
      <c r="C672" s="55"/>
      <c r="D672" s="55"/>
      <c r="E672" s="55"/>
      <c r="F672" s="365"/>
      <c r="G672" s="55"/>
      <c r="H672" s="55"/>
      <c r="I672" s="360"/>
      <c r="J672" s="55"/>
      <c r="K672" s="55"/>
      <c r="L672" s="360"/>
      <c r="M672" s="55"/>
      <c r="N672" s="55"/>
      <c r="O672" s="360"/>
      <c r="P672" s="55"/>
      <c r="Q672" s="55"/>
      <c r="R672" s="360"/>
      <c r="S672" s="55"/>
      <c r="T672" s="350"/>
      <c r="U672" s="55"/>
      <c r="V672" s="55"/>
      <c r="W672" s="55"/>
      <c r="X672" s="55"/>
      <c r="Y672" s="55"/>
      <c r="Z672" s="55"/>
      <c r="AA672" s="55"/>
    </row>
    <row r="673">
      <c r="A673" s="55"/>
      <c r="B673" s="55"/>
      <c r="C673" s="55"/>
      <c r="D673" s="55"/>
      <c r="E673" s="55"/>
      <c r="F673" s="365"/>
      <c r="G673" s="55"/>
      <c r="H673" s="55"/>
      <c r="I673" s="360"/>
      <c r="J673" s="55"/>
      <c r="K673" s="55"/>
      <c r="L673" s="360"/>
      <c r="M673" s="55"/>
      <c r="N673" s="55"/>
      <c r="O673" s="360"/>
      <c r="P673" s="55"/>
      <c r="Q673" s="55"/>
      <c r="R673" s="360"/>
      <c r="S673" s="55"/>
      <c r="T673" s="350"/>
      <c r="U673" s="55"/>
      <c r="V673" s="55"/>
      <c r="W673" s="55"/>
      <c r="X673" s="55"/>
      <c r="Y673" s="55"/>
      <c r="Z673" s="55"/>
      <c r="AA673" s="55"/>
    </row>
    <row r="674">
      <c r="A674" s="55"/>
      <c r="B674" s="55"/>
      <c r="C674" s="55"/>
      <c r="D674" s="55"/>
      <c r="E674" s="55"/>
      <c r="F674" s="365"/>
      <c r="G674" s="55"/>
      <c r="H674" s="55"/>
      <c r="I674" s="360"/>
      <c r="J674" s="55"/>
      <c r="K674" s="55"/>
      <c r="L674" s="360"/>
      <c r="M674" s="55"/>
      <c r="N674" s="55"/>
      <c r="O674" s="360"/>
      <c r="P674" s="55"/>
      <c r="Q674" s="55"/>
      <c r="R674" s="360"/>
      <c r="S674" s="55"/>
      <c r="T674" s="350"/>
      <c r="U674" s="55"/>
      <c r="V674" s="55"/>
      <c r="W674" s="55"/>
      <c r="X674" s="55"/>
      <c r="Y674" s="55"/>
      <c r="Z674" s="55"/>
      <c r="AA674" s="55"/>
    </row>
    <row r="675">
      <c r="A675" s="55"/>
      <c r="B675" s="55"/>
      <c r="C675" s="55"/>
      <c r="D675" s="55"/>
      <c r="E675" s="55"/>
      <c r="F675" s="365"/>
      <c r="G675" s="55"/>
      <c r="H675" s="55"/>
      <c r="I675" s="360"/>
      <c r="J675" s="55"/>
      <c r="K675" s="55"/>
      <c r="L675" s="360"/>
      <c r="M675" s="55"/>
      <c r="N675" s="55"/>
      <c r="O675" s="360"/>
      <c r="P675" s="55"/>
      <c r="Q675" s="55"/>
      <c r="R675" s="360"/>
      <c r="S675" s="55"/>
      <c r="T675" s="350"/>
      <c r="U675" s="55"/>
      <c r="V675" s="55"/>
      <c r="W675" s="55"/>
      <c r="X675" s="55"/>
      <c r="Y675" s="55"/>
      <c r="Z675" s="55"/>
      <c r="AA675" s="55"/>
    </row>
    <row r="676">
      <c r="A676" s="55"/>
      <c r="B676" s="55"/>
      <c r="C676" s="55"/>
      <c r="D676" s="55"/>
      <c r="E676" s="55"/>
      <c r="F676" s="365"/>
      <c r="G676" s="55"/>
      <c r="H676" s="55"/>
      <c r="I676" s="360"/>
      <c r="J676" s="55"/>
      <c r="K676" s="55"/>
      <c r="L676" s="360"/>
      <c r="M676" s="55"/>
      <c r="N676" s="55"/>
      <c r="O676" s="360"/>
      <c r="P676" s="55"/>
      <c r="Q676" s="55"/>
      <c r="R676" s="360"/>
      <c r="S676" s="55"/>
      <c r="T676" s="350"/>
      <c r="U676" s="55"/>
      <c r="V676" s="55"/>
      <c r="W676" s="55"/>
      <c r="X676" s="55"/>
      <c r="Y676" s="55"/>
      <c r="Z676" s="55"/>
      <c r="AA676" s="55"/>
    </row>
    <row r="677">
      <c r="A677" s="55"/>
      <c r="B677" s="55"/>
      <c r="C677" s="55"/>
      <c r="D677" s="55"/>
      <c r="E677" s="55"/>
      <c r="F677" s="365"/>
      <c r="G677" s="55"/>
      <c r="H677" s="55"/>
      <c r="I677" s="360"/>
      <c r="J677" s="55"/>
      <c r="K677" s="55"/>
      <c r="L677" s="360"/>
      <c r="M677" s="55"/>
      <c r="N677" s="55"/>
      <c r="O677" s="360"/>
      <c r="P677" s="55"/>
      <c r="Q677" s="55"/>
      <c r="R677" s="360"/>
      <c r="S677" s="55"/>
      <c r="T677" s="350"/>
      <c r="U677" s="55"/>
      <c r="V677" s="55"/>
      <c r="W677" s="55"/>
      <c r="X677" s="55"/>
      <c r="Y677" s="55"/>
      <c r="Z677" s="55"/>
      <c r="AA677" s="55"/>
    </row>
    <row r="678">
      <c r="A678" s="55"/>
      <c r="B678" s="55"/>
      <c r="C678" s="55"/>
      <c r="D678" s="55"/>
      <c r="E678" s="55"/>
      <c r="F678" s="365"/>
      <c r="G678" s="55"/>
      <c r="H678" s="55"/>
      <c r="I678" s="360"/>
      <c r="J678" s="55"/>
      <c r="K678" s="55"/>
      <c r="L678" s="360"/>
      <c r="M678" s="55"/>
      <c r="N678" s="55"/>
      <c r="O678" s="360"/>
      <c r="P678" s="55"/>
      <c r="Q678" s="55"/>
      <c r="R678" s="360"/>
      <c r="S678" s="55"/>
      <c r="T678" s="350"/>
      <c r="U678" s="55"/>
      <c r="V678" s="55"/>
      <c r="W678" s="55"/>
      <c r="X678" s="55"/>
      <c r="Y678" s="55"/>
      <c r="Z678" s="55"/>
      <c r="AA678" s="55"/>
    </row>
    <row r="679">
      <c r="A679" s="55"/>
      <c r="B679" s="55"/>
      <c r="C679" s="55"/>
      <c r="D679" s="55"/>
      <c r="E679" s="55"/>
      <c r="F679" s="365"/>
      <c r="G679" s="55"/>
      <c r="H679" s="55"/>
      <c r="I679" s="360"/>
      <c r="J679" s="55"/>
      <c r="K679" s="55"/>
      <c r="L679" s="360"/>
      <c r="M679" s="55"/>
      <c r="N679" s="55"/>
      <c r="O679" s="360"/>
      <c r="P679" s="55"/>
      <c r="Q679" s="55"/>
      <c r="R679" s="360"/>
      <c r="S679" s="55"/>
      <c r="T679" s="350"/>
      <c r="U679" s="55"/>
      <c r="V679" s="55"/>
      <c r="W679" s="55"/>
      <c r="X679" s="55"/>
      <c r="Y679" s="55"/>
      <c r="Z679" s="55"/>
      <c r="AA679" s="55"/>
    </row>
    <row r="680">
      <c r="A680" s="55"/>
      <c r="B680" s="55"/>
      <c r="C680" s="55"/>
      <c r="D680" s="55"/>
      <c r="E680" s="55"/>
      <c r="F680" s="365"/>
      <c r="G680" s="55"/>
      <c r="H680" s="55"/>
      <c r="I680" s="360"/>
      <c r="J680" s="55"/>
      <c r="K680" s="55"/>
      <c r="L680" s="360"/>
      <c r="M680" s="55"/>
      <c r="N680" s="55"/>
      <c r="O680" s="360"/>
      <c r="P680" s="55"/>
      <c r="Q680" s="55"/>
      <c r="R680" s="360"/>
      <c r="S680" s="55"/>
      <c r="T680" s="350"/>
      <c r="U680" s="55"/>
      <c r="V680" s="55"/>
      <c r="W680" s="55"/>
      <c r="X680" s="55"/>
      <c r="Y680" s="55"/>
      <c r="Z680" s="55"/>
      <c r="AA680" s="55"/>
    </row>
    <row r="681">
      <c r="A681" s="55"/>
      <c r="B681" s="55"/>
      <c r="C681" s="55"/>
      <c r="D681" s="55"/>
      <c r="E681" s="55"/>
      <c r="F681" s="365"/>
      <c r="G681" s="55"/>
      <c r="H681" s="55"/>
      <c r="I681" s="360"/>
      <c r="J681" s="55"/>
      <c r="K681" s="55"/>
      <c r="L681" s="360"/>
      <c r="M681" s="55"/>
      <c r="N681" s="55"/>
      <c r="O681" s="360"/>
      <c r="P681" s="55"/>
      <c r="Q681" s="55"/>
      <c r="R681" s="360"/>
      <c r="S681" s="55"/>
      <c r="T681" s="350"/>
      <c r="U681" s="55"/>
      <c r="V681" s="55"/>
      <c r="W681" s="55"/>
      <c r="X681" s="55"/>
      <c r="Y681" s="55"/>
      <c r="Z681" s="55"/>
      <c r="AA681" s="55"/>
    </row>
    <row r="682">
      <c r="A682" s="55"/>
      <c r="B682" s="55"/>
      <c r="C682" s="55"/>
      <c r="D682" s="55"/>
      <c r="E682" s="55"/>
      <c r="F682" s="365"/>
      <c r="G682" s="55"/>
      <c r="H682" s="55"/>
      <c r="I682" s="360"/>
      <c r="J682" s="55"/>
      <c r="K682" s="55"/>
      <c r="L682" s="360"/>
      <c r="M682" s="55"/>
      <c r="N682" s="55"/>
      <c r="O682" s="360"/>
      <c r="P682" s="55"/>
      <c r="Q682" s="55"/>
      <c r="R682" s="360"/>
      <c r="S682" s="55"/>
      <c r="T682" s="350"/>
      <c r="U682" s="55"/>
      <c r="V682" s="55"/>
      <c r="W682" s="55"/>
      <c r="X682" s="55"/>
      <c r="Y682" s="55"/>
      <c r="Z682" s="55"/>
      <c r="AA682" s="55"/>
    </row>
    <row r="683">
      <c r="A683" s="55"/>
      <c r="B683" s="55"/>
      <c r="C683" s="55"/>
      <c r="D683" s="55"/>
      <c r="E683" s="55"/>
      <c r="F683" s="365"/>
      <c r="G683" s="55"/>
      <c r="H683" s="55"/>
      <c r="I683" s="360"/>
      <c r="J683" s="55"/>
      <c r="K683" s="55"/>
      <c r="L683" s="360"/>
      <c r="M683" s="55"/>
      <c r="N683" s="55"/>
      <c r="O683" s="360"/>
      <c r="P683" s="55"/>
      <c r="Q683" s="55"/>
      <c r="R683" s="360"/>
      <c r="S683" s="55"/>
      <c r="T683" s="350"/>
      <c r="U683" s="55"/>
      <c r="V683" s="55"/>
      <c r="W683" s="55"/>
      <c r="X683" s="55"/>
      <c r="Y683" s="55"/>
      <c r="Z683" s="55"/>
      <c r="AA683" s="55"/>
    </row>
    <row r="684">
      <c r="A684" s="55"/>
      <c r="B684" s="55"/>
      <c r="C684" s="55"/>
      <c r="D684" s="55"/>
      <c r="E684" s="55"/>
      <c r="F684" s="365"/>
      <c r="G684" s="55"/>
      <c r="H684" s="55"/>
      <c r="I684" s="360"/>
      <c r="J684" s="55"/>
      <c r="K684" s="55"/>
      <c r="L684" s="360"/>
      <c r="M684" s="55"/>
      <c r="N684" s="55"/>
      <c r="O684" s="360"/>
      <c r="P684" s="55"/>
      <c r="Q684" s="55"/>
      <c r="R684" s="360"/>
      <c r="S684" s="55"/>
      <c r="T684" s="350"/>
      <c r="U684" s="55"/>
      <c r="V684" s="55"/>
      <c r="W684" s="55"/>
      <c r="X684" s="55"/>
      <c r="Y684" s="55"/>
      <c r="Z684" s="55"/>
      <c r="AA684" s="55"/>
    </row>
    <row r="685">
      <c r="A685" s="55"/>
      <c r="B685" s="55"/>
      <c r="C685" s="55"/>
      <c r="D685" s="55"/>
      <c r="E685" s="55"/>
      <c r="F685" s="365"/>
      <c r="G685" s="55"/>
      <c r="H685" s="55"/>
      <c r="I685" s="360"/>
      <c r="J685" s="55"/>
      <c r="K685" s="55"/>
      <c r="L685" s="360"/>
      <c r="M685" s="55"/>
      <c r="N685" s="55"/>
      <c r="O685" s="360"/>
      <c r="P685" s="55"/>
      <c r="Q685" s="55"/>
      <c r="R685" s="360"/>
      <c r="S685" s="55"/>
      <c r="T685" s="350"/>
      <c r="U685" s="55"/>
      <c r="V685" s="55"/>
      <c r="W685" s="55"/>
      <c r="X685" s="55"/>
      <c r="Y685" s="55"/>
      <c r="Z685" s="55"/>
      <c r="AA685" s="55"/>
    </row>
    <row r="686">
      <c r="A686" s="55"/>
      <c r="B686" s="55"/>
      <c r="C686" s="55"/>
      <c r="D686" s="55"/>
      <c r="E686" s="55"/>
      <c r="F686" s="365"/>
      <c r="G686" s="55"/>
      <c r="H686" s="55"/>
      <c r="I686" s="360"/>
      <c r="J686" s="55"/>
      <c r="K686" s="55"/>
      <c r="L686" s="360"/>
      <c r="M686" s="55"/>
      <c r="N686" s="55"/>
      <c r="O686" s="360"/>
      <c r="P686" s="55"/>
      <c r="Q686" s="55"/>
      <c r="R686" s="360"/>
      <c r="S686" s="55"/>
      <c r="T686" s="350"/>
      <c r="U686" s="55"/>
      <c r="V686" s="55"/>
      <c r="W686" s="55"/>
      <c r="X686" s="55"/>
      <c r="Y686" s="55"/>
      <c r="Z686" s="55"/>
      <c r="AA686" s="55"/>
    </row>
    <row r="687">
      <c r="A687" s="55"/>
      <c r="B687" s="55"/>
      <c r="C687" s="55"/>
      <c r="D687" s="55"/>
      <c r="E687" s="55"/>
      <c r="F687" s="365"/>
      <c r="G687" s="55"/>
      <c r="H687" s="55"/>
      <c r="I687" s="360"/>
      <c r="J687" s="55"/>
      <c r="K687" s="55"/>
      <c r="L687" s="360"/>
      <c r="M687" s="55"/>
      <c r="N687" s="55"/>
      <c r="O687" s="360"/>
      <c r="P687" s="55"/>
      <c r="Q687" s="55"/>
      <c r="R687" s="360"/>
      <c r="S687" s="55"/>
      <c r="T687" s="350"/>
      <c r="U687" s="55"/>
      <c r="V687" s="55"/>
      <c r="W687" s="55"/>
      <c r="X687" s="55"/>
      <c r="Y687" s="55"/>
      <c r="Z687" s="55"/>
      <c r="AA687" s="55"/>
    </row>
    <row r="688">
      <c r="A688" s="55"/>
      <c r="B688" s="55"/>
      <c r="C688" s="55"/>
      <c r="D688" s="55"/>
      <c r="E688" s="55"/>
      <c r="F688" s="365"/>
      <c r="G688" s="55"/>
      <c r="H688" s="55"/>
      <c r="I688" s="360"/>
      <c r="J688" s="55"/>
      <c r="K688" s="55"/>
      <c r="L688" s="360"/>
      <c r="M688" s="55"/>
      <c r="N688" s="55"/>
      <c r="O688" s="360"/>
      <c r="P688" s="55"/>
      <c r="Q688" s="55"/>
      <c r="R688" s="360"/>
      <c r="S688" s="55"/>
      <c r="T688" s="350"/>
      <c r="U688" s="55"/>
      <c r="V688" s="55"/>
      <c r="W688" s="55"/>
      <c r="X688" s="55"/>
      <c r="Y688" s="55"/>
      <c r="Z688" s="55"/>
      <c r="AA688" s="55"/>
    </row>
    <row r="689">
      <c r="A689" s="55"/>
      <c r="B689" s="55"/>
      <c r="C689" s="55"/>
      <c r="D689" s="55"/>
      <c r="E689" s="55"/>
      <c r="F689" s="365"/>
      <c r="G689" s="55"/>
      <c r="H689" s="55"/>
      <c r="I689" s="360"/>
      <c r="J689" s="55"/>
      <c r="K689" s="55"/>
      <c r="L689" s="360"/>
      <c r="M689" s="55"/>
      <c r="N689" s="55"/>
      <c r="O689" s="360"/>
      <c r="P689" s="55"/>
      <c r="Q689" s="55"/>
      <c r="R689" s="360"/>
      <c r="S689" s="55"/>
      <c r="T689" s="350"/>
      <c r="U689" s="55"/>
      <c r="V689" s="55"/>
      <c r="W689" s="55"/>
      <c r="X689" s="55"/>
      <c r="Y689" s="55"/>
      <c r="Z689" s="55"/>
      <c r="AA689" s="55"/>
    </row>
    <row r="690">
      <c r="A690" s="55"/>
      <c r="B690" s="55"/>
      <c r="C690" s="55"/>
      <c r="D690" s="55"/>
      <c r="E690" s="55"/>
      <c r="F690" s="365"/>
      <c r="G690" s="55"/>
      <c r="H690" s="55"/>
      <c r="I690" s="360"/>
      <c r="J690" s="55"/>
      <c r="K690" s="55"/>
      <c r="L690" s="360"/>
      <c r="M690" s="55"/>
      <c r="N690" s="55"/>
      <c r="O690" s="360"/>
      <c r="P690" s="55"/>
      <c r="Q690" s="55"/>
      <c r="R690" s="360"/>
      <c r="S690" s="55"/>
      <c r="T690" s="350"/>
      <c r="U690" s="55"/>
      <c r="V690" s="55"/>
      <c r="W690" s="55"/>
      <c r="X690" s="55"/>
      <c r="Y690" s="55"/>
      <c r="Z690" s="55"/>
      <c r="AA690" s="55"/>
    </row>
    <row r="691">
      <c r="A691" s="55"/>
      <c r="B691" s="55"/>
      <c r="C691" s="55"/>
      <c r="D691" s="55"/>
      <c r="E691" s="55"/>
      <c r="F691" s="365"/>
      <c r="G691" s="55"/>
      <c r="H691" s="55"/>
      <c r="I691" s="360"/>
      <c r="J691" s="55"/>
      <c r="K691" s="55"/>
      <c r="L691" s="360"/>
      <c r="M691" s="55"/>
      <c r="N691" s="55"/>
      <c r="O691" s="360"/>
      <c r="P691" s="55"/>
      <c r="Q691" s="55"/>
      <c r="R691" s="360"/>
      <c r="S691" s="55"/>
      <c r="T691" s="350"/>
      <c r="U691" s="55"/>
      <c r="V691" s="55"/>
      <c r="W691" s="55"/>
      <c r="X691" s="55"/>
      <c r="Y691" s="55"/>
      <c r="Z691" s="55"/>
      <c r="AA691" s="55"/>
    </row>
    <row r="692">
      <c r="A692" s="55"/>
      <c r="B692" s="55"/>
      <c r="C692" s="55"/>
      <c r="D692" s="55"/>
      <c r="E692" s="55"/>
      <c r="F692" s="365"/>
      <c r="G692" s="55"/>
      <c r="H692" s="55"/>
      <c r="I692" s="360"/>
      <c r="J692" s="55"/>
      <c r="K692" s="55"/>
      <c r="L692" s="360"/>
      <c r="M692" s="55"/>
      <c r="N692" s="55"/>
      <c r="O692" s="360"/>
      <c r="P692" s="55"/>
      <c r="Q692" s="55"/>
      <c r="R692" s="360"/>
      <c r="S692" s="55"/>
      <c r="T692" s="350"/>
      <c r="U692" s="55"/>
      <c r="V692" s="55"/>
      <c r="W692" s="55"/>
      <c r="X692" s="55"/>
      <c r="Y692" s="55"/>
      <c r="Z692" s="55"/>
      <c r="AA692" s="55"/>
    </row>
    <row r="693">
      <c r="A693" s="55"/>
      <c r="B693" s="55"/>
      <c r="C693" s="55"/>
      <c r="D693" s="55"/>
      <c r="E693" s="55"/>
      <c r="F693" s="365"/>
      <c r="G693" s="55"/>
      <c r="H693" s="55"/>
      <c r="I693" s="360"/>
      <c r="J693" s="55"/>
      <c r="K693" s="55"/>
      <c r="L693" s="360"/>
      <c r="M693" s="55"/>
      <c r="N693" s="55"/>
      <c r="O693" s="360"/>
      <c r="P693" s="55"/>
      <c r="Q693" s="55"/>
      <c r="R693" s="360"/>
      <c r="S693" s="55"/>
      <c r="T693" s="350"/>
      <c r="U693" s="55"/>
      <c r="V693" s="55"/>
      <c r="W693" s="55"/>
      <c r="X693" s="55"/>
      <c r="Y693" s="55"/>
      <c r="Z693" s="55"/>
      <c r="AA693" s="55"/>
    </row>
    <row r="694">
      <c r="A694" s="55"/>
      <c r="B694" s="55"/>
      <c r="C694" s="55"/>
      <c r="D694" s="55"/>
      <c r="E694" s="55"/>
      <c r="F694" s="365"/>
      <c r="G694" s="55"/>
      <c r="H694" s="55"/>
      <c r="I694" s="360"/>
      <c r="J694" s="55"/>
      <c r="K694" s="55"/>
      <c r="L694" s="360"/>
      <c r="M694" s="55"/>
      <c r="N694" s="55"/>
      <c r="O694" s="360"/>
      <c r="P694" s="55"/>
      <c r="Q694" s="55"/>
      <c r="R694" s="360"/>
      <c r="S694" s="55"/>
      <c r="T694" s="350"/>
      <c r="U694" s="55"/>
      <c r="V694" s="55"/>
      <c r="W694" s="55"/>
      <c r="X694" s="55"/>
      <c r="Y694" s="55"/>
      <c r="Z694" s="55"/>
      <c r="AA694" s="55"/>
    </row>
    <row r="695">
      <c r="A695" s="55"/>
      <c r="B695" s="55"/>
      <c r="C695" s="55"/>
      <c r="D695" s="55"/>
      <c r="E695" s="55"/>
      <c r="F695" s="365"/>
      <c r="G695" s="55"/>
      <c r="H695" s="55"/>
      <c r="I695" s="360"/>
      <c r="J695" s="55"/>
      <c r="K695" s="55"/>
      <c r="L695" s="360"/>
      <c r="M695" s="55"/>
      <c r="N695" s="55"/>
      <c r="O695" s="360"/>
      <c r="P695" s="55"/>
      <c r="Q695" s="55"/>
      <c r="R695" s="360"/>
      <c r="S695" s="55"/>
      <c r="T695" s="350"/>
      <c r="U695" s="55"/>
      <c r="V695" s="55"/>
      <c r="W695" s="55"/>
      <c r="X695" s="55"/>
      <c r="Y695" s="55"/>
      <c r="Z695" s="55"/>
      <c r="AA695" s="55"/>
    </row>
    <row r="696">
      <c r="A696" s="55"/>
      <c r="B696" s="55"/>
      <c r="C696" s="55"/>
      <c r="D696" s="55"/>
      <c r="E696" s="55"/>
      <c r="F696" s="365"/>
      <c r="G696" s="55"/>
      <c r="H696" s="55"/>
      <c r="I696" s="360"/>
      <c r="J696" s="55"/>
      <c r="K696" s="55"/>
      <c r="L696" s="360"/>
      <c r="M696" s="55"/>
      <c r="N696" s="55"/>
      <c r="O696" s="360"/>
      <c r="P696" s="55"/>
      <c r="Q696" s="55"/>
      <c r="R696" s="360"/>
      <c r="S696" s="55"/>
      <c r="T696" s="350"/>
      <c r="U696" s="55"/>
      <c r="V696" s="55"/>
      <c r="W696" s="55"/>
      <c r="X696" s="55"/>
      <c r="Y696" s="55"/>
      <c r="Z696" s="55"/>
      <c r="AA696" s="55"/>
    </row>
    <row r="697">
      <c r="A697" s="55"/>
      <c r="B697" s="55"/>
      <c r="C697" s="55"/>
      <c r="D697" s="55"/>
      <c r="E697" s="55"/>
      <c r="F697" s="365"/>
      <c r="G697" s="55"/>
      <c r="H697" s="55"/>
      <c r="I697" s="360"/>
      <c r="J697" s="55"/>
      <c r="K697" s="55"/>
      <c r="L697" s="360"/>
      <c r="M697" s="55"/>
      <c r="N697" s="55"/>
      <c r="O697" s="360"/>
      <c r="P697" s="55"/>
      <c r="Q697" s="55"/>
      <c r="R697" s="360"/>
      <c r="S697" s="55"/>
      <c r="T697" s="350"/>
      <c r="U697" s="55"/>
      <c r="V697" s="55"/>
      <c r="W697" s="55"/>
      <c r="X697" s="55"/>
      <c r="Y697" s="55"/>
      <c r="Z697" s="55"/>
      <c r="AA697" s="55"/>
    </row>
    <row r="698">
      <c r="A698" s="55"/>
      <c r="B698" s="55"/>
      <c r="C698" s="55"/>
      <c r="D698" s="55"/>
      <c r="E698" s="55"/>
      <c r="F698" s="365"/>
      <c r="G698" s="55"/>
      <c r="H698" s="55"/>
      <c r="I698" s="360"/>
      <c r="J698" s="55"/>
      <c r="K698" s="55"/>
      <c r="L698" s="360"/>
      <c r="M698" s="55"/>
      <c r="N698" s="55"/>
      <c r="O698" s="360"/>
      <c r="P698" s="55"/>
      <c r="Q698" s="55"/>
      <c r="R698" s="360"/>
      <c r="S698" s="55"/>
      <c r="T698" s="350"/>
      <c r="U698" s="55"/>
      <c r="V698" s="55"/>
      <c r="W698" s="55"/>
      <c r="X698" s="55"/>
      <c r="Y698" s="55"/>
      <c r="Z698" s="55"/>
      <c r="AA698" s="55"/>
    </row>
    <row r="699">
      <c r="A699" s="55"/>
      <c r="B699" s="55"/>
      <c r="C699" s="55"/>
      <c r="D699" s="55"/>
      <c r="E699" s="55"/>
      <c r="F699" s="365"/>
      <c r="G699" s="55"/>
      <c r="H699" s="55"/>
      <c r="I699" s="360"/>
      <c r="J699" s="55"/>
      <c r="K699" s="55"/>
      <c r="L699" s="360"/>
      <c r="M699" s="55"/>
      <c r="N699" s="55"/>
      <c r="O699" s="360"/>
      <c r="P699" s="55"/>
      <c r="Q699" s="55"/>
      <c r="R699" s="360"/>
      <c r="S699" s="55"/>
      <c r="T699" s="350"/>
      <c r="U699" s="55"/>
      <c r="V699" s="55"/>
      <c r="W699" s="55"/>
      <c r="X699" s="55"/>
      <c r="Y699" s="55"/>
      <c r="Z699" s="55"/>
      <c r="AA699" s="55"/>
    </row>
    <row r="700">
      <c r="A700" s="55"/>
      <c r="B700" s="55"/>
      <c r="C700" s="55"/>
      <c r="D700" s="55"/>
      <c r="E700" s="55"/>
      <c r="F700" s="365"/>
      <c r="G700" s="55"/>
      <c r="H700" s="55"/>
      <c r="I700" s="360"/>
      <c r="J700" s="55"/>
      <c r="K700" s="55"/>
      <c r="L700" s="360"/>
      <c r="M700" s="55"/>
      <c r="N700" s="55"/>
      <c r="O700" s="360"/>
      <c r="P700" s="55"/>
      <c r="Q700" s="55"/>
      <c r="R700" s="360"/>
      <c r="S700" s="55"/>
      <c r="T700" s="350"/>
      <c r="U700" s="55"/>
      <c r="V700" s="55"/>
      <c r="W700" s="55"/>
      <c r="X700" s="55"/>
      <c r="Y700" s="55"/>
      <c r="Z700" s="55"/>
      <c r="AA700" s="55"/>
    </row>
    <row r="701">
      <c r="A701" s="55"/>
      <c r="B701" s="55"/>
      <c r="C701" s="55"/>
      <c r="D701" s="55"/>
      <c r="E701" s="55"/>
      <c r="F701" s="365"/>
      <c r="G701" s="55"/>
      <c r="H701" s="55"/>
      <c r="I701" s="360"/>
      <c r="J701" s="55"/>
      <c r="K701" s="55"/>
      <c r="L701" s="360"/>
      <c r="M701" s="55"/>
      <c r="N701" s="55"/>
      <c r="O701" s="360"/>
      <c r="P701" s="55"/>
      <c r="Q701" s="55"/>
      <c r="R701" s="360"/>
      <c r="S701" s="55"/>
      <c r="T701" s="350"/>
      <c r="U701" s="55"/>
      <c r="V701" s="55"/>
      <c r="W701" s="55"/>
      <c r="X701" s="55"/>
      <c r="Y701" s="55"/>
      <c r="Z701" s="55"/>
      <c r="AA701" s="55"/>
    </row>
    <row r="702">
      <c r="A702" s="55"/>
      <c r="B702" s="55"/>
      <c r="C702" s="55"/>
      <c r="D702" s="55"/>
      <c r="E702" s="55"/>
      <c r="F702" s="365"/>
      <c r="G702" s="55"/>
      <c r="H702" s="55"/>
      <c r="I702" s="360"/>
      <c r="J702" s="55"/>
      <c r="K702" s="55"/>
      <c r="L702" s="360"/>
      <c r="M702" s="55"/>
      <c r="N702" s="55"/>
      <c r="O702" s="360"/>
      <c r="P702" s="55"/>
      <c r="Q702" s="55"/>
      <c r="R702" s="360"/>
      <c r="S702" s="55"/>
      <c r="T702" s="350"/>
      <c r="U702" s="55"/>
      <c r="V702" s="55"/>
      <c r="W702" s="55"/>
      <c r="X702" s="55"/>
      <c r="Y702" s="55"/>
      <c r="Z702" s="55"/>
      <c r="AA702" s="55"/>
    </row>
    <row r="703">
      <c r="A703" s="55"/>
      <c r="B703" s="55"/>
      <c r="C703" s="55"/>
      <c r="D703" s="55"/>
      <c r="E703" s="55"/>
      <c r="F703" s="365"/>
      <c r="G703" s="55"/>
      <c r="H703" s="55"/>
      <c r="I703" s="360"/>
      <c r="J703" s="55"/>
      <c r="K703" s="55"/>
      <c r="L703" s="360"/>
      <c r="M703" s="55"/>
      <c r="N703" s="55"/>
      <c r="O703" s="360"/>
      <c r="P703" s="55"/>
      <c r="Q703" s="55"/>
      <c r="R703" s="360"/>
      <c r="S703" s="55"/>
      <c r="T703" s="350"/>
      <c r="U703" s="55"/>
      <c r="V703" s="55"/>
      <c r="W703" s="55"/>
      <c r="X703" s="55"/>
      <c r="Y703" s="55"/>
      <c r="Z703" s="55"/>
      <c r="AA703" s="55"/>
    </row>
    <row r="704">
      <c r="A704" s="55"/>
      <c r="B704" s="55"/>
      <c r="C704" s="55"/>
      <c r="D704" s="55"/>
      <c r="E704" s="55"/>
      <c r="F704" s="365"/>
      <c r="G704" s="55"/>
      <c r="H704" s="55"/>
      <c r="I704" s="360"/>
      <c r="J704" s="55"/>
      <c r="K704" s="55"/>
      <c r="L704" s="360"/>
      <c r="M704" s="55"/>
      <c r="N704" s="55"/>
      <c r="O704" s="360"/>
      <c r="P704" s="55"/>
      <c r="Q704" s="55"/>
      <c r="R704" s="360"/>
      <c r="S704" s="55"/>
      <c r="T704" s="350"/>
      <c r="U704" s="55"/>
      <c r="V704" s="55"/>
      <c r="W704" s="55"/>
      <c r="X704" s="55"/>
      <c r="Y704" s="55"/>
      <c r="Z704" s="55"/>
      <c r="AA704" s="55"/>
    </row>
    <row r="705">
      <c r="A705" s="55"/>
      <c r="B705" s="55"/>
      <c r="C705" s="55"/>
      <c r="D705" s="55"/>
      <c r="E705" s="55"/>
      <c r="F705" s="365"/>
      <c r="G705" s="55"/>
      <c r="H705" s="55"/>
      <c r="I705" s="360"/>
      <c r="J705" s="55"/>
      <c r="K705" s="55"/>
      <c r="L705" s="360"/>
      <c r="M705" s="55"/>
      <c r="N705" s="55"/>
      <c r="O705" s="360"/>
      <c r="P705" s="55"/>
      <c r="Q705" s="55"/>
      <c r="R705" s="360"/>
      <c r="S705" s="55"/>
      <c r="T705" s="350"/>
      <c r="U705" s="55"/>
      <c r="V705" s="55"/>
      <c r="W705" s="55"/>
      <c r="X705" s="55"/>
      <c r="Y705" s="55"/>
      <c r="Z705" s="55"/>
      <c r="AA705" s="55"/>
    </row>
    <row r="706">
      <c r="A706" s="55"/>
      <c r="B706" s="55"/>
      <c r="C706" s="55"/>
      <c r="D706" s="55"/>
      <c r="E706" s="55"/>
      <c r="F706" s="365"/>
      <c r="G706" s="55"/>
      <c r="H706" s="55"/>
      <c r="I706" s="360"/>
      <c r="J706" s="55"/>
      <c r="K706" s="55"/>
      <c r="L706" s="360"/>
      <c r="M706" s="55"/>
      <c r="N706" s="55"/>
      <c r="O706" s="360"/>
      <c r="P706" s="55"/>
      <c r="Q706" s="55"/>
      <c r="R706" s="360"/>
      <c r="S706" s="55"/>
      <c r="T706" s="350"/>
      <c r="U706" s="55"/>
      <c r="V706" s="55"/>
      <c r="W706" s="55"/>
      <c r="X706" s="55"/>
      <c r="Y706" s="55"/>
      <c r="Z706" s="55"/>
      <c r="AA706" s="55"/>
    </row>
    <row r="707">
      <c r="A707" s="55"/>
      <c r="B707" s="55"/>
      <c r="C707" s="55"/>
      <c r="D707" s="55"/>
      <c r="E707" s="55"/>
      <c r="F707" s="365"/>
      <c r="G707" s="55"/>
      <c r="H707" s="55"/>
      <c r="I707" s="360"/>
      <c r="J707" s="55"/>
      <c r="K707" s="55"/>
      <c r="L707" s="360"/>
      <c r="M707" s="55"/>
      <c r="N707" s="55"/>
      <c r="O707" s="360"/>
      <c r="P707" s="55"/>
      <c r="Q707" s="55"/>
      <c r="R707" s="360"/>
      <c r="S707" s="55"/>
      <c r="T707" s="350"/>
      <c r="U707" s="55"/>
      <c r="V707" s="55"/>
      <c r="W707" s="55"/>
      <c r="X707" s="55"/>
      <c r="Y707" s="55"/>
      <c r="Z707" s="55"/>
      <c r="AA707" s="55"/>
    </row>
    <row r="708">
      <c r="A708" s="55"/>
      <c r="B708" s="55"/>
      <c r="C708" s="55"/>
      <c r="D708" s="55"/>
      <c r="E708" s="55"/>
      <c r="F708" s="365"/>
      <c r="G708" s="55"/>
      <c r="H708" s="55"/>
      <c r="I708" s="360"/>
      <c r="J708" s="55"/>
      <c r="K708" s="55"/>
      <c r="L708" s="360"/>
      <c r="M708" s="55"/>
      <c r="N708" s="55"/>
      <c r="O708" s="360"/>
      <c r="P708" s="55"/>
      <c r="Q708" s="55"/>
      <c r="R708" s="360"/>
      <c r="S708" s="55"/>
      <c r="T708" s="350"/>
      <c r="U708" s="55"/>
      <c r="V708" s="55"/>
      <c r="W708" s="55"/>
      <c r="X708" s="55"/>
      <c r="Y708" s="55"/>
      <c r="Z708" s="55"/>
      <c r="AA708" s="55"/>
    </row>
    <row r="709">
      <c r="A709" s="55"/>
      <c r="B709" s="55"/>
      <c r="C709" s="55"/>
      <c r="D709" s="55"/>
      <c r="E709" s="55"/>
      <c r="F709" s="365"/>
      <c r="G709" s="55"/>
      <c r="H709" s="55"/>
      <c r="I709" s="360"/>
      <c r="J709" s="55"/>
      <c r="K709" s="55"/>
      <c r="L709" s="360"/>
      <c r="M709" s="55"/>
      <c r="N709" s="55"/>
      <c r="O709" s="360"/>
      <c r="P709" s="55"/>
      <c r="Q709" s="55"/>
      <c r="R709" s="360"/>
      <c r="S709" s="55"/>
      <c r="T709" s="350"/>
      <c r="U709" s="55"/>
      <c r="V709" s="55"/>
      <c r="W709" s="55"/>
      <c r="X709" s="55"/>
      <c r="Y709" s="55"/>
      <c r="Z709" s="55"/>
      <c r="AA709" s="55"/>
    </row>
    <row r="710">
      <c r="A710" s="55"/>
      <c r="B710" s="55"/>
      <c r="C710" s="55"/>
      <c r="D710" s="55"/>
      <c r="E710" s="55"/>
      <c r="F710" s="365"/>
      <c r="G710" s="55"/>
      <c r="H710" s="55"/>
      <c r="I710" s="360"/>
      <c r="J710" s="55"/>
      <c r="K710" s="55"/>
      <c r="L710" s="360"/>
      <c r="M710" s="55"/>
      <c r="N710" s="55"/>
      <c r="O710" s="360"/>
      <c r="P710" s="55"/>
      <c r="Q710" s="55"/>
      <c r="R710" s="360"/>
      <c r="S710" s="55"/>
      <c r="T710" s="350"/>
      <c r="U710" s="55"/>
      <c r="V710" s="55"/>
      <c r="W710" s="55"/>
      <c r="X710" s="55"/>
      <c r="Y710" s="55"/>
      <c r="Z710" s="55"/>
      <c r="AA710" s="55"/>
    </row>
    <row r="711">
      <c r="A711" s="55"/>
      <c r="B711" s="55"/>
      <c r="C711" s="55"/>
      <c r="D711" s="55"/>
      <c r="E711" s="55"/>
      <c r="F711" s="365"/>
      <c r="G711" s="55"/>
      <c r="H711" s="55"/>
      <c r="I711" s="360"/>
      <c r="J711" s="55"/>
      <c r="K711" s="55"/>
      <c r="L711" s="360"/>
      <c r="M711" s="55"/>
      <c r="N711" s="55"/>
      <c r="O711" s="360"/>
      <c r="P711" s="55"/>
      <c r="Q711" s="55"/>
      <c r="R711" s="360"/>
      <c r="S711" s="55"/>
      <c r="T711" s="350"/>
      <c r="U711" s="55"/>
      <c r="V711" s="55"/>
      <c r="W711" s="55"/>
      <c r="X711" s="55"/>
      <c r="Y711" s="55"/>
      <c r="Z711" s="55"/>
      <c r="AA711" s="55"/>
    </row>
    <row r="712">
      <c r="A712" s="55"/>
      <c r="B712" s="55"/>
      <c r="C712" s="55"/>
      <c r="D712" s="55"/>
      <c r="E712" s="55"/>
      <c r="F712" s="365"/>
      <c r="G712" s="55"/>
      <c r="H712" s="55"/>
      <c r="I712" s="360"/>
      <c r="J712" s="55"/>
      <c r="K712" s="55"/>
      <c r="L712" s="360"/>
      <c r="M712" s="55"/>
      <c r="N712" s="55"/>
      <c r="O712" s="360"/>
      <c r="P712" s="55"/>
      <c r="Q712" s="55"/>
      <c r="R712" s="360"/>
      <c r="S712" s="55"/>
      <c r="T712" s="350"/>
      <c r="U712" s="55"/>
      <c r="V712" s="55"/>
      <c r="W712" s="55"/>
      <c r="X712" s="55"/>
      <c r="Y712" s="55"/>
      <c r="Z712" s="55"/>
      <c r="AA712" s="55"/>
    </row>
    <row r="713">
      <c r="A713" s="55"/>
      <c r="B713" s="55"/>
      <c r="C713" s="55"/>
      <c r="D713" s="55"/>
      <c r="E713" s="55"/>
      <c r="F713" s="365"/>
      <c r="G713" s="55"/>
      <c r="H713" s="55"/>
      <c r="I713" s="360"/>
      <c r="J713" s="55"/>
      <c r="K713" s="55"/>
      <c r="L713" s="360"/>
      <c r="M713" s="55"/>
      <c r="N713" s="55"/>
      <c r="O713" s="360"/>
      <c r="P713" s="55"/>
      <c r="Q713" s="55"/>
      <c r="R713" s="360"/>
      <c r="S713" s="55"/>
      <c r="T713" s="350"/>
      <c r="U713" s="55"/>
      <c r="V713" s="55"/>
      <c r="W713" s="55"/>
      <c r="X713" s="55"/>
      <c r="Y713" s="55"/>
      <c r="Z713" s="55"/>
      <c r="AA713" s="55"/>
    </row>
    <row r="714">
      <c r="A714" s="55"/>
      <c r="B714" s="55"/>
      <c r="C714" s="55"/>
      <c r="D714" s="55"/>
      <c r="E714" s="55"/>
      <c r="F714" s="365"/>
      <c r="G714" s="55"/>
      <c r="H714" s="55"/>
      <c r="I714" s="360"/>
      <c r="J714" s="55"/>
      <c r="K714" s="55"/>
      <c r="L714" s="360"/>
      <c r="M714" s="55"/>
      <c r="N714" s="55"/>
      <c r="O714" s="360"/>
      <c r="P714" s="55"/>
      <c r="Q714" s="55"/>
      <c r="R714" s="360"/>
      <c r="S714" s="55"/>
      <c r="T714" s="350"/>
      <c r="U714" s="55"/>
      <c r="V714" s="55"/>
      <c r="W714" s="55"/>
      <c r="X714" s="55"/>
      <c r="Y714" s="55"/>
      <c r="Z714" s="55"/>
      <c r="AA714" s="55"/>
    </row>
    <row r="715">
      <c r="A715" s="55"/>
      <c r="B715" s="55"/>
      <c r="C715" s="55"/>
      <c r="D715" s="55"/>
      <c r="E715" s="55"/>
      <c r="F715" s="365"/>
      <c r="G715" s="55"/>
      <c r="H715" s="55"/>
      <c r="I715" s="360"/>
      <c r="J715" s="55"/>
      <c r="K715" s="55"/>
      <c r="L715" s="360"/>
      <c r="M715" s="55"/>
      <c r="N715" s="55"/>
      <c r="O715" s="360"/>
      <c r="P715" s="55"/>
      <c r="Q715" s="55"/>
      <c r="R715" s="360"/>
      <c r="S715" s="55"/>
      <c r="T715" s="350"/>
      <c r="U715" s="55"/>
      <c r="V715" s="55"/>
      <c r="W715" s="55"/>
      <c r="X715" s="55"/>
      <c r="Y715" s="55"/>
      <c r="Z715" s="55"/>
      <c r="AA715" s="55"/>
    </row>
    <row r="716">
      <c r="A716" s="55"/>
      <c r="B716" s="55"/>
      <c r="C716" s="55"/>
      <c r="D716" s="55"/>
      <c r="E716" s="55"/>
      <c r="F716" s="365"/>
      <c r="G716" s="55"/>
      <c r="H716" s="55"/>
      <c r="I716" s="360"/>
      <c r="J716" s="55"/>
      <c r="K716" s="55"/>
      <c r="L716" s="360"/>
      <c r="M716" s="55"/>
      <c r="N716" s="55"/>
      <c r="O716" s="360"/>
      <c r="P716" s="55"/>
      <c r="Q716" s="55"/>
      <c r="R716" s="360"/>
      <c r="S716" s="55"/>
      <c r="T716" s="350"/>
      <c r="U716" s="55"/>
      <c r="V716" s="55"/>
      <c r="W716" s="55"/>
      <c r="X716" s="55"/>
      <c r="Y716" s="55"/>
      <c r="Z716" s="55"/>
      <c r="AA716" s="55"/>
    </row>
    <row r="717">
      <c r="A717" s="55"/>
      <c r="B717" s="55"/>
      <c r="C717" s="55"/>
      <c r="D717" s="55"/>
      <c r="E717" s="55"/>
      <c r="F717" s="365"/>
      <c r="G717" s="55"/>
      <c r="H717" s="55"/>
      <c r="I717" s="360"/>
      <c r="J717" s="55"/>
      <c r="K717" s="55"/>
      <c r="L717" s="360"/>
      <c r="M717" s="55"/>
      <c r="N717" s="55"/>
      <c r="O717" s="360"/>
      <c r="P717" s="55"/>
      <c r="Q717" s="55"/>
      <c r="R717" s="360"/>
      <c r="S717" s="55"/>
      <c r="T717" s="350"/>
      <c r="U717" s="55"/>
      <c r="V717" s="55"/>
      <c r="W717" s="55"/>
      <c r="X717" s="55"/>
      <c r="Y717" s="55"/>
      <c r="Z717" s="55"/>
      <c r="AA717" s="55"/>
    </row>
    <row r="718">
      <c r="A718" s="55"/>
      <c r="B718" s="55"/>
      <c r="C718" s="55"/>
      <c r="D718" s="55"/>
      <c r="E718" s="55"/>
      <c r="F718" s="365"/>
      <c r="G718" s="55"/>
      <c r="H718" s="55"/>
      <c r="I718" s="360"/>
      <c r="J718" s="55"/>
      <c r="K718" s="55"/>
      <c r="L718" s="360"/>
      <c r="M718" s="55"/>
      <c r="N718" s="55"/>
      <c r="O718" s="360"/>
      <c r="P718" s="55"/>
      <c r="Q718" s="55"/>
      <c r="R718" s="360"/>
      <c r="S718" s="55"/>
      <c r="T718" s="350"/>
      <c r="U718" s="55"/>
      <c r="V718" s="55"/>
      <c r="W718" s="55"/>
      <c r="X718" s="55"/>
      <c r="Y718" s="55"/>
      <c r="Z718" s="55"/>
      <c r="AA718" s="55"/>
    </row>
    <row r="719">
      <c r="A719" s="55"/>
      <c r="B719" s="55"/>
      <c r="C719" s="55"/>
      <c r="D719" s="55"/>
      <c r="E719" s="55"/>
      <c r="F719" s="365"/>
      <c r="G719" s="55"/>
      <c r="H719" s="55"/>
      <c r="I719" s="360"/>
      <c r="J719" s="55"/>
      <c r="K719" s="55"/>
      <c r="L719" s="360"/>
      <c r="M719" s="55"/>
      <c r="N719" s="55"/>
      <c r="O719" s="360"/>
      <c r="P719" s="55"/>
      <c r="Q719" s="55"/>
      <c r="R719" s="360"/>
      <c r="S719" s="55"/>
      <c r="T719" s="350"/>
      <c r="U719" s="55"/>
      <c r="V719" s="55"/>
      <c r="W719" s="55"/>
      <c r="X719" s="55"/>
      <c r="Y719" s="55"/>
      <c r="Z719" s="55"/>
      <c r="AA719" s="55"/>
    </row>
    <row r="720">
      <c r="A720" s="55"/>
      <c r="B720" s="55"/>
      <c r="C720" s="55"/>
      <c r="D720" s="55"/>
      <c r="E720" s="55"/>
      <c r="F720" s="365"/>
      <c r="G720" s="55"/>
      <c r="H720" s="55"/>
      <c r="I720" s="360"/>
      <c r="J720" s="55"/>
      <c r="K720" s="55"/>
      <c r="L720" s="360"/>
      <c r="M720" s="55"/>
      <c r="N720" s="55"/>
      <c r="O720" s="360"/>
      <c r="P720" s="55"/>
      <c r="Q720" s="55"/>
      <c r="R720" s="360"/>
      <c r="S720" s="55"/>
      <c r="T720" s="350"/>
      <c r="U720" s="55"/>
      <c r="V720" s="55"/>
      <c r="W720" s="55"/>
      <c r="X720" s="55"/>
      <c r="Y720" s="55"/>
      <c r="Z720" s="55"/>
      <c r="AA720" s="55"/>
    </row>
    <row r="721">
      <c r="A721" s="55"/>
      <c r="B721" s="55"/>
      <c r="C721" s="55"/>
      <c r="D721" s="55"/>
      <c r="E721" s="55"/>
      <c r="F721" s="365"/>
      <c r="G721" s="55"/>
      <c r="H721" s="55"/>
      <c r="I721" s="360"/>
      <c r="J721" s="55"/>
      <c r="K721" s="55"/>
      <c r="L721" s="360"/>
      <c r="M721" s="55"/>
      <c r="N721" s="55"/>
      <c r="O721" s="360"/>
      <c r="P721" s="55"/>
      <c r="Q721" s="55"/>
      <c r="R721" s="360"/>
      <c r="S721" s="55"/>
      <c r="T721" s="350"/>
      <c r="U721" s="55"/>
      <c r="V721" s="55"/>
      <c r="W721" s="55"/>
      <c r="X721" s="55"/>
      <c r="Y721" s="55"/>
      <c r="Z721" s="55"/>
      <c r="AA721" s="55"/>
    </row>
    <row r="722">
      <c r="A722" s="55"/>
      <c r="B722" s="55"/>
      <c r="C722" s="55"/>
      <c r="D722" s="55"/>
      <c r="E722" s="55"/>
      <c r="F722" s="365"/>
      <c r="G722" s="55"/>
      <c r="H722" s="55"/>
      <c r="I722" s="360"/>
      <c r="J722" s="55"/>
      <c r="K722" s="55"/>
      <c r="L722" s="360"/>
      <c r="M722" s="55"/>
      <c r="N722" s="55"/>
      <c r="O722" s="360"/>
      <c r="P722" s="55"/>
      <c r="Q722" s="55"/>
      <c r="R722" s="360"/>
      <c r="S722" s="55"/>
      <c r="T722" s="350"/>
      <c r="U722" s="55"/>
      <c r="V722" s="55"/>
      <c r="W722" s="55"/>
      <c r="X722" s="55"/>
      <c r="Y722" s="55"/>
      <c r="Z722" s="55"/>
      <c r="AA722" s="55"/>
    </row>
    <row r="723">
      <c r="A723" s="55"/>
      <c r="B723" s="55"/>
      <c r="C723" s="55"/>
      <c r="D723" s="55"/>
      <c r="E723" s="55"/>
      <c r="F723" s="365"/>
      <c r="G723" s="55"/>
      <c r="H723" s="55"/>
      <c r="I723" s="360"/>
      <c r="J723" s="55"/>
      <c r="K723" s="55"/>
      <c r="L723" s="360"/>
      <c r="M723" s="55"/>
      <c r="N723" s="55"/>
      <c r="O723" s="360"/>
      <c r="P723" s="55"/>
      <c r="Q723" s="55"/>
      <c r="R723" s="360"/>
      <c r="S723" s="55"/>
      <c r="T723" s="350"/>
      <c r="U723" s="55"/>
      <c r="V723" s="55"/>
      <c r="W723" s="55"/>
      <c r="X723" s="55"/>
      <c r="Y723" s="55"/>
      <c r="Z723" s="55"/>
      <c r="AA723" s="55"/>
    </row>
    <row r="724">
      <c r="A724" s="55"/>
      <c r="B724" s="55"/>
      <c r="C724" s="55"/>
      <c r="D724" s="55"/>
      <c r="E724" s="55"/>
      <c r="F724" s="365"/>
      <c r="G724" s="55"/>
      <c r="H724" s="55"/>
      <c r="I724" s="360"/>
      <c r="J724" s="55"/>
      <c r="K724" s="55"/>
      <c r="L724" s="360"/>
      <c r="M724" s="55"/>
      <c r="N724" s="55"/>
      <c r="O724" s="360"/>
      <c r="P724" s="55"/>
      <c r="Q724" s="55"/>
      <c r="R724" s="360"/>
      <c r="S724" s="55"/>
      <c r="T724" s="350"/>
      <c r="U724" s="55"/>
      <c r="V724" s="55"/>
      <c r="W724" s="55"/>
      <c r="X724" s="55"/>
      <c r="Y724" s="55"/>
      <c r="Z724" s="55"/>
      <c r="AA724" s="55"/>
    </row>
    <row r="725">
      <c r="A725" s="55"/>
      <c r="B725" s="55"/>
      <c r="C725" s="55"/>
      <c r="D725" s="55"/>
      <c r="E725" s="55"/>
      <c r="F725" s="365"/>
      <c r="G725" s="55"/>
      <c r="H725" s="55"/>
      <c r="I725" s="360"/>
      <c r="J725" s="55"/>
      <c r="K725" s="55"/>
      <c r="L725" s="360"/>
      <c r="M725" s="55"/>
      <c r="N725" s="55"/>
      <c r="O725" s="360"/>
      <c r="P725" s="55"/>
      <c r="Q725" s="55"/>
      <c r="R725" s="360"/>
      <c r="S725" s="55"/>
      <c r="T725" s="350"/>
      <c r="U725" s="55"/>
      <c r="V725" s="55"/>
      <c r="W725" s="55"/>
      <c r="X725" s="55"/>
      <c r="Y725" s="55"/>
      <c r="Z725" s="55"/>
      <c r="AA725" s="55"/>
    </row>
    <row r="726">
      <c r="A726" s="55"/>
      <c r="B726" s="55"/>
      <c r="C726" s="55"/>
      <c r="D726" s="55"/>
      <c r="E726" s="55"/>
      <c r="F726" s="365"/>
      <c r="G726" s="55"/>
      <c r="H726" s="55"/>
      <c r="I726" s="360"/>
      <c r="J726" s="55"/>
      <c r="K726" s="55"/>
      <c r="L726" s="360"/>
      <c r="M726" s="55"/>
      <c r="N726" s="55"/>
      <c r="O726" s="360"/>
      <c r="P726" s="55"/>
      <c r="Q726" s="55"/>
      <c r="R726" s="360"/>
      <c r="S726" s="55"/>
      <c r="T726" s="350"/>
      <c r="U726" s="55"/>
      <c r="V726" s="55"/>
      <c r="W726" s="55"/>
      <c r="X726" s="55"/>
      <c r="Y726" s="55"/>
      <c r="Z726" s="55"/>
      <c r="AA726" s="55"/>
    </row>
    <row r="727">
      <c r="A727" s="55"/>
      <c r="B727" s="55"/>
      <c r="C727" s="55"/>
      <c r="D727" s="55"/>
      <c r="E727" s="55"/>
      <c r="F727" s="365"/>
      <c r="G727" s="55"/>
      <c r="H727" s="55"/>
      <c r="I727" s="360"/>
      <c r="J727" s="55"/>
      <c r="K727" s="55"/>
      <c r="L727" s="360"/>
      <c r="M727" s="55"/>
      <c r="N727" s="55"/>
      <c r="O727" s="360"/>
      <c r="P727" s="55"/>
      <c r="Q727" s="55"/>
      <c r="R727" s="360"/>
      <c r="S727" s="55"/>
      <c r="T727" s="350"/>
      <c r="U727" s="55"/>
      <c r="V727" s="55"/>
      <c r="W727" s="55"/>
      <c r="X727" s="55"/>
      <c r="Y727" s="55"/>
      <c r="Z727" s="55"/>
      <c r="AA727" s="55"/>
    </row>
    <row r="728">
      <c r="A728" s="55"/>
      <c r="B728" s="55"/>
      <c r="C728" s="55"/>
      <c r="D728" s="55"/>
      <c r="E728" s="55"/>
      <c r="F728" s="365"/>
      <c r="G728" s="55"/>
      <c r="H728" s="55"/>
      <c r="I728" s="360"/>
      <c r="J728" s="55"/>
      <c r="K728" s="55"/>
      <c r="L728" s="360"/>
      <c r="M728" s="55"/>
      <c r="N728" s="55"/>
      <c r="O728" s="360"/>
      <c r="P728" s="55"/>
      <c r="Q728" s="55"/>
      <c r="R728" s="360"/>
      <c r="S728" s="55"/>
      <c r="T728" s="350"/>
      <c r="U728" s="55"/>
      <c r="V728" s="55"/>
      <c r="W728" s="55"/>
      <c r="X728" s="55"/>
      <c r="Y728" s="55"/>
      <c r="Z728" s="55"/>
      <c r="AA728" s="55"/>
    </row>
    <row r="729">
      <c r="A729" s="55"/>
      <c r="B729" s="55"/>
      <c r="C729" s="55"/>
      <c r="D729" s="55"/>
      <c r="E729" s="55"/>
      <c r="F729" s="365"/>
      <c r="G729" s="55"/>
      <c r="H729" s="55"/>
      <c r="I729" s="360"/>
      <c r="J729" s="55"/>
      <c r="K729" s="55"/>
      <c r="L729" s="360"/>
      <c r="M729" s="55"/>
      <c r="N729" s="55"/>
      <c r="O729" s="360"/>
      <c r="P729" s="55"/>
      <c r="Q729" s="55"/>
      <c r="R729" s="360"/>
      <c r="S729" s="55"/>
      <c r="T729" s="350"/>
      <c r="U729" s="55"/>
      <c r="V729" s="55"/>
      <c r="W729" s="55"/>
      <c r="X729" s="55"/>
      <c r="Y729" s="55"/>
      <c r="Z729" s="55"/>
      <c r="AA729" s="55"/>
    </row>
    <row r="730">
      <c r="A730" s="55"/>
      <c r="B730" s="55"/>
      <c r="C730" s="55"/>
      <c r="D730" s="55"/>
      <c r="E730" s="55"/>
      <c r="F730" s="365"/>
      <c r="G730" s="55"/>
      <c r="H730" s="55"/>
      <c r="I730" s="360"/>
      <c r="J730" s="55"/>
      <c r="K730" s="55"/>
      <c r="L730" s="360"/>
      <c r="M730" s="55"/>
      <c r="N730" s="55"/>
      <c r="O730" s="360"/>
      <c r="P730" s="55"/>
      <c r="Q730" s="55"/>
      <c r="R730" s="360"/>
      <c r="S730" s="55"/>
      <c r="T730" s="350"/>
      <c r="U730" s="55"/>
      <c r="V730" s="55"/>
      <c r="W730" s="55"/>
      <c r="X730" s="55"/>
      <c r="Y730" s="55"/>
      <c r="Z730" s="55"/>
      <c r="AA730" s="55"/>
    </row>
    <row r="731">
      <c r="A731" s="55"/>
      <c r="B731" s="55"/>
      <c r="C731" s="55"/>
      <c r="D731" s="55"/>
      <c r="E731" s="55"/>
      <c r="F731" s="365"/>
      <c r="G731" s="55"/>
      <c r="H731" s="55"/>
      <c r="I731" s="360"/>
      <c r="J731" s="55"/>
      <c r="K731" s="55"/>
      <c r="L731" s="360"/>
      <c r="M731" s="55"/>
      <c r="N731" s="55"/>
      <c r="O731" s="360"/>
      <c r="P731" s="55"/>
      <c r="Q731" s="55"/>
      <c r="R731" s="360"/>
      <c r="S731" s="55"/>
      <c r="T731" s="350"/>
      <c r="U731" s="55"/>
      <c r="V731" s="55"/>
      <c r="W731" s="55"/>
      <c r="X731" s="55"/>
      <c r="Y731" s="55"/>
      <c r="Z731" s="55"/>
      <c r="AA731" s="55"/>
    </row>
    <row r="732">
      <c r="A732" s="55"/>
      <c r="B732" s="55"/>
      <c r="C732" s="55"/>
      <c r="D732" s="55"/>
      <c r="E732" s="55"/>
      <c r="F732" s="365"/>
      <c r="G732" s="55"/>
      <c r="H732" s="55"/>
      <c r="I732" s="360"/>
      <c r="J732" s="55"/>
      <c r="K732" s="55"/>
      <c r="L732" s="360"/>
      <c r="M732" s="55"/>
      <c r="N732" s="55"/>
      <c r="O732" s="360"/>
      <c r="P732" s="55"/>
      <c r="Q732" s="55"/>
      <c r="R732" s="360"/>
      <c r="S732" s="55"/>
      <c r="T732" s="350"/>
      <c r="U732" s="55"/>
      <c r="V732" s="55"/>
      <c r="W732" s="55"/>
      <c r="X732" s="55"/>
      <c r="Y732" s="55"/>
      <c r="Z732" s="55"/>
      <c r="AA732" s="55"/>
    </row>
    <row r="733">
      <c r="A733" s="55"/>
      <c r="B733" s="55"/>
      <c r="C733" s="55"/>
      <c r="D733" s="55"/>
      <c r="E733" s="55"/>
      <c r="F733" s="365"/>
      <c r="G733" s="55"/>
      <c r="H733" s="55"/>
      <c r="I733" s="360"/>
      <c r="J733" s="55"/>
      <c r="K733" s="55"/>
      <c r="L733" s="360"/>
      <c r="M733" s="55"/>
      <c r="N733" s="55"/>
      <c r="O733" s="360"/>
      <c r="P733" s="55"/>
      <c r="Q733" s="55"/>
      <c r="R733" s="360"/>
      <c r="S733" s="55"/>
      <c r="T733" s="350"/>
      <c r="U733" s="55"/>
      <c r="V733" s="55"/>
      <c r="W733" s="55"/>
      <c r="X733" s="55"/>
      <c r="Y733" s="55"/>
      <c r="Z733" s="55"/>
      <c r="AA733" s="55"/>
    </row>
    <row r="734">
      <c r="A734" s="55"/>
      <c r="B734" s="55"/>
      <c r="C734" s="55"/>
      <c r="D734" s="55"/>
      <c r="E734" s="55"/>
      <c r="F734" s="365"/>
      <c r="G734" s="55"/>
      <c r="H734" s="55"/>
      <c r="I734" s="360"/>
      <c r="J734" s="55"/>
      <c r="K734" s="55"/>
      <c r="L734" s="360"/>
      <c r="M734" s="55"/>
      <c r="N734" s="55"/>
      <c r="O734" s="360"/>
      <c r="P734" s="55"/>
      <c r="Q734" s="55"/>
      <c r="R734" s="360"/>
      <c r="S734" s="55"/>
      <c r="T734" s="350"/>
      <c r="U734" s="55"/>
      <c r="V734" s="55"/>
      <c r="W734" s="55"/>
      <c r="X734" s="55"/>
      <c r="Y734" s="55"/>
      <c r="Z734" s="55"/>
      <c r="AA734" s="55"/>
    </row>
    <row r="735">
      <c r="A735" s="55"/>
      <c r="B735" s="55"/>
      <c r="C735" s="55"/>
      <c r="D735" s="55"/>
      <c r="E735" s="55"/>
      <c r="F735" s="365"/>
      <c r="G735" s="55"/>
      <c r="H735" s="55"/>
      <c r="I735" s="360"/>
      <c r="J735" s="55"/>
      <c r="K735" s="55"/>
      <c r="L735" s="360"/>
      <c r="M735" s="55"/>
      <c r="N735" s="55"/>
      <c r="O735" s="360"/>
      <c r="P735" s="55"/>
      <c r="Q735" s="55"/>
      <c r="R735" s="360"/>
      <c r="S735" s="55"/>
      <c r="T735" s="350"/>
      <c r="U735" s="55"/>
      <c r="V735" s="55"/>
      <c r="W735" s="55"/>
      <c r="X735" s="55"/>
      <c r="Y735" s="55"/>
      <c r="Z735" s="55"/>
      <c r="AA735" s="55"/>
    </row>
    <row r="736">
      <c r="A736" s="55"/>
      <c r="B736" s="55"/>
      <c r="C736" s="55"/>
      <c r="D736" s="55"/>
      <c r="E736" s="55"/>
      <c r="F736" s="365"/>
      <c r="G736" s="55"/>
      <c r="H736" s="55"/>
      <c r="I736" s="360"/>
      <c r="J736" s="55"/>
      <c r="K736" s="55"/>
      <c r="L736" s="360"/>
      <c r="M736" s="55"/>
      <c r="N736" s="55"/>
      <c r="O736" s="360"/>
      <c r="P736" s="55"/>
      <c r="Q736" s="55"/>
      <c r="R736" s="360"/>
      <c r="S736" s="55"/>
      <c r="T736" s="350"/>
      <c r="U736" s="55"/>
      <c r="V736" s="55"/>
      <c r="W736" s="55"/>
      <c r="X736" s="55"/>
      <c r="Y736" s="55"/>
      <c r="Z736" s="55"/>
      <c r="AA736" s="55"/>
    </row>
    <row r="737">
      <c r="A737" s="55"/>
      <c r="B737" s="55"/>
      <c r="C737" s="55"/>
      <c r="D737" s="55"/>
      <c r="E737" s="55"/>
      <c r="F737" s="365"/>
      <c r="G737" s="55"/>
      <c r="H737" s="55"/>
      <c r="I737" s="360"/>
      <c r="J737" s="55"/>
      <c r="K737" s="55"/>
      <c r="L737" s="360"/>
      <c r="M737" s="55"/>
      <c r="N737" s="55"/>
      <c r="O737" s="360"/>
      <c r="P737" s="55"/>
      <c r="Q737" s="55"/>
      <c r="R737" s="360"/>
      <c r="S737" s="55"/>
      <c r="T737" s="350"/>
      <c r="U737" s="55"/>
      <c r="V737" s="55"/>
      <c r="W737" s="55"/>
      <c r="X737" s="55"/>
      <c r="Y737" s="55"/>
      <c r="Z737" s="55"/>
      <c r="AA737" s="55"/>
    </row>
    <row r="738">
      <c r="A738" s="55"/>
      <c r="B738" s="55"/>
      <c r="C738" s="55"/>
      <c r="D738" s="55"/>
      <c r="E738" s="55"/>
      <c r="F738" s="365"/>
      <c r="G738" s="55"/>
      <c r="H738" s="55"/>
      <c r="I738" s="360"/>
      <c r="J738" s="55"/>
      <c r="K738" s="55"/>
      <c r="L738" s="360"/>
      <c r="M738" s="55"/>
      <c r="N738" s="55"/>
      <c r="O738" s="360"/>
      <c r="P738" s="55"/>
      <c r="Q738" s="55"/>
      <c r="R738" s="360"/>
      <c r="S738" s="55"/>
      <c r="T738" s="350"/>
      <c r="U738" s="55"/>
      <c r="V738" s="55"/>
      <c r="W738" s="55"/>
      <c r="X738" s="55"/>
      <c r="Y738" s="55"/>
      <c r="Z738" s="55"/>
      <c r="AA738" s="55"/>
    </row>
    <row r="739">
      <c r="A739" s="55"/>
      <c r="B739" s="55"/>
      <c r="C739" s="55"/>
      <c r="D739" s="55"/>
      <c r="E739" s="55"/>
      <c r="F739" s="365"/>
      <c r="G739" s="55"/>
      <c r="H739" s="55"/>
      <c r="I739" s="360"/>
      <c r="J739" s="55"/>
      <c r="K739" s="55"/>
      <c r="L739" s="360"/>
      <c r="M739" s="55"/>
      <c r="N739" s="55"/>
      <c r="O739" s="360"/>
      <c r="P739" s="55"/>
      <c r="Q739" s="55"/>
      <c r="R739" s="360"/>
      <c r="S739" s="55"/>
      <c r="T739" s="350"/>
      <c r="U739" s="55"/>
      <c r="V739" s="55"/>
      <c r="W739" s="55"/>
      <c r="X739" s="55"/>
      <c r="Y739" s="55"/>
      <c r="Z739" s="55"/>
      <c r="AA739" s="55"/>
    </row>
    <row r="740">
      <c r="A740" s="55"/>
      <c r="B740" s="55"/>
      <c r="C740" s="55"/>
      <c r="D740" s="55"/>
      <c r="E740" s="55"/>
      <c r="F740" s="365"/>
      <c r="G740" s="55"/>
      <c r="H740" s="55"/>
      <c r="I740" s="360"/>
      <c r="J740" s="55"/>
      <c r="K740" s="55"/>
      <c r="L740" s="360"/>
      <c r="M740" s="55"/>
      <c r="N740" s="55"/>
      <c r="O740" s="360"/>
      <c r="P740" s="55"/>
      <c r="Q740" s="55"/>
      <c r="R740" s="360"/>
      <c r="S740" s="55"/>
      <c r="T740" s="350"/>
      <c r="U740" s="55"/>
      <c r="V740" s="55"/>
      <c r="W740" s="55"/>
      <c r="X740" s="55"/>
      <c r="Y740" s="55"/>
      <c r="Z740" s="55"/>
      <c r="AA740" s="55"/>
    </row>
    <row r="741">
      <c r="A741" s="55"/>
      <c r="B741" s="55"/>
      <c r="C741" s="55"/>
      <c r="D741" s="55"/>
      <c r="E741" s="55"/>
      <c r="F741" s="365"/>
      <c r="G741" s="55"/>
      <c r="H741" s="55"/>
      <c r="I741" s="360"/>
      <c r="J741" s="55"/>
      <c r="K741" s="55"/>
      <c r="L741" s="360"/>
      <c r="M741" s="55"/>
      <c r="N741" s="55"/>
      <c r="O741" s="360"/>
      <c r="P741" s="55"/>
      <c r="Q741" s="55"/>
      <c r="R741" s="360"/>
      <c r="S741" s="55"/>
      <c r="T741" s="350"/>
      <c r="U741" s="55"/>
      <c r="V741" s="55"/>
      <c r="W741" s="55"/>
      <c r="X741" s="55"/>
      <c r="Y741" s="55"/>
      <c r="Z741" s="55"/>
      <c r="AA741" s="55"/>
    </row>
    <row r="742">
      <c r="A742" s="55"/>
      <c r="B742" s="55"/>
      <c r="C742" s="55"/>
      <c r="D742" s="55"/>
      <c r="E742" s="55"/>
      <c r="F742" s="365"/>
      <c r="G742" s="55"/>
      <c r="H742" s="55"/>
      <c r="I742" s="360"/>
      <c r="J742" s="55"/>
      <c r="K742" s="55"/>
      <c r="L742" s="360"/>
      <c r="M742" s="55"/>
      <c r="N742" s="55"/>
      <c r="O742" s="360"/>
      <c r="P742" s="55"/>
      <c r="Q742" s="55"/>
      <c r="R742" s="360"/>
      <c r="S742" s="55"/>
      <c r="T742" s="350"/>
      <c r="U742" s="55"/>
      <c r="V742" s="55"/>
      <c r="W742" s="55"/>
      <c r="X742" s="55"/>
      <c r="Y742" s="55"/>
      <c r="Z742" s="55"/>
      <c r="AA742" s="55"/>
    </row>
    <row r="743">
      <c r="A743" s="55"/>
      <c r="B743" s="55"/>
      <c r="C743" s="55"/>
      <c r="D743" s="55"/>
      <c r="E743" s="55"/>
      <c r="F743" s="365"/>
      <c r="G743" s="55"/>
      <c r="H743" s="55"/>
      <c r="I743" s="360"/>
      <c r="J743" s="55"/>
      <c r="K743" s="55"/>
      <c r="L743" s="360"/>
      <c r="M743" s="55"/>
      <c r="N743" s="55"/>
      <c r="O743" s="360"/>
      <c r="P743" s="55"/>
      <c r="Q743" s="55"/>
      <c r="R743" s="360"/>
      <c r="S743" s="55"/>
      <c r="T743" s="350"/>
      <c r="U743" s="55"/>
      <c r="V743" s="55"/>
      <c r="W743" s="55"/>
      <c r="X743" s="55"/>
      <c r="Y743" s="55"/>
      <c r="Z743" s="55"/>
      <c r="AA743" s="55"/>
    </row>
    <row r="744">
      <c r="A744" s="55"/>
      <c r="B744" s="55"/>
      <c r="C744" s="55"/>
      <c r="D744" s="55"/>
      <c r="E744" s="55"/>
      <c r="F744" s="365"/>
      <c r="G744" s="55"/>
      <c r="H744" s="55"/>
      <c r="I744" s="360"/>
      <c r="J744" s="55"/>
      <c r="K744" s="55"/>
      <c r="L744" s="360"/>
      <c r="M744" s="55"/>
      <c r="N744" s="55"/>
      <c r="O744" s="360"/>
      <c r="P744" s="55"/>
      <c r="Q744" s="55"/>
      <c r="R744" s="360"/>
      <c r="S744" s="55"/>
      <c r="T744" s="350"/>
      <c r="U744" s="55"/>
      <c r="V744" s="55"/>
      <c r="W744" s="55"/>
      <c r="X744" s="55"/>
      <c r="Y744" s="55"/>
      <c r="Z744" s="55"/>
      <c r="AA744" s="55"/>
    </row>
    <row r="745">
      <c r="A745" s="55"/>
      <c r="B745" s="55"/>
      <c r="C745" s="55"/>
      <c r="D745" s="55"/>
      <c r="E745" s="55"/>
      <c r="F745" s="365"/>
      <c r="G745" s="55"/>
      <c r="H745" s="55"/>
      <c r="I745" s="360"/>
      <c r="J745" s="55"/>
      <c r="K745" s="55"/>
      <c r="L745" s="360"/>
      <c r="M745" s="55"/>
      <c r="N745" s="55"/>
      <c r="O745" s="360"/>
      <c r="P745" s="55"/>
      <c r="Q745" s="55"/>
      <c r="R745" s="360"/>
      <c r="S745" s="55"/>
      <c r="T745" s="350"/>
      <c r="U745" s="55"/>
      <c r="V745" s="55"/>
      <c r="W745" s="55"/>
      <c r="X745" s="55"/>
      <c r="Y745" s="55"/>
      <c r="Z745" s="55"/>
      <c r="AA745" s="55"/>
    </row>
    <row r="746">
      <c r="A746" s="55"/>
      <c r="B746" s="55"/>
      <c r="C746" s="55"/>
      <c r="D746" s="55"/>
      <c r="E746" s="55"/>
      <c r="F746" s="365"/>
      <c r="G746" s="55"/>
      <c r="H746" s="55"/>
      <c r="I746" s="360"/>
      <c r="J746" s="55"/>
      <c r="K746" s="55"/>
      <c r="L746" s="360"/>
      <c r="M746" s="55"/>
      <c r="N746" s="55"/>
      <c r="O746" s="360"/>
      <c r="P746" s="55"/>
      <c r="Q746" s="55"/>
      <c r="R746" s="360"/>
      <c r="S746" s="55"/>
      <c r="T746" s="350"/>
      <c r="U746" s="55"/>
      <c r="V746" s="55"/>
      <c r="W746" s="55"/>
      <c r="X746" s="55"/>
      <c r="Y746" s="55"/>
      <c r="Z746" s="55"/>
      <c r="AA746" s="55"/>
    </row>
    <row r="747">
      <c r="A747" s="55"/>
      <c r="B747" s="55"/>
      <c r="C747" s="55"/>
      <c r="D747" s="55"/>
      <c r="E747" s="55"/>
      <c r="F747" s="365"/>
      <c r="G747" s="55"/>
      <c r="H747" s="55"/>
      <c r="I747" s="360"/>
      <c r="J747" s="55"/>
      <c r="K747" s="55"/>
      <c r="L747" s="360"/>
      <c r="M747" s="55"/>
      <c r="N747" s="55"/>
      <c r="O747" s="360"/>
      <c r="P747" s="55"/>
      <c r="Q747" s="55"/>
      <c r="R747" s="360"/>
      <c r="S747" s="55"/>
      <c r="T747" s="350"/>
      <c r="U747" s="55"/>
      <c r="V747" s="55"/>
      <c r="W747" s="55"/>
      <c r="X747" s="55"/>
      <c r="Y747" s="55"/>
      <c r="Z747" s="55"/>
      <c r="AA747" s="55"/>
    </row>
    <row r="748">
      <c r="A748" s="55"/>
      <c r="B748" s="55"/>
      <c r="C748" s="55"/>
      <c r="D748" s="55"/>
      <c r="E748" s="55"/>
      <c r="F748" s="365"/>
      <c r="G748" s="55"/>
      <c r="H748" s="55"/>
      <c r="I748" s="360"/>
      <c r="J748" s="55"/>
      <c r="K748" s="55"/>
      <c r="L748" s="360"/>
      <c r="M748" s="55"/>
      <c r="N748" s="55"/>
      <c r="O748" s="360"/>
      <c r="P748" s="55"/>
      <c r="Q748" s="55"/>
      <c r="R748" s="360"/>
      <c r="S748" s="55"/>
      <c r="T748" s="350"/>
      <c r="U748" s="55"/>
      <c r="V748" s="55"/>
      <c r="W748" s="55"/>
      <c r="X748" s="55"/>
      <c r="Y748" s="55"/>
      <c r="Z748" s="55"/>
      <c r="AA748" s="55"/>
    </row>
    <row r="749">
      <c r="A749" s="55"/>
      <c r="B749" s="55"/>
      <c r="C749" s="55"/>
      <c r="D749" s="55"/>
      <c r="E749" s="55"/>
      <c r="F749" s="365"/>
      <c r="G749" s="55"/>
      <c r="H749" s="55"/>
      <c r="I749" s="360"/>
      <c r="J749" s="55"/>
      <c r="K749" s="55"/>
      <c r="L749" s="360"/>
      <c r="M749" s="55"/>
      <c r="N749" s="55"/>
      <c r="O749" s="360"/>
      <c r="P749" s="55"/>
      <c r="Q749" s="55"/>
      <c r="R749" s="360"/>
      <c r="S749" s="55"/>
      <c r="T749" s="350"/>
      <c r="U749" s="55"/>
      <c r="V749" s="55"/>
      <c r="W749" s="55"/>
      <c r="X749" s="55"/>
      <c r="Y749" s="55"/>
      <c r="Z749" s="55"/>
      <c r="AA749" s="55"/>
    </row>
    <row r="750">
      <c r="A750" s="55"/>
      <c r="B750" s="55"/>
      <c r="C750" s="55"/>
      <c r="D750" s="55"/>
      <c r="E750" s="55"/>
      <c r="F750" s="365"/>
      <c r="G750" s="55"/>
      <c r="H750" s="55"/>
      <c r="I750" s="360"/>
      <c r="J750" s="55"/>
      <c r="K750" s="55"/>
      <c r="L750" s="360"/>
      <c r="M750" s="55"/>
      <c r="N750" s="55"/>
      <c r="O750" s="360"/>
      <c r="P750" s="55"/>
      <c r="Q750" s="55"/>
      <c r="R750" s="360"/>
      <c r="S750" s="55"/>
      <c r="T750" s="350"/>
      <c r="U750" s="55"/>
      <c r="V750" s="55"/>
      <c r="W750" s="55"/>
      <c r="X750" s="55"/>
      <c r="Y750" s="55"/>
      <c r="Z750" s="55"/>
      <c r="AA750" s="55"/>
    </row>
    <row r="751">
      <c r="A751" s="55"/>
      <c r="B751" s="55"/>
      <c r="C751" s="55"/>
      <c r="D751" s="55"/>
      <c r="E751" s="55"/>
      <c r="F751" s="365"/>
      <c r="G751" s="55"/>
      <c r="H751" s="55"/>
      <c r="I751" s="360"/>
      <c r="J751" s="55"/>
      <c r="K751" s="55"/>
      <c r="L751" s="360"/>
      <c r="M751" s="55"/>
      <c r="N751" s="55"/>
      <c r="O751" s="360"/>
      <c r="P751" s="55"/>
      <c r="Q751" s="55"/>
      <c r="R751" s="360"/>
      <c r="S751" s="55"/>
      <c r="T751" s="350"/>
      <c r="U751" s="55"/>
      <c r="V751" s="55"/>
      <c r="W751" s="55"/>
      <c r="X751" s="55"/>
      <c r="Y751" s="55"/>
      <c r="Z751" s="55"/>
      <c r="AA751" s="55"/>
    </row>
    <row r="752">
      <c r="A752" s="55"/>
      <c r="B752" s="55"/>
      <c r="C752" s="55"/>
      <c r="D752" s="55"/>
      <c r="E752" s="55"/>
      <c r="F752" s="365"/>
      <c r="G752" s="55"/>
      <c r="H752" s="55"/>
      <c r="I752" s="360"/>
      <c r="J752" s="55"/>
      <c r="K752" s="55"/>
      <c r="L752" s="360"/>
      <c r="M752" s="55"/>
      <c r="N752" s="55"/>
      <c r="O752" s="360"/>
      <c r="P752" s="55"/>
      <c r="Q752" s="55"/>
      <c r="R752" s="360"/>
      <c r="S752" s="55"/>
      <c r="T752" s="350"/>
      <c r="U752" s="55"/>
      <c r="V752" s="55"/>
      <c r="W752" s="55"/>
      <c r="X752" s="55"/>
      <c r="Y752" s="55"/>
      <c r="Z752" s="55"/>
      <c r="AA752" s="55"/>
    </row>
    <row r="753">
      <c r="A753" s="55"/>
      <c r="B753" s="55"/>
      <c r="C753" s="55"/>
      <c r="D753" s="55"/>
      <c r="E753" s="55"/>
      <c r="F753" s="365"/>
      <c r="G753" s="55"/>
      <c r="H753" s="55"/>
      <c r="I753" s="360"/>
      <c r="J753" s="55"/>
      <c r="K753" s="55"/>
      <c r="L753" s="360"/>
      <c r="M753" s="55"/>
      <c r="N753" s="55"/>
      <c r="O753" s="360"/>
      <c r="P753" s="55"/>
      <c r="Q753" s="55"/>
      <c r="R753" s="360"/>
      <c r="S753" s="55"/>
      <c r="T753" s="350"/>
      <c r="U753" s="55"/>
      <c r="V753" s="55"/>
      <c r="W753" s="55"/>
      <c r="X753" s="55"/>
      <c r="Y753" s="55"/>
      <c r="Z753" s="55"/>
      <c r="AA753" s="55"/>
    </row>
    <row r="754">
      <c r="A754" s="55"/>
      <c r="B754" s="55"/>
      <c r="C754" s="55"/>
      <c r="D754" s="55"/>
      <c r="E754" s="55"/>
      <c r="F754" s="365"/>
      <c r="G754" s="55"/>
      <c r="H754" s="55"/>
      <c r="I754" s="360"/>
      <c r="J754" s="55"/>
      <c r="K754" s="55"/>
      <c r="L754" s="360"/>
      <c r="M754" s="55"/>
      <c r="N754" s="55"/>
      <c r="O754" s="360"/>
      <c r="P754" s="55"/>
      <c r="Q754" s="55"/>
      <c r="R754" s="360"/>
      <c r="S754" s="55"/>
      <c r="T754" s="350"/>
      <c r="U754" s="55"/>
      <c r="V754" s="55"/>
      <c r="W754" s="55"/>
      <c r="X754" s="55"/>
      <c r="Y754" s="55"/>
      <c r="Z754" s="55"/>
      <c r="AA754" s="55"/>
    </row>
    <row r="755">
      <c r="A755" s="55"/>
      <c r="B755" s="55"/>
      <c r="C755" s="55"/>
      <c r="D755" s="55"/>
      <c r="E755" s="55"/>
      <c r="F755" s="365"/>
      <c r="G755" s="55"/>
      <c r="H755" s="55"/>
      <c r="I755" s="360"/>
      <c r="J755" s="55"/>
      <c r="K755" s="55"/>
      <c r="L755" s="360"/>
      <c r="M755" s="55"/>
      <c r="N755" s="55"/>
      <c r="O755" s="360"/>
      <c r="P755" s="55"/>
      <c r="Q755" s="55"/>
      <c r="R755" s="360"/>
      <c r="S755" s="55"/>
      <c r="T755" s="350"/>
      <c r="U755" s="55"/>
      <c r="V755" s="55"/>
      <c r="W755" s="55"/>
      <c r="X755" s="55"/>
      <c r="Y755" s="55"/>
      <c r="Z755" s="55"/>
      <c r="AA755" s="55"/>
    </row>
    <row r="756">
      <c r="A756" s="55"/>
      <c r="B756" s="55"/>
      <c r="C756" s="55"/>
      <c r="D756" s="55"/>
      <c r="E756" s="55"/>
      <c r="F756" s="365"/>
      <c r="G756" s="55"/>
      <c r="H756" s="55"/>
      <c r="I756" s="360"/>
      <c r="J756" s="55"/>
      <c r="K756" s="55"/>
      <c r="L756" s="360"/>
      <c r="M756" s="55"/>
      <c r="N756" s="55"/>
      <c r="O756" s="360"/>
      <c r="P756" s="55"/>
      <c r="Q756" s="55"/>
      <c r="R756" s="360"/>
      <c r="S756" s="55"/>
      <c r="T756" s="350"/>
      <c r="U756" s="55"/>
      <c r="V756" s="55"/>
      <c r="W756" s="55"/>
      <c r="X756" s="55"/>
      <c r="Y756" s="55"/>
      <c r="Z756" s="55"/>
      <c r="AA756" s="55"/>
    </row>
    <row r="757">
      <c r="A757" s="55"/>
      <c r="B757" s="55"/>
      <c r="C757" s="55"/>
      <c r="D757" s="55"/>
      <c r="E757" s="55"/>
      <c r="F757" s="365"/>
      <c r="G757" s="55"/>
      <c r="H757" s="55"/>
      <c r="I757" s="360"/>
      <c r="J757" s="55"/>
      <c r="K757" s="55"/>
      <c r="L757" s="360"/>
      <c r="M757" s="55"/>
      <c r="N757" s="55"/>
      <c r="O757" s="360"/>
      <c r="P757" s="55"/>
      <c r="Q757" s="55"/>
      <c r="R757" s="360"/>
      <c r="S757" s="55"/>
      <c r="T757" s="350"/>
      <c r="U757" s="55"/>
      <c r="V757" s="55"/>
      <c r="W757" s="55"/>
      <c r="X757" s="55"/>
      <c r="Y757" s="55"/>
      <c r="Z757" s="55"/>
      <c r="AA757" s="55"/>
    </row>
    <row r="758">
      <c r="A758" s="55"/>
      <c r="B758" s="55"/>
      <c r="C758" s="55"/>
      <c r="D758" s="55"/>
      <c r="E758" s="55"/>
      <c r="F758" s="365"/>
      <c r="G758" s="55"/>
      <c r="H758" s="55"/>
      <c r="I758" s="360"/>
      <c r="J758" s="55"/>
      <c r="K758" s="55"/>
      <c r="L758" s="360"/>
      <c r="M758" s="55"/>
      <c r="N758" s="55"/>
      <c r="O758" s="360"/>
      <c r="P758" s="55"/>
      <c r="Q758" s="55"/>
      <c r="R758" s="360"/>
      <c r="S758" s="55"/>
      <c r="T758" s="350"/>
      <c r="U758" s="55"/>
      <c r="V758" s="55"/>
      <c r="W758" s="55"/>
      <c r="X758" s="55"/>
      <c r="Y758" s="55"/>
      <c r="Z758" s="55"/>
      <c r="AA758" s="55"/>
    </row>
    <row r="759">
      <c r="A759" s="55"/>
      <c r="B759" s="55"/>
      <c r="C759" s="55"/>
      <c r="D759" s="55"/>
      <c r="E759" s="55"/>
      <c r="F759" s="365"/>
      <c r="G759" s="55"/>
      <c r="H759" s="55"/>
      <c r="I759" s="360"/>
      <c r="J759" s="55"/>
      <c r="K759" s="55"/>
      <c r="L759" s="360"/>
      <c r="M759" s="55"/>
      <c r="N759" s="55"/>
      <c r="O759" s="360"/>
      <c r="P759" s="55"/>
      <c r="Q759" s="55"/>
      <c r="R759" s="360"/>
      <c r="S759" s="55"/>
      <c r="T759" s="350"/>
      <c r="U759" s="55"/>
      <c r="V759" s="55"/>
      <c r="W759" s="55"/>
      <c r="X759" s="55"/>
      <c r="Y759" s="55"/>
      <c r="Z759" s="55"/>
      <c r="AA759" s="55"/>
    </row>
    <row r="760">
      <c r="A760" s="55"/>
      <c r="B760" s="55"/>
      <c r="C760" s="55"/>
      <c r="D760" s="55"/>
      <c r="E760" s="55"/>
      <c r="F760" s="365"/>
      <c r="G760" s="55"/>
      <c r="H760" s="55"/>
      <c r="I760" s="360"/>
      <c r="J760" s="55"/>
      <c r="K760" s="55"/>
      <c r="L760" s="360"/>
      <c r="M760" s="55"/>
      <c r="N760" s="55"/>
      <c r="O760" s="360"/>
      <c r="P760" s="55"/>
      <c r="Q760" s="55"/>
      <c r="R760" s="360"/>
      <c r="S760" s="55"/>
      <c r="T760" s="350"/>
      <c r="U760" s="55"/>
      <c r="V760" s="55"/>
      <c r="W760" s="55"/>
      <c r="X760" s="55"/>
      <c r="Y760" s="55"/>
      <c r="Z760" s="55"/>
      <c r="AA760" s="55"/>
    </row>
    <row r="761">
      <c r="A761" s="55"/>
      <c r="B761" s="55"/>
      <c r="C761" s="55"/>
      <c r="D761" s="55"/>
      <c r="E761" s="55"/>
      <c r="F761" s="365"/>
      <c r="G761" s="55"/>
      <c r="H761" s="55"/>
      <c r="I761" s="360"/>
      <c r="J761" s="55"/>
      <c r="K761" s="55"/>
      <c r="L761" s="360"/>
      <c r="M761" s="55"/>
      <c r="N761" s="55"/>
      <c r="O761" s="360"/>
      <c r="P761" s="55"/>
      <c r="Q761" s="55"/>
      <c r="R761" s="360"/>
      <c r="S761" s="55"/>
      <c r="T761" s="350"/>
      <c r="U761" s="55"/>
      <c r="V761" s="55"/>
      <c r="W761" s="55"/>
      <c r="X761" s="55"/>
      <c r="Y761" s="55"/>
      <c r="Z761" s="55"/>
      <c r="AA761" s="55"/>
    </row>
    <row r="762">
      <c r="A762" s="55"/>
      <c r="B762" s="55"/>
      <c r="C762" s="55"/>
      <c r="D762" s="55"/>
      <c r="E762" s="55"/>
      <c r="F762" s="365"/>
      <c r="G762" s="55"/>
      <c r="H762" s="55"/>
      <c r="I762" s="360"/>
      <c r="J762" s="55"/>
      <c r="K762" s="55"/>
      <c r="L762" s="360"/>
      <c r="M762" s="55"/>
      <c r="N762" s="55"/>
      <c r="O762" s="360"/>
      <c r="P762" s="55"/>
      <c r="Q762" s="55"/>
      <c r="R762" s="360"/>
      <c r="S762" s="55"/>
      <c r="T762" s="350"/>
      <c r="U762" s="55"/>
      <c r="V762" s="55"/>
      <c r="W762" s="55"/>
      <c r="X762" s="55"/>
      <c r="Y762" s="55"/>
      <c r="Z762" s="55"/>
      <c r="AA762" s="55"/>
    </row>
    <row r="763">
      <c r="A763" s="55"/>
      <c r="B763" s="55"/>
      <c r="C763" s="55"/>
      <c r="D763" s="55"/>
      <c r="E763" s="55"/>
      <c r="F763" s="365"/>
      <c r="G763" s="55"/>
      <c r="H763" s="55"/>
      <c r="I763" s="360"/>
      <c r="J763" s="55"/>
      <c r="K763" s="55"/>
      <c r="L763" s="360"/>
      <c r="M763" s="55"/>
      <c r="N763" s="55"/>
      <c r="O763" s="360"/>
      <c r="P763" s="55"/>
      <c r="Q763" s="55"/>
      <c r="R763" s="360"/>
      <c r="S763" s="55"/>
      <c r="T763" s="350"/>
      <c r="U763" s="55"/>
      <c r="V763" s="55"/>
      <c r="W763" s="55"/>
      <c r="X763" s="55"/>
      <c r="Y763" s="55"/>
      <c r="Z763" s="55"/>
      <c r="AA763" s="55"/>
    </row>
    <row r="764">
      <c r="A764" s="55"/>
      <c r="B764" s="55"/>
      <c r="C764" s="55"/>
      <c r="D764" s="55"/>
      <c r="E764" s="55"/>
      <c r="F764" s="365"/>
      <c r="G764" s="55"/>
      <c r="H764" s="55"/>
      <c r="I764" s="360"/>
      <c r="J764" s="55"/>
      <c r="K764" s="55"/>
      <c r="L764" s="360"/>
      <c r="M764" s="55"/>
      <c r="N764" s="55"/>
      <c r="O764" s="360"/>
      <c r="P764" s="55"/>
      <c r="Q764" s="55"/>
      <c r="R764" s="360"/>
      <c r="S764" s="55"/>
      <c r="T764" s="350"/>
      <c r="U764" s="55"/>
      <c r="V764" s="55"/>
      <c r="W764" s="55"/>
      <c r="X764" s="55"/>
      <c r="Y764" s="55"/>
      <c r="Z764" s="55"/>
      <c r="AA764" s="55"/>
    </row>
    <row r="765">
      <c r="A765" s="55"/>
      <c r="B765" s="55"/>
      <c r="C765" s="55"/>
      <c r="D765" s="55"/>
      <c r="E765" s="55"/>
      <c r="F765" s="365"/>
      <c r="G765" s="55"/>
      <c r="H765" s="55"/>
      <c r="I765" s="360"/>
      <c r="J765" s="55"/>
      <c r="K765" s="55"/>
      <c r="L765" s="360"/>
      <c r="M765" s="55"/>
      <c r="N765" s="55"/>
      <c r="O765" s="360"/>
      <c r="P765" s="55"/>
      <c r="Q765" s="55"/>
      <c r="R765" s="360"/>
      <c r="S765" s="55"/>
      <c r="T765" s="350"/>
      <c r="U765" s="55"/>
      <c r="V765" s="55"/>
      <c r="W765" s="55"/>
      <c r="X765" s="55"/>
      <c r="Y765" s="55"/>
      <c r="Z765" s="55"/>
      <c r="AA765" s="55"/>
    </row>
    <row r="766">
      <c r="A766" s="55"/>
      <c r="B766" s="55"/>
      <c r="C766" s="55"/>
      <c r="D766" s="55"/>
      <c r="E766" s="55"/>
      <c r="F766" s="365"/>
      <c r="G766" s="55"/>
      <c r="H766" s="55"/>
      <c r="I766" s="360"/>
      <c r="J766" s="55"/>
      <c r="K766" s="55"/>
      <c r="L766" s="360"/>
      <c r="M766" s="55"/>
      <c r="N766" s="55"/>
      <c r="O766" s="360"/>
      <c r="P766" s="55"/>
      <c r="Q766" s="55"/>
      <c r="R766" s="360"/>
      <c r="S766" s="55"/>
      <c r="T766" s="350"/>
      <c r="U766" s="55"/>
      <c r="V766" s="55"/>
      <c r="W766" s="55"/>
      <c r="X766" s="55"/>
      <c r="Y766" s="55"/>
      <c r="Z766" s="55"/>
      <c r="AA766" s="55"/>
    </row>
    <row r="767">
      <c r="A767" s="55"/>
      <c r="B767" s="55"/>
      <c r="C767" s="55"/>
      <c r="D767" s="55"/>
      <c r="E767" s="55"/>
      <c r="F767" s="365"/>
      <c r="G767" s="55"/>
      <c r="H767" s="55"/>
      <c r="I767" s="360"/>
      <c r="J767" s="55"/>
      <c r="K767" s="55"/>
      <c r="L767" s="360"/>
      <c r="M767" s="55"/>
      <c r="N767" s="55"/>
      <c r="O767" s="360"/>
      <c r="P767" s="55"/>
      <c r="Q767" s="55"/>
      <c r="R767" s="360"/>
      <c r="S767" s="55"/>
      <c r="T767" s="350"/>
      <c r="U767" s="55"/>
      <c r="V767" s="55"/>
      <c r="W767" s="55"/>
      <c r="X767" s="55"/>
      <c r="Y767" s="55"/>
      <c r="Z767" s="55"/>
      <c r="AA767" s="55"/>
    </row>
    <row r="768">
      <c r="A768" s="55"/>
      <c r="B768" s="55"/>
      <c r="C768" s="55"/>
      <c r="D768" s="55"/>
      <c r="E768" s="55"/>
      <c r="F768" s="365"/>
      <c r="G768" s="55"/>
      <c r="H768" s="55"/>
      <c r="I768" s="360"/>
      <c r="J768" s="55"/>
      <c r="K768" s="55"/>
      <c r="L768" s="360"/>
      <c r="M768" s="55"/>
      <c r="N768" s="55"/>
      <c r="O768" s="360"/>
      <c r="P768" s="55"/>
      <c r="Q768" s="55"/>
      <c r="R768" s="360"/>
      <c r="S768" s="55"/>
      <c r="T768" s="350"/>
      <c r="U768" s="55"/>
      <c r="V768" s="55"/>
      <c r="W768" s="55"/>
      <c r="X768" s="55"/>
      <c r="Y768" s="55"/>
      <c r="Z768" s="55"/>
      <c r="AA768" s="55"/>
    </row>
    <row r="769">
      <c r="A769" s="55"/>
      <c r="B769" s="55"/>
      <c r="C769" s="55"/>
      <c r="D769" s="55"/>
      <c r="E769" s="55"/>
      <c r="F769" s="365"/>
      <c r="G769" s="55"/>
      <c r="H769" s="55"/>
      <c r="I769" s="360"/>
      <c r="J769" s="55"/>
      <c r="K769" s="55"/>
      <c r="L769" s="360"/>
      <c r="M769" s="55"/>
      <c r="N769" s="55"/>
      <c r="O769" s="360"/>
      <c r="P769" s="55"/>
      <c r="Q769" s="55"/>
      <c r="R769" s="360"/>
      <c r="S769" s="55"/>
      <c r="T769" s="350"/>
      <c r="U769" s="55"/>
      <c r="V769" s="55"/>
      <c r="W769" s="55"/>
      <c r="X769" s="55"/>
      <c r="Y769" s="55"/>
      <c r="Z769" s="55"/>
      <c r="AA769" s="55"/>
    </row>
    <row r="770">
      <c r="A770" s="55"/>
      <c r="B770" s="55"/>
      <c r="C770" s="55"/>
      <c r="D770" s="55"/>
      <c r="E770" s="55"/>
      <c r="F770" s="365"/>
      <c r="G770" s="55"/>
      <c r="H770" s="55"/>
      <c r="I770" s="360"/>
      <c r="J770" s="55"/>
      <c r="K770" s="55"/>
      <c r="L770" s="360"/>
      <c r="M770" s="55"/>
      <c r="N770" s="55"/>
      <c r="O770" s="360"/>
      <c r="P770" s="55"/>
      <c r="Q770" s="55"/>
      <c r="R770" s="360"/>
      <c r="S770" s="55"/>
      <c r="T770" s="350"/>
      <c r="U770" s="55"/>
      <c r="V770" s="55"/>
      <c r="W770" s="55"/>
      <c r="X770" s="55"/>
      <c r="Y770" s="55"/>
      <c r="Z770" s="55"/>
      <c r="AA770" s="55"/>
    </row>
    <row r="771">
      <c r="A771" s="55"/>
      <c r="B771" s="55"/>
      <c r="C771" s="55"/>
      <c r="D771" s="55"/>
      <c r="E771" s="55"/>
      <c r="F771" s="365"/>
      <c r="G771" s="55"/>
      <c r="H771" s="55"/>
      <c r="I771" s="360"/>
      <c r="J771" s="55"/>
      <c r="K771" s="55"/>
      <c r="L771" s="360"/>
      <c r="M771" s="55"/>
      <c r="N771" s="55"/>
      <c r="O771" s="360"/>
      <c r="P771" s="55"/>
      <c r="Q771" s="55"/>
      <c r="R771" s="360"/>
      <c r="S771" s="55"/>
      <c r="T771" s="350"/>
      <c r="U771" s="55"/>
      <c r="V771" s="55"/>
      <c r="W771" s="55"/>
      <c r="X771" s="55"/>
      <c r="Y771" s="55"/>
      <c r="Z771" s="55"/>
      <c r="AA771" s="55"/>
    </row>
    <row r="772">
      <c r="A772" s="55"/>
      <c r="B772" s="55"/>
      <c r="C772" s="55"/>
      <c r="D772" s="55"/>
      <c r="E772" s="55"/>
      <c r="F772" s="365"/>
      <c r="G772" s="55"/>
      <c r="H772" s="55"/>
      <c r="I772" s="360"/>
      <c r="J772" s="55"/>
      <c r="K772" s="55"/>
      <c r="L772" s="360"/>
      <c r="M772" s="55"/>
      <c r="N772" s="55"/>
      <c r="O772" s="360"/>
      <c r="P772" s="55"/>
      <c r="Q772" s="55"/>
      <c r="R772" s="360"/>
      <c r="S772" s="55"/>
      <c r="T772" s="350"/>
      <c r="U772" s="55"/>
      <c r="V772" s="55"/>
      <c r="W772" s="55"/>
      <c r="X772" s="55"/>
      <c r="Y772" s="55"/>
      <c r="Z772" s="55"/>
      <c r="AA772" s="55"/>
    </row>
    <row r="773">
      <c r="A773" s="55"/>
      <c r="B773" s="55"/>
      <c r="C773" s="55"/>
      <c r="D773" s="55"/>
      <c r="E773" s="55"/>
      <c r="F773" s="365"/>
      <c r="G773" s="55"/>
      <c r="H773" s="55"/>
      <c r="I773" s="360"/>
      <c r="J773" s="55"/>
      <c r="K773" s="55"/>
      <c r="L773" s="360"/>
      <c r="M773" s="55"/>
      <c r="N773" s="55"/>
      <c r="O773" s="360"/>
      <c r="P773" s="55"/>
      <c r="Q773" s="55"/>
      <c r="R773" s="360"/>
      <c r="S773" s="55"/>
      <c r="T773" s="350"/>
      <c r="U773" s="55"/>
      <c r="V773" s="55"/>
      <c r="W773" s="55"/>
      <c r="X773" s="55"/>
      <c r="Y773" s="55"/>
      <c r="Z773" s="55"/>
      <c r="AA773" s="55"/>
    </row>
    <row r="774">
      <c r="A774" s="55"/>
      <c r="B774" s="55"/>
      <c r="C774" s="55"/>
      <c r="D774" s="55"/>
      <c r="E774" s="55"/>
      <c r="F774" s="365"/>
      <c r="G774" s="55"/>
      <c r="H774" s="55"/>
      <c r="I774" s="360"/>
      <c r="J774" s="55"/>
      <c r="K774" s="55"/>
      <c r="L774" s="360"/>
      <c r="M774" s="55"/>
      <c r="N774" s="55"/>
      <c r="O774" s="360"/>
      <c r="P774" s="55"/>
      <c r="Q774" s="55"/>
      <c r="R774" s="360"/>
      <c r="S774" s="55"/>
      <c r="T774" s="350"/>
      <c r="U774" s="55"/>
      <c r="V774" s="55"/>
      <c r="W774" s="55"/>
      <c r="X774" s="55"/>
      <c r="Y774" s="55"/>
      <c r="Z774" s="55"/>
      <c r="AA774" s="55"/>
    </row>
    <row r="775">
      <c r="A775" s="55"/>
      <c r="B775" s="55"/>
      <c r="C775" s="55"/>
      <c r="D775" s="55"/>
      <c r="E775" s="55"/>
      <c r="F775" s="365"/>
      <c r="G775" s="55"/>
      <c r="H775" s="55"/>
      <c r="I775" s="360"/>
      <c r="J775" s="55"/>
      <c r="K775" s="55"/>
      <c r="L775" s="360"/>
      <c r="M775" s="55"/>
      <c r="N775" s="55"/>
      <c r="O775" s="360"/>
      <c r="P775" s="55"/>
      <c r="Q775" s="55"/>
      <c r="R775" s="360"/>
      <c r="S775" s="55"/>
      <c r="T775" s="350"/>
      <c r="U775" s="55"/>
      <c r="V775" s="55"/>
      <c r="W775" s="55"/>
      <c r="X775" s="55"/>
      <c r="Y775" s="55"/>
      <c r="Z775" s="55"/>
      <c r="AA775" s="55"/>
    </row>
    <row r="776">
      <c r="A776" s="55"/>
      <c r="B776" s="55"/>
      <c r="C776" s="55"/>
      <c r="D776" s="55"/>
      <c r="E776" s="55"/>
      <c r="F776" s="365"/>
      <c r="G776" s="55"/>
      <c r="H776" s="55"/>
      <c r="I776" s="360"/>
      <c r="J776" s="55"/>
      <c r="K776" s="55"/>
      <c r="L776" s="360"/>
      <c r="M776" s="55"/>
      <c r="N776" s="55"/>
      <c r="O776" s="360"/>
      <c r="P776" s="55"/>
      <c r="Q776" s="55"/>
      <c r="R776" s="360"/>
      <c r="S776" s="55"/>
      <c r="T776" s="350"/>
      <c r="U776" s="55"/>
      <c r="V776" s="55"/>
      <c r="W776" s="55"/>
      <c r="X776" s="55"/>
      <c r="Y776" s="55"/>
      <c r="Z776" s="55"/>
      <c r="AA776" s="55"/>
    </row>
    <row r="777">
      <c r="A777" s="55"/>
      <c r="B777" s="55"/>
      <c r="C777" s="55"/>
      <c r="D777" s="55"/>
      <c r="E777" s="55"/>
      <c r="F777" s="365"/>
      <c r="G777" s="55"/>
      <c r="H777" s="55"/>
      <c r="I777" s="360"/>
      <c r="J777" s="55"/>
      <c r="K777" s="55"/>
      <c r="L777" s="360"/>
      <c r="M777" s="55"/>
      <c r="N777" s="55"/>
      <c r="O777" s="360"/>
      <c r="P777" s="55"/>
      <c r="Q777" s="55"/>
      <c r="R777" s="360"/>
      <c r="S777" s="55"/>
      <c r="T777" s="350"/>
      <c r="U777" s="55"/>
      <c r="V777" s="55"/>
      <c r="W777" s="55"/>
      <c r="X777" s="55"/>
      <c r="Y777" s="55"/>
      <c r="Z777" s="55"/>
      <c r="AA777" s="55"/>
    </row>
    <row r="778">
      <c r="A778" s="55"/>
      <c r="B778" s="55"/>
      <c r="C778" s="55"/>
      <c r="D778" s="55"/>
      <c r="E778" s="55"/>
      <c r="F778" s="365"/>
      <c r="G778" s="55"/>
      <c r="H778" s="55"/>
      <c r="I778" s="360"/>
      <c r="J778" s="55"/>
      <c r="K778" s="55"/>
      <c r="L778" s="360"/>
      <c r="M778" s="55"/>
      <c r="N778" s="55"/>
      <c r="O778" s="360"/>
      <c r="P778" s="55"/>
      <c r="Q778" s="55"/>
      <c r="R778" s="360"/>
      <c r="S778" s="55"/>
      <c r="T778" s="350"/>
      <c r="U778" s="55"/>
      <c r="V778" s="55"/>
      <c r="W778" s="55"/>
      <c r="X778" s="55"/>
      <c r="Y778" s="55"/>
      <c r="Z778" s="55"/>
      <c r="AA778" s="55"/>
    </row>
    <row r="779">
      <c r="A779" s="55"/>
      <c r="B779" s="55"/>
      <c r="C779" s="55"/>
      <c r="D779" s="55"/>
      <c r="E779" s="55"/>
      <c r="F779" s="365"/>
      <c r="G779" s="55"/>
      <c r="H779" s="55"/>
      <c r="I779" s="360"/>
      <c r="J779" s="55"/>
      <c r="K779" s="55"/>
      <c r="L779" s="360"/>
      <c r="M779" s="55"/>
      <c r="N779" s="55"/>
      <c r="O779" s="360"/>
      <c r="P779" s="55"/>
      <c r="Q779" s="55"/>
      <c r="R779" s="360"/>
      <c r="S779" s="55"/>
      <c r="T779" s="350"/>
      <c r="U779" s="55"/>
      <c r="V779" s="55"/>
      <c r="W779" s="55"/>
      <c r="X779" s="55"/>
      <c r="Y779" s="55"/>
      <c r="Z779" s="55"/>
      <c r="AA779" s="55"/>
    </row>
    <row r="780">
      <c r="A780" s="55"/>
      <c r="B780" s="55"/>
      <c r="C780" s="55"/>
      <c r="D780" s="55"/>
      <c r="E780" s="55"/>
      <c r="F780" s="365"/>
      <c r="G780" s="55"/>
      <c r="H780" s="55"/>
      <c r="I780" s="360"/>
      <c r="J780" s="55"/>
      <c r="K780" s="55"/>
      <c r="L780" s="360"/>
      <c r="M780" s="55"/>
      <c r="N780" s="55"/>
      <c r="O780" s="360"/>
      <c r="P780" s="55"/>
      <c r="Q780" s="55"/>
      <c r="R780" s="360"/>
      <c r="S780" s="55"/>
      <c r="T780" s="350"/>
      <c r="U780" s="55"/>
      <c r="V780" s="55"/>
      <c r="W780" s="55"/>
      <c r="X780" s="55"/>
      <c r="Y780" s="55"/>
      <c r="Z780" s="55"/>
      <c r="AA780" s="55"/>
    </row>
    <row r="781">
      <c r="A781" s="55"/>
      <c r="B781" s="55"/>
      <c r="C781" s="55"/>
      <c r="D781" s="55"/>
      <c r="E781" s="55"/>
      <c r="F781" s="365"/>
      <c r="G781" s="55"/>
      <c r="H781" s="55"/>
      <c r="I781" s="360"/>
      <c r="J781" s="55"/>
      <c r="K781" s="55"/>
      <c r="L781" s="360"/>
      <c r="M781" s="55"/>
      <c r="N781" s="55"/>
      <c r="O781" s="360"/>
      <c r="P781" s="55"/>
      <c r="Q781" s="55"/>
      <c r="R781" s="360"/>
      <c r="S781" s="55"/>
      <c r="T781" s="350"/>
      <c r="U781" s="55"/>
      <c r="V781" s="55"/>
      <c r="W781" s="55"/>
      <c r="X781" s="55"/>
      <c r="Y781" s="55"/>
      <c r="Z781" s="55"/>
      <c r="AA781" s="55"/>
    </row>
    <row r="782">
      <c r="A782" s="55"/>
      <c r="B782" s="55"/>
      <c r="C782" s="55"/>
      <c r="D782" s="55"/>
      <c r="E782" s="55"/>
      <c r="F782" s="365"/>
      <c r="G782" s="55"/>
      <c r="H782" s="55"/>
      <c r="I782" s="360"/>
      <c r="J782" s="55"/>
      <c r="K782" s="55"/>
      <c r="L782" s="360"/>
      <c r="M782" s="55"/>
      <c r="N782" s="55"/>
      <c r="O782" s="360"/>
      <c r="P782" s="55"/>
      <c r="Q782" s="55"/>
      <c r="R782" s="360"/>
      <c r="S782" s="55"/>
      <c r="T782" s="350"/>
      <c r="U782" s="55"/>
      <c r="V782" s="55"/>
      <c r="W782" s="55"/>
      <c r="X782" s="55"/>
      <c r="Y782" s="55"/>
      <c r="Z782" s="55"/>
      <c r="AA782" s="55"/>
    </row>
    <row r="783">
      <c r="A783" s="55"/>
      <c r="B783" s="55"/>
      <c r="C783" s="55"/>
      <c r="D783" s="55"/>
      <c r="E783" s="55"/>
      <c r="F783" s="365"/>
      <c r="G783" s="55"/>
      <c r="H783" s="55"/>
      <c r="I783" s="360"/>
      <c r="J783" s="55"/>
      <c r="K783" s="55"/>
      <c r="L783" s="360"/>
      <c r="M783" s="55"/>
      <c r="N783" s="55"/>
      <c r="O783" s="360"/>
      <c r="P783" s="55"/>
      <c r="Q783" s="55"/>
      <c r="R783" s="360"/>
      <c r="S783" s="55"/>
      <c r="T783" s="350"/>
      <c r="U783" s="55"/>
      <c r="V783" s="55"/>
      <c r="W783" s="55"/>
      <c r="X783" s="55"/>
      <c r="Y783" s="55"/>
      <c r="Z783" s="55"/>
      <c r="AA783" s="55"/>
    </row>
    <row r="784">
      <c r="A784" s="55"/>
      <c r="B784" s="55"/>
      <c r="C784" s="55"/>
      <c r="D784" s="55"/>
      <c r="E784" s="55"/>
      <c r="F784" s="365"/>
      <c r="G784" s="55"/>
      <c r="H784" s="55"/>
      <c r="I784" s="360"/>
      <c r="J784" s="55"/>
      <c r="K784" s="55"/>
      <c r="L784" s="360"/>
      <c r="M784" s="55"/>
      <c r="N784" s="55"/>
      <c r="O784" s="360"/>
      <c r="P784" s="55"/>
      <c r="Q784" s="55"/>
      <c r="R784" s="360"/>
      <c r="S784" s="55"/>
      <c r="T784" s="350"/>
      <c r="U784" s="55"/>
      <c r="V784" s="55"/>
      <c r="W784" s="55"/>
      <c r="X784" s="55"/>
      <c r="Y784" s="55"/>
      <c r="Z784" s="55"/>
      <c r="AA784" s="55"/>
    </row>
    <row r="785">
      <c r="A785" s="55"/>
      <c r="B785" s="55"/>
      <c r="C785" s="55"/>
      <c r="D785" s="55"/>
      <c r="E785" s="55"/>
      <c r="F785" s="365"/>
      <c r="G785" s="55"/>
      <c r="H785" s="55"/>
      <c r="I785" s="360"/>
      <c r="J785" s="55"/>
      <c r="K785" s="55"/>
      <c r="L785" s="360"/>
      <c r="M785" s="55"/>
      <c r="N785" s="55"/>
      <c r="O785" s="360"/>
      <c r="P785" s="55"/>
      <c r="Q785" s="55"/>
      <c r="R785" s="360"/>
      <c r="S785" s="55"/>
      <c r="T785" s="350"/>
      <c r="U785" s="55"/>
      <c r="V785" s="55"/>
      <c r="W785" s="55"/>
      <c r="X785" s="55"/>
      <c r="Y785" s="55"/>
      <c r="Z785" s="55"/>
      <c r="AA785" s="55"/>
    </row>
    <row r="786">
      <c r="A786" s="55"/>
      <c r="B786" s="55"/>
      <c r="C786" s="55"/>
      <c r="D786" s="55"/>
      <c r="E786" s="55"/>
      <c r="F786" s="365"/>
      <c r="G786" s="55"/>
      <c r="H786" s="55"/>
      <c r="I786" s="360"/>
      <c r="J786" s="55"/>
      <c r="K786" s="55"/>
      <c r="L786" s="360"/>
      <c r="M786" s="55"/>
      <c r="N786" s="55"/>
      <c r="O786" s="360"/>
      <c r="P786" s="55"/>
      <c r="Q786" s="55"/>
      <c r="R786" s="360"/>
      <c r="S786" s="55"/>
      <c r="T786" s="350"/>
      <c r="U786" s="55"/>
      <c r="V786" s="55"/>
      <c r="W786" s="55"/>
      <c r="X786" s="55"/>
      <c r="Y786" s="55"/>
      <c r="Z786" s="55"/>
      <c r="AA786" s="55"/>
    </row>
    <row r="787">
      <c r="A787" s="55"/>
      <c r="B787" s="55"/>
      <c r="C787" s="55"/>
      <c r="D787" s="55"/>
      <c r="E787" s="55"/>
      <c r="F787" s="365"/>
      <c r="G787" s="55"/>
      <c r="H787" s="55"/>
      <c r="I787" s="360"/>
      <c r="J787" s="55"/>
      <c r="K787" s="55"/>
      <c r="L787" s="360"/>
      <c r="M787" s="55"/>
      <c r="N787" s="55"/>
      <c r="O787" s="360"/>
      <c r="P787" s="55"/>
      <c r="Q787" s="55"/>
      <c r="R787" s="360"/>
      <c r="S787" s="55"/>
      <c r="T787" s="350"/>
      <c r="U787" s="55"/>
      <c r="V787" s="55"/>
      <c r="W787" s="55"/>
      <c r="X787" s="55"/>
      <c r="Y787" s="55"/>
      <c r="Z787" s="55"/>
      <c r="AA787" s="55"/>
    </row>
    <row r="788">
      <c r="A788" s="55"/>
      <c r="B788" s="55"/>
      <c r="C788" s="55"/>
      <c r="D788" s="55"/>
      <c r="E788" s="55"/>
      <c r="F788" s="365"/>
      <c r="G788" s="55"/>
      <c r="H788" s="55"/>
      <c r="I788" s="360"/>
      <c r="J788" s="55"/>
      <c r="K788" s="55"/>
      <c r="L788" s="360"/>
      <c r="M788" s="55"/>
      <c r="N788" s="55"/>
      <c r="O788" s="360"/>
      <c r="P788" s="55"/>
      <c r="Q788" s="55"/>
      <c r="R788" s="360"/>
      <c r="S788" s="55"/>
      <c r="T788" s="350"/>
      <c r="U788" s="55"/>
      <c r="V788" s="55"/>
      <c r="W788" s="55"/>
      <c r="X788" s="55"/>
      <c r="Y788" s="55"/>
      <c r="Z788" s="55"/>
      <c r="AA788" s="55"/>
    </row>
    <row r="789">
      <c r="A789" s="55"/>
      <c r="B789" s="55"/>
      <c r="C789" s="55"/>
      <c r="D789" s="55"/>
      <c r="E789" s="55"/>
      <c r="F789" s="365"/>
      <c r="G789" s="55"/>
      <c r="H789" s="55"/>
      <c r="I789" s="360"/>
      <c r="J789" s="55"/>
      <c r="K789" s="55"/>
      <c r="L789" s="360"/>
      <c r="M789" s="55"/>
      <c r="N789" s="55"/>
      <c r="O789" s="360"/>
      <c r="P789" s="55"/>
      <c r="Q789" s="55"/>
      <c r="R789" s="360"/>
      <c r="S789" s="55"/>
      <c r="T789" s="350"/>
      <c r="U789" s="55"/>
      <c r="V789" s="55"/>
      <c r="W789" s="55"/>
      <c r="X789" s="55"/>
      <c r="Y789" s="55"/>
      <c r="Z789" s="55"/>
      <c r="AA789" s="55"/>
    </row>
    <row r="790">
      <c r="A790" s="55"/>
      <c r="B790" s="55"/>
      <c r="C790" s="55"/>
      <c r="D790" s="55"/>
      <c r="E790" s="55"/>
      <c r="F790" s="365"/>
      <c r="G790" s="55"/>
      <c r="H790" s="55"/>
      <c r="I790" s="360"/>
      <c r="J790" s="55"/>
      <c r="K790" s="55"/>
      <c r="L790" s="360"/>
      <c r="M790" s="55"/>
      <c r="N790" s="55"/>
      <c r="O790" s="360"/>
      <c r="P790" s="55"/>
      <c r="Q790" s="55"/>
      <c r="R790" s="360"/>
      <c r="S790" s="55"/>
      <c r="T790" s="350"/>
      <c r="U790" s="55"/>
      <c r="V790" s="55"/>
      <c r="W790" s="55"/>
      <c r="X790" s="55"/>
      <c r="Y790" s="55"/>
      <c r="Z790" s="55"/>
      <c r="AA790" s="55"/>
    </row>
    <row r="791">
      <c r="A791" s="55"/>
      <c r="B791" s="55"/>
      <c r="C791" s="55"/>
      <c r="D791" s="55"/>
      <c r="E791" s="55"/>
      <c r="F791" s="365"/>
      <c r="G791" s="55"/>
      <c r="H791" s="55"/>
      <c r="I791" s="360"/>
      <c r="J791" s="55"/>
      <c r="K791" s="55"/>
      <c r="L791" s="360"/>
      <c r="M791" s="55"/>
      <c r="N791" s="55"/>
      <c r="O791" s="360"/>
      <c r="P791" s="55"/>
      <c r="Q791" s="55"/>
      <c r="R791" s="360"/>
      <c r="S791" s="55"/>
      <c r="T791" s="350"/>
      <c r="U791" s="55"/>
      <c r="V791" s="55"/>
      <c r="W791" s="55"/>
      <c r="X791" s="55"/>
      <c r="Y791" s="55"/>
      <c r="Z791" s="55"/>
      <c r="AA791" s="55"/>
    </row>
    <row r="792">
      <c r="A792" s="55"/>
      <c r="B792" s="55"/>
      <c r="C792" s="55"/>
      <c r="D792" s="55"/>
      <c r="E792" s="55"/>
      <c r="F792" s="365"/>
      <c r="G792" s="55"/>
      <c r="H792" s="55"/>
      <c r="I792" s="360"/>
      <c r="J792" s="55"/>
      <c r="K792" s="55"/>
      <c r="L792" s="360"/>
      <c r="M792" s="55"/>
      <c r="N792" s="55"/>
      <c r="O792" s="360"/>
      <c r="P792" s="55"/>
      <c r="Q792" s="55"/>
      <c r="R792" s="360"/>
      <c r="S792" s="55"/>
      <c r="T792" s="350"/>
      <c r="U792" s="55"/>
      <c r="V792" s="55"/>
      <c r="W792" s="55"/>
      <c r="X792" s="55"/>
      <c r="Y792" s="55"/>
      <c r="Z792" s="55"/>
      <c r="AA792" s="55"/>
    </row>
    <row r="793">
      <c r="A793" s="55"/>
      <c r="B793" s="55"/>
      <c r="C793" s="55"/>
      <c r="D793" s="55"/>
      <c r="E793" s="55"/>
      <c r="F793" s="365"/>
      <c r="G793" s="55"/>
      <c r="H793" s="55"/>
      <c r="I793" s="360"/>
      <c r="J793" s="55"/>
      <c r="K793" s="55"/>
      <c r="L793" s="360"/>
      <c r="M793" s="55"/>
      <c r="N793" s="55"/>
      <c r="O793" s="360"/>
      <c r="P793" s="55"/>
      <c r="Q793" s="55"/>
      <c r="R793" s="360"/>
      <c r="S793" s="55"/>
      <c r="T793" s="350"/>
      <c r="U793" s="55"/>
      <c r="V793" s="55"/>
      <c r="W793" s="55"/>
      <c r="X793" s="55"/>
      <c r="Y793" s="55"/>
      <c r="Z793" s="55"/>
      <c r="AA793" s="55"/>
    </row>
    <row r="794">
      <c r="A794" s="55"/>
      <c r="B794" s="55"/>
      <c r="C794" s="55"/>
      <c r="D794" s="55"/>
      <c r="E794" s="55"/>
      <c r="F794" s="365"/>
      <c r="G794" s="55"/>
      <c r="H794" s="55"/>
      <c r="I794" s="360"/>
      <c r="J794" s="55"/>
      <c r="K794" s="55"/>
      <c r="L794" s="360"/>
      <c r="M794" s="55"/>
      <c r="N794" s="55"/>
      <c r="O794" s="360"/>
      <c r="P794" s="55"/>
      <c r="Q794" s="55"/>
      <c r="R794" s="360"/>
      <c r="S794" s="55"/>
      <c r="T794" s="350"/>
      <c r="U794" s="55"/>
      <c r="V794" s="55"/>
      <c r="W794" s="55"/>
      <c r="X794" s="55"/>
      <c r="Y794" s="55"/>
      <c r="Z794" s="55"/>
      <c r="AA794" s="55"/>
    </row>
    <row r="795">
      <c r="A795" s="55"/>
      <c r="B795" s="55"/>
      <c r="C795" s="55"/>
      <c r="D795" s="55"/>
      <c r="E795" s="55"/>
      <c r="F795" s="365"/>
      <c r="G795" s="55"/>
      <c r="H795" s="55"/>
      <c r="I795" s="360"/>
      <c r="J795" s="55"/>
      <c r="K795" s="55"/>
      <c r="L795" s="360"/>
      <c r="M795" s="55"/>
      <c r="N795" s="55"/>
      <c r="O795" s="360"/>
      <c r="P795" s="55"/>
      <c r="Q795" s="55"/>
      <c r="R795" s="360"/>
      <c r="S795" s="55"/>
      <c r="T795" s="350"/>
      <c r="U795" s="55"/>
      <c r="V795" s="55"/>
      <c r="W795" s="55"/>
      <c r="X795" s="55"/>
      <c r="Y795" s="55"/>
      <c r="Z795" s="55"/>
      <c r="AA795" s="55"/>
    </row>
    <row r="796">
      <c r="A796" s="55"/>
      <c r="B796" s="55"/>
      <c r="C796" s="55"/>
      <c r="D796" s="55"/>
      <c r="E796" s="55"/>
      <c r="F796" s="365"/>
      <c r="G796" s="55"/>
      <c r="H796" s="55"/>
      <c r="I796" s="360"/>
      <c r="J796" s="55"/>
      <c r="K796" s="55"/>
      <c r="L796" s="360"/>
      <c r="M796" s="55"/>
      <c r="N796" s="55"/>
      <c r="O796" s="360"/>
      <c r="P796" s="55"/>
      <c r="Q796" s="55"/>
      <c r="R796" s="360"/>
      <c r="S796" s="55"/>
      <c r="T796" s="350"/>
      <c r="U796" s="55"/>
      <c r="V796" s="55"/>
      <c r="W796" s="55"/>
      <c r="X796" s="55"/>
      <c r="Y796" s="55"/>
      <c r="Z796" s="55"/>
      <c r="AA796" s="55"/>
    </row>
    <row r="797">
      <c r="A797" s="55"/>
      <c r="B797" s="55"/>
      <c r="C797" s="55"/>
      <c r="D797" s="55"/>
      <c r="E797" s="55"/>
      <c r="F797" s="365"/>
      <c r="G797" s="55"/>
      <c r="H797" s="55"/>
      <c r="I797" s="360"/>
      <c r="J797" s="55"/>
      <c r="K797" s="55"/>
      <c r="L797" s="360"/>
      <c r="M797" s="55"/>
      <c r="N797" s="55"/>
      <c r="O797" s="360"/>
      <c r="P797" s="55"/>
      <c r="Q797" s="55"/>
      <c r="R797" s="360"/>
      <c r="S797" s="55"/>
      <c r="T797" s="350"/>
      <c r="U797" s="55"/>
      <c r="V797" s="55"/>
      <c r="W797" s="55"/>
      <c r="X797" s="55"/>
      <c r="Y797" s="55"/>
      <c r="Z797" s="55"/>
      <c r="AA797" s="55"/>
    </row>
    <row r="798">
      <c r="A798" s="55"/>
      <c r="B798" s="55"/>
      <c r="C798" s="55"/>
      <c r="D798" s="55"/>
      <c r="E798" s="55"/>
      <c r="F798" s="365"/>
      <c r="G798" s="55"/>
      <c r="H798" s="55"/>
      <c r="I798" s="360"/>
      <c r="J798" s="55"/>
      <c r="K798" s="55"/>
      <c r="L798" s="360"/>
      <c r="M798" s="55"/>
      <c r="N798" s="55"/>
      <c r="O798" s="360"/>
      <c r="P798" s="55"/>
      <c r="Q798" s="55"/>
      <c r="R798" s="360"/>
      <c r="S798" s="55"/>
      <c r="T798" s="350"/>
      <c r="U798" s="55"/>
      <c r="V798" s="55"/>
      <c r="W798" s="55"/>
      <c r="X798" s="55"/>
      <c r="Y798" s="55"/>
      <c r="Z798" s="55"/>
      <c r="AA798" s="55"/>
    </row>
    <row r="799">
      <c r="A799" s="55"/>
      <c r="B799" s="55"/>
      <c r="C799" s="55"/>
      <c r="D799" s="55"/>
      <c r="E799" s="55"/>
      <c r="F799" s="365"/>
      <c r="G799" s="55"/>
      <c r="H799" s="55"/>
      <c r="I799" s="360"/>
      <c r="J799" s="55"/>
      <c r="K799" s="55"/>
      <c r="L799" s="360"/>
      <c r="M799" s="55"/>
      <c r="N799" s="55"/>
      <c r="O799" s="360"/>
      <c r="P799" s="55"/>
      <c r="Q799" s="55"/>
      <c r="R799" s="360"/>
      <c r="S799" s="55"/>
      <c r="T799" s="350"/>
      <c r="U799" s="55"/>
      <c r="V799" s="55"/>
      <c r="W799" s="55"/>
      <c r="X799" s="55"/>
      <c r="Y799" s="55"/>
      <c r="Z799" s="55"/>
      <c r="AA799" s="55"/>
    </row>
    <row r="800">
      <c r="A800" s="55"/>
      <c r="B800" s="55"/>
      <c r="C800" s="55"/>
      <c r="D800" s="55"/>
      <c r="E800" s="55"/>
      <c r="F800" s="365"/>
      <c r="G800" s="55"/>
      <c r="H800" s="55"/>
      <c r="I800" s="360"/>
      <c r="J800" s="55"/>
      <c r="K800" s="55"/>
      <c r="L800" s="360"/>
      <c r="M800" s="55"/>
      <c r="N800" s="55"/>
      <c r="O800" s="360"/>
      <c r="P800" s="55"/>
      <c r="Q800" s="55"/>
      <c r="R800" s="360"/>
      <c r="S800" s="55"/>
      <c r="T800" s="350"/>
      <c r="U800" s="55"/>
      <c r="V800" s="55"/>
      <c r="W800" s="55"/>
      <c r="X800" s="55"/>
      <c r="Y800" s="55"/>
      <c r="Z800" s="55"/>
      <c r="AA800" s="55"/>
    </row>
    <row r="801">
      <c r="A801" s="55"/>
      <c r="B801" s="55"/>
      <c r="C801" s="55"/>
      <c r="D801" s="55"/>
      <c r="E801" s="55"/>
      <c r="F801" s="365"/>
      <c r="G801" s="55"/>
      <c r="H801" s="55"/>
      <c r="I801" s="360"/>
      <c r="J801" s="55"/>
      <c r="K801" s="55"/>
      <c r="L801" s="360"/>
      <c r="M801" s="55"/>
      <c r="N801" s="55"/>
      <c r="O801" s="360"/>
      <c r="P801" s="55"/>
      <c r="Q801" s="55"/>
      <c r="R801" s="360"/>
      <c r="S801" s="55"/>
      <c r="T801" s="350"/>
      <c r="U801" s="55"/>
      <c r="V801" s="55"/>
      <c r="W801" s="55"/>
      <c r="X801" s="55"/>
      <c r="Y801" s="55"/>
      <c r="Z801" s="55"/>
      <c r="AA801" s="55"/>
    </row>
    <row r="802">
      <c r="A802" s="55"/>
      <c r="B802" s="55"/>
      <c r="C802" s="55"/>
      <c r="D802" s="55"/>
      <c r="E802" s="55"/>
      <c r="F802" s="365"/>
      <c r="G802" s="55"/>
      <c r="H802" s="55"/>
      <c r="I802" s="360"/>
      <c r="J802" s="55"/>
      <c r="K802" s="55"/>
      <c r="L802" s="360"/>
      <c r="M802" s="55"/>
      <c r="N802" s="55"/>
      <c r="O802" s="360"/>
      <c r="P802" s="55"/>
      <c r="Q802" s="55"/>
      <c r="R802" s="360"/>
      <c r="S802" s="55"/>
      <c r="T802" s="350"/>
      <c r="U802" s="55"/>
      <c r="V802" s="55"/>
      <c r="W802" s="55"/>
      <c r="X802" s="55"/>
      <c r="Y802" s="55"/>
      <c r="Z802" s="55"/>
      <c r="AA802" s="55"/>
    </row>
    <row r="803">
      <c r="A803" s="55"/>
      <c r="B803" s="55"/>
      <c r="C803" s="55"/>
      <c r="D803" s="55"/>
      <c r="E803" s="55"/>
      <c r="F803" s="365"/>
      <c r="G803" s="55"/>
      <c r="H803" s="55"/>
      <c r="I803" s="360"/>
      <c r="J803" s="55"/>
      <c r="K803" s="55"/>
      <c r="L803" s="360"/>
      <c r="M803" s="55"/>
      <c r="N803" s="55"/>
      <c r="O803" s="360"/>
      <c r="P803" s="55"/>
      <c r="Q803" s="55"/>
      <c r="R803" s="360"/>
      <c r="S803" s="55"/>
      <c r="T803" s="350"/>
      <c r="U803" s="55"/>
      <c r="V803" s="55"/>
      <c r="W803" s="55"/>
      <c r="X803" s="55"/>
      <c r="Y803" s="55"/>
      <c r="Z803" s="55"/>
      <c r="AA803" s="55"/>
    </row>
    <row r="804">
      <c r="A804" s="55"/>
      <c r="B804" s="55"/>
      <c r="C804" s="55"/>
      <c r="D804" s="55"/>
      <c r="E804" s="55"/>
      <c r="F804" s="365"/>
      <c r="G804" s="55"/>
      <c r="H804" s="55"/>
      <c r="I804" s="360"/>
      <c r="J804" s="55"/>
      <c r="K804" s="55"/>
      <c r="L804" s="360"/>
      <c r="M804" s="55"/>
      <c r="N804" s="55"/>
      <c r="O804" s="360"/>
      <c r="P804" s="55"/>
      <c r="Q804" s="55"/>
      <c r="R804" s="360"/>
      <c r="S804" s="55"/>
      <c r="T804" s="350"/>
      <c r="U804" s="55"/>
      <c r="V804" s="55"/>
      <c r="W804" s="55"/>
      <c r="X804" s="55"/>
      <c r="Y804" s="55"/>
      <c r="Z804" s="55"/>
      <c r="AA804" s="55"/>
    </row>
    <row r="805">
      <c r="A805" s="55"/>
      <c r="B805" s="55"/>
      <c r="C805" s="55"/>
      <c r="D805" s="55"/>
      <c r="E805" s="55"/>
      <c r="F805" s="365"/>
      <c r="G805" s="55"/>
      <c r="H805" s="55"/>
      <c r="I805" s="360"/>
      <c r="J805" s="55"/>
      <c r="K805" s="55"/>
      <c r="L805" s="360"/>
      <c r="M805" s="55"/>
      <c r="N805" s="55"/>
      <c r="O805" s="360"/>
      <c r="P805" s="55"/>
      <c r="Q805" s="55"/>
      <c r="R805" s="360"/>
      <c r="S805" s="55"/>
      <c r="T805" s="350"/>
      <c r="U805" s="55"/>
      <c r="V805" s="55"/>
      <c r="W805" s="55"/>
      <c r="X805" s="55"/>
      <c r="Y805" s="55"/>
      <c r="Z805" s="55"/>
      <c r="AA805" s="55"/>
    </row>
    <row r="806">
      <c r="A806" s="55"/>
      <c r="B806" s="55"/>
      <c r="C806" s="55"/>
      <c r="D806" s="55"/>
      <c r="E806" s="55"/>
      <c r="F806" s="365"/>
      <c r="G806" s="55"/>
      <c r="H806" s="55"/>
      <c r="I806" s="360"/>
      <c r="J806" s="55"/>
      <c r="K806" s="55"/>
      <c r="L806" s="360"/>
      <c r="M806" s="55"/>
      <c r="N806" s="55"/>
      <c r="O806" s="360"/>
      <c r="P806" s="55"/>
      <c r="Q806" s="55"/>
      <c r="R806" s="360"/>
      <c r="S806" s="55"/>
      <c r="T806" s="350"/>
      <c r="U806" s="55"/>
      <c r="V806" s="55"/>
      <c r="W806" s="55"/>
      <c r="X806" s="55"/>
      <c r="Y806" s="55"/>
      <c r="Z806" s="55"/>
      <c r="AA806" s="55"/>
    </row>
    <row r="807">
      <c r="A807" s="55"/>
      <c r="B807" s="55"/>
      <c r="C807" s="55"/>
      <c r="D807" s="55"/>
      <c r="E807" s="55"/>
      <c r="F807" s="365"/>
      <c r="G807" s="55"/>
      <c r="H807" s="55"/>
      <c r="I807" s="360"/>
      <c r="J807" s="55"/>
      <c r="K807" s="55"/>
      <c r="L807" s="360"/>
      <c r="M807" s="55"/>
      <c r="N807" s="55"/>
      <c r="O807" s="360"/>
      <c r="P807" s="55"/>
      <c r="Q807" s="55"/>
      <c r="R807" s="360"/>
      <c r="S807" s="55"/>
      <c r="T807" s="350"/>
      <c r="U807" s="55"/>
      <c r="V807" s="55"/>
      <c r="W807" s="55"/>
      <c r="X807" s="55"/>
      <c r="Y807" s="55"/>
      <c r="Z807" s="55"/>
      <c r="AA807" s="55"/>
    </row>
    <row r="808">
      <c r="A808" s="55"/>
      <c r="B808" s="55"/>
      <c r="C808" s="55"/>
      <c r="D808" s="55"/>
      <c r="E808" s="55"/>
      <c r="F808" s="365"/>
      <c r="G808" s="55"/>
      <c r="H808" s="55"/>
      <c r="I808" s="360"/>
      <c r="J808" s="55"/>
      <c r="K808" s="55"/>
      <c r="L808" s="360"/>
      <c r="M808" s="55"/>
      <c r="N808" s="55"/>
      <c r="O808" s="360"/>
      <c r="P808" s="55"/>
      <c r="Q808" s="55"/>
      <c r="R808" s="360"/>
      <c r="S808" s="55"/>
      <c r="T808" s="350"/>
      <c r="U808" s="55"/>
      <c r="V808" s="55"/>
      <c r="W808" s="55"/>
      <c r="X808" s="55"/>
      <c r="Y808" s="55"/>
      <c r="Z808" s="55"/>
      <c r="AA808" s="55"/>
    </row>
    <row r="809">
      <c r="A809" s="55"/>
      <c r="B809" s="55"/>
      <c r="C809" s="55"/>
      <c r="D809" s="55"/>
      <c r="E809" s="55"/>
      <c r="F809" s="365"/>
      <c r="G809" s="55"/>
      <c r="H809" s="55"/>
      <c r="I809" s="360"/>
      <c r="J809" s="55"/>
      <c r="K809" s="55"/>
      <c r="L809" s="360"/>
      <c r="M809" s="55"/>
      <c r="N809" s="55"/>
      <c r="O809" s="360"/>
      <c r="P809" s="55"/>
      <c r="Q809" s="55"/>
      <c r="R809" s="360"/>
      <c r="S809" s="55"/>
      <c r="T809" s="350"/>
      <c r="U809" s="55"/>
      <c r="V809" s="55"/>
      <c r="W809" s="55"/>
      <c r="X809" s="55"/>
      <c r="Y809" s="55"/>
      <c r="Z809" s="55"/>
      <c r="AA809" s="55"/>
    </row>
    <row r="810">
      <c r="A810" s="55"/>
      <c r="B810" s="55"/>
      <c r="C810" s="55"/>
      <c r="D810" s="55"/>
      <c r="E810" s="55"/>
      <c r="F810" s="365"/>
      <c r="G810" s="55"/>
      <c r="H810" s="55"/>
      <c r="I810" s="360"/>
      <c r="J810" s="55"/>
      <c r="K810" s="55"/>
      <c r="L810" s="360"/>
      <c r="M810" s="55"/>
      <c r="N810" s="55"/>
      <c r="O810" s="360"/>
      <c r="P810" s="55"/>
      <c r="Q810" s="55"/>
      <c r="R810" s="360"/>
      <c r="S810" s="55"/>
      <c r="T810" s="350"/>
      <c r="U810" s="55"/>
      <c r="V810" s="55"/>
      <c r="W810" s="55"/>
      <c r="X810" s="55"/>
      <c r="Y810" s="55"/>
      <c r="Z810" s="55"/>
      <c r="AA810" s="55"/>
    </row>
    <row r="811">
      <c r="A811" s="55"/>
      <c r="B811" s="55"/>
      <c r="C811" s="55"/>
      <c r="D811" s="55"/>
      <c r="E811" s="55"/>
      <c r="F811" s="365"/>
      <c r="G811" s="55"/>
      <c r="H811" s="55"/>
      <c r="I811" s="360"/>
      <c r="J811" s="55"/>
      <c r="K811" s="55"/>
      <c r="L811" s="360"/>
      <c r="M811" s="55"/>
      <c r="N811" s="55"/>
      <c r="O811" s="360"/>
      <c r="P811" s="55"/>
      <c r="Q811" s="55"/>
      <c r="R811" s="360"/>
      <c r="S811" s="55"/>
      <c r="T811" s="350"/>
      <c r="U811" s="55"/>
      <c r="V811" s="55"/>
      <c r="W811" s="55"/>
      <c r="X811" s="55"/>
      <c r="Y811" s="55"/>
      <c r="Z811" s="55"/>
      <c r="AA811" s="55"/>
    </row>
    <row r="812">
      <c r="A812" s="55"/>
      <c r="B812" s="55"/>
      <c r="C812" s="55"/>
      <c r="D812" s="55"/>
      <c r="E812" s="55"/>
      <c r="F812" s="365"/>
      <c r="G812" s="55"/>
      <c r="H812" s="55"/>
      <c r="I812" s="360"/>
      <c r="J812" s="55"/>
      <c r="K812" s="55"/>
      <c r="L812" s="360"/>
      <c r="M812" s="55"/>
      <c r="N812" s="55"/>
      <c r="O812" s="360"/>
      <c r="P812" s="55"/>
      <c r="Q812" s="55"/>
      <c r="R812" s="360"/>
      <c r="S812" s="55"/>
      <c r="T812" s="350"/>
      <c r="U812" s="55"/>
      <c r="V812" s="55"/>
      <c r="W812" s="55"/>
      <c r="X812" s="55"/>
      <c r="Y812" s="55"/>
      <c r="Z812" s="55"/>
      <c r="AA812" s="55"/>
    </row>
    <row r="813">
      <c r="A813" s="55"/>
      <c r="B813" s="55"/>
      <c r="C813" s="55"/>
      <c r="D813" s="55"/>
      <c r="E813" s="55"/>
      <c r="F813" s="365"/>
      <c r="G813" s="55"/>
      <c r="H813" s="55"/>
      <c r="I813" s="360"/>
      <c r="J813" s="55"/>
      <c r="K813" s="55"/>
      <c r="L813" s="360"/>
      <c r="M813" s="55"/>
      <c r="N813" s="55"/>
      <c r="O813" s="360"/>
      <c r="P813" s="55"/>
      <c r="Q813" s="55"/>
      <c r="R813" s="360"/>
      <c r="S813" s="55"/>
      <c r="T813" s="350"/>
      <c r="U813" s="55"/>
      <c r="V813" s="55"/>
      <c r="W813" s="55"/>
      <c r="X813" s="55"/>
      <c r="Y813" s="55"/>
      <c r="Z813" s="55"/>
      <c r="AA813" s="55"/>
    </row>
    <row r="814">
      <c r="A814" s="55"/>
      <c r="B814" s="55"/>
      <c r="C814" s="55"/>
      <c r="D814" s="55"/>
      <c r="E814" s="55"/>
      <c r="F814" s="365"/>
      <c r="G814" s="55"/>
      <c r="H814" s="55"/>
      <c r="I814" s="360"/>
      <c r="J814" s="55"/>
      <c r="K814" s="55"/>
      <c r="L814" s="360"/>
      <c r="M814" s="55"/>
      <c r="N814" s="55"/>
      <c r="O814" s="360"/>
      <c r="P814" s="55"/>
      <c r="Q814" s="55"/>
      <c r="R814" s="360"/>
      <c r="S814" s="55"/>
      <c r="T814" s="350"/>
      <c r="U814" s="55"/>
      <c r="V814" s="55"/>
      <c r="W814" s="55"/>
      <c r="X814" s="55"/>
      <c r="Y814" s="55"/>
      <c r="Z814" s="55"/>
      <c r="AA814" s="55"/>
    </row>
    <row r="815">
      <c r="A815" s="55"/>
      <c r="B815" s="55"/>
      <c r="C815" s="55"/>
      <c r="D815" s="55"/>
      <c r="E815" s="55"/>
      <c r="F815" s="365"/>
      <c r="G815" s="55"/>
      <c r="H815" s="55"/>
      <c r="I815" s="360"/>
      <c r="J815" s="55"/>
      <c r="K815" s="55"/>
      <c r="L815" s="360"/>
      <c r="M815" s="55"/>
      <c r="N815" s="55"/>
      <c r="O815" s="360"/>
      <c r="P815" s="55"/>
      <c r="Q815" s="55"/>
      <c r="R815" s="360"/>
      <c r="S815" s="55"/>
      <c r="T815" s="350"/>
      <c r="U815" s="55"/>
      <c r="V815" s="55"/>
      <c r="W815" s="55"/>
      <c r="X815" s="55"/>
      <c r="Y815" s="55"/>
      <c r="Z815" s="55"/>
      <c r="AA815" s="55"/>
    </row>
    <row r="816">
      <c r="A816" s="55"/>
      <c r="B816" s="55"/>
      <c r="C816" s="55"/>
      <c r="D816" s="55"/>
      <c r="E816" s="55"/>
      <c r="F816" s="365"/>
      <c r="G816" s="55"/>
      <c r="H816" s="55"/>
      <c r="I816" s="360"/>
      <c r="J816" s="55"/>
      <c r="K816" s="55"/>
      <c r="L816" s="360"/>
      <c r="M816" s="55"/>
      <c r="N816" s="55"/>
      <c r="O816" s="360"/>
      <c r="P816" s="55"/>
      <c r="Q816" s="55"/>
      <c r="R816" s="360"/>
      <c r="S816" s="55"/>
      <c r="T816" s="350"/>
      <c r="U816" s="55"/>
      <c r="V816" s="55"/>
      <c r="W816" s="55"/>
      <c r="X816" s="55"/>
      <c r="Y816" s="55"/>
      <c r="Z816" s="55"/>
      <c r="AA816" s="55"/>
    </row>
    <row r="817">
      <c r="A817" s="55"/>
      <c r="B817" s="55"/>
      <c r="C817" s="55"/>
      <c r="D817" s="55"/>
      <c r="E817" s="55"/>
      <c r="F817" s="365"/>
      <c r="G817" s="55"/>
      <c r="H817" s="55"/>
      <c r="I817" s="360"/>
      <c r="J817" s="55"/>
      <c r="K817" s="55"/>
      <c r="L817" s="360"/>
      <c r="M817" s="55"/>
      <c r="N817" s="55"/>
      <c r="O817" s="360"/>
      <c r="P817" s="55"/>
      <c r="Q817" s="55"/>
      <c r="R817" s="360"/>
      <c r="S817" s="55"/>
      <c r="T817" s="350"/>
      <c r="U817" s="55"/>
      <c r="V817" s="55"/>
      <c r="W817" s="55"/>
      <c r="X817" s="55"/>
      <c r="Y817" s="55"/>
      <c r="Z817" s="55"/>
      <c r="AA817" s="55"/>
    </row>
    <row r="818">
      <c r="A818" s="55"/>
      <c r="B818" s="55"/>
      <c r="C818" s="55"/>
      <c r="D818" s="55"/>
      <c r="E818" s="55"/>
      <c r="F818" s="365"/>
      <c r="G818" s="55"/>
      <c r="H818" s="55"/>
      <c r="I818" s="360"/>
      <c r="J818" s="55"/>
      <c r="K818" s="55"/>
      <c r="L818" s="360"/>
      <c r="M818" s="55"/>
      <c r="N818" s="55"/>
      <c r="O818" s="360"/>
      <c r="P818" s="55"/>
      <c r="Q818" s="55"/>
      <c r="R818" s="360"/>
      <c r="S818" s="55"/>
      <c r="T818" s="350"/>
      <c r="U818" s="55"/>
      <c r="V818" s="55"/>
      <c r="W818" s="55"/>
      <c r="X818" s="55"/>
      <c r="Y818" s="55"/>
      <c r="Z818" s="55"/>
      <c r="AA818" s="55"/>
    </row>
    <row r="819">
      <c r="A819" s="55"/>
      <c r="B819" s="55"/>
      <c r="C819" s="55"/>
      <c r="D819" s="55"/>
      <c r="E819" s="55"/>
      <c r="F819" s="365"/>
      <c r="G819" s="55"/>
      <c r="H819" s="55"/>
      <c r="I819" s="360"/>
      <c r="J819" s="55"/>
      <c r="K819" s="55"/>
      <c r="L819" s="360"/>
      <c r="M819" s="55"/>
      <c r="N819" s="55"/>
      <c r="O819" s="360"/>
      <c r="P819" s="55"/>
      <c r="Q819" s="55"/>
      <c r="R819" s="360"/>
      <c r="S819" s="55"/>
      <c r="T819" s="350"/>
      <c r="U819" s="55"/>
      <c r="V819" s="55"/>
      <c r="W819" s="55"/>
      <c r="X819" s="55"/>
      <c r="Y819" s="55"/>
      <c r="Z819" s="55"/>
      <c r="AA819" s="55"/>
    </row>
    <row r="820">
      <c r="A820" s="55"/>
      <c r="B820" s="55"/>
      <c r="C820" s="55"/>
      <c r="D820" s="55"/>
      <c r="E820" s="55"/>
      <c r="F820" s="365"/>
      <c r="G820" s="55"/>
      <c r="H820" s="55"/>
      <c r="I820" s="360"/>
      <c r="J820" s="55"/>
      <c r="K820" s="55"/>
      <c r="L820" s="360"/>
      <c r="M820" s="55"/>
      <c r="N820" s="55"/>
      <c r="O820" s="360"/>
      <c r="P820" s="55"/>
      <c r="Q820" s="55"/>
      <c r="R820" s="360"/>
      <c r="S820" s="55"/>
      <c r="T820" s="350"/>
      <c r="U820" s="55"/>
      <c r="V820" s="55"/>
      <c r="W820" s="55"/>
      <c r="X820" s="55"/>
      <c r="Y820" s="55"/>
      <c r="Z820" s="55"/>
      <c r="AA820" s="55"/>
    </row>
    <row r="821">
      <c r="A821" s="55"/>
      <c r="B821" s="55"/>
      <c r="C821" s="55"/>
      <c r="D821" s="55"/>
      <c r="E821" s="55"/>
      <c r="F821" s="365"/>
      <c r="G821" s="55"/>
      <c r="H821" s="55"/>
      <c r="I821" s="360"/>
      <c r="J821" s="55"/>
      <c r="K821" s="55"/>
      <c r="L821" s="360"/>
      <c r="M821" s="55"/>
      <c r="N821" s="55"/>
      <c r="O821" s="360"/>
      <c r="P821" s="55"/>
      <c r="Q821" s="55"/>
      <c r="R821" s="360"/>
      <c r="S821" s="55"/>
      <c r="T821" s="350"/>
      <c r="U821" s="55"/>
      <c r="V821" s="55"/>
      <c r="W821" s="55"/>
      <c r="X821" s="55"/>
      <c r="Y821" s="55"/>
      <c r="Z821" s="55"/>
      <c r="AA821" s="55"/>
    </row>
    <row r="822">
      <c r="A822" s="55"/>
      <c r="B822" s="55"/>
      <c r="C822" s="55"/>
      <c r="D822" s="55"/>
      <c r="E822" s="55"/>
      <c r="F822" s="365"/>
      <c r="G822" s="55"/>
      <c r="H822" s="55"/>
      <c r="I822" s="360"/>
      <c r="J822" s="55"/>
      <c r="K822" s="55"/>
      <c r="L822" s="360"/>
      <c r="M822" s="55"/>
      <c r="N822" s="55"/>
      <c r="O822" s="360"/>
      <c r="P822" s="55"/>
      <c r="Q822" s="55"/>
      <c r="R822" s="360"/>
      <c r="S822" s="55"/>
      <c r="T822" s="350"/>
      <c r="U822" s="55"/>
      <c r="V822" s="55"/>
      <c r="W822" s="55"/>
      <c r="X822" s="55"/>
      <c r="Y822" s="55"/>
      <c r="Z822" s="55"/>
      <c r="AA822" s="55"/>
    </row>
    <row r="823">
      <c r="A823" s="55"/>
      <c r="B823" s="55"/>
      <c r="C823" s="55"/>
      <c r="D823" s="55"/>
      <c r="E823" s="55"/>
      <c r="F823" s="365"/>
      <c r="G823" s="55"/>
      <c r="H823" s="55"/>
      <c r="I823" s="360"/>
      <c r="J823" s="55"/>
      <c r="K823" s="55"/>
      <c r="L823" s="360"/>
      <c r="M823" s="55"/>
      <c r="N823" s="55"/>
      <c r="O823" s="360"/>
      <c r="P823" s="55"/>
      <c r="Q823" s="55"/>
      <c r="R823" s="360"/>
      <c r="S823" s="55"/>
      <c r="T823" s="350"/>
      <c r="U823" s="55"/>
      <c r="V823" s="55"/>
      <c r="W823" s="55"/>
      <c r="X823" s="55"/>
      <c r="Y823" s="55"/>
      <c r="Z823" s="55"/>
      <c r="AA823" s="55"/>
    </row>
    <row r="824">
      <c r="A824" s="55"/>
      <c r="B824" s="55"/>
      <c r="C824" s="55"/>
      <c r="D824" s="55"/>
      <c r="E824" s="55"/>
      <c r="F824" s="365"/>
      <c r="G824" s="55"/>
      <c r="H824" s="55"/>
      <c r="I824" s="360"/>
      <c r="J824" s="55"/>
      <c r="K824" s="55"/>
      <c r="L824" s="360"/>
      <c r="M824" s="55"/>
      <c r="N824" s="55"/>
      <c r="O824" s="360"/>
      <c r="P824" s="55"/>
      <c r="Q824" s="55"/>
      <c r="R824" s="360"/>
      <c r="S824" s="55"/>
      <c r="T824" s="350"/>
      <c r="U824" s="55"/>
      <c r="V824" s="55"/>
      <c r="W824" s="55"/>
      <c r="X824" s="55"/>
      <c r="Y824" s="55"/>
      <c r="Z824" s="55"/>
      <c r="AA824" s="55"/>
    </row>
    <row r="825">
      <c r="A825" s="55"/>
      <c r="B825" s="55"/>
      <c r="C825" s="55"/>
      <c r="D825" s="55"/>
      <c r="E825" s="55"/>
      <c r="F825" s="365"/>
      <c r="G825" s="55"/>
      <c r="H825" s="55"/>
      <c r="I825" s="360"/>
      <c r="J825" s="55"/>
      <c r="K825" s="55"/>
      <c r="L825" s="360"/>
      <c r="M825" s="55"/>
      <c r="N825" s="55"/>
      <c r="O825" s="360"/>
      <c r="P825" s="55"/>
      <c r="Q825" s="55"/>
      <c r="R825" s="360"/>
      <c r="S825" s="55"/>
      <c r="T825" s="350"/>
      <c r="U825" s="55"/>
      <c r="V825" s="55"/>
      <c r="W825" s="55"/>
      <c r="X825" s="55"/>
      <c r="Y825" s="55"/>
      <c r="Z825" s="55"/>
      <c r="AA825" s="55"/>
    </row>
    <row r="826">
      <c r="A826" s="55"/>
      <c r="B826" s="55"/>
      <c r="C826" s="55"/>
      <c r="D826" s="55"/>
      <c r="E826" s="55"/>
      <c r="F826" s="365"/>
      <c r="G826" s="55"/>
      <c r="H826" s="55"/>
      <c r="I826" s="360"/>
      <c r="J826" s="55"/>
      <c r="K826" s="55"/>
      <c r="L826" s="360"/>
      <c r="M826" s="55"/>
      <c r="N826" s="55"/>
      <c r="O826" s="360"/>
      <c r="P826" s="55"/>
      <c r="Q826" s="55"/>
      <c r="R826" s="360"/>
      <c r="S826" s="55"/>
      <c r="T826" s="350"/>
      <c r="U826" s="55"/>
      <c r="V826" s="55"/>
      <c r="W826" s="55"/>
      <c r="X826" s="55"/>
      <c r="Y826" s="55"/>
      <c r="Z826" s="55"/>
      <c r="AA826" s="55"/>
    </row>
    <row r="827">
      <c r="A827" s="55"/>
      <c r="B827" s="55"/>
      <c r="C827" s="55"/>
      <c r="D827" s="55"/>
      <c r="E827" s="55"/>
      <c r="F827" s="365"/>
      <c r="G827" s="55"/>
      <c r="H827" s="55"/>
      <c r="I827" s="360"/>
      <c r="J827" s="55"/>
      <c r="K827" s="55"/>
      <c r="L827" s="360"/>
      <c r="M827" s="55"/>
      <c r="N827" s="55"/>
      <c r="O827" s="360"/>
      <c r="P827" s="55"/>
      <c r="Q827" s="55"/>
      <c r="R827" s="360"/>
      <c r="S827" s="55"/>
      <c r="T827" s="350"/>
      <c r="U827" s="55"/>
      <c r="V827" s="55"/>
      <c r="W827" s="55"/>
      <c r="X827" s="55"/>
      <c r="Y827" s="55"/>
      <c r="Z827" s="55"/>
      <c r="AA827" s="55"/>
    </row>
    <row r="828">
      <c r="A828" s="55"/>
      <c r="B828" s="55"/>
      <c r="C828" s="55"/>
      <c r="D828" s="55"/>
      <c r="E828" s="55"/>
      <c r="F828" s="365"/>
      <c r="G828" s="55"/>
      <c r="H828" s="55"/>
      <c r="I828" s="360"/>
      <c r="J828" s="55"/>
      <c r="K828" s="55"/>
      <c r="L828" s="360"/>
      <c r="M828" s="55"/>
      <c r="N828" s="55"/>
      <c r="O828" s="360"/>
      <c r="P828" s="55"/>
      <c r="Q828" s="55"/>
      <c r="R828" s="360"/>
      <c r="S828" s="55"/>
      <c r="T828" s="350"/>
      <c r="U828" s="55"/>
      <c r="V828" s="55"/>
      <c r="W828" s="55"/>
      <c r="X828" s="55"/>
      <c r="Y828" s="55"/>
      <c r="Z828" s="55"/>
      <c r="AA828" s="55"/>
    </row>
    <row r="829">
      <c r="A829" s="55"/>
      <c r="B829" s="55"/>
      <c r="C829" s="55"/>
      <c r="D829" s="55"/>
      <c r="E829" s="55"/>
      <c r="F829" s="365"/>
      <c r="G829" s="55"/>
      <c r="H829" s="55"/>
      <c r="I829" s="360"/>
      <c r="J829" s="55"/>
      <c r="K829" s="55"/>
      <c r="L829" s="360"/>
      <c r="M829" s="55"/>
      <c r="N829" s="55"/>
      <c r="O829" s="360"/>
      <c r="P829" s="55"/>
      <c r="Q829" s="55"/>
      <c r="R829" s="360"/>
      <c r="S829" s="55"/>
      <c r="T829" s="350"/>
      <c r="U829" s="55"/>
      <c r="V829" s="55"/>
      <c r="W829" s="55"/>
      <c r="X829" s="55"/>
      <c r="Y829" s="55"/>
      <c r="Z829" s="55"/>
      <c r="AA829" s="55"/>
    </row>
    <row r="830">
      <c r="A830" s="55"/>
      <c r="B830" s="55"/>
      <c r="C830" s="55"/>
      <c r="D830" s="55"/>
      <c r="E830" s="55"/>
      <c r="F830" s="365"/>
      <c r="G830" s="55"/>
      <c r="H830" s="55"/>
      <c r="I830" s="360"/>
      <c r="J830" s="55"/>
      <c r="K830" s="55"/>
      <c r="L830" s="360"/>
      <c r="M830" s="55"/>
      <c r="N830" s="55"/>
      <c r="O830" s="360"/>
      <c r="P830" s="55"/>
      <c r="Q830" s="55"/>
      <c r="R830" s="360"/>
      <c r="S830" s="55"/>
      <c r="T830" s="350"/>
      <c r="U830" s="55"/>
      <c r="V830" s="55"/>
      <c r="W830" s="55"/>
      <c r="X830" s="55"/>
      <c r="Y830" s="55"/>
      <c r="Z830" s="55"/>
      <c r="AA830" s="55"/>
    </row>
    <row r="831">
      <c r="A831" s="55"/>
      <c r="B831" s="55"/>
      <c r="C831" s="55"/>
      <c r="D831" s="55"/>
      <c r="E831" s="55"/>
      <c r="F831" s="365"/>
      <c r="G831" s="55"/>
      <c r="H831" s="55"/>
      <c r="I831" s="360"/>
      <c r="J831" s="55"/>
      <c r="K831" s="55"/>
      <c r="L831" s="360"/>
      <c r="M831" s="55"/>
      <c r="N831" s="55"/>
      <c r="O831" s="360"/>
      <c r="P831" s="55"/>
      <c r="Q831" s="55"/>
      <c r="R831" s="360"/>
      <c r="S831" s="55"/>
      <c r="T831" s="350"/>
      <c r="U831" s="55"/>
      <c r="V831" s="55"/>
      <c r="W831" s="55"/>
      <c r="X831" s="55"/>
      <c r="Y831" s="55"/>
      <c r="Z831" s="55"/>
      <c r="AA831" s="55"/>
    </row>
    <row r="832">
      <c r="A832" s="55"/>
      <c r="B832" s="55"/>
      <c r="C832" s="55"/>
      <c r="D832" s="55"/>
      <c r="E832" s="55"/>
      <c r="F832" s="365"/>
      <c r="G832" s="55"/>
      <c r="H832" s="55"/>
      <c r="I832" s="360"/>
      <c r="J832" s="55"/>
      <c r="K832" s="55"/>
      <c r="L832" s="360"/>
      <c r="M832" s="55"/>
      <c r="N832" s="55"/>
      <c r="O832" s="360"/>
      <c r="P832" s="55"/>
      <c r="Q832" s="55"/>
      <c r="R832" s="360"/>
      <c r="S832" s="55"/>
      <c r="T832" s="350"/>
      <c r="U832" s="55"/>
      <c r="V832" s="55"/>
      <c r="W832" s="55"/>
      <c r="X832" s="55"/>
      <c r="Y832" s="55"/>
      <c r="Z832" s="55"/>
      <c r="AA832" s="55"/>
    </row>
    <row r="833">
      <c r="A833" s="55"/>
      <c r="B833" s="55"/>
      <c r="C833" s="55"/>
      <c r="D833" s="55"/>
      <c r="E833" s="55"/>
      <c r="F833" s="365"/>
      <c r="G833" s="55"/>
      <c r="H833" s="55"/>
      <c r="I833" s="360"/>
      <c r="J833" s="55"/>
      <c r="K833" s="55"/>
      <c r="L833" s="360"/>
      <c r="M833" s="55"/>
      <c r="N833" s="55"/>
      <c r="O833" s="360"/>
      <c r="P833" s="55"/>
      <c r="Q833" s="55"/>
      <c r="R833" s="360"/>
      <c r="S833" s="55"/>
      <c r="T833" s="350"/>
      <c r="U833" s="55"/>
      <c r="V833" s="55"/>
      <c r="W833" s="55"/>
      <c r="X833" s="55"/>
      <c r="Y833" s="55"/>
      <c r="Z833" s="55"/>
      <c r="AA833" s="55"/>
    </row>
    <row r="834">
      <c r="A834" s="55"/>
      <c r="B834" s="55"/>
      <c r="C834" s="55"/>
      <c r="D834" s="55"/>
      <c r="E834" s="55"/>
      <c r="F834" s="365"/>
      <c r="G834" s="55"/>
      <c r="H834" s="55"/>
      <c r="I834" s="360"/>
      <c r="J834" s="55"/>
      <c r="K834" s="55"/>
      <c r="L834" s="360"/>
      <c r="M834" s="55"/>
      <c r="N834" s="55"/>
      <c r="O834" s="360"/>
      <c r="P834" s="55"/>
      <c r="Q834" s="55"/>
      <c r="R834" s="360"/>
      <c r="S834" s="55"/>
      <c r="T834" s="350"/>
      <c r="U834" s="55"/>
      <c r="V834" s="55"/>
      <c r="W834" s="55"/>
      <c r="X834" s="55"/>
      <c r="Y834" s="55"/>
      <c r="Z834" s="55"/>
      <c r="AA834" s="55"/>
    </row>
    <row r="835">
      <c r="A835" s="55"/>
      <c r="B835" s="55"/>
      <c r="C835" s="55"/>
      <c r="D835" s="55"/>
      <c r="E835" s="55"/>
      <c r="F835" s="365"/>
      <c r="G835" s="55"/>
      <c r="H835" s="55"/>
      <c r="I835" s="360"/>
      <c r="J835" s="55"/>
      <c r="K835" s="55"/>
      <c r="L835" s="360"/>
      <c r="M835" s="55"/>
      <c r="N835" s="55"/>
      <c r="O835" s="360"/>
      <c r="P835" s="55"/>
      <c r="Q835" s="55"/>
      <c r="R835" s="360"/>
      <c r="S835" s="55"/>
      <c r="T835" s="350"/>
      <c r="U835" s="55"/>
      <c r="V835" s="55"/>
      <c r="W835" s="55"/>
      <c r="X835" s="55"/>
      <c r="Y835" s="55"/>
      <c r="Z835" s="55"/>
      <c r="AA835" s="55"/>
    </row>
    <row r="836">
      <c r="A836" s="55"/>
      <c r="B836" s="55"/>
      <c r="C836" s="55"/>
      <c r="D836" s="55"/>
      <c r="E836" s="55"/>
      <c r="F836" s="365"/>
      <c r="G836" s="55"/>
      <c r="H836" s="55"/>
      <c r="I836" s="360"/>
      <c r="J836" s="55"/>
      <c r="K836" s="55"/>
      <c r="L836" s="360"/>
      <c r="M836" s="55"/>
      <c r="N836" s="55"/>
      <c r="O836" s="360"/>
      <c r="P836" s="55"/>
      <c r="Q836" s="55"/>
      <c r="R836" s="360"/>
      <c r="S836" s="55"/>
      <c r="T836" s="350"/>
      <c r="U836" s="55"/>
      <c r="V836" s="55"/>
      <c r="W836" s="55"/>
      <c r="X836" s="55"/>
      <c r="Y836" s="55"/>
      <c r="Z836" s="55"/>
      <c r="AA836" s="55"/>
    </row>
    <row r="837">
      <c r="A837" s="55"/>
      <c r="B837" s="55"/>
      <c r="C837" s="55"/>
      <c r="D837" s="55"/>
      <c r="E837" s="55"/>
      <c r="F837" s="365"/>
      <c r="G837" s="55"/>
      <c r="H837" s="55"/>
      <c r="I837" s="360"/>
      <c r="J837" s="55"/>
      <c r="K837" s="55"/>
      <c r="L837" s="360"/>
      <c r="M837" s="55"/>
      <c r="N837" s="55"/>
      <c r="O837" s="360"/>
      <c r="P837" s="55"/>
      <c r="Q837" s="55"/>
      <c r="R837" s="360"/>
      <c r="S837" s="55"/>
      <c r="T837" s="350"/>
      <c r="U837" s="55"/>
      <c r="V837" s="55"/>
      <c r="W837" s="55"/>
      <c r="X837" s="55"/>
      <c r="Y837" s="55"/>
      <c r="Z837" s="55"/>
      <c r="AA837" s="55"/>
    </row>
    <row r="838">
      <c r="A838" s="55"/>
      <c r="B838" s="55"/>
      <c r="C838" s="55"/>
      <c r="D838" s="55"/>
      <c r="E838" s="55"/>
      <c r="F838" s="365"/>
      <c r="G838" s="55"/>
      <c r="H838" s="55"/>
      <c r="I838" s="360"/>
      <c r="J838" s="55"/>
      <c r="K838" s="55"/>
      <c r="L838" s="360"/>
      <c r="M838" s="55"/>
      <c r="N838" s="55"/>
      <c r="O838" s="360"/>
      <c r="P838" s="55"/>
      <c r="Q838" s="55"/>
      <c r="R838" s="360"/>
      <c r="S838" s="55"/>
      <c r="T838" s="350"/>
      <c r="U838" s="55"/>
      <c r="V838" s="55"/>
      <c r="W838" s="55"/>
      <c r="X838" s="55"/>
      <c r="Y838" s="55"/>
      <c r="Z838" s="55"/>
      <c r="AA838" s="55"/>
    </row>
    <row r="839">
      <c r="A839" s="55"/>
      <c r="B839" s="55"/>
      <c r="C839" s="55"/>
      <c r="D839" s="55"/>
      <c r="E839" s="55"/>
      <c r="F839" s="365"/>
      <c r="G839" s="55"/>
      <c r="H839" s="55"/>
      <c r="I839" s="360"/>
      <c r="J839" s="55"/>
      <c r="K839" s="55"/>
      <c r="L839" s="360"/>
      <c r="M839" s="55"/>
      <c r="N839" s="55"/>
      <c r="O839" s="360"/>
      <c r="P839" s="55"/>
      <c r="Q839" s="55"/>
      <c r="R839" s="360"/>
      <c r="S839" s="55"/>
      <c r="T839" s="350"/>
      <c r="U839" s="55"/>
      <c r="V839" s="55"/>
      <c r="W839" s="55"/>
      <c r="X839" s="55"/>
      <c r="Y839" s="55"/>
      <c r="Z839" s="55"/>
      <c r="AA839" s="55"/>
    </row>
    <row r="840">
      <c r="A840" s="55"/>
      <c r="B840" s="55"/>
      <c r="C840" s="55"/>
      <c r="D840" s="55"/>
      <c r="E840" s="55"/>
      <c r="F840" s="365"/>
      <c r="G840" s="55"/>
      <c r="H840" s="55"/>
      <c r="I840" s="360"/>
      <c r="J840" s="55"/>
      <c r="K840" s="55"/>
      <c r="L840" s="360"/>
      <c r="M840" s="55"/>
      <c r="N840" s="55"/>
      <c r="O840" s="360"/>
      <c r="P840" s="55"/>
      <c r="Q840" s="55"/>
      <c r="R840" s="360"/>
      <c r="S840" s="55"/>
      <c r="T840" s="350"/>
      <c r="U840" s="55"/>
      <c r="V840" s="55"/>
      <c r="W840" s="55"/>
      <c r="X840" s="55"/>
      <c r="Y840" s="55"/>
      <c r="Z840" s="55"/>
      <c r="AA840" s="55"/>
    </row>
    <row r="841">
      <c r="A841" s="55"/>
      <c r="B841" s="55"/>
      <c r="C841" s="55"/>
      <c r="D841" s="55"/>
      <c r="E841" s="55"/>
      <c r="F841" s="365"/>
      <c r="G841" s="55"/>
      <c r="H841" s="55"/>
      <c r="I841" s="360"/>
      <c r="J841" s="55"/>
      <c r="K841" s="55"/>
      <c r="L841" s="360"/>
      <c r="M841" s="55"/>
      <c r="N841" s="55"/>
      <c r="O841" s="360"/>
      <c r="P841" s="55"/>
      <c r="Q841" s="55"/>
      <c r="R841" s="360"/>
      <c r="S841" s="55"/>
      <c r="T841" s="350"/>
      <c r="U841" s="55"/>
      <c r="V841" s="55"/>
      <c r="W841" s="55"/>
      <c r="X841" s="55"/>
      <c r="Y841" s="55"/>
      <c r="Z841" s="55"/>
      <c r="AA841" s="55"/>
    </row>
    <row r="842">
      <c r="A842" s="55"/>
      <c r="B842" s="55"/>
      <c r="C842" s="55"/>
      <c r="D842" s="55"/>
      <c r="E842" s="55"/>
      <c r="F842" s="365"/>
      <c r="G842" s="55"/>
      <c r="H842" s="55"/>
      <c r="I842" s="360"/>
      <c r="J842" s="55"/>
      <c r="K842" s="55"/>
      <c r="L842" s="360"/>
      <c r="M842" s="55"/>
      <c r="N842" s="55"/>
      <c r="O842" s="360"/>
      <c r="P842" s="55"/>
      <c r="Q842" s="55"/>
      <c r="R842" s="360"/>
      <c r="S842" s="55"/>
      <c r="T842" s="350"/>
      <c r="U842" s="55"/>
      <c r="V842" s="55"/>
      <c r="W842" s="55"/>
      <c r="X842" s="55"/>
      <c r="Y842" s="55"/>
      <c r="Z842" s="55"/>
      <c r="AA842" s="55"/>
    </row>
    <row r="843">
      <c r="A843" s="55"/>
      <c r="B843" s="55"/>
      <c r="C843" s="55"/>
      <c r="D843" s="55"/>
      <c r="E843" s="55"/>
      <c r="F843" s="365"/>
      <c r="G843" s="55"/>
      <c r="H843" s="55"/>
      <c r="I843" s="360"/>
      <c r="J843" s="55"/>
      <c r="K843" s="55"/>
      <c r="L843" s="360"/>
      <c r="M843" s="55"/>
      <c r="N843" s="55"/>
      <c r="O843" s="360"/>
      <c r="P843" s="55"/>
      <c r="Q843" s="55"/>
      <c r="R843" s="360"/>
      <c r="S843" s="55"/>
      <c r="T843" s="350"/>
      <c r="U843" s="55"/>
      <c r="V843" s="55"/>
      <c r="W843" s="55"/>
      <c r="X843" s="55"/>
      <c r="Y843" s="55"/>
      <c r="Z843" s="55"/>
      <c r="AA843" s="55"/>
    </row>
    <row r="844">
      <c r="A844" s="55"/>
      <c r="B844" s="55"/>
      <c r="C844" s="55"/>
      <c r="D844" s="55"/>
      <c r="E844" s="55"/>
      <c r="F844" s="365"/>
      <c r="G844" s="55"/>
      <c r="H844" s="55"/>
      <c r="I844" s="360"/>
      <c r="J844" s="55"/>
      <c r="K844" s="55"/>
      <c r="L844" s="360"/>
      <c r="M844" s="55"/>
      <c r="N844" s="55"/>
      <c r="O844" s="360"/>
      <c r="P844" s="55"/>
      <c r="Q844" s="55"/>
      <c r="R844" s="360"/>
      <c r="S844" s="55"/>
      <c r="T844" s="350"/>
      <c r="U844" s="55"/>
      <c r="V844" s="55"/>
      <c r="W844" s="55"/>
      <c r="X844" s="55"/>
      <c r="Y844" s="55"/>
      <c r="Z844" s="55"/>
      <c r="AA844" s="55"/>
    </row>
    <row r="845">
      <c r="A845" s="55"/>
      <c r="B845" s="55"/>
      <c r="C845" s="55"/>
      <c r="D845" s="55"/>
      <c r="E845" s="55"/>
      <c r="F845" s="365"/>
      <c r="G845" s="55"/>
      <c r="H845" s="55"/>
      <c r="I845" s="360"/>
      <c r="J845" s="55"/>
      <c r="K845" s="55"/>
      <c r="L845" s="360"/>
      <c r="M845" s="55"/>
      <c r="N845" s="55"/>
      <c r="O845" s="360"/>
      <c r="P845" s="55"/>
      <c r="Q845" s="55"/>
      <c r="R845" s="360"/>
      <c r="S845" s="55"/>
      <c r="T845" s="350"/>
      <c r="U845" s="55"/>
      <c r="V845" s="55"/>
      <c r="W845" s="55"/>
      <c r="X845" s="55"/>
      <c r="Y845" s="55"/>
      <c r="Z845" s="55"/>
      <c r="AA845" s="55"/>
    </row>
    <row r="846">
      <c r="A846" s="55"/>
      <c r="B846" s="55"/>
      <c r="C846" s="55"/>
      <c r="D846" s="55"/>
      <c r="E846" s="55"/>
      <c r="F846" s="365"/>
      <c r="G846" s="55"/>
      <c r="H846" s="55"/>
      <c r="I846" s="360"/>
      <c r="J846" s="55"/>
      <c r="K846" s="55"/>
      <c r="L846" s="360"/>
      <c r="M846" s="55"/>
      <c r="N846" s="55"/>
      <c r="O846" s="360"/>
      <c r="P846" s="55"/>
      <c r="Q846" s="55"/>
      <c r="R846" s="360"/>
      <c r="S846" s="55"/>
      <c r="T846" s="350"/>
      <c r="U846" s="55"/>
      <c r="V846" s="55"/>
      <c r="W846" s="55"/>
      <c r="X846" s="55"/>
      <c r="Y846" s="55"/>
      <c r="Z846" s="55"/>
      <c r="AA846" s="55"/>
    </row>
    <row r="847">
      <c r="A847" s="55"/>
      <c r="B847" s="55"/>
      <c r="C847" s="55"/>
      <c r="D847" s="55"/>
      <c r="E847" s="55"/>
      <c r="F847" s="365"/>
      <c r="G847" s="55"/>
      <c r="H847" s="55"/>
      <c r="I847" s="360"/>
      <c r="J847" s="55"/>
      <c r="K847" s="55"/>
      <c r="L847" s="360"/>
      <c r="M847" s="55"/>
      <c r="N847" s="55"/>
      <c r="O847" s="360"/>
      <c r="P847" s="55"/>
      <c r="Q847" s="55"/>
      <c r="R847" s="360"/>
      <c r="S847" s="55"/>
      <c r="T847" s="350"/>
      <c r="U847" s="55"/>
      <c r="V847" s="55"/>
      <c r="W847" s="55"/>
      <c r="X847" s="55"/>
      <c r="Y847" s="55"/>
      <c r="Z847" s="55"/>
      <c r="AA847" s="55"/>
    </row>
    <row r="848">
      <c r="A848" s="55"/>
      <c r="B848" s="55"/>
      <c r="C848" s="55"/>
      <c r="D848" s="55"/>
      <c r="E848" s="55"/>
      <c r="F848" s="365"/>
      <c r="G848" s="55"/>
      <c r="H848" s="55"/>
      <c r="I848" s="360"/>
      <c r="J848" s="55"/>
      <c r="K848" s="55"/>
      <c r="L848" s="360"/>
      <c r="M848" s="55"/>
      <c r="N848" s="55"/>
      <c r="O848" s="360"/>
      <c r="P848" s="55"/>
      <c r="Q848" s="55"/>
      <c r="R848" s="360"/>
      <c r="S848" s="55"/>
      <c r="T848" s="350"/>
      <c r="U848" s="55"/>
      <c r="V848" s="55"/>
      <c r="W848" s="55"/>
      <c r="X848" s="55"/>
      <c r="Y848" s="55"/>
      <c r="Z848" s="55"/>
      <c r="AA848" s="55"/>
    </row>
    <row r="849">
      <c r="A849" s="55"/>
      <c r="B849" s="55"/>
      <c r="C849" s="55"/>
      <c r="D849" s="55"/>
      <c r="E849" s="55"/>
      <c r="F849" s="365"/>
      <c r="G849" s="55"/>
      <c r="H849" s="55"/>
      <c r="I849" s="360"/>
      <c r="J849" s="55"/>
      <c r="K849" s="55"/>
      <c r="L849" s="360"/>
      <c r="M849" s="55"/>
      <c r="N849" s="55"/>
      <c r="O849" s="360"/>
      <c r="P849" s="55"/>
      <c r="Q849" s="55"/>
      <c r="R849" s="360"/>
      <c r="S849" s="55"/>
      <c r="T849" s="350"/>
      <c r="U849" s="55"/>
      <c r="V849" s="55"/>
      <c r="W849" s="55"/>
      <c r="X849" s="55"/>
      <c r="Y849" s="55"/>
      <c r="Z849" s="55"/>
      <c r="AA849" s="55"/>
    </row>
    <row r="850">
      <c r="A850" s="55"/>
      <c r="B850" s="55"/>
      <c r="C850" s="55"/>
      <c r="D850" s="55"/>
      <c r="E850" s="55"/>
      <c r="F850" s="365"/>
      <c r="G850" s="55"/>
      <c r="H850" s="55"/>
      <c r="I850" s="360"/>
      <c r="J850" s="55"/>
      <c r="K850" s="55"/>
      <c r="L850" s="360"/>
      <c r="M850" s="55"/>
      <c r="N850" s="55"/>
      <c r="O850" s="360"/>
      <c r="P850" s="55"/>
      <c r="Q850" s="55"/>
      <c r="R850" s="360"/>
      <c r="S850" s="55"/>
      <c r="T850" s="350"/>
      <c r="U850" s="55"/>
      <c r="V850" s="55"/>
      <c r="W850" s="55"/>
      <c r="X850" s="55"/>
      <c r="Y850" s="55"/>
      <c r="Z850" s="55"/>
      <c r="AA850" s="55"/>
    </row>
    <row r="851">
      <c r="A851" s="55"/>
      <c r="B851" s="55"/>
      <c r="C851" s="55"/>
      <c r="D851" s="55"/>
      <c r="E851" s="55"/>
      <c r="F851" s="365"/>
      <c r="G851" s="55"/>
      <c r="H851" s="55"/>
      <c r="I851" s="360"/>
      <c r="J851" s="55"/>
      <c r="K851" s="55"/>
      <c r="L851" s="360"/>
      <c r="M851" s="55"/>
      <c r="N851" s="55"/>
      <c r="O851" s="360"/>
      <c r="P851" s="55"/>
      <c r="Q851" s="55"/>
      <c r="R851" s="360"/>
      <c r="S851" s="55"/>
      <c r="T851" s="350"/>
      <c r="U851" s="55"/>
      <c r="V851" s="55"/>
      <c r="W851" s="55"/>
      <c r="X851" s="55"/>
      <c r="Y851" s="55"/>
      <c r="Z851" s="55"/>
      <c r="AA851" s="55"/>
    </row>
    <row r="852">
      <c r="A852" s="55"/>
      <c r="B852" s="55"/>
      <c r="C852" s="55"/>
      <c r="D852" s="55"/>
      <c r="E852" s="55"/>
      <c r="F852" s="365"/>
      <c r="G852" s="55"/>
      <c r="H852" s="55"/>
      <c r="I852" s="360"/>
      <c r="J852" s="55"/>
      <c r="K852" s="55"/>
      <c r="L852" s="360"/>
      <c r="M852" s="55"/>
      <c r="N852" s="55"/>
      <c r="O852" s="360"/>
      <c r="P852" s="55"/>
      <c r="Q852" s="55"/>
      <c r="R852" s="360"/>
      <c r="S852" s="55"/>
      <c r="T852" s="350"/>
      <c r="U852" s="55"/>
      <c r="V852" s="55"/>
      <c r="W852" s="55"/>
      <c r="X852" s="55"/>
      <c r="Y852" s="55"/>
      <c r="Z852" s="55"/>
      <c r="AA852" s="55"/>
    </row>
    <row r="853">
      <c r="A853" s="55"/>
      <c r="B853" s="55"/>
      <c r="C853" s="55"/>
      <c r="D853" s="55"/>
      <c r="E853" s="55"/>
      <c r="F853" s="365"/>
      <c r="G853" s="55"/>
      <c r="H853" s="55"/>
      <c r="I853" s="360"/>
      <c r="J853" s="55"/>
      <c r="K853" s="55"/>
      <c r="L853" s="360"/>
      <c r="M853" s="55"/>
      <c r="N853" s="55"/>
      <c r="O853" s="360"/>
      <c r="P853" s="55"/>
      <c r="Q853" s="55"/>
      <c r="R853" s="360"/>
      <c r="S853" s="55"/>
      <c r="T853" s="350"/>
      <c r="U853" s="55"/>
      <c r="V853" s="55"/>
      <c r="W853" s="55"/>
      <c r="X853" s="55"/>
      <c r="Y853" s="55"/>
      <c r="Z853" s="55"/>
      <c r="AA853" s="55"/>
    </row>
    <row r="854">
      <c r="A854" s="55"/>
      <c r="B854" s="55"/>
      <c r="C854" s="55"/>
      <c r="D854" s="55"/>
      <c r="E854" s="55"/>
      <c r="F854" s="365"/>
      <c r="G854" s="55"/>
      <c r="H854" s="55"/>
      <c r="I854" s="360"/>
      <c r="J854" s="55"/>
      <c r="K854" s="55"/>
      <c r="L854" s="360"/>
      <c r="M854" s="55"/>
      <c r="N854" s="55"/>
      <c r="O854" s="360"/>
      <c r="P854" s="55"/>
      <c r="Q854" s="55"/>
      <c r="R854" s="360"/>
      <c r="S854" s="55"/>
      <c r="T854" s="350"/>
      <c r="U854" s="55"/>
      <c r="V854" s="55"/>
      <c r="W854" s="55"/>
      <c r="X854" s="55"/>
      <c r="Y854" s="55"/>
      <c r="Z854" s="55"/>
      <c r="AA854" s="55"/>
    </row>
    <row r="855">
      <c r="A855" s="55"/>
      <c r="B855" s="55"/>
      <c r="C855" s="55"/>
      <c r="D855" s="55"/>
      <c r="E855" s="55"/>
      <c r="F855" s="365"/>
      <c r="G855" s="55"/>
      <c r="H855" s="55"/>
      <c r="I855" s="360"/>
      <c r="J855" s="55"/>
      <c r="K855" s="55"/>
      <c r="L855" s="360"/>
      <c r="M855" s="55"/>
      <c r="N855" s="55"/>
      <c r="O855" s="360"/>
      <c r="P855" s="55"/>
      <c r="Q855" s="55"/>
      <c r="R855" s="360"/>
      <c r="S855" s="55"/>
      <c r="T855" s="350"/>
      <c r="U855" s="55"/>
      <c r="V855" s="55"/>
      <c r="W855" s="55"/>
      <c r="X855" s="55"/>
      <c r="Y855" s="55"/>
      <c r="Z855" s="55"/>
      <c r="AA855" s="55"/>
    </row>
    <row r="856">
      <c r="A856" s="55"/>
      <c r="B856" s="55"/>
      <c r="C856" s="55"/>
      <c r="D856" s="55"/>
      <c r="E856" s="55"/>
      <c r="F856" s="365"/>
      <c r="G856" s="55"/>
      <c r="H856" s="55"/>
      <c r="I856" s="360"/>
      <c r="J856" s="55"/>
      <c r="K856" s="55"/>
      <c r="L856" s="360"/>
      <c r="M856" s="55"/>
      <c r="N856" s="55"/>
      <c r="O856" s="360"/>
      <c r="P856" s="55"/>
      <c r="Q856" s="55"/>
      <c r="R856" s="360"/>
      <c r="S856" s="55"/>
      <c r="T856" s="350"/>
      <c r="U856" s="55"/>
      <c r="V856" s="55"/>
      <c r="W856" s="55"/>
      <c r="X856" s="55"/>
      <c r="Y856" s="55"/>
      <c r="Z856" s="55"/>
      <c r="AA856" s="55"/>
    </row>
    <row r="857">
      <c r="A857" s="55"/>
      <c r="B857" s="55"/>
      <c r="C857" s="55"/>
      <c r="D857" s="55"/>
      <c r="E857" s="55"/>
      <c r="F857" s="365"/>
      <c r="G857" s="55"/>
      <c r="H857" s="55"/>
      <c r="I857" s="360"/>
      <c r="J857" s="55"/>
      <c r="K857" s="55"/>
      <c r="L857" s="360"/>
      <c r="M857" s="55"/>
      <c r="N857" s="55"/>
      <c r="O857" s="360"/>
      <c r="P857" s="55"/>
      <c r="Q857" s="55"/>
      <c r="R857" s="360"/>
      <c r="S857" s="55"/>
      <c r="T857" s="350"/>
      <c r="U857" s="55"/>
      <c r="V857" s="55"/>
      <c r="W857" s="55"/>
      <c r="X857" s="55"/>
      <c r="Y857" s="55"/>
      <c r="Z857" s="55"/>
      <c r="AA857" s="55"/>
    </row>
    <row r="858">
      <c r="A858" s="55"/>
      <c r="B858" s="55"/>
      <c r="C858" s="55"/>
      <c r="D858" s="55"/>
      <c r="E858" s="55"/>
      <c r="F858" s="365"/>
      <c r="G858" s="55"/>
      <c r="H858" s="55"/>
      <c r="I858" s="360"/>
      <c r="J858" s="55"/>
      <c r="K858" s="55"/>
      <c r="L858" s="360"/>
      <c r="M858" s="55"/>
      <c r="N858" s="55"/>
      <c r="O858" s="360"/>
      <c r="P858" s="55"/>
      <c r="Q858" s="55"/>
      <c r="R858" s="360"/>
      <c r="S858" s="55"/>
      <c r="T858" s="350"/>
      <c r="U858" s="55"/>
      <c r="V858" s="55"/>
      <c r="W858" s="55"/>
      <c r="X858" s="55"/>
      <c r="Y858" s="55"/>
      <c r="Z858" s="55"/>
      <c r="AA858" s="55"/>
    </row>
    <row r="859">
      <c r="A859" s="55"/>
      <c r="B859" s="55"/>
      <c r="C859" s="55"/>
      <c r="D859" s="55"/>
      <c r="E859" s="55"/>
      <c r="F859" s="365"/>
      <c r="G859" s="55"/>
      <c r="H859" s="55"/>
      <c r="I859" s="360"/>
      <c r="J859" s="55"/>
      <c r="K859" s="55"/>
      <c r="L859" s="360"/>
      <c r="M859" s="55"/>
      <c r="N859" s="55"/>
      <c r="O859" s="360"/>
      <c r="P859" s="55"/>
      <c r="Q859" s="55"/>
      <c r="R859" s="360"/>
      <c r="S859" s="55"/>
      <c r="T859" s="350"/>
      <c r="U859" s="55"/>
      <c r="V859" s="55"/>
      <c r="W859" s="55"/>
      <c r="X859" s="55"/>
      <c r="Y859" s="55"/>
      <c r="Z859" s="55"/>
      <c r="AA859" s="55"/>
    </row>
    <row r="860">
      <c r="A860" s="55"/>
      <c r="B860" s="55"/>
      <c r="C860" s="55"/>
      <c r="D860" s="55"/>
      <c r="E860" s="55"/>
      <c r="F860" s="365"/>
      <c r="G860" s="55"/>
      <c r="H860" s="55"/>
      <c r="I860" s="360"/>
      <c r="J860" s="55"/>
      <c r="K860" s="55"/>
      <c r="L860" s="360"/>
      <c r="M860" s="55"/>
      <c r="N860" s="55"/>
      <c r="O860" s="360"/>
      <c r="P860" s="55"/>
      <c r="Q860" s="55"/>
      <c r="R860" s="360"/>
      <c r="S860" s="55"/>
      <c r="T860" s="350"/>
      <c r="U860" s="55"/>
      <c r="V860" s="55"/>
      <c r="W860" s="55"/>
      <c r="X860" s="55"/>
      <c r="Y860" s="55"/>
      <c r="Z860" s="55"/>
      <c r="AA860" s="55"/>
    </row>
    <row r="861">
      <c r="A861" s="55"/>
      <c r="B861" s="55"/>
      <c r="C861" s="55"/>
      <c r="D861" s="55"/>
      <c r="E861" s="55"/>
      <c r="F861" s="365"/>
      <c r="G861" s="55"/>
      <c r="H861" s="55"/>
      <c r="I861" s="360"/>
      <c r="J861" s="55"/>
      <c r="K861" s="55"/>
      <c r="L861" s="360"/>
      <c r="M861" s="55"/>
      <c r="N861" s="55"/>
      <c r="O861" s="360"/>
      <c r="P861" s="55"/>
      <c r="Q861" s="55"/>
      <c r="R861" s="360"/>
      <c r="S861" s="55"/>
      <c r="T861" s="350"/>
      <c r="U861" s="55"/>
      <c r="V861" s="55"/>
      <c r="W861" s="55"/>
      <c r="X861" s="55"/>
      <c r="Y861" s="55"/>
      <c r="Z861" s="55"/>
      <c r="AA861" s="55"/>
    </row>
    <row r="862">
      <c r="A862" s="55"/>
      <c r="B862" s="55"/>
      <c r="C862" s="55"/>
      <c r="D862" s="55"/>
      <c r="E862" s="55"/>
      <c r="F862" s="365"/>
      <c r="G862" s="55"/>
      <c r="H862" s="55"/>
      <c r="I862" s="360"/>
      <c r="J862" s="55"/>
      <c r="K862" s="55"/>
      <c r="L862" s="360"/>
      <c r="M862" s="55"/>
      <c r="N862" s="55"/>
      <c r="O862" s="360"/>
      <c r="P862" s="55"/>
      <c r="Q862" s="55"/>
      <c r="R862" s="360"/>
      <c r="S862" s="55"/>
      <c r="T862" s="350"/>
      <c r="U862" s="55"/>
      <c r="V862" s="55"/>
      <c r="W862" s="55"/>
      <c r="X862" s="55"/>
      <c r="Y862" s="55"/>
      <c r="Z862" s="55"/>
      <c r="AA862" s="55"/>
    </row>
    <row r="863">
      <c r="A863" s="55"/>
      <c r="B863" s="55"/>
      <c r="C863" s="55"/>
      <c r="D863" s="55"/>
      <c r="E863" s="55"/>
      <c r="F863" s="365"/>
      <c r="G863" s="55"/>
      <c r="H863" s="55"/>
      <c r="I863" s="360"/>
      <c r="J863" s="55"/>
      <c r="K863" s="55"/>
      <c r="L863" s="360"/>
      <c r="M863" s="55"/>
      <c r="N863" s="55"/>
      <c r="O863" s="360"/>
      <c r="P863" s="55"/>
      <c r="Q863" s="55"/>
      <c r="R863" s="360"/>
      <c r="S863" s="55"/>
      <c r="T863" s="350"/>
      <c r="U863" s="55"/>
      <c r="V863" s="55"/>
      <c r="W863" s="55"/>
      <c r="X863" s="55"/>
      <c r="Y863" s="55"/>
      <c r="Z863" s="55"/>
      <c r="AA863" s="55"/>
    </row>
    <row r="864">
      <c r="A864" s="55"/>
      <c r="B864" s="55"/>
      <c r="C864" s="55"/>
      <c r="D864" s="55"/>
      <c r="E864" s="55"/>
      <c r="F864" s="365"/>
      <c r="G864" s="55"/>
      <c r="H864" s="55"/>
      <c r="I864" s="360"/>
      <c r="J864" s="55"/>
      <c r="K864" s="55"/>
      <c r="L864" s="360"/>
      <c r="M864" s="55"/>
      <c r="N864" s="55"/>
      <c r="O864" s="360"/>
      <c r="P864" s="55"/>
      <c r="Q864" s="55"/>
      <c r="R864" s="360"/>
      <c r="S864" s="55"/>
      <c r="T864" s="350"/>
      <c r="U864" s="55"/>
      <c r="V864" s="55"/>
      <c r="W864" s="55"/>
      <c r="X864" s="55"/>
      <c r="Y864" s="55"/>
      <c r="Z864" s="55"/>
      <c r="AA864" s="55"/>
    </row>
    <row r="865">
      <c r="A865" s="55"/>
      <c r="B865" s="55"/>
      <c r="C865" s="55"/>
      <c r="D865" s="55"/>
      <c r="E865" s="55"/>
      <c r="F865" s="365"/>
      <c r="G865" s="55"/>
      <c r="H865" s="55"/>
      <c r="I865" s="360"/>
      <c r="J865" s="55"/>
      <c r="K865" s="55"/>
      <c r="L865" s="360"/>
      <c r="M865" s="55"/>
      <c r="N865" s="55"/>
      <c r="O865" s="360"/>
      <c r="P865" s="55"/>
      <c r="Q865" s="55"/>
      <c r="R865" s="360"/>
      <c r="S865" s="55"/>
      <c r="T865" s="350"/>
      <c r="U865" s="55"/>
      <c r="V865" s="55"/>
      <c r="W865" s="55"/>
      <c r="X865" s="55"/>
      <c r="Y865" s="55"/>
      <c r="Z865" s="55"/>
      <c r="AA865" s="55"/>
    </row>
    <row r="866">
      <c r="A866" s="55"/>
      <c r="B866" s="55"/>
      <c r="C866" s="55"/>
      <c r="D866" s="55"/>
      <c r="E866" s="55"/>
      <c r="F866" s="365"/>
      <c r="G866" s="55"/>
      <c r="H866" s="55"/>
      <c r="I866" s="360"/>
      <c r="J866" s="55"/>
      <c r="K866" s="55"/>
      <c r="L866" s="360"/>
      <c r="M866" s="55"/>
      <c r="N866" s="55"/>
      <c r="O866" s="360"/>
      <c r="P866" s="55"/>
      <c r="Q866" s="55"/>
      <c r="R866" s="360"/>
      <c r="S866" s="55"/>
      <c r="T866" s="350"/>
      <c r="U866" s="55"/>
      <c r="V866" s="55"/>
      <c r="W866" s="55"/>
      <c r="X866" s="55"/>
      <c r="Y866" s="55"/>
      <c r="Z866" s="55"/>
      <c r="AA866" s="55"/>
    </row>
    <row r="867">
      <c r="A867" s="55"/>
      <c r="B867" s="55"/>
      <c r="C867" s="55"/>
      <c r="D867" s="55"/>
      <c r="E867" s="55"/>
      <c r="F867" s="365"/>
      <c r="G867" s="55"/>
      <c r="H867" s="55"/>
      <c r="I867" s="360"/>
      <c r="J867" s="55"/>
      <c r="K867" s="55"/>
      <c r="L867" s="360"/>
      <c r="M867" s="55"/>
      <c r="N867" s="55"/>
      <c r="O867" s="360"/>
      <c r="P867" s="55"/>
      <c r="Q867" s="55"/>
      <c r="R867" s="360"/>
      <c r="S867" s="55"/>
      <c r="T867" s="350"/>
      <c r="U867" s="55"/>
      <c r="V867" s="55"/>
      <c r="W867" s="55"/>
      <c r="X867" s="55"/>
      <c r="Y867" s="55"/>
      <c r="Z867" s="55"/>
      <c r="AA867" s="55"/>
    </row>
    <row r="868">
      <c r="A868" s="55"/>
      <c r="B868" s="55"/>
      <c r="C868" s="55"/>
      <c r="D868" s="55"/>
      <c r="E868" s="55"/>
      <c r="F868" s="365"/>
      <c r="G868" s="55"/>
      <c r="H868" s="55"/>
      <c r="I868" s="360"/>
      <c r="J868" s="55"/>
      <c r="K868" s="55"/>
      <c r="L868" s="360"/>
      <c r="M868" s="55"/>
      <c r="N868" s="55"/>
      <c r="O868" s="360"/>
      <c r="P868" s="55"/>
      <c r="Q868" s="55"/>
      <c r="R868" s="360"/>
      <c r="S868" s="55"/>
      <c r="T868" s="350"/>
      <c r="U868" s="55"/>
      <c r="V868" s="55"/>
      <c r="W868" s="55"/>
      <c r="X868" s="55"/>
      <c r="Y868" s="55"/>
      <c r="Z868" s="55"/>
      <c r="AA868" s="55"/>
    </row>
    <row r="869">
      <c r="A869" s="55"/>
      <c r="B869" s="55"/>
      <c r="C869" s="55"/>
      <c r="D869" s="55"/>
      <c r="E869" s="55"/>
      <c r="F869" s="365"/>
      <c r="G869" s="55"/>
      <c r="H869" s="55"/>
      <c r="I869" s="360"/>
      <c r="J869" s="55"/>
      <c r="K869" s="55"/>
      <c r="L869" s="360"/>
      <c r="M869" s="55"/>
      <c r="N869" s="55"/>
      <c r="O869" s="360"/>
      <c r="P869" s="55"/>
      <c r="Q869" s="55"/>
      <c r="R869" s="360"/>
      <c r="S869" s="55"/>
      <c r="T869" s="350"/>
      <c r="U869" s="55"/>
      <c r="V869" s="55"/>
      <c r="W869" s="55"/>
      <c r="X869" s="55"/>
      <c r="Y869" s="55"/>
      <c r="Z869" s="55"/>
      <c r="AA869" s="55"/>
    </row>
    <row r="870">
      <c r="A870" s="55"/>
      <c r="B870" s="55"/>
      <c r="C870" s="55"/>
      <c r="D870" s="55"/>
      <c r="E870" s="55"/>
      <c r="F870" s="365"/>
      <c r="G870" s="55"/>
      <c r="H870" s="55"/>
      <c r="I870" s="360"/>
      <c r="J870" s="55"/>
      <c r="K870" s="55"/>
      <c r="L870" s="360"/>
      <c r="M870" s="55"/>
      <c r="N870" s="55"/>
      <c r="O870" s="360"/>
      <c r="P870" s="55"/>
      <c r="Q870" s="55"/>
      <c r="R870" s="360"/>
      <c r="S870" s="55"/>
      <c r="T870" s="350"/>
      <c r="U870" s="55"/>
      <c r="V870" s="55"/>
      <c r="W870" s="55"/>
      <c r="X870" s="55"/>
      <c r="Y870" s="55"/>
      <c r="Z870" s="55"/>
      <c r="AA870" s="55"/>
    </row>
    <row r="871">
      <c r="A871" s="55"/>
      <c r="B871" s="55"/>
      <c r="C871" s="55"/>
      <c r="D871" s="55"/>
      <c r="E871" s="55"/>
      <c r="F871" s="365"/>
      <c r="G871" s="55"/>
      <c r="H871" s="55"/>
      <c r="I871" s="360"/>
      <c r="J871" s="55"/>
      <c r="K871" s="55"/>
      <c r="L871" s="360"/>
      <c r="M871" s="55"/>
      <c r="N871" s="55"/>
      <c r="O871" s="360"/>
      <c r="P871" s="55"/>
      <c r="Q871" s="55"/>
      <c r="R871" s="360"/>
      <c r="S871" s="55"/>
      <c r="T871" s="350"/>
      <c r="U871" s="55"/>
      <c r="V871" s="55"/>
      <c r="W871" s="55"/>
      <c r="X871" s="55"/>
      <c r="Y871" s="55"/>
      <c r="Z871" s="55"/>
      <c r="AA871" s="55"/>
    </row>
    <row r="872">
      <c r="A872" s="55"/>
      <c r="B872" s="55"/>
      <c r="C872" s="55"/>
      <c r="D872" s="55"/>
      <c r="E872" s="55"/>
      <c r="F872" s="365"/>
      <c r="G872" s="55"/>
      <c r="H872" s="55"/>
      <c r="I872" s="360"/>
      <c r="J872" s="55"/>
      <c r="K872" s="55"/>
      <c r="L872" s="360"/>
      <c r="M872" s="55"/>
      <c r="N872" s="55"/>
      <c r="O872" s="360"/>
      <c r="P872" s="55"/>
      <c r="Q872" s="55"/>
      <c r="R872" s="360"/>
      <c r="S872" s="55"/>
      <c r="T872" s="350"/>
      <c r="U872" s="55"/>
      <c r="V872" s="55"/>
      <c r="W872" s="55"/>
      <c r="X872" s="55"/>
      <c r="Y872" s="55"/>
      <c r="Z872" s="55"/>
      <c r="AA872" s="55"/>
    </row>
    <row r="873">
      <c r="A873" s="55"/>
      <c r="B873" s="55"/>
      <c r="C873" s="55"/>
      <c r="D873" s="55"/>
      <c r="E873" s="55"/>
      <c r="F873" s="365"/>
      <c r="G873" s="55"/>
      <c r="H873" s="55"/>
      <c r="I873" s="360"/>
      <c r="J873" s="55"/>
      <c r="K873" s="55"/>
      <c r="L873" s="360"/>
      <c r="M873" s="55"/>
      <c r="N873" s="55"/>
      <c r="O873" s="360"/>
      <c r="P873" s="55"/>
      <c r="Q873" s="55"/>
      <c r="R873" s="360"/>
      <c r="S873" s="55"/>
      <c r="T873" s="350"/>
      <c r="U873" s="55"/>
      <c r="V873" s="55"/>
      <c r="W873" s="55"/>
      <c r="X873" s="55"/>
      <c r="Y873" s="55"/>
      <c r="Z873" s="55"/>
      <c r="AA873" s="55"/>
    </row>
    <row r="874">
      <c r="A874" s="55"/>
      <c r="B874" s="55"/>
      <c r="C874" s="55"/>
      <c r="D874" s="55"/>
      <c r="E874" s="55"/>
      <c r="F874" s="365"/>
      <c r="G874" s="55"/>
      <c r="H874" s="55"/>
      <c r="I874" s="360"/>
      <c r="J874" s="55"/>
      <c r="K874" s="55"/>
      <c r="L874" s="360"/>
      <c r="M874" s="55"/>
      <c r="N874" s="55"/>
      <c r="O874" s="360"/>
      <c r="P874" s="55"/>
      <c r="Q874" s="55"/>
      <c r="R874" s="360"/>
      <c r="S874" s="55"/>
      <c r="T874" s="350"/>
      <c r="U874" s="55"/>
      <c r="V874" s="55"/>
      <c r="W874" s="55"/>
      <c r="X874" s="55"/>
      <c r="Y874" s="55"/>
      <c r="Z874" s="55"/>
      <c r="AA874" s="55"/>
    </row>
    <row r="875">
      <c r="A875" s="55"/>
      <c r="B875" s="55"/>
      <c r="C875" s="55"/>
      <c r="D875" s="55"/>
      <c r="E875" s="55"/>
      <c r="F875" s="365"/>
      <c r="G875" s="55"/>
      <c r="H875" s="55"/>
      <c r="I875" s="360"/>
      <c r="J875" s="55"/>
      <c r="K875" s="55"/>
      <c r="L875" s="360"/>
      <c r="M875" s="55"/>
      <c r="N875" s="55"/>
      <c r="O875" s="360"/>
      <c r="P875" s="55"/>
      <c r="Q875" s="55"/>
      <c r="R875" s="360"/>
      <c r="S875" s="55"/>
      <c r="T875" s="350"/>
      <c r="U875" s="55"/>
      <c r="V875" s="55"/>
      <c r="W875" s="55"/>
      <c r="X875" s="55"/>
      <c r="Y875" s="55"/>
      <c r="Z875" s="55"/>
      <c r="AA875" s="55"/>
    </row>
    <row r="876">
      <c r="A876" s="55"/>
      <c r="B876" s="55"/>
      <c r="C876" s="55"/>
      <c r="D876" s="55"/>
      <c r="E876" s="55"/>
      <c r="F876" s="365"/>
      <c r="G876" s="55"/>
      <c r="H876" s="55"/>
      <c r="I876" s="360"/>
      <c r="J876" s="55"/>
      <c r="K876" s="55"/>
      <c r="L876" s="360"/>
      <c r="M876" s="55"/>
      <c r="N876" s="55"/>
      <c r="O876" s="360"/>
      <c r="P876" s="55"/>
      <c r="Q876" s="55"/>
      <c r="R876" s="360"/>
      <c r="S876" s="55"/>
      <c r="T876" s="350"/>
      <c r="U876" s="55"/>
      <c r="V876" s="55"/>
      <c r="W876" s="55"/>
      <c r="X876" s="55"/>
      <c r="Y876" s="55"/>
      <c r="Z876" s="55"/>
      <c r="AA876" s="55"/>
    </row>
    <row r="877">
      <c r="A877" s="55"/>
      <c r="B877" s="55"/>
      <c r="C877" s="55"/>
      <c r="D877" s="55"/>
      <c r="E877" s="55"/>
      <c r="F877" s="365"/>
      <c r="G877" s="55"/>
      <c r="H877" s="55"/>
      <c r="I877" s="360"/>
      <c r="J877" s="55"/>
      <c r="K877" s="55"/>
      <c r="L877" s="360"/>
      <c r="M877" s="55"/>
      <c r="N877" s="55"/>
      <c r="O877" s="360"/>
      <c r="P877" s="55"/>
      <c r="Q877" s="55"/>
      <c r="R877" s="360"/>
      <c r="S877" s="55"/>
      <c r="T877" s="350"/>
      <c r="U877" s="55"/>
      <c r="V877" s="55"/>
      <c r="W877" s="55"/>
      <c r="X877" s="55"/>
      <c r="Y877" s="55"/>
      <c r="Z877" s="55"/>
      <c r="AA877" s="55"/>
    </row>
    <row r="878">
      <c r="A878" s="55"/>
      <c r="B878" s="55"/>
      <c r="C878" s="55"/>
      <c r="D878" s="55"/>
      <c r="E878" s="55"/>
      <c r="F878" s="365"/>
      <c r="G878" s="55"/>
      <c r="H878" s="55"/>
      <c r="I878" s="360"/>
      <c r="J878" s="55"/>
      <c r="K878" s="55"/>
      <c r="L878" s="360"/>
      <c r="M878" s="55"/>
      <c r="N878" s="55"/>
      <c r="O878" s="360"/>
      <c r="P878" s="55"/>
      <c r="Q878" s="55"/>
      <c r="R878" s="360"/>
      <c r="S878" s="55"/>
      <c r="T878" s="350"/>
      <c r="U878" s="55"/>
      <c r="V878" s="55"/>
      <c r="W878" s="55"/>
      <c r="X878" s="55"/>
      <c r="Y878" s="55"/>
      <c r="Z878" s="55"/>
      <c r="AA878" s="55"/>
    </row>
    <row r="879">
      <c r="A879" s="55"/>
      <c r="B879" s="55"/>
      <c r="C879" s="55"/>
      <c r="D879" s="55"/>
      <c r="E879" s="55"/>
      <c r="F879" s="365"/>
      <c r="G879" s="55"/>
      <c r="H879" s="55"/>
      <c r="I879" s="360"/>
      <c r="J879" s="55"/>
      <c r="K879" s="55"/>
      <c r="L879" s="360"/>
      <c r="M879" s="55"/>
      <c r="N879" s="55"/>
      <c r="O879" s="360"/>
      <c r="P879" s="55"/>
      <c r="Q879" s="55"/>
      <c r="R879" s="360"/>
      <c r="S879" s="55"/>
      <c r="T879" s="350"/>
      <c r="U879" s="55"/>
      <c r="V879" s="55"/>
      <c r="W879" s="55"/>
      <c r="X879" s="55"/>
      <c r="Y879" s="55"/>
      <c r="Z879" s="55"/>
      <c r="AA879" s="55"/>
    </row>
    <row r="880">
      <c r="A880" s="55"/>
      <c r="B880" s="55"/>
      <c r="C880" s="55"/>
      <c r="D880" s="55"/>
      <c r="E880" s="55"/>
      <c r="F880" s="365"/>
      <c r="G880" s="55"/>
      <c r="H880" s="55"/>
      <c r="I880" s="360"/>
      <c r="J880" s="55"/>
      <c r="K880" s="55"/>
      <c r="L880" s="360"/>
      <c r="M880" s="55"/>
      <c r="N880" s="55"/>
      <c r="O880" s="360"/>
      <c r="P880" s="55"/>
      <c r="Q880" s="55"/>
      <c r="R880" s="360"/>
      <c r="S880" s="55"/>
      <c r="T880" s="350"/>
      <c r="U880" s="55"/>
      <c r="V880" s="55"/>
      <c r="W880" s="55"/>
      <c r="X880" s="55"/>
      <c r="Y880" s="55"/>
      <c r="Z880" s="55"/>
      <c r="AA880" s="55"/>
    </row>
    <row r="881">
      <c r="A881" s="55"/>
      <c r="B881" s="55"/>
      <c r="C881" s="55"/>
      <c r="D881" s="55"/>
      <c r="E881" s="55"/>
      <c r="F881" s="365"/>
      <c r="G881" s="55"/>
      <c r="H881" s="55"/>
      <c r="I881" s="360"/>
      <c r="J881" s="55"/>
      <c r="K881" s="55"/>
      <c r="L881" s="360"/>
      <c r="M881" s="55"/>
      <c r="N881" s="55"/>
      <c r="O881" s="360"/>
      <c r="P881" s="55"/>
      <c r="Q881" s="55"/>
      <c r="R881" s="360"/>
      <c r="S881" s="55"/>
      <c r="T881" s="350"/>
      <c r="U881" s="55"/>
      <c r="V881" s="55"/>
      <c r="W881" s="55"/>
      <c r="X881" s="55"/>
      <c r="Y881" s="55"/>
      <c r="Z881" s="55"/>
      <c r="AA881" s="55"/>
    </row>
    <row r="882">
      <c r="A882" s="55"/>
      <c r="B882" s="55"/>
      <c r="C882" s="55"/>
      <c r="D882" s="55"/>
      <c r="E882" s="55"/>
      <c r="F882" s="365"/>
      <c r="G882" s="55"/>
      <c r="H882" s="55"/>
      <c r="I882" s="360"/>
      <c r="J882" s="55"/>
      <c r="K882" s="55"/>
      <c r="L882" s="360"/>
      <c r="M882" s="55"/>
      <c r="N882" s="55"/>
      <c r="O882" s="360"/>
      <c r="P882" s="55"/>
      <c r="Q882" s="55"/>
      <c r="R882" s="360"/>
      <c r="S882" s="55"/>
      <c r="T882" s="350"/>
      <c r="U882" s="55"/>
      <c r="V882" s="55"/>
      <c r="W882" s="55"/>
      <c r="X882" s="55"/>
      <c r="Y882" s="55"/>
      <c r="Z882" s="55"/>
      <c r="AA882" s="55"/>
    </row>
    <row r="883">
      <c r="A883" s="55"/>
      <c r="B883" s="55"/>
      <c r="C883" s="55"/>
      <c r="D883" s="55"/>
      <c r="E883" s="55"/>
      <c r="F883" s="365"/>
      <c r="G883" s="55"/>
      <c r="H883" s="55"/>
      <c r="I883" s="360"/>
      <c r="J883" s="55"/>
      <c r="K883" s="55"/>
      <c r="L883" s="360"/>
      <c r="M883" s="55"/>
      <c r="N883" s="55"/>
      <c r="O883" s="360"/>
      <c r="P883" s="55"/>
      <c r="Q883" s="55"/>
      <c r="R883" s="360"/>
      <c r="S883" s="55"/>
      <c r="T883" s="350"/>
      <c r="U883" s="55"/>
      <c r="V883" s="55"/>
      <c r="W883" s="55"/>
      <c r="X883" s="55"/>
      <c r="Y883" s="55"/>
      <c r="Z883" s="55"/>
      <c r="AA883" s="55"/>
    </row>
    <row r="884">
      <c r="A884" s="55"/>
      <c r="B884" s="55"/>
      <c r="C884" s="55"/>
      <c r="D884" s="55"/>
      <c r="E884" s="55"/>
      <c r="F884" s="365"/>
      <c r="G884" s="55"/>
      <c r="H884" s="55"/>
      <c r="I884" s="360"/>
      <c r="J884" s="55"/>
      <c r="K884" s="55"/>
      <c r="L884" s="360"/>
      <c r="M884" s="55"/>
      <c r="N884" s="55"/>
      <c r="O884" s="360"/>
      <c r="P884" s="55"/>
      <c r="Q884" s="55"/>
      <c r="R884" s="360"/>
      <c r="S884" s="55"/>
      <c r="T884" s="350"/>
      <c r="U884" s="55"/>
      <c r="V884" s="55"/>
      <c r="W884" s="55"/>
      <c r="X884" s="55"/>
      <c r="Y884" s="55"/>
      <c r="Z884" s="55"/>
      <c r="AA884" s="55"/>
    </row>
    <row r="885">
      <c r="A885" s="55"/>
      <c r="B885" s="55"/>
      <c r="C885" s="55"/>
      <c r="D885" s="55"/>
      <c r="E885" s="55"/>
      <c r="F885" s="365"/>
      <c r="G885" s="55"/>
      <c r="H885" s="55"/>
      <c r="I885" s="360"/>
      <c r="J885" s="55"/>
      <c r="K885" s="55"/>
      <c r="L885" s="360"/>
      <c r="M885" s="55"/>
      <c r="N885" s="55"/>
      <c r="O885" s="360"/>
      <c r="P885" s="55"/>
      <c r="Q885" s="55"/>
      <c r="R885" s="360"/>
      <c r="S885" s="55"/>
      <c r="T885" s="350"/>
      <c r="U885" s="55"/>
      <c r="V885" s="55"/>
      <c r="W885" s="55"/>
      <c r="X885" s="55"/>
      <c r="Y885" s="55"/>
      <c r="Z885" s="55"/>
      <c r="AA885" s="55"/>
    </row>
    <row r="886">
      <c r="A886" s="55"/>
      <c r="B886" s="55"/>
      <c r="C886" s="55"/>
      <c r="D886" s="55"/>
      <c r="E886" s="55"/>
      <c r="F886" s="365"/>
      <c r="G886" s="55"/>
      <c r="H886" s="55"/>
      <c r="I886" s="360"/>
      <c r="J886" s="55"/>
      <c r="K886" s="55"/>
      <c r="L886" s="360"/>
      <c r="M886" s="55"/>
      <c r="N886" s="55"/>
      <c r="O886" s="360"/>
      <c r="P886" s="55"/>
      <c r="Q886" s="55"/>
      <c r="R886" s="360"/>
      <c r="S886" s="55"/>
      <c r="T886" s="350"/>
      <c r="U886" s="55"/>
      <c r="V886" s="55"/>
      <c r="W886" s="55"/>
      <c r="X886" s="55"/>
      <c r="Y886" s="55"/>
      <c r="Z886" s="55"/>
      <c r="AA886" s="55"/>
    </row>
    <row r="887">
      <c r="A887" s="55"/>
      <c r="B887" s="55"/>
      <c r="C887" s="55"/>
      <c r="D887" s="55"/>
      <c r="E887" s="55"/>
      <c r="F887" s="365"/>
      <c r="G887" s="55"/>
      <c r="H887" s="55"/>
      <c r="I887" s="360"/>
      <c r="J887" s="55"/>
      <c r="K887" s="55"/>
      <c r="L887" s="360"/>
      <c r="M887" s="55"/>
      <c r="N887" s="55"/>
      <c r="O887" s="360"/>
      <c r="P887" s="55"/>
      <c r="Q887" s="55"/>
      <c r="R887" s="360"/>
      <c r="S887" s="55"/>
      <c r="T887" s="350"/>
      <c r="U887" s="55"/>
      <c r="V887" s="55"/>
      <c r="W887" s="55"/>
      <c r="X887" s="55"/>
      <c r="Y887" s="55"/>
      <c r="Z887" s="55"/>
      <c r="AA887" s="55"/>
    </row>
    <row r="888">
      <c r="A888" s="55"/>
      <c r="B888" s="55"/>
      <c r="C888" s="55"/>
      <c r="D888" s="55"/>
      <c r="E888" s="55"/>
      <c r="F888" s="365"/>
      <c r="G888" s="55"/>
      <c r="H888" s="55"/>
      <c r="I888" s="360"/>
      <c r="J888" s="55"/>
      <c r="K888" s="55"/>
      <c r="L888" s="360"/>
      <c r="M888" s="55"/>
      <c r="N888" s="55"/>
      <c r="O888" s="360"/>
      <c r="P888" s="55"/>
      <c r="Q888" s="55"/>
      <c r="R888" s="360"/>
      <c r="S888" s="55"/>
      <c r="T888" s="350"/>
      <c r="U888" s="55"/>
      <c r="V888" s="55"/>
      <c r="W888" s="55"/>
      <c r="X888" s="55"/>
      <c r="Y888" s="55"/>
      <c r="Z888" s="55"/>
      <c r="AA888" s="55"/>
    </row>
    <row r="889">
      <c r="A889" s="55"/>
      <c r="B889" s="55"/>
      <c r="C889" s="55"/>
      <c r="D889" s="55"/>
      <c r="E889" s="55"/>
      <c r="F889" s="365"/>
      <c r="G889" s="55"/>
      <c r="H889" s="55"/>
      <c r="I889" s="360"/>
      <c r="J889" s="55"/>
      <c r="K889" s="55"/>
      <c r="L889" s="360"/>
      <c r="M889" s="55"/>
      <c r="N889" s="55"/>
      <c r="O889" s="360"/>
      <c r="P889" s="55"/>
      <c r="Q889" s="55"/>
      <c r="R889" s="360"/>
      <c r="S889" s="55"/>
      <c r="T889" s="350"/>
      <c r="U889" s="55"/>
      <c r="V889" s="55"/>
      <c r="W889" s="55"/>
      <c r="X889" s="55"/>
      <c r="Y889" s="55"/>
      <c r="Z889" s="55"/>
      <c r="AA889" s="55"/>
    </row>
    <row r="890">
      <c r="A890" s="55"/>
      <c r="B890" s="55"/>
      <c r="C890" s="55"/>
      <c r="D890" s="55"/>
      <c r="E890" s="55"/>
      <c r="F890" s="365"/>
      <c r="G890" s="55"/>
      <c r="H890" s="55"/>
      <c r="I890" s="360"/>
      <c r="J890" s="55"/>
      <c r="K890" s="55"/>
      <c r="L890" s="360"/>
      <c r="M890" s="55"/>
      <c r="N890" s="55"/>
      <c r="O890" s="360"/>
      <c r="P890" s="55"/>
      <c r="Q890" s="55"/>
      <c r="R890" s="360"/>
      <c r="S890" s="55"/>
      <c r="T890" s="350"/>
      <c r="U890" s="55"/>
      <c r="V890" s="55"/>
      <c r="W890" s="55"/>
      <c r="X890" s="55"/>
      <c r="Y890" s="55"/>
      <c r="Z890" s="55"/>
      <c r="AA890" s="55"/>
    </row>
    <row r="891">
      <c r="A891" s="55"/>
      <c r="B891" s="55"/>
      <c r="C891" s="55"/>
      <c r="D891" s="55"/>
      <c r="E891" s="55"/>
      <c r="F891" s="365"/>
      <c r="G891" s="55"/>
      <c r="H891" s="55"/>
      <c r="I891" s="360"/>
      <c r="J891" s="55"/>
      <c r="K891" s="55"/>
      <c r="L891" s="360"/>
      <c r="M891" s="55"/>
      <c r="N891" s="55"/>
      <c r="O891" s="360"/>
      <c r="P891" s="55"/>
      <c r="Q891" s="55"/>
      <c r="R891" s="360"/>
      <c r="S891" s="55"/>
      <c r="T891" s="350"/>
      <c r="U891" s="55"/>
      <c r="V891" s="55"/>
      <c r="W891" s="55"/>
      <c r="X891" s="55"/>
      <c r="Y891" s="55"/>
      <c r="Z891" s="55"/>
      <c r="AA891" s="55"/>
    </row>
    <row r="892">
      <c r="A892" s="55"/>
      <c r="B892" s="55"/>
      <c r="C892" s="55"/>
      <c r="D892" s="55"/>
      <c r="E892" s="55"/>
      <c r="F892" s="365"/>
      <c r="G892" s="55"/>
      <c r="H892" s="55"/>
      <c r="I892" s="360"/>
      <c r="J892" s="55"/>
      <c r="K892" s="55"/>
      <c r="L892" s="360"/>
      <c r="M892" s="55"/>
      <c r="N892" s="55"/>
      <c r="O892" s="360"/>
      <c r="P892" s="55"/>
      <c r="Q892" s="55"/>
      <c r="R892" s="360"/>
      <c r="S892" s="55"/>
      <c r="T892" s="350"/>
      <c r="U892" s="55"/>
      <c r="V892" s="55"/>
      <c r="W892" s="55"/>
      <c r="X892" s="55"/>
      <c r="Y892" s="55"/>
      <c r="Z892" s="55"/>
      <c r="AA892" s="55"/>
    </row>
    <row r="893">
      <c r="A893" s="55"/>
      <c r="B893" s="55"/>
      <c r="C893" s="55"/>
      <c r="D893" s="55"/>
      <c r="E893" s="55"/>
      <c r="F893" s="365"/>
      <c r="G893" s="55"/>
      <c r="H893" s="55"/>
      <c r="I893" s="360"/>
      <c r="J893" s="55"/>
      <c r="K893" s="55"/>
      <c r="L893" s="360"/>
      <c r="M893" s="55"/>
      <c r="N893" s="55"/>
      <c r="O893" s="360"/>
      <c r="P893" s="55"/>
      <c r="Q893" s="55"/>
      <c r="R893" s="360"/>
      <c r="S893" s="55"/>
      <c r="T893" s="350"/>
      <c r="U893" s="55"/>
      <c r="V893" s="55"/>
      <c r="W893" s="55"/>
      <c r="X893" s="55"/>
      <c r="Y893" s="55"/>
      <c r="Z893" s="55"/>
      <c r="AA893" s="55"/>
    </row>
    <row r="894">
      <c r="A894" s="55"/>
      <c r="B894" s="55"/>
      <c r="C894" s="55"/>
      <c r="D894" s="55"/>
      <c r="E894" s="55"/>
      <c r="F894" s="365"/>
      <c r="G894" s="55"/>
      <c r="H894" s="55"/>
      <c r="I894" s="360"/>
      <c r="J894" s="55"/>
      <c r="K894" s="55"/>
      <c r="L894" s="360"/>
      <c r="M894" s="55"/>
      <c r="N894" s="55"/>
      <c r="O894" s="360"/>
      <c r="P894" s="55"/>
      <c r="Q894" s="55"/>
      <c r="R894" s="360"/>
      <c r="S894" s="55"/>
      <c r="T894" s="350"/>
      <c r="U894" s="55"/>
      <c r="V894" s="55"/>
      <c r="W894" s="55"/>
      <c r="X894" s="55"/>
      <c r="Y894" s="55"/>
      <c r="Z894" s="55"/>
      <c r="AA894" s="55"/>
    </row>
    <row r="895">
      <c r="A895" s="55"/>
      <c r="B895" s="55"/>
      <c r="C895" s="55"/>
      <c r="D895" s="55"/>
      <c r="E895" s="55"/>
      <c r="F895" s="365"/>
      <c r="G895" s="55"/>
      <c r="H895" s="55"/>
      <c r="I895" s="360"/>
      <c r="J895" s="55"/>
      <c r="K895" s="55"/>
      <c r="L895" s="360"/>
      <c r="M895" s="55"/>
      <c r="N895" s="55"/>
      <c r="O895" s="360"/>
      <c r="P895" s="55"/>
      <c r="Q895" s="55"/>
      <c r="R895" s="360"/>
      <c r="S895" s="55"/>
      <c r="T895" s="350"/>
      <c r="U895" s="55"/>
      <c r="V895" s="55"/>
      <c r="W895" s="55"/>
      <c r="X895" s="55"/>
      <c r="Y895" s="55"/>
      <c r="Z895" s="55"/>
      <c r="AA895" s="55"/>
    </row>
    <row r="896">
      <c r="A896" s="55"/>
      <c r="B896" s="55"/>
      <c r="C896" s="55"/>
      <c r="D896" s="55"/>
      <c r="E896" s="55"/>
      <c r="F896" s="365"/>
      <c r="G896" s="55"/>
      <c r="H896" s="55"/>
      <c r="I896" s="360"/>
      <c r="J896" s="55"/>
      <c r="K896" s="55"/>
      <c r="L896" s="360"/>
      <c r="M896" s="55"/>
      <c r="N896" s="55"/>
      <c r="O896" s="360"/>
      <c r="P896" s="55"/>
      <c r="Q896" s="55"/>
      <c r="R896" s="360"/>
      <c r="S896" s="55"/>
      <c r="T896" s="350"/>
      <c r="U896" s="55"/>
      <c r="V896" s="55"/>
      <c r="W896" s="55"/>
      <c r="X896" s="55"/>
      <c r="Y896" s="55"/>
      <c r="Z896" s="55"/>
      <c r="AA896" s="55"/>
    </row>
    <row r="897">
      <c r="A897" s="55"/>
      <c r="B897" s="55"/>
      <c r="C897" s="55"/>
      <c r="D897" s="55"/>
      <c r="E897" s="55"/>
      <c r="F897" s="365"/>
      <c r="G897" s="55"/>
      <c r="H897" s="55"/>
      <c r="I897" s="360"/>
      <c r="J897" s="55"/>
      <c r="K897" s="55"/>
      <c r="L897" s="360"/>
      <c r="M897" s="55"/>
      <c r="N897" s="55"/>
      <c r="O897" s="360"/>
      <c r="P897" s="55"/>
      <c r="Q897" s="55"/>
      <c r="R897" s="360"/>
      <c r="S897" s="55"/>
      <c r="T897" s="350"/>
      <c r="U897" s="55"/>
      <c r="V897" s="55"/>
      <c r="W897" s="55"/>
      <c r="X897" s="55"/>
      <c r="Y897" s="55"/>
      <c r="Z897" s="55"/>
      <c r="AA897" s="55"/>
    </row>
    <row r="898">
      <c r="A898" s="55"/>
      <c r="B898" s="55"/>
      <c r="C898" s="55"/>
      <c r="D898" s="55"/>
      <c r="E898" s="55"/>
      <c r="F898" s="365"/>
      <c r="G898" s="55"/>
      <c r="H898" s="55"/>
      <c r="I898" s="360"/>
      <c r="J898" s="55"/>
      <c r="K898" s="55"/>
      <c r="L898" s="360"/>
      <c r="M898" s="55"/>
      <c r="N898" s="55"/>
      <c r="O898" s="360"/>
      <c r="P898" s="55"/>
      <c r="Q898" s="55"/>
      <c r="R898" s="360"/>
      <c r="S898" s="55"/>
      <c r="T898" s="350"/>
      <c r="U898" s="55"/>
      <c r="V898" s="55"/>
      <c r="W898" s="55"/>
      <c r="X898" s="55"/>
      <c r="Y898" s="55"/>
      <c r="Z898" s="55"/>
      <c r="AA898" s="55"/>
    </row>
    <row r="899">
      <c r="A899" s="55"/>
      <c r="B899" s="55"/>
      <c r="C899" s="55"/>
      <c r="D899" s="55"/>
      <c r="E899" s="55"/>
      <c r="F899" s="365"/>
      <c r="G899" s="55"/>
      <c r="H899" s="55"/>
      <c r="I899" s="360"/>
      <c r="J899" s="55"/>
      <c r="K899" s="55"/>
      <c r="L899" s="360"/>
      <c r="M899" s="55"/>
      <c r="N899" s="55"/>
      <c r="O899" s="360"/>
      <c r="P899" s="55"/>
      <c r="Q899" s="55"/>
      <c r="R899" s="360"/>
      <c r="S899" s="55"/>
      <c r="T899" s="350"/>
      <c r="U899" s="55"/>
      <c r="V899" s="55"/>
      <c r="W899" s="55"/>
      <c r="X899" s="55"/>
      <c r="Y899" s="55"/>
      <c r="Z899" s="55"/>
      <c r="AA899" s="55"/>
    </row>
    <row r="900">
      <c r="A900" s="55"/>
      <c r="B900" s="55"/>
      <c r="C900" s="55"/>
      <c r="D900" s="55"/>
      <c r="E900" s="55"/>
      <c r="F900" s="365"/>
      <c r="G900" s="55"/>
      <c r="H900" s="55"/>
      <c r="I900" s="360"/>
      <c r="J900" s="55"/>
      <c r="K900" s="55"/>
      <c r="L900" s="360"/>
      <c r="M900" s="55"/>
      <c r="N900" s="55"/>
      <c r="O900" s="360"/>
      <c r="P900" s="55"/>
      <c r="Q900" s="55"/>
      <c r="R900" s="360"/>
      <c r="S900" s="55"/>
      <c r="T900" s="350"/>
      <c r="U900" s="55"/>
      <c r="V900" s="55"/>
      <c r="W900" s="55"/>
      <c r="X900" s="55"/>
      <c r="Y900" s="55"/>
      <c r="Z900" s="55"/>
      <c r="AA900" s="55"/>
    </row>
    <row r="901">
      <c r="A901" s="55"/>
      <c r="B901" s="55"/>
      <c r="C901" s="55"/>
      <c r="D901" s="55"/>
      <c r="E901" s="55"/>
      <c r="F901" s="365"/>
      <c r="G901" s="55"/>
      <c r="H901" s="55"/>
      <c r="I901" s="360"/>
      <c r="J901" s="55"/>
      <c r="K901" s="55"/>
      <c r="L901" s="360"/>
      <c r="M901" s="55"/>
      <c r="N901" s="55"/>
      <c r="O901" s="360"/>
      <c r="P901" s="55"/>
      <c r="Q901" s="55"/>
      <c r="R901" s="360"/>
      <c r="S901" s="55"/>
      <c r="T901" s="350"/>
      <c r="U901" s="55"/>
      <c r="V901" s="55"/>
      <c r="W901" s="55"/>
      <c r="X901" s="55"/>
      <c r="Y901" s="55"/>
      <c r="Z901" s="55"/>
      <c r="AA901" s="55"/>
    </row>
    <row r="902">
      <c r="A902" s="55"/>
      <c r="B902" s="55"/>
      <c r="C902" s="55"/>
      <c r="D902" s="55"/>
      <c r="E902" s="55"/>
      <c r="F902" s="365"/>
      <c r="G902" s="55"/>
      <c r="H902" s="55"/>
      <c r="I902" s="360"/>
      <c r="J902" s="55"/>
      <c r="K902" s="55"/>
      <c r="L902" s="360"/>
      <c r="M902" s="55"/>
      <c r="N902" s="55"/>
      <c r="O902" s="360"/>
      <c r="P902" s="55"/>
      <c r="Q902" s="55"/>
      <c r="R902" s="360"/>
      <c r="S902" s="55"/>
      <c r="T902" s="350"/>
      <c r="U902" s="55"/>
      <c r="V902" s="55"/>
      <c r="W902" s="55"/>
      <c r="X902" s="55"/>
      <c r="Y902" s="55"/>
      <c r="Z902" s="55"/>
      <c r="AA902" s="55"/>
    </row>
    <row r="903">
      <c r="A903" s="55"/>
      <c r="B903" s="55"/>
      <c r="C903" s="55"/>
      <c r="D903" s="55"/>
      <c r="E903" s="55"/>
      <c r="F903" s="365"/>
      <c r="G903" s="55"/>
      <c r="H903" s="55"/>
      <c r="I903" s="360"/>
      <c r="J903" s="55"/>
      <c r="K903" s="55"/>
      <c r="L903" s="360"/>
      <c r="M903" s="55"/>
      <c r="N903" s="55"/>
      <c r="O903" s="360"/>
      <c r="P903" s="55"/>
      <c r="Q903" s="55"/>
      <c r="R903" s="360"/>
      <c r="S903" s="55"/>
      <c r="T903" s="350"/>
      <c r="U903" s="55"/>
      <c r="V903" s="55"/>
      <c r="W903" s="55"/>
      <c r="X903" s="55"/>
      <c r="Y903" s="55"/>
      <c r="Z903" s="55"/>
      <c r="AA903" s="55"/>
    </row>
    <row r="904">
      <c r="A904" s="55"/>
      <c r="B904" s="55"/>
      <c r="C904" s="55"/>
      <c r="D904" s="55"/>
      <c r="E904" s="55"/>
      <c r="F904" s="365"/>
      <c r="G904" s="55"/>
      <c r="H904" s="55"/>
      <c r="I904" s="360"/>
      <c r="J904" s="55"/>
      <c r="K904" s="55"/>
      <c r="L904" s="360"/>
      <c r="M904" s="55"/>
      <c r="N904" s="55"/>
      <c r="O904" s="360"/>
      <c r="P904" s="55"/>
      <c r="Q904" s="55"/>
      <c r="R904" s="360"/>
      <c r="S904" s="55"/>
      <c r="T904" s="350"/>
      <c r="U904" s="55"/>
      <c r="V904" s="55"/>
      <c r="W904" s="55"/>
      <c r="X904" s="55"/>
      <c r="Y904" s="55"/>
      <c r="Z904" s="55"/>
      <c r="AA904" s="55"/>
    </row>
    <row r="905">
      <c r="A905" s="55"/>
      <c r="B905" s="55"/>
      <c r="C905" s="55"/>
      <c r="D905" s="55"/>
      <c r="E905" s="55"/>
      <c r="F905" s="365"/>
      <c r="G905" s="55"/>
      <c r="H905" s="55"/>
      <c r="I905" s="360"/>
      <c r="J905" s="55"/>
      <c r="K905" s="55"/>
      <c r="L905" s="360"/>
      <c r="M905" s="55"/>
      <c r="N905" s="55"/>
      <c r="O905" s="360"/>
      <c r="P905" s="55"/>
      <c r="Q905" s="55"/>
      <c r="R905" s="360"/>
      <c r="S905" s="55"/>
      <c r="T905" s="350"/>
      <c r="U905" s="55"/>
      <c r="V905" s="55"/>
      <c r="W905" s="55"/>
      <c r="X905" s="55"/>
      <c r="Y905" s="55"/>
      <c r="Z905" s="55"/>
      <c r="AA905" s="55"/>
    </row>
    <row r="906">
      <c r="A906" s="55"/>
      <c r="B906" s="55"/>
      <c r="C906" s="55"/>
      <c r="D906" s="55"/>
      <c r="E906" s="55"/>
      <c r="F906" s="365"/>
      <c r="G906" s="55"/>
      <c r="H906" s="55"/>
      <c r="I906" s="360"/>
      <c r="J906" s="55"/>
      <c r="K906" s="55"/>
      <c r="L906" s="360"/>
      <c r="M906" s="55"/>
      <c r="N906" s="55"/>
      <c r="O906" s="360"/>
      <c r="P906" s="55"/>
      <c r="Q906" s="55"/>
      <c r="R906" s="360"/>
      <c r="S906" s="55"/>
      <c r="T906" s="350"/>
      <c r="U906" s="55"/>
      <c r="V906" s="55"/>
      <c r="W906" s="55"/>
      <c r="X906" s="55"/>
      <c r="Y906" s="55"/>
      <c r="Z906" s="55"/>
      <c r="AA906" s="55"/>
    </row>
    <row r="907">
      <c r="A907" s="55"/>
      <c r="B907" s="55"/>
      <c r="C907" s="55"/>
      <c r="D907" s="55"/>
      <c r="E907" s="55"/>
      <c r="F907" s="365"/>
      <c r="G907" s="55"/>
      <c r="H907" s="55"/>
      <c r="I907" s="360"/>
      <c r="J907" s="55"/>
      <c r="K907" s="55"/>
      <c r="L907" s="360"/>
      <c r="M907" s="55"/>
      <c r="N907" s="55"/>
      <c r="O907" s="360"/>
      <c r="P907" s="55"/>
      <c r="Q907" s="55"/>
      <c r="R907" s="360"/>
      <c r="S907" s="55"/>
      <c r="T907" s="350"/>
      <c r="U907" s="55"/>
      <c r="V907" s="55"/>
      <c r="W907" s="55"/>
      <c r="X907" s="55"/>
      <c r="Y907" s="55"/>
      <c r="Z907" s="55"/>
      <c r="AA907" s="55"/>
    </row>
    <row r="908">
      <c r="A908" s="55"/>
      <c r="B908" s="55"/>
      <c r="C908" s="55"/>
      <c r="D908" s="55"/>
      <c r="E908" s="55"/>
      <c r="F908" s="365"/>
      <c r="G908" s="55"/>
      <c r="H908" s="55"/>
      <c r="I908" s="360"/>
      <c r="J908" s="55"/>
      <c r="K908" s="55"/>
      <c r="L908" s="360"/>
      <c r="M908" s="55"/>
      <c r="N908" s="55"/>
      <c r="O908" s="360"/>
      <c r="P908" s="55"/>
      <c r="Q908" s="55"/>
      <c r="R908" s="360"/>
      <c r="S908" s="55"/>
      <c r="T908" s="350"/>
      <c r="U908" s="55"/>
      <c r="V908" s="55"/>
      <c r="W908" s="55"/>
      <c r="X908" s="55"/>
      <c r="Y908" s="55"/>
      <c r="Z908" s="55"/>
      <c r="AA908" s="55"/>
    </row>
    <row r="909">
      <c r="A909" s="55"/>
      <c r="B909" s="55"/>
      <c r="C909" s="55"/>
      <c r="D909" s="55"/>
      <c r="E909" s="55"/>
      <c r="F909" s="365"/>
      <c r="G909" s="55"/>
      <c r="H909" s="55"/>
      <c r="I909" s="360"/>
      <c r="J909" s="55"/>
      <c r="K909" s="55"/>
      <c r="L909" s="360"/>
      <c r="M909" s="55"/>
      <c r="N909" s="55"/>
      <c r="O909" s="360"/>
      <c r="P909" s="55"/>
      <c r="Q909" s="55"/>
      <c r="R909" s="360"/>
      <c r="S909" s="55"/>
      <c r="T909" s="350"/>
      <c r="U909" s="55"/>
      <c r="V909" s="55"/>
      <c r="W909" s="55"/>
      <c r="X909" s="55"/>
      <c r="Y909" s="55"/>
      <c r="Z909" s="55"/>
      <c r="AA909" s="55"/>
    </row>
    <row r="910">
      <c r="A910" s="55"/>
      <c r="B910" s="55"/>
      <c r="C910" s="55"/>
      <c r="D910" s="55"/>
      <c r="E910" s="55"/>
      <c r="F910" s="365"/>
      <c r="G910" s="55"/>
      <c r="H910" s="55"/>
      <c r="I910" s="360"/>
      <c r="J910" s="55"/>
      <c r="K910" s="55"/>
      <c r="L910" s="360"/>
      <c r="M910" s="55"/>
      <c r="N910" s="55"/>
      <c r="O910" s="360"/>
      <c r="P910" s="55"/>
      <c r="Q910" s="55"/>
      <c r="R910" s="360"/>
      <c r="S910" s="55"/>
      <c r="T910" s="350"/>
      <c r="U910" s="55"/>
      <c r="V910" s="55"/>
      <c r="W910" s="55"/>
      <c r="X910" s="55"/>
      <c r="Y910" s="55"/>
      <c r="Z910" s="55"/>
      <c r="AA910" s="55"/>
    </row>
    <row r="911">
      <c r="A911" s="55"/>
      <c r="B911" s="55"/>
      <c r="C911" s="55"/>
      <c r="D911" s="55"/>
      <c r="E911" s="55"/>
      <c r="F911" s="365"/>
      <c r="G911" s="55"/>
      <c r="H911" s="55"/>
      <c r="I911" s="360"/>
      <c r="J911" s="55"/>
      <c r="K911" s="55"/>
      <c r="L911" s="360"/>
      <c r="M911" s="55"/>
      <c r="N911" s="55"/>
      <c r="O911" s="360"/>
      <c r="P911" s="55"/>
      <c r="Q911" s="55"/>
      <c r="R911" s="360"/>
      <c r="S911" s="55"/>
      <c r="T911" s="350"/>
      <c r="U911" s="55"/>
      <c r="V911" s="55"/>
      <c r="W911" s="55"/>
      <c r="X911" s="55"/>
      <c r="Y911" s="55"/>
      <c r="Z911" s="55"/>
      <c r="AA911" s="55"/>
    </row>
    <row r="912">
      <c r="A912" s="55"/>
      <c r="B912" s="55"/>
      <c r="C912" s="55"/>
      <c r="D912" s="55"/>
      <c r="E912" s="55"/>
      <c r="F912" s="365"/>
      <c r="G912" s="55"/>
      <c r="H912" s="55"/>
      <c r="I912" s="360"/>
      <c r="J912" s="55"/>
      <c r="K912" s="55"/>
      <c r="L912" s="360"/>
      <c r="M912" s="55"/>
      <c r="N912" s="55"/>
      <c r="O912" s="360"/>
      <c r="P912" s="55"/>
      <c r="Q912" s="55"/>
      <c r="R912" s="360"/>
      <c r="S912" s="55"/>
      <c r="T912" s="350"/>
      <c r="U912" s="55"/>
      <c r="V912" s="55"/>
      <c r="W912" s="55"/>
      <c r="X912" s="55"/>
      <c r="Y912" s="55"/>
      <c r="Z912" s="55"/>
      <c r="AA912" s="55"/>
    </row>
    <row r="913">
      <c r="A913" s="55"/>
      <c r="B913" s="55"/>
      <c r="C913" s="55"/>
      <c r="D913" s="55"/>
      <c r="E913" s="55"/>
      <c r="F913" s="365"/>
      <c r="G913" s="55"/>
      <c r="H913" s="55"/>
      <c r="I913" s="360"/>
      <c r="J913" s="55"/>
      <c r="K913" s="55"/>
      <c r="L913" s="360"/>
      <c r="M913" s="55"/>
      <c r="N913" s="55"/>
      <c r="O913" s="360"/>
      <c r="P913" s="55"/>
      <c r="Q913" s="55"/>
      <c r="R913" s="360"/>
      <c r="S913" s="55"/>
      <c r="T913" s="350"/>
      <c r="U913" s="55"/>
      <c r="V913" s="55"/>
      <c r="W913" s="55"/>
      <c r="X913" s="55"/>
      <c r="Y913" s="55"/>
      <c r="Z913" s="55"/>
      <c r="AA913" s="55"/>
    </row>
    <row r="914">
      <c r="A914" s="55"/>
      <c r="B914" s="55"/>
      <c r="C914" s="55"/>
      <c r="D914" s="55"/>
      <c r="E914" s="55"/>
      <c r="F914" s="365"/>
      <c r="G914" s="55"/>
      <c r="H914" s="55"/>
      <c r="I914" s="360"/>
      <c r="J914" s="55"/>
      <c r="K914" s="55"/>
      <c r="L914" s="360"/>
      <c r="M914" s="55"/>
      <c r="N914" s="55"/>
      <c r="O914" s="360"/>
      <c r="P914" s="55"/>
      <c r="Q914" s="55"/>
      <c r="R914" s="360"/>
      <c r="S914" s="55"/>
      <c r="T914" s="350"/>
      <c r="U914" s="55"/>
      <c r="V914" s="55"/>
      <c r="W914" s="55"/>
      <c r="X914" s="55"/>
      <c r="Y914" s="55"/>
      <c r="Z914" s="55"/>
      <c r="AA914" s="55"/>
    </row>
    <row r="915">
      <c r="A915" s="55"/>
      <c r="B915" s="55"/>
      <c r="C915" s="55"/>
      <c r="D915" s="55"/>
      <c r="E915" s="55"/>
      <c r="F915" s="365"/>
      <c r="G915" s="55"/>
      <c r="H915" s="55"/>
      <c r="I915" s="360"/>
      <c r="J915" s="55"/>
      <c r="K915" s="55"/>
      <c r="L915" s="360"/>
      <c r="M915" s="55"/>
      <c r="N915" s="55"/>
      <c r="O915" s="360"/>
      <c r="P915" s="55"/>
      <c r="Q915" s="55"/>
      <c r="R915" s="360"/>
      <c r="S915" s="55"/>
      <c r="T915" s="350"/>
      <c r="U915" s="55"/>
      <c r="V915" s="55"/>
      <c r="W915" s="55"/>
      <c r="X915" s="55"/>
      <c r="Y915" s="55"/>
      <c r="Z915" s="55"/>
      <c r="AA915" s="55"/>
    </row>
    <row r="916">
      <c r="A916" s="55"/>
      <c r="B916" s="55"/>
      <c r="C916" s="55"/>
      <c r="D916" s="55"/>
      <c r="E916" s="55"/>
      <c r="F916" s="365"/>
      <c r="G916" s="55"/>
      <c r="H916" s="55"/>
      <c r="I916" s="360"/>
      <c r="J916" s="55"/>
      <c r="K916" s="55"/>
      <c r="L916" s="360"/>
      <c r="M916" s="55"/>
      <c r="N916" s="55"/>
      <c r="O916" s="360"/>
      <c r="P916" s="55"/>
      <c r="Q916" s="55"/>
      <c r="R916" s="360"/>
      <c r="S916" s="55"/>
      <c r="T916" s="350"/>
      <c r="U916" s="55"/>
      <c r="V916" s="55"/>
      <c r="W916" s="55"/>
      <c r="X916" s="55"/>
      <c r="Y916" s="55"/>
      <c r="Z916" s="55"/>
      <c r="AA916" s="55"/>
    </row>
    <row r="917">
      <c r="A917" s="55"/>
      <c r="B917" s="55"/>
      <c r="C917" s="55"/>
      <c r="D917" s="55"/>
      <c r="E917" s="55"/>
      <c r="F917" s="365"/>
      <c r="G917" s="55"/>
      <c r="H917" s="55"/>
      <c r="I917" s="360"/>
      <c r="J917" s="55"/>
      <c r="K917" s="55"/>
      <c r="L917" s="360"/>
      <c r="M917" s="55"/>
      <c r="N917" s="55"/>
      <c r="O917" s="360"/>
      <c r="P917" s="55"/>
      <c r="Q917" s="55"/>
      <c r="R917" s="360"/>
      <c r="S917" s="55"/>
      <c r="T917" s="350"/>
      <c r="U917" s="55"/>
      <c r="V917" s="55"/>
      <c r="W917" s="55"/>
      <c r="X917" s="55"/>
      <c r="Y917" s="55"/>
      <c r="Z917" s="55"/>
      <c r="AA917" s="55"/>
    </row>
    <row r="918">
      <c r="A918" s="55"/>
      <c r="B918" s="55"/>
      <c r="C918" s="55"/>
      <c r="D918" s="55"/>
      <c r="E918" s="55"/>
      <c r="F918" s="365"/>
      <c r="G918" s="55"/>
      <c r="H918" s="55"/>
      <c r="I918" s="360"/>
      <c r="J918" s="55"/>
      <c r="K918" s="55"/>
      <c r="L918" s="360"/>
      <c r="M918" s="55"/>
      <c r="N918" s="55"/>
      <c r="O918" s="360"/>
      <c r="P918" s="55"/>
      <c r="Q918" s="55"/>
      <c r="R918" s="360"/>
      <c r="S918" s="55"/>
      <c r="T918" s="350"/>
      <c r="U918" s="55"/>
      <c r="V918" s="55"/>
      <c r="W918" s="55"/>
      <c r="X918" s="55"/>
      <c r="Y918" s="55"/>
      <c r="Z918" s="55"/>
      <c r="AA918" s="55"/>
    </row>
    <row r="919">
      <c r="A919" s="55"/>
      <c r="B919" s="55"/>
      <c r="C919" s="55"/>
      <c r="D919" s="55"/>
      <c r="E919" s="55"/>
      <c r="F919" s="365"/>
      <c r="G919" s="55"/>
      <c r="H919" s="55"/>
      <c r="I919" s="360"/>
      <c r="J919" s="55"/>
      <c r="K919" s="55"/>
      <c r="L919" s="360"/>
      <c r="M919" s="55"/>
      <c r="N919" s="55"/>
      <c r="O919" s="360"/>
      <c r="P919" s="55"/>
      <c r="Q919" s="55"/>
      <c r="R919" s="360"/>
      <c r="S919" s="55"/>
      <c r="T919" s="350"/>
      <c r="U919" s="55"/>
      <c r="V919" s="55"/>
      <c r="W919" s="55"/>
      <c r="X919" s="55"/>
      <c r="Y919" s="55"/>
      <c r="Z919" s="55"/>
      <c r="AA919" s="55"/>
    </row>
    <row r="920">
      <c r="A920" s="55"/>
      <c r="B920" s="55"/>
      <c r="C920" s="55"/>
      <c r="D920" s="55"/>
      <c r="E920" s="55"/>
      <c r="F920" s="365"/>
      <c r="G920" s="55"/>
      <c r="H920" s="55"/>
      <c r="I920" s="360"/>
      <c r="J920" s="55"/>
      <c r="K920" s="55"/>
      <c r="L920" s="360"/>
      <c r="M920" s="55"/>
      <c r="N920" s="55"/>
      <c r="O920" s="360"/>
      <c r="P920" s="55"/>
      <c r="Q920" s="55"/>
      <c r="R920" s="360"/>
      <c r="S920" s="55"/>
      <c r="T920" s="350"/>
      <c r="U920" s="55"/>
      <c r="V920" s="55"/>
      <c r="W920" s="55"/>
      <c r="X920" s="55"/>
      <c r="Y920" s="55"/>
      <c r="Z920" s="55"/>
      <c r="AA920" s="55"/>
    </row>
    <row r="921">
      <c r="A921" s="55"/>
      <c r="B921" s="55"/>
      <c r="C921" s="55"/>
      <c r="D921" s="55"/>
      <c r="E921" s="55"/>
      <c r="F921" s="365"/>
      <c r="G921" s="55"/>
      <c r="H921" s="55"/>
      <c r="I921" s="360"/>
      <c r="J921" s="55"/>
      <c r="K921" s="55"/>
      <c r="L921" s="360"/>
      <c r="M921" s="55"/>
      <c r="N921" s="55"/>
      <c r="O921" s="360"/>
      <c r="P921" s="55"/>
      <c r="Q921" s="55"/>
      <c r="R921" s="360"/>
      <c r="S921" s="55"/>
      <c r="T921" s="350"/>
      <c r="U921" s="55"/>
      <c r="V921" s="55"/>
      <c r="W921" s="55"/>
      <c r="X921" s="55"/>
      <c r="Y921" s="55"/>
      <c r="Z921" s="55"/>
      <c r="AA921" s="55"/>
    </row>
    <row r="922">
      <c r="A922" s="55"/>
      <c r="B922" s="55"/>
      <c r="C922" s="55"/>
      <c r="D922" s="55"/>
      <c r="E922" s="55"/>
      <c r="F922" s="365"/>
      <c r="G922" s="55"/>
      <c r="H922" s="55"/>
      <c r="I922" s="360"/>
      <c r="J922" s="55"/>
      <c r="K922" s="55"/>
      <c r="L922" s="360"/>
      <c r="M922" s="55"/>
      <c r="N922" s="55"/>
      <c r="O922" s="360"/>
      <c r="P922" s="55"/>
      <c r="Q922" s="55"/>
      <c r="R922" s="360"/>
      <c r="S922" s="55"/>
      <c r="T922" s="350"/>
      <c r="U922" s="55"/>
      <c r="V922" s="55"/>
      <c r="W922" s="55"/>
      <c r="X922" s="55"/>
      <c r="Y922" s="55"/>
      <c r="Z922" s="55"/>
      <c r="AA922" s="55"/>
    </row>
    <row r="923">
      <c r="A923" s="55"/>
      <c r="B923" s="55"/>
      <c r="C923" s="55"/>
      <c r="D923" s="55"/>
      <c r="E923" s="55"/>
      <c r="F923" s="365"/>
      <c r="G923" s="55"/>
      <c r="H923" s="55"/>
      <c r="I923" s="360"/>
      <c r="J923" s="55"/>
      <c r="K923" s="55"/>
      <c r="L923" s="360"/>
      <c r="M923" s="55"/>
      <c r="N923" s="55"/>
      <c r="O923" s="360"/>
      <c r="P923" s="55"/>
      <c r="Q923" s="55"/>
      <c r="R923" s="360"/>
      <c r="S923" s="55"/>
      <c r="T923" s="350"/>
      <c r="U923" s="55"/>
      <c r="V923" s="55"/>
      <c r="W923" s="55"/>
      <c r="X923" s="55"/>
      <c r="Y923" s="55"/>
      <c r="Z923" s="55"/>
      <c r="AA923" s="55"/>
    </row>
    <row r="924">
      <c r="A924" s="55"/>
      <c r="B924" s="55"/>
      <c r="C924" s="55"/>
      <c r="D924" s="55"/>
      <c r="E924" s="55"/>
      <c r="F924" s="365"/>
      <c r="G924" s="55"/>
      <c r="H924" s="55"/>
      <c r="I924" s="360"/>
      <c r="J924" s="55"/>
      <c r="K924" s="55"/>
      <c r="L924" s="360"/>
      <c r="M924" s="55"/>
      <c r="N924" s="55"/>
      <c r="O924" s="360"/>
      <c r="P924" s="55"/>
      <c r="Q924" s="55"/>
      <c r="R924" s="360"/>
      <c r="S924" s="55"/>
      <c r="T924" s="350"/>
      <c r="U924" s="55"/>
      <c r="V924" s="55"/>
      <c r="W924" s="55"/>
      <c r="X924" s="55"/>
      <c r="Y924" s="55"/>
      <c r="Z924" s="55"/>
      <c r="AA924" s="55"/>
    </row>
    <row r="925">
      <c r="A925" s="55"/>
      <c r="B925" s="55"/>
      <c r="C925" s="55"/>
      <c r="D925" s="55"/>
      <c r="E925" s="55"/>
      <c r="F925" s="365"/>
      <c r="G925" s="55"/>
      <c r="H925" s="55"/>
      <c r="I925" s="360"/>
      <c r="J925" s="55"/>
      <c r="K925" s="55"/>
      <c r="L925" s="360"/>
      <c r="M925" s="55"/>
      <c r="N925" s="55"/>
      <c r="O925" s="360"/>
      <c r="P925" s="55"/>
      <c r="Q925" s="55"/>
      <c r="R925" s="360"/>
      <c r="S925" s="55"/>
      <c r="T925" s="350"/>
      <c r="U925" s="55"/>
      <c r="V925" s="55"/>
      <c r="W925" s="55"/>
      <c r="X925" s="55"/>
      <c r="Y925" s="55"/>
      <c r="Z925" s="55"/>
      <c r="AA925" s="55"/>
    </row>
    <row r="926">
      <c r="A926" s="55"/>
      <c r="B926" s="55"/>
      <c r="C926" s="55"/>
      <c r="D926" s="55"/>
      <c r="E926" s="55"/>
      <c r="F926" s="365"/>
      <c r="G926" s="55"/>
      <c r="H926" s="55"/>
      <c r="I926" s="360"/>
      <c r="J926" s="55"/>
      <c r="K926" s="55"/>
      <c r="L926" s="360"/>
      <c r="M926" s="55"/>
      <c r="N926" s="55"/>
      <c r="O926" s="360"/>
      <c r="P926" s="55"/>
      <c r="Q926" s="55"/>
      <c r="R926" s="360"/>
      <c r="S926" s="55"/>
      <c r="T926" s="350"/>
      <c r="U926" s="55"/>
      <c r="V926" s="55"/>
      <c r="W926" s="55"/>
      <c r="X926" s="55"/>
      <c r="Y926" s="55"/>
      <c r="Z926" s="55"/>
      <c r="AA926" s="55"/>
    </row>
    <row r="927">
      <c r="A927" s="55"/>
      <c r="B927" s="55"/>
      <c r="C927" s="55"/>
      <c r="D927" s="55"/>
      <c r="E927" s="55"/>
      <c r="F927" s="365"/>
      <c r="G927" s="55"/>
      <c r="H927" s="55"/>
      <c r="I927" s="360"/>
      <c r="J927" s="55"/>
      <c r="K927" s="55"/>
      <c r="L927" s="360"/>
      <c r="M927" s="55"/>
      <c r="N927" s="55"/>
      <c r="O927" s="360"/>
      <c r="P927" s="55"/>
      <c r="Q927" s="55"/>
      <c r="R927" s="360"/>
      <c r="S927" s="55"/>
      <c r="T927" s="350"/>
      <c r="U927" s="55"/>
      <c r="V927" s="55"/>
      <c r="W927" s="55"/>
      <c r="X927" s="55"/>
      <c r="Y927" s="55"/>
      <c r="Z927" s="55"/>
      <c r="AA927" s="55"/>
    </row>
    <row r="928">
      <c r="A928" s="55"/>
      <c r="B928" s="55"/>
      <c r="C928" s="55"/>
      <c r="D928" s="55"/>
      <c r="E928" s="55"/>
      <c r="F928" s="365"/>
      <c r="G928" s="55"/>
      <c r="H928" s="55"/>
      <c r="I928" s="360"/>
      <c r="J928" s="55"/>
      <c r="K928" s="55"/>
      <c r="L928" s="360"/>
      <c r="M928" s="55"/>
      <c r="N928" s="55"/>
      <c r="O928" s="360"/>
      <c r="P928" s="55"/>
      <c r="Q928" s="55"/>
      <c r="R928" s="360"/>
      <c r="S928" s="55"/>
      <c r="T928" s="350"/>
      <c r="U928" s="55"/>
      <c r="V928" s="55"/>
      <c r="W928" s="55"/>
      <c r="X928" s="55"/>
      <c r="Y928" s="55"/>
      <c r="Z928" s="55"/>
      <c r="AA928" s="55"/>
    </row>
    <row r="929">
      <c r="A929" s="55"/>
      <c r="B929" s="55"/>
      <c r="C929" s="55"/>
      <c r="D929" s="55"/>
      <c r="E929" s="55"/>
      <c r="F929" s="365"/>
      <c r="G929" s="55"/>
      <c r="H929" s="55"/>
      <c r="I929" s="360"/>
      <c r="J929" s="55"/>
      <c r="K929" s="55"/>
      <c r="L929" s="360"/>
      <c r="M929" s="55"/>
      <c r="N929" s="55"/>
      <c r="O929" s="360"/>
      <c r="P929" s="55"/>
      <c r="Q929" s="55"/>
      <c r="R929" s="360"/>
      <c r="S929" s="55"/>
      <c r="T929" s="350"/>
      <c r="U929" s="55"/>
      <c r="V929" s="55"/>
      <c r="W929" s="55"/>
      <c r="X929" s="55"/>
      <c r="Y929" s="55"/>
      <c r="Z929" s="55"/>
      <c r="AA929" s="55"/>
    </row>
    <row r="930">
      <c r="A930" s="55"/>
      <c r="B930" s="55"/>
      <c r="C930" s="55"/>
      <c r="D930" s="55"/>
      <c r="E930" s="55"/>
      <c r="F930" s="365"/>
      <c r="G930" s="55"/>
      <c r="H930" s="55"/>
      <c r="I930" s="360"/>
      <c r="J930" s="55"/>
      <c r="K930" s="55"/>
      <c r="L930" s="360"/>
      <c r="M930" s="55"/>
      <c r="N930" s="55"/>
      <c r="O930" s="360"/>
      <c r="P930" s="55"/>
      <c r="Q930" s="55"/>
      <c r="R930" s="360"/>
      <c r="S930" s="55"/>
      <c r="T930" s="350"/>
      <c r="U930" s="55"/>
      <c r="V930" s="55"/>
      <c r="W930" s="55"/>
      <c r="X930" s="55"/>
      <c r="Y930" s="55"/>
      <c r="Z930" s="55"/>
      <c r="AA930" s="55"/>
    </row>
    <row r="931">
      <c r="A931" s="55"/>
      <c r="B931" s="55"/>
      <c r="C931" s="55"/>
      <c r="D931" s="55"/>
      <c r="E931" s="55"/>
      <c r="F931" s="365"/>
      <c r="G931" s="55"/>
      <c r="H931" s="55"/>
      <c r="I931" s="360"/>
      <c r="J931" s="55"/>
      <c r="K931" s="55"/>
      <c r="L931" s="360"/>
      <c r="M931" s="55"/>
      <c r="N931" s="55"/>
      <c r="O931" s="360"/>
      <c r="P931" s="55"/>
      <c r="Q931" s="55"/>
      <c r="R931" s="360"/>
      <c r="S931" s="55"/>
      <c r="T931" s="350"/>
      <c r="U931" s="55"/>
      <c r="V931" s="55"/>
      <c r="W931" s="55"/>
      <c r="X931" s="55"/>
      <c r="Y931" s="55"/>
      <c r="Z931" s="55"/>
      <c r="AA931" s="55"/>
    </row>
    <row r="932">
      <c r="A932" s="55"/>
      <c r="B932" s="55"/>
      <c r="C932" s="55"/>
      <c r="D932" s="55"/>
      <c r="E932" s="55"/>
      <c r="F932" s="365"/>
      <c r="G932" s="55"/>
      <c r="H932" s="55"/>
      <c r="I932" s="360"/>
      <c r="J932" s="55"/>
      <c r="K932" s="55"/>
      <c r="L932" s="360"/>
      <c r="M932" s="55"/>
      <c r="N932" s="55"/>
      <c r="O932" s="360"/>
      <c r="P932" s="55"/>
      <c r="Q932" s="55"/>
      <c r="R932" s="360"/>
      <c r="S932" s="55"/>
      <c r="T932" s="350"/>
      <c r="U932" s="55"/>
      <c r="V932" s="55"/>
      <c r="W932" s="55"/>
      <c r="X932" s="55"/>
      <c r="Y932" s="55"/>
      <c r="Z932" s="55"/>
      <c r="AA932" s="55"/>
    </row>
    <row r="933">
      <c r="A933" s="55"/>
      <c r="B933" s="55"/>
      <c r="C933" s="55"/>
      <c r="D933" s="55"/>
      <c r="E933" s="55"/>
      <c r="F933" s="365"/>
      <c r="G933" s="55"/>
      <c r="H933" s="55"/>
      <c r="I933" s="360"/>
      <c r="J933" s="55"/>
      <c r="K933" s="55"/>
      <c r="L933" s="360"/>
      <c r="M933" s="55"/>
      <c r="N933" s="55"/>
      <c r="O933" s="360"/>
      <c r="P933" s="55"/>
      <c r="Q933" s="55"/>
      <c r="R933" s="360"/>
      <c r="S933" s="55"/>
      <c r="T933" s="350"/>
      <c r="U933" s="55"/>
      <c r="V933" s="55"/>
      <c r="W933" s="55"/>
      <c r="X933" s="55"/>
      <c r="Y933" s="55"/>
      <c r="Z933" s="55"/>
      <c r="AA933" s="55"/>
    </row>
    <row r="934">
      <c r="A934" s="55"/>
      <c r="B934" s="55"/>
      <c r="C934" s="55"/>
      <c r="D934" s="55"/>
      <c r="E934" s="55"/>
      <c r="F934" s="365"/>
      <c r="G934" s="55"/>
      <c r="H934" s="55"/>
      <c r="I934" s="360"/>
      <c r="J934" s="55"/>
      <c r="K934" s="55"/>
      <c r="L934" s="360"/>
      <c r="M934" s="55"/>
      <c r="N934" s="55"/>
      <c r="O934" s="360"/>
      <c r="P934" s="55"/>
      <c r="Q934" s="55"/>
      <c r="R934" s="360"/>
      <c r="S934" s="55"/>
      <c r="T934" s="350"/>
      <c r="U934" s="55"/>
      <c r="V934" s="55"/>
      <c r="W934" s="55"/>
      <c r="X934" s="55"/>
      <c r="Y934" s="55"/>
      <c r="Z934" s="55"/>
      <c r="AA934" s="55"/>
    </row>
    <row r="935">
      <c r="A935" s="55"/>
      <c r="B935" s="55"/>
      <c r="C935" s="55"/>
      <c r="D935" s="55"/>
      <c r="E935" s="55"/>
      <c r="F935" s="365"/>
      <c r="G935" s="55"/>
      <c r="H935" s="55"/>
      <c r="I935" s="360"/>
      <c r="J935" s="55"/>
      <c r="K935" s="55"/>
      <c r="L935" s="360"/>
      <c r="M935" s="55"/>
      <c r="N935" s="55"/>
      <c r="O935" s="360"/>
      <c r="P935" s="55"/>
      <c r="Q935" s="55"/>
      <c r="R935" s="360"/>
      <c r="S935" s="55"/>
      <c r="T935" s="350"/>
      <c r="U935" s="55"/>
      <c r="V935" s="55"/>
      <c r="W935" s="55"/>
      <c r="X935" s="55"/>
      <c r="Y935" s="55"/>
      <c r="Z935" s="55"/>
      <c r="AA935" s="55"/>
    </row>
    <row r="936">
      <c r="A936" s="55"/>
      <c r="B936" s="55"/>
      <c r="C936" s="55"/>
      <c r="D936" s="55"/>
      <c r="E936" s="55"/>
      <c r="F936" s="365"/>
      <c r="G936" s="55"/>
      <c r="H936" s="55"/>
      <c r="I936" s="360"/>
      <c r="J936" s="55"/>
      <c r="K936" s="55"/>
      <c r="L936" s="360"/>
      <c r="M936" s="55"/>
      <c r="N936" s="55"/>
      <c r="O936" s="360"/>
      <c r="P936" s="55"/>
      <c r="Q936" s="55"/>
      <c r="R936" s="360"/>
      <c r="S936" s="55"/>
      <c r="T936" s="350"/>
      <c r="U936" s="55"/>
      <c r="V936" s="55"/>
      <c r="W936" s="55"/>
      <c r="X936" s="55"/>
      <c r="Y936" s="55"/>
      <c r="Z936" s="55"/>
      <c r="AA936" s="55"/>
    </row>
    <row r="937">
      <c r="A937" s="55"/>
      <c r="B937" s="55"/>
      <c r="C937" s="55"/>
      <c r="D937" s="55"/>
      <c r="E937" s="55"/>
      <c r="F937" s="365"/>
      <c r="G937" s="55"/>
      <c r="H937" s="55"/>
      <c r="I937" s="360"/>
      <c r="J937" s="55"/>
      <c r="K937" s="55"/>
      <c r="L937" s="360"/>
      <c r="M937" s="55"/>
      <c r="N937" s="55"/>
      <c r="O937" s="360"/>
      <c r="P937" s="55"/>
      <c r="Q937" s="55"/>
      <c r="R937" s="360"/>
      <c r="S937" s="55"/>
      <c r="T937" s="350"/>
      <c r="U937" s="55"/>
      <c r="V937" s="55"/>
      <c r="W937" s="55"/>
      <c r="X937" s="55"/>
      <c r="Y937" s="55"/>
      <c r="Z937" s="55"/>
      <c r="AA937" s="55"/>
    </row>
    <row r="938">
      <c r="A938" s="55"/>
      <c r="B938" s="55"/>
      <c r="C938" s="55"/>
      <c r="D938" s="55"/>
      <c r="E938" s="55"/>
      <c r="F938" s="365"/>
      <c r="G938" s="55"/>
      <c r="H938" s="55"/>
      <c r="I938" s="360"/>
      <c r="J938" s="55"/>
      <c r="K938" s="55"/>
      <c r="L938" s="360"/>
      <c r="M938" s="55"/>
      <c r="N938" s="55"/>
      <c r="O938" s="360"/>
      <c r="P938" s="55"/>
      <c r="Q938" s="55"/>
      <c r="R938" s="360"/>
      <c r="S938" s="55"/>
      <c r="T938" s="350"/>
      <c r="U938" s="55"/>
      <c r="V938" s="55"/>
      <c r="W938" s="55"/>
      <c r="X938" s="55"/>
      <c r="Y938" s="55"/>
      <c r="Z938" s="55"/>
      <c r="AA938" s="55"/>
    </row>
    <row r="939">
      <c r="A939" s="55"/>
      <c r="B939" s="55"/>
      <c r="C939" s="55"/>
      <c r="D939" s="55"/>
      <c r="E939" s="55"/>
      <c r="F939" s="365"/>
      <c r="G939" s="55"/>
      <c r="H939" s="55"/>
      <c r="I939" s="360"/>
      <c r="J939" s="55"/>
      <c r="K939" s="55"/>
      <c r="L939" s="360"/>
      <c r="M939" s="55"/>
      <c r="N939" s="55"/>
      <c r="O939" s="360"/>
      <c r="P939" s="55"/>
      <c r="Q939" s="55"/>
      <c r="R939" s="360"/>
      <c r="S939" s="55"/>
      <c r="T939" s="350"/>
      <c r="U939" s="55"/>
      <c r="V939" s="55"/>
      <c r="W939" s="55"/>
      <c r="X939" s="55"/>
      <c r="Y939" s="55"/>
      <c r="Z939" s="55"/>
      <c r="AA939" s="55"/>
    </row>
    <row r="940">
      <c r="A940" s="55"/>
      <c r="B940" s="55"/>
      <c r="C940" s="55"/>
      <c r="D940" s="55"/>
      <c r="E940" s="55"/>
      <c r="F940" s="365"/>
      <c r="G940" s="55"/>
      <c r="H940" s="55"/>
      <c r="I940" s="360"/>
      <c r="J940" s="55"/>
      <c r="K940" s="55"/>
      <c r="L940" s="360"/>
      <c r="M940" s="55"/>
      <c r="N940" s="55"/>
      <c r="O940" s="360"/>
      <c r="P940" s="55"/>
      <c r="Q940" s="55"/>
      <c r="R940" s="360"/>
      <c r="S940" s="55"/>
      <c r="T940" s="350"/>
      <c r="U940" s="55"/>
      <c r="V940" s="55"/>
      <c r="W940" s="55"/>
      <c r="X940" s="55"/>
      <c r="Y940" s="55"/>
      <c r="Z940" s="55"/>
      <c r="AA940" s="55"/>
    </row>
    <row r="941">
      <c r="A941" s="55"/>
      <c r="B941" s="55"/>
      <c r="C941" s="55"/>
      <c r="D941" s="55"/>
      <c r="E941" s="55"/>
      <c r="F941" s="365"/>
      <c r="G941" s="55"/>
      <c r="H941" s="55"/>
      <c r="I941" s="360"/>
      <c r="J941" s="55"/>
      <c r="K941" s="55"/>
      <c r="L941" s="360"/>
      <c r="M941" s="55"/>
      <c r="N941" s="55"/>
      <c r="O941" s="360"/>
      <c r="P941" s="55"/>
      <c r="Q941" s="55"/>
      <c r="R941" s="360"/>
      <c r="S941" s="55"/>
      <c r="T941" s="350"/>
      <c r="U941" s="55"/>
      <c r="V941" s="55"/>
      <c r="W941" s="55"/>
      <c r="X941" s="55"/>
      <c r="Y941" s="55"/>
      <c r="Z941" s="55"/>
      <c r="AA941" s="55"/>
    </row>
    <row r="942">
      <c r="A942" s="55"/>
      <c r="B942" s="55"/>
      <c r="C942" s="55"/>
      <c r="D942" s="55"/>
      <c r="E942" s="55"/>
      <c r="F942" s="365"/>
      <c r="G942" s="55"/>
      <c r="H942" s="55"/>
      <c r="I942" s="360"/>
      <c r="J942" s="55"/>
      <c r="K942" s="55"/>
      <c r="L942" s="360"/>
      <c r="M942" s="55"/>
      <c r="N942" s="55"/>
      <c r="O942" s="360"/>
      <c r="P942" s="55"/>
      <c r="Q942" s="55"/>
      <c r="R942" s="360"/>
      <c r="S942" s="55"/>
      <c r="T942" s="350"/>
      <c r="U942" s="55"/>
      <c r="V942" s="55"/>
      <c r="W942" s="55"/>
      <c r="X942" s="55"/>
      <c r="Y942" s="55"/>
      <c r="Z942" s="55"/>
      <c r="AA942" s="55"/>
    </row>
    <row r="943">
      <c r="A943" s="55"/>
      <c r="B943" s="55"/>
      <c r="C943" s="55"/>
      <c r="D943" s="55"/>
      <c r="E943" s="55"/>
      <c r="F943" s="365"/>
      <c r="G943" s="55"/>
      <c r="H943" s="55"/>
      <c r="I943" s="360"/>
      <c r="J943" s="55"/>
      <c r="K943" s="55"/>
      <c r="L943" s="360"/>
      <c r="M943" s="55"/>
      <c r="N943" s="55"/>
      <c r="O943" s="360"/>
      <c r="P943" s="55"/>
      <c r="Q943" s="55"/>
      <c r="R943" s="360"/>
      <c r="S943" s="55"/>
      <c r="T943" s="350"/>
      <c r="U943" s="55"/>
      <c r="V943" s="55"/>
      <c r="W943" s="55"/>
      <c r="X943" s="55"/>
      <c r="Y943" s="55"/>
      <c r="Z943" s="55"/>
      <c r="AA943" s="55"/>
    </row>
    <row r="944">
      <c r="A944" s="55"/>
      <c r="B944" s="55"/>
      <c r="C944" s="55"/>
      <c r="D944" s="55"/>
      <c r="E944" s="55"/>
      <c r="F944" s="365"/>
      <c r="G944" s="55"/>
      <c r="H944" s="55"/>
      <c r="I944" s="360"/>
      <c r="J944" s="55"/>
      <c r="K944" s="55"/>
      <c r="L944" s="360"/>
      <c r="M944" s="55"/>
      <c r="N944" s="55"/>
      <c r="O944" s="360"/>
      <c r="P944" s="55"/>
      <c r="Q944" s="55"/>
      <c r="R944" s="360"/>
      <c r="S944" s="55"/>
      <c r="T944" s="350"/>
      <c r="U944" s="55"/>
      <c r="V944" s="55"/>
      <c r="W944" s="55"/>
      <c r="X944" s="55"/>
      <c r="Y944" s="55"/>
      <c r="Z944" s="55"/>
      <c r="AA944" s="55"/>
    </row>
    <row r="945">
      <c r="A945" s="55"/>
      <c r="B945" s="55"/>
      <c r="C945" s="55"/>
      <c r="D945" s="55"/>
      <c r="E945" s="55"/>
      <c r="F945" s="365"/>
      <c r="G945" s="55"/>
      <c r="H945" s="55"/>
      <c r="I945" s="360"/>
      <c r="J945" s="55"/>
      <c r="K945" s="55"/>
      <c r="L945" s="360"/>
      <c r="M945" s="55"/>
      <c r="N945" s="55"/>
      <c r="O945" s="360"/>
      <c r="P945" s="55"/>
      <c r="Q945" s="55"/>
      <c r="R945" s="360"/>
      <c r="S945" s="55"/>
      <c r="T945" s="350"/>
      <c r="U945" s="55"/>
      <c r="V945" s="55"/>
      <c r="W945" s="55"/>
      <c r="X945" s="55"/>
      <c r="Y945" s="55"/>
      <c r="Z945" s="55"/>
      <c r="AA945" s="55"/>
    </row>
    <row r="946">
      <c r="A946" s="55"/>
      <c r="B946" s="55"/>
      <c r="C946" s="55"/>
      <c r="D946" s="55"/>
      <c r="E946" s="55"/>
      <c r="F946" s="365"/>
      <c r="G946" s="55"/>
      <c r="H946" s="55"/>
      <c r="I946" s="360"/>
      <c r="J946" s="55"/>
      <c r="K946" s="55"/>
      <c r="L946" s="360"/>
      <c r="M946" s="55"/>
      <c r="N946" s="55"/>
      <c r="O946" s="360"/>
      <c r="P946" s="55"/>
      <c r="Q946" s="55"/>
      <c r="R946" s="360"/>
      <c r="S946" s="55"/>
      <c r="T946" s="350"/>
      <c r="U946" s="55"/>
      <c r="V946" s="55"/>
      <c r="W946" s="55"/>
      <c r="X946" s="55"/>
      <c r="Y946" s="55"/>
      <c r="Z946" s="55"/>
      <c r="AA946" s="55"/>
    </row>
    <row r="947">
      <c r="A947" s="55"/>
      <c r="B947" s="55"/>
      <c r="C947" s="55"/>
      <c r="D947" s="55"/>
      <c r="E947" s="55"/>
      <c r="F947" s="365"/>
      <c r="G947" s="55"/>
      <c r="H947" s="55"/>
      <c r="I947" s="360"/>
      <c r="J947" s="55"/>
      <c r="K947" s="55"/>
      <c r="L947" s="360"/>
      <c r="M947" s="55"/>
      <c r="N947" s="55"/>
      <c r="O947" s="360"/>
      <c r="P947" s="55"/>
      <c r="Q947" s="55"/>
      <c r="R947" s="360"/>
      <c r="S947" s="55"/>
      <c r="T947" s="350"/>
      <c r="U947" s="55"/>
      <c r="V947" s="55"/>
      <c r="W947" s="55"/>
      <c r="X947" s="55"/>
      <c r="Y947" s="55"/>
      <c r="Z947" s="55"/>
      <c r="AA947" s="55"/>
    </row>
    <row r="948">
      <c r="A948" s="55"/>
      <c r="B948" s="55"/>
      <c r="C948" s="55"/>
      <c r="D948" s="55"/>
      <c r="E948" s="55"/>
      <c r="F948" s="365"/>
      <c r="G948" s="55"/>
      <c r="H948" s="55"/>
      <c r="I948" s="360"/>
      <c r="J948" s="55"/>
      <c r="K948" s="55"/>
      <c r="L948" s="360"/>
      <c r="M948" s="55"/>
      <c r="N948" s="55"/>
      <c r="O948" s="360"/>
      <c r="P948" s="55"/>
      <c r="Q948" s="55"/>
      <c r="R948" s="360"/>
      <c r="S948" s="55"/>
      <c r="T948" s="350"/>
      <c r="U948" s="55"/>
      <c r="V948" s="55"/>
      <c r="W948" s="55"/>
      <c r="X948" s="55"/>
      <c r="Y948" s="55"/>
      <c r="Z948" s="55"/>
      <c r="AA948" s="55"/>
    </row>
    <row r="949">
      <c r="A949" s="55"/>
      <c r="B949" s="55"/>
      <c r="C949" s="55"/>
      <c r="D949" s="55"/>
      <c r="E949" s="55"/>
      <c r="F949" s="365"/>
      <c r="G949" s="55"/>
      <c r="H949" s="55"/>
      <c r="I949" s="360"/>
      <c r="J949" s="55"/>
      <c r="K949" s="55"/>
      <c r="L949" s="360"/>
      <c r="M949" s="55"/>
      <c r="N949" s="55"/>
      <c r="O949" s="360"/>
      <c r="P949" s="55"/>
      <c r="Q949" s="55"/>
      <c r="R949" s="360"/>
      <c r="S949" s="55"/>
      <c r="T949" s="350"/>
      <c r="U949" s="55"/>
      <c r="V949" s="55"/>
      <c r="W949" s="55"/>
      <c r="X949" s="55"/>
      <c r="Y949" s="55"/>
      <c r="Z949" s="55"/>
      <c r="AA949" s="55"/>
    </row>
    <row r="950">
      <c r="A950" s="55"/>
      <c r="B950" s="55"/>
      <c r="C950" s="55"/>
      <c r="D950" s="55"/>
      <c r="E950" s="55"/>
      <c r="F950" s="365"/>
      <c r="G950" s="55"/>
      <c r="H950" s="55"/>
      <c r="I950" s="360"/>
      <c r="J950" s="55"/>
      <c r="K950" s="55"/>
      <c r="L950" s="360"/>
      <c r="M950" s="55"/>
      <c r="N950" s="55"/>
      <c r="O950" s="360"/>
      <c r="P950" s="55"/>
      <c r="Q950" s="55"/>
      <c r="R950" s="360"/>
      <c r="S950" s="55"/>
      <c r="T950" s="350"/>
      <c r="U950" s="55"/>
      <c r="V950" s="55"/>
      <c r="W950" s="55"/>
      <c r="X950" s="55"/>
      <c r="Y950" s="55"/>
      <c r="Z950" s="55"/>
      <c r="AA950" s="55"/>
    </row>
    <row r="951">
      <c r="A951" s="55"/>
      <c r="B951" s="55"/>
      <c r="C951" s="55"/>
      <c r="D951" s="55"/>
      <c r="E951" s="55"/>
      <c r="F951" s="365"/>
      <c r="G951" s="55"/>
      <c r="H951" s="55"/>
      <c r="I951" s="360"/>
      <c r="J951" s="55"/>
      <c r="K951" s="55"/>
      <c r="L951" s="360"/>
      <c r="M951" s="55"/>
      <c r="N951" s="55"/>
      <c r="O951" s="360"/>
      <c r="P951" s="55"/>
      <c r="Q951" s="55"/>
      <c r="R951" s="360"/>
      <c r="S951" s="55"/>
      <c r="T951" s="350"/>
      <c r="U951" s="55"/>
      <c r="V951" s="55"/>
      <c r="W951" s="55"/>
      <c r="X951" s="55"/>
      <c r="Y951" s="55"/>
      <c r="Z951" s="55"/>
      <c r="AA951" s="55"/>
    </row>
    <row r="952">
      <c r="A952" s="55"/>
      <c r="B952" s="55"/>
      <c r="C952" s="55"/>
      <c r="D952" s="55"/>
      <c r="E952" s="55"/>
      <c r="F952" s="365"/>
      <c r="G952" s="55"/>
      <c r="H952" s="55"/>
      <c r="I952" s="360"/>
      <c r="J952" s="55"/>
      <c r="K952" s="55"/>
      <c r="L952" s="360"/>
      <c r="M952" s="55"/>
      <c r="N952" s="55"/>
      <c r="O952" s="360"/>
      <c r="P952" s="55"/>
      <c r="Q952" s="55"/>
      <c r="R952" s="360"/>
      <c r="S952" s="55"/>
      <c r="T952" s="350"/>
      <c r="U952" s="55"/>
      <c r="V952" s="55"/>
      <c r="W952" s="55"/>
      <c r="X952" s="55"/>
      <c r="Y952" s="55"/>
      <c r="Z952" s="55"/>
      <c r="AA952" s="55"/>
    </row>
    <row r="953">
      <c r="A953" s="55"/>
      <c r="B953" s="55"/>
      <c r="C953" s="55"/>
      <c r="D953" s="55"/>
      <c r="E953" s="55"/>
      <c r="F953" s="365"/>
      <c r="G953" s="55"/>
      <c r="H953" s="55"/>
      <c r="I953" s="360"/>
      <c r="J953" s="55"/>
      <c r="K953" s="55"/>
      <c r="L953" s="360"/>
      <c r="M953" s="55"/>
      <c r="N953" s="55"/>
      <c r="O953" s="360"/>
      <c r="P953" s="55"/>
      <c r="Q953" s="55"/>
      <c r="R953" s="360"/>
      <c r="S953" s="55"/>
      <c r="T953" s="350"/>
      <c r="U953" s="55"/>
      <c r="V953" s="55"/>
      <c r="W953" s="55"/>
      <c r="X953" s="55"/>
      <c r="Y953" s="55"/>
      <c r="Z953" s="55"/>
      <c r="AA953" s="55"/>
    </row>
    <row r="954">
      <c r="A954" s="55"/>
      <c r="B954" s="55"/>
      <c r="C954" s="55"/>
      <c r="D954" s="55"/>
      <c r="E954" s="55"/>
      <c r="F954" s="365"/>
      <c r="G954" s="55"/>
      <c r="H954" s="55"/>
      <c r="I954" s="360"/>
      <c r="J954" s="55"/>
      <c r="K954" s="55"/>
      <c r="L954" s="360"/>
      <c r="M954" s="55"/>
      <c r="N954" s="55"/>
      <c r="O954" s="360"/>
      <c r="P954" s="55"/>
      <c r="Q954" s="55"/>
      <c r="R954" s="360"/>
      <c r="S954" s="55"/>
      <c r="T954" s="350"/>
      <c r="U954" s="55"/>
      <c r="V954" s="55"/>
      <c r="W954" s="55"/>
      <c r="X954" s="55"/>
      <c r="Y954" s="55"/>
      <c r="Z954" s="55"/>
      <c r="AA954" s="55"/>
    </row>
    <row r="955">
      <c r="A955" s="55"/>
      <c r="B955" s="55"/>
      <c r="C955" s="55"/>
      <c r="D955" s="55"/>
      <c r="E955" s="55"/>
      <c r="F955" s="365"/>
      <c r="G955" s="55"/>
      <c r="H955" s="55"/>
      <c r="I955" s="360"/>
      <c r="J955" s="55"/>
      <c r="K955" s="55"/>
      <c r="L955" s="360"/>
      <c r="M955" s="55"/>
      <c r="N955" s="55"/>
      <c r="O955" s="360"/>
      <c r="P955" s="55"/>
      <c r="Q955" s="55"/>
      <c r="R955" s="360"/>
      <c r="S955" s="55"/>
      <c r="T955" s="350"/>
      <c r="U955" s="55"/>
      <c r="V955" s="55"/>
      <c r="W955" s="55"/>
      <c r="X955" s="55"/>
      <c r="Y955" s="55"/>
      <c r="Z955" s="55"/>
      <c r="AA955" s="55"/>
    </row>
    <row r="956">
      <c r="A956" s="55"/>
      <c r="B956" s="55"/>
      <c r="C956" s="55"/>
      <c r="D956" s="55"/>
      <c r="E956" s="55"/>
      <c r="F956" s="365"/>
      <c r="G956" s="55"/>
      <c r="H956" s="55"/>
      <c r="I956" s="360"/>
      <c r="J956" s="55"/>
      <c r="K956" s="55"/>
      <c r="L956" s="360"/>
      <c r="M956" s="55"/>
      <c r="N956" s="55"/>
      <c r="O956" s="360"/>
      <c r="P956" s="55"/>
      <c r="Q956" s="55"/>
      <c r="R956" s="360"/>
      <c r="S956" s="55"/>
      <c r="T956" s="350"/>
      <c r="U956" s="55"/>
      <c r="V956" s="55"/>
      <c r="W956" s="55"/>
      <c r="X956" s="55"/>
      <c r="Y956" s="55"/>
      <c r="Z956" s="55"/>
      <c r="AA956" s="55"/>
    </row>
    <row r="957">
      <c r="A957" s="55"/>
      <c r="B957" s="55"/>
      <c r="C957" s="55"/>
      <c r="D957" s="55"/>
      <c r="E957" s="55"/>
      <c r="F957" s="365"/>
      <c r="G957" s="55"/>
      <c r="H957" s="55"/>
      <c r="I957" s="360"/>
      <c r="J957" s="55"/>
      <c r="K957" s="55"/>
      <c r="L957" s="360"/>
      <c r="M957" s="55"/>
      <c r="N957" s="55"/>
      <c r="O957" s="360"/>
      <c r="P957" s="55"/>
      <c r="Q957" s="55"/>
      <c r="R957" s="360"/>
      <c r="S957" s="55"/>
      <c r="T957" s="350"/>
      <c r="U957" s="55"/>
      <c r="V957" s="55"/>
      <c r="W957" s="55"/>
      <c r="X957" s="55"/>
      <c r="Y957" s="55"/>
      <c r="Z957" s="55"/>
      <c r="AA957" s="55"/>
    </row>
    <row r="958">
      <c r="A958" s="55"/>
      <c r="B958" s="55"/>
      <c r="C958" s="55"/>
      <c r="D958" s="55"/>
      <c r="E958" s="55"/>
      <c r="F958" s="365"/>
      <c r="G958" s="55"/>
      <c r="H958" s="55"/>
      <c r="I958" s="360"/>
      <c r="J958" s="55"/>
      <c r="K958" s="55"/>
      <c r="L958" s="360"/>
      <c r="M958" s="55"/>
      <c r="N958" s="55"/>
      <c r="O958" s="360"/>
      <c r="P958" s="55"/>
      <c r="Q958" s="55"/>
      <c r="R958" s="360"/>
      <c r="S958" s="55"/>
      <c r="T958" s="350"/>
      <c r="U958" s="55"/>
      <c r="V958" s="55"/>
      <c r="W958" s="55"/>
      <c r="X958" s="55"/>
      <c r="Y958" s="55"/>
      <c r="Z958" s="55"/>
      <c r="AA958" s="55"/>
    </row>
    <row r="959">
      <c r="A959" s="55"/>
      <c r="B959" s="55"/>
      <c r="C959" s="55"/>
      <c r="D959" s="55"/>
      <c r="E959" s="55"/>
      <c r="F959" s="365"/>
      <c r="G959" s="55"/>
      <c r="H959" s="55"/>
      <c r="I959" s="360"/>
      <c r="J959" s="55"/>
      <c r="K959" s="55"/>
      <c r="L959" s="360"/>
      <c r="M959" s="55"/>
      <c r="N959" s="55"/>
      <c r="O959" s="360"/>
      <c r="P959" s="55"/>
      <c r="Q959" s="55"/>
      <c r="R959" s="360"/>
      <c r="S959" s="55"/>
      <c r="T959" s="350"/>
      <c r="U959" s="55"/>
      <c r="V959" s="55"/>
      <c r="W959" s="55"/>
      <c r="X959" s="55"/>
      <c r="Y959" s="55"/>
      <c r="Z959" s="55"/>
      <c r="AA959" s="55"/>
    </row>
    <row r="960">
      <c r="A960" s="55"/>
      <c r="B960" s="55"/>
      <c r="C960" s="55"/>
      <c r="D960" s="55"/>
      <c r="E960" s="55"/>
      <c r="F960" s="365"/>
      <c r="G960" s="55"/>
      <c r="H960" s="55"/>
      <c r="I960" s="360"/>
      <c r="J960" s="55"/>
      <c r="K960" s="55"/>
      <c r="L960" s="360"/>
      <c r="M960" s="55"/>
      <c r="N960" s="55"/>
      <c r="O960" s="360"/>
      <c r="P960" s="55"/>
      <c r="Q960" s="55"/>
      <c r="R960" s="360"/>
      <c r="S960" s="55"/>
      <c r="T960" s="350"/>
      <c r="U960" s="55"/>
      <c r="V960" s="55"/>
      <c r="W960" s="55"/>
      <c r="X960" s="55"/>
      <c r="Y960" s="55"/>
      <c r="Z960" s="55"/>
      <c r="AA960" s="55"/>
    </row>
    <row r="961">
      <c r="A961" s="55"/>
      <c r="B961" s="55"/>
      <c r="C961" s="55"/>
      <c r="D961" s="55"/>
      <c r="E961" s="55"/>
      <c r="F961" s="365"/>
      <c r="G961" s="55"/>
      <c r="H961" s="55"/>
      <c r="I961" s="360"/>
      <c r="J961" s="55"/>
      <c r="K961" s="55"/>
      <c r="L961" s="360"/>
      <c r="M961" s="55"/>
      <c r="N961" s="55"/>
      <c r="O961" s="360"/>
      <c r="P961" s="55"/>
      <c r="Q961" s="55"/>
      <c r="R961" s="360"/>
      <c r="S961" s="55"/>
      <c r="T961" s="350"/>
      <c r="U961" s="55"/>
      <c r="V961" s="55"/>
      <c r="W961" s="55"/>
      <c r="X961" s="55"/>
      <c r="Y961" s="55"/>
      <c r="Z961" s="55"/>
      <c r="AA961" s="55"/>
    </row>
    <row r="962">
      <c r="A962" s="55"/>
      <c r="B962" s="55"/>
      <c r="C962" s="55"/>
      <c r="D962" s="55"/>
      <c r="E962" s="55"/>
      <c r="F962" s="365"/>
      <c r="G962" s="55"/>
      <c r="H962" s="55"/>
      <c r="I962" s="360"/>
      <c r="J962" s="55"/>
      <c r="K962" s="55"/>
      <c r="L962" s="360"/>
      <c r="M962" s="55"/>
      <c r="N962" s="55"/>
      <c r="O962" s="360"/>
      <c r="P962" s="55"/>
      <c r="Q962" s="55"/>
      <c r="R962" s="360"/>
      <c r="S962" s="55"/>
      <c r="T962" s="350"/>
      <c r="U962" s="55"/>
      <c r="V962" s="55"/>
      <c r="W962" s="55"/>
      <c r="X962" s="55"/>
      <c r="Y962" s="55"/>
      <c r="Z962" s="55"/>
      <c r="AA962" s="55"/>
    </row>
    <row r="963">
      <c r="A963" s="55"/>
      <c r="B963" s="55"/>
      <c r="C963" s="55"/>
      <c r="D963" s="55"/>
      <c r="E963" s="55"/>
      <c r="F963" s="365"/>
      <c r="G963" s="55"/>
      <c r="H963" s="55"/>
      <c r="I963" s="360"/>
      <c r="J963" s="55"/>
      <c r="K963" s="55"/>
      <c r="L963" s="360"/>
      <c r="M963" s="55"/>
      <c r="N963" s="55"/>
      <c r="O963" s="360"/>
      <c r="P963" s="55"/>
      <c r="Q963" s="55"/>
      <c r="R963" s="360"/>
      <c r="S963" s="55"/>
      <c r="T963" s="350"/>
      <c r="U963" s="55"/>
      <c r="V963" s="55"/>
      <c r="W963" s="55"/>
      <c r="X963" s="55"/>
      <c r="Y963" s="55"/>
      <c r="Z963" s="55"/>
      <c r="AA963" s="55"/>
    </row>
    <row r="964">
      <c r="A964" s="55"/>
      <c r="B964" s="55"/>
      <c r="C964" s="55"/>
      <c r="D964" s="55"/>
      <c r="E964" s="55"/>
      <c r="F964" s="365"/>
      <c r="G964" s="55"/>
      <c r="H964" s="55"/>
      <c r="I964" s="360"/>
      <c r="J964" s="55"/>
      <c r="K964" s="55"/>
      <c r="L964" s="360"/>
      <c r="M964" s="55"/>
      <c r="N964" s="55"/>
      <c r="O964" s="360"/>
      <c r="P964" s="55"/>
      <c r="Q964" s="55"/>
      <c r="R964" s="360"/>
      <c r="S964" s="55"/>
      <c r="T964" s="350"/>
      <c r="U964" s="55"/>
      <c r="V964" s="55"/>
      <c r="W964" s="55"/>
      <c r="X964" s="55"/>
      <c r="Y964" s="55"/>
      <c r="Z964" s="55"/>
      <c r="AA964" s="55"/>
    </row>
    <row r="965">
      <c r="A965" s="55"/>
      <c r="B965" s="55"/>
      <c r="C965" s="55"/>
      <c r="D965" s="55"/>
      <c r="E965" s="55"/>
      <c r="F965" s="365"/>
      <c r="G965" s="55"/>
      <c r="H965" s="55"/>
      <c r="I965" s="360"/>
      <c r="J965" s="55"/>
      <c r="K965" s="55"/>
      <c r="L965" s="360"/>
      <c r="M965" s="55"/>
      <c r="N965" s="55"/>
      <c r="O965" s="360"/>
      <c r="P965" s="55"/>
      <c r="Q965" s="55"/>
      <c r="R965" s="360"/>
      <c r="S965" s="55"/>
      <c r="T965" s="350"/>
      <c r="U965" s="55"/>
      <c r="V965" s="55"/>
      <c r="W965" s="55"/>
      <c r="X965" s="55"/>
      <c r="Y965" s="55"/>
      <c r="Z965" s="55"/>
      <c r="AA965" s="55"/>
    </row>
    <row r="966">
      <c r="A966" s="55"/>
      <c r="B966" s="55"/>
      <c r="C966" s="55"/>
      <c r="D966" s="55"/>
      <c r="E966" s="55"/>
      <c r="F966" s="365"/>
      <c r="G966" s="55"/>
      <c r="H966" s="55"/>
      <c r="I966" s="360"/>
      <c r="J966" s="55"/>
      <c r="K966" s="55"/>
      <c r="L966" s="360"/>
      <c r="M966" s="55"/>
      <c r="N966" s="55"/>
      <c r="O966" s="360"/>
      <c r="P966" s="55"/>
      <c r="Q966" s="55"/>
      <c r="R966" s="360"/>
      <c r="S966" s="55"/>
      <c r="T966" s="350"/>
      <c r="U966" s="55"/>
      <c r="V966" s="55"/>
      <c r="W966" s="55"/>
      <c r="X966" s="55"/>
      <c r="Y966" s="55"/>
      <c r="Z966" s="55"/>
      <c r="AA966" s="55"/>
    </row>
    <row r="967">
      <c r="A967" s="55"/>
      <c r="B967" s="55"/>
      <c r="C967" s="55"/>
      <c r="D967" s="55"/>
      <c r="E967" s="55"/>
      <c r="F967" s="365"/>
      <c r="G967" s="55"/>
      <c r="H967" s="55"/>
      <c r="I967" s="360"/>
      <c r="J967" s="55"/>
      <c r="K967" s="55"/>
      <c r="L967" s="360"/>
      <c r="M967" s="55"/>
      <c r="N967" s="55"/>
      <c r="O967" s="360"/>
      <c r="P967" s="55"/>
      <c r="Q967" s="55"/>
      <c r="R967" s="360"/>
      <c r="S967" s="55"/>
      <c r="T967" s="350"/>
      <c r="U967" s="55"/>
      <c r="V967" s="55"/>
      <c r="W967" s="55"/>
      <c r="X967" s="55"/>
      <c r="Y967" s="55"/>
      <c r="Z967" s="55"/>
      <c r="AA967" s="55"/>
    </row>
    <row r="968">
      <c r="A968" s="55"/>
      <c r="B968" s="55"/>
      <c r="C968" s="55"/>
      <c r="D968" s="55"/>
      <c r="E968" s="55"/>
      <c r="F968" s="365"/>
      <c r="G968" s="55"/>
      <c r="H968" s="55"/>
      <c r="I968" s="360"/>
      <c r="J968" s="55"/>
      <c r="K968" s="55"/>
      <c r="L968" s="360"/>
      <c r="M968" s="55"/>
      <c r="N968" s="55"/>
      <c r="O968" s="360"/>
      <c r="P968" s="55"/>
      <c r="Q968" s="55"/>
      <c r="R968" s="360"/>
      <c r="S968" s="55"/>
      <c r="T968" s="350"/>
      <c r="U968" s="55"/>
      <c r="V968" s="55"/>
      <c r="W968" s="55"/>
      <c r="X968" s="55"/>
      <c r="Y968" s="55"/>
      <c r="Z968" s="55"/>
      <c r="AA968" s="55"/>
    </row>
    <row r="969">
      <c r="A969" s="55"/>
      <c r="B969" s="55"/>
      <c r="C969" s="55"/>
      <c r="D969" s="55"/>
      <c r="E969" s="55"/>
      <c r="F969" s="365"/>
      <c r="G969" s="55"/>
      <c r="H969" s="55"/>
      <c r="I969" s="360"/>
      <c r="J969" s="55"/>
      <c r="K969" s="55"/>
      <c r="L969" s="360"/>
      <c r="M969" s="55"/>
      <c r="N969" s="55"/>
      <c r="O969" s="360"/>
      <c r="P969" s="55"/>
      <c r="Q969" s="55"/>
      <c r="R969" s="360"/>
      <c r="S969" s="55"/>
      <c r="T969" s="350"/>
      <c r="U969" s="55"/>
      <c r="V969" s="55"/>
      <c r="W969" s="55"/>
      <c r="X969" s="55"/>
      <c r="Y969" s="55"/>
      <c r="Z969" s="55"/>
      <c r="AA969" s="55"/>
    </row>
    <row r="970">
      <c r="A970" s="55"/>
      <c r="B970" s="55"/>
      <c r="C970" s="55"/>
      <c r="D970" s="55"/>
      <c r="E970" s="55"/>
      <c r="F970" s="365"/>
      <c r="G970" s="55"/>
      <c r="H970" s="55"/>
      <c r="I970" s="360"/>
      <c r="J970" s="55"/>
      <c r="K970" s="55"/>
      <c r="L970" s="360"/>
      <c r="M970" s="55"/>
      <c r="N970" s="55"/>
      <c r="O970" s="360"/>
      <c r="P970" s="55"/>
      <c r="Q970" s="55"/>
      <c r="R970" s="360"/>
      <c r="S970" s="55"/>
      <c r="T970" s="350"/>
      <c r="U970" s="55"/>
      <c r="V970" s="55"/>
      <c r="W970" s="55"/>
      <c r="X970" s="55"/>
      <c r="Y970" s="55"/>
      <c r="Z970" s="55"/>
      <c r="AA970" s="55"/>
    </row>
    <row r="971">
      <c r="A971" s="55"/>
      <c r="B971" s="55"/>
      <c r="C971" s="55"/>
      <c r="D971" s="55"/>
      <c r="E971" s="55"/>
      <c r="F971" s="365"/>
      <c r="G971" s="55"/>
      <c r="H971" s="55"/>
      <c r="I971" s="360"/>
      <c r="J971" s="55"/>
      <c r="K971" s="55"/>
      <c r="L971" s="360"/>
      <c r="M971" s="55"/>
      <c r="N971" s="55"/>
      <c r="O971" s="360"/>
      <c r="P971" s="55"/>
      <c r="Q971" s="55"/>
      <c r="R971" s="360"/>
      <c r="S971" s="55"/>
      <c r="T971" s="350"/>
      <c r="U971" s="55"/>
      <c r="V971" s="55"/>
      <c r="W971" s="55"/>
      <c r="X971" s="55"/>
      <c r="Y971" s="55"/>
      <c r="Z971" s="55"/>
      <c r="AA971" s="55"/>
    </row>
    <row r="972">
      <c r="A972" s="55"/>
      <c r="B972" s="55"/>
      <c r="C972" s="55"/>
      <c r="D972" s="55"/>
      <c r="E972" s="55"/>
      <c r="F972" s="365"/>
      <c r="G972" s="55"/>
      <c r="H972" s="55"/>
      <c r="I972" s="360"/>
      <c r="J972" s="55"/>
      <c r="K972" s="55"/>
      <c r="L972" s="360"/>
      <c r="M972" s="55"/>
      <c r="N972" s="55"/>
      <c r="O972" s="360"/>
      <c r="P972" s="55"/>
      <c r="Q972" s="55"/>
      <c r="R972" s="360"/>
      <c r="S972" s="55"/>
      <c r="T972" s="350"/>
      <c r="U972" s="55"/>
      <c r="V972" s="55"/>
      <c r="W972" s="55"/>
      <c r="X972" s="55"/>
      <c r="Y972" s="55"/>
      <c r="Z972" s="55"/>
      <c r="AA972" s="55"/>
    </row>
    <row r="973">
      <c r="A973" s="55"/>
      <c r="B973" s="55"/>
      <c r="C973" s="55"/>
      <c r="D973" s="55"/>
      <c r="E973" s="55"/>
      <c r="F973" s="365"/>
      <c r="G973" s="55"/>
      <c r="H973" s="55"/>
      <c r="I973" s="360"/>
      <c r="J973" s="55"/>
      <c r="K973" s="55"/>
      <c r="L973" s="360"/>
      <c r="M973" s="55"/>
      <c r="N973" s="55"/>
      <c r="O973" s="360"/>
      <c r="P973" s="55"/>
      <c r="Q973" s="55"/>
      <c r="R973" s="360"/>
      <c r="S973" s="55"/>
      <c r="T973" s="350"/>
      <c r="U973" s="55"/>
      <c r="V973" s="55"/>
      <c r="W973" s="55"/>
      <c r="X973" s="55"/>
      <c r="Y973" s="55"/>
      <c r="Z973" s="55"/>
      <c r="AA973" s="55"/>
    </row>
    <row r="974">
      <c r="A974" s="55"/>
      <c r="B974" s="55"/>
      <c r="C974" s="55"/>
      <c r="D974" s="55"/>
      <c r="E974" s="55"/>
      <c r="F974" s="365"/>
      <c r="G974" s="55"/>
      <c r="H974" s="55"/>
      <c r="I974" s="360"/>
      <c r="J974" s="55"/>
      <c r="K974" s="55"/>
      <c r="L974" s="360"/>
      <c r="M974" s="55"/>
      <c r="N974" s="55"/>
      <c r="O974" s="360"/>
      <c r="P974" s="55"/>
      <c r="Q974" s="55"/>
      <c r="R974" s="360"/>
      <c r="S974" s="55"/>
      <c r="T974" s="350"/>
      <c r="U974" s="55"/>
      <c r="V974" s="55"/>
      <c r="W974" s="55"/>
      <c r="X974" s="55"/>
      <c r="Y974" s="55"/>
      <c r="Z974" s="55"/>
      <c r="AA974" s="55"/>
    </row>
    <row r="975">
      <c r="A975" s="55"/>
      <c r="B975" s="55"/>
      <c r="C975" s="55"/>
      <c r="D975" s="55"/>
      <c r="E975" s="55"/>
      <c r="F975" s="365"/>
      <c r="G975" s="55"/>
      <c r="H975" s="55"/>
      <c r="I975" s="360"/>
      <c r="J975" s="55"/>
      <c r="K975" s="55"/>
      <c r="L975" s="360"/>
      <c r="M975" s="55"/>
      <c r="N975" s="55"/>
      <c r="O975" s="360"/>
      <c r="P975" s="55"/>
      <c r="Q975" s="55"/>
      <c r="R975" s="360"/>
      <c r="S975" s="55"/>
      <c r="T975" s="350"/>
      <c r="U975" s="55"/>
      <c r="V975" s="55"/>
      <c r="W975" s="55"/>
      <c r="X975" s="55"/>
      <c r="Y975" s="55"/>
      <c r="Z975" s="55"/>
      <c r="AA975" s="55"/>
    </row>
    <row r="976">
      <c r="A976" s="55"/>
      <c r="B976" s="55"/>
      <c r="C976" s="55"/>
      <c r="D976" s="55"/>
      <c r="E976" s="55"/>
      <c r="F976" s="365"/>
      <c r="G976" s="55"/>
      <c r="H976" s="55"/>
      <c r="I976" s="360"/>
      <c r="J976" s="55"/>
      <c r="K976" s="55"/>
      <c r="L976" s="360"/>
      <c r="M976" s="55"/>
      <c r="N976" s="55"/>
      <c r="O976" s="360"/>
      <c r="P976" s="55"/>
      <c r="Q976" s="55"/>
      <c r="R976" s="360"/>
      <c r="S976" s="55"/>
      <c r="T976" s="350"/>
      <c r="U976" s="55"/>
      <c r="V976" s="55"/>
      <c r="W976" s="55"/>
      <c r="X976" s="55"/>
      <c r="Y976" s="55"/>
      <c r="Z976" s="55"/>
      <c r="AA976" s="55"/>
    </row>
    <row r="977">
      <c r="A977" s="55"/>
      <c r="B977" s="55"/>
      <c r="C977" s="55"/>
      <c r="D977" s="55"/>
      <c r="E977" s="55"/>
      <c r="F977" s="365"/>
      <c r="G977" s="55"/>
      <c r="H977" s="55"/>
      <c r="I977" s="360"/>
      <c r="J977" s="55"/>
      <c r="K977" s="55"/>
      <c r="L977" s="360"/>
      <c r="M977" s="55"/>
      <c r="N977" s="55"/>
      <c r="O977" s="360"/>
      <c r="P977" s="55"/>
      <c r="Q977" s="55"/>
      <c r="R977" s="360"/>
      <c r="S977" s="55"/>
      <c r="T977" s="350"/>
      <c r="U977" s="55"/>
      <c r="V977" s="55"/>
      <c r="W977" s="55"/>
      <c r="X977" s="55"/>
      <c r="Y977" s="55"/>
      <c r="Z977" s="55"/>
      <c r="AA977" s="55"/>
    </row>
    <row r="978">
      <c r="A978" s="55"/>
      <c r="B978" s="55"/>
      <c r="C978" s="55"/>
      <c r="D978" s="55"/>
      <c r="E978" s="55"/>
      <c r="F978" s="365"/>
      <c r="G978" s="55"/>
      <c r="H978" s="55"/>
      <c r="I978" s="360"/>
      <c r="J978" s="55"/>
      <c r="K978" s="55"/>
      <c r="L978" s="360"/>
      <c r="M978" s="55"/>
      <c r="N978" s="55"/>
      <c r="O978" s="360"/>
      <c r="P978" s="55"/>
      <c r="Q978" s="55"/>
      <c r="R978" s="360"/>
      <c r="S978" s="55"/>
      <c r="T978" s="350"/>
      <c r="U978" s="55"/>
      <c r="V978" s="55"/>
      <c r="W978" s="55"/>
      <c r="X978" s="55"/>
      <c r="Y978" s="55"/>
      <c r="Z978" s="55"/>
      <c r="AA978" s="55"/>
    </row>
    <row r="979">
      <c r="A979" s="55"/>
      <c r="B979" s="55"/>
      <c r="C979" s="55"/>
      <c r="D979" s="55"/>
      <c r="E979" s="55"/>
      <c r="F979" s="365"/>
      <c r="G979" s="55"/>
      <c r="H979" s="55"/>
      <c r="I979" s="360"/>
      <c r="J979" s="55"/>
      <c r="K979" s="55"/>
      <c r="L979" s="360"/>
      <c r="M979" s="55"/>
      <c r="N979" s="55"/>
      <c r="O979" s="360"/>
      <c r="P979" s="55"/>
      <c r="Q979" s="55"/>
      <c r="R979" s="360"/>
      <c r="S979" s="55"/>
      <c r="T979" s="350"/>
      <c r="U979" s="55"/>
      <c r="V979" s="55"/>
      <c r="W979" s="55"/>
      <c r="X979" s="55"/>
      <c r="Y979" s="55"/>
      <c r="Z979" s="55"/>
      <c r="AA979" s="55"/>
    </row>
    <row r="980">
      <c r="A980" s="55"/>
      <c r="B980" s="55"/>
      <c r="C980" s="55"/>
      <c r="D980" s="55"/>
      <c r="E980" s="55"/>
      <c r="F980" s="365"/>
      <c r="G980" s="55"/>
      <c r="H980" s="55"/>
      <c r="I980" s="360"/>
      <c r="J980" s="55"/>
      <c r="K980" s="55"/>
      <c r="L980" s="360"/>
      <c r="M980" s="55"/>
      <c r="N980" s="55"/>
      <c r="O980" s="360"/>
      <c r="P980" s="55"/>
      <c r="Q980" s="55"/>
      <c r="R980" s="360"/>
      <c r="S980" s="55"/>
      <c r="T980" s="350"/>
      <c r="U980" s="55"/>
      <c r="V980" s="55"/>
      <c r="W980" s="55"/>
      <c r="X980" s="55"/>
      <c r="Y980" s="55"/>
      <c r="Z980" s="55"/>
      <c r="AA980" s="55"/>
    </row>
    <row r="981">
      <c r="A981" s="55"/>
      <c r="B981" s="55"/>
      <c r="C981" s="55"/>
      <c r="D981" s="55"/>
      <c r="E981" s="55"/>
      <c r="F981" s="365"/>
      <c r="G981" s="55"/>
      <c r="H981" s="55"/>
      <c r="I981" s="360"/>
      <c r="J981" s="55"/>
      <c r="K981" s="55"/>
      <c r="L981" s="360"/>
      <c r="M981" s="55"/>
      <c r="N981" s="55"/>
      <c r="O981" s="360"/>
      <c r="P981" s="55"/>
      <c r="Q981" s="55"/>
      <c r="R981" s="360"/>
      <c r="S981" s="55"/>
      <c r="T981" s="350"/>
      <c r="U981" s="55"/>
      <c r="V981" s="55"/>
      <c r="W981" s="55"/>
      <c r="X981" s="55"/>
      <c r="Y981" s="55"/>
      <c r="Z981" s="55"/>
      <c r="AA981" s="55"/>
    </row>
    <row r="982">
      <c r="A982" s="55"/>
      <c r="B982" s="55"/>
      <c r="C982" s="55"/>
      <c r="D982" s="55"/>
      <c r="E982" s="55"/>
      <c r="F982" s="365"/>
      <c r="G982" s="55"/>
      <c r="H982" s="55"/>
      <c r="I982" s="360"/>
      <c r="J982" s="55"/>
      <c r="K982" s="55"/>
      <c r="L982" s="360"/>
      <c r="M982" s="55"/>
      <c r="N982" s="55"/>
      <c r="O982" s="360"/>
      <c r="P982" s="55"/>
      <c r="Q982" s="55"/>
      <c r="R982" s="360"/>
      <c r="S982" s="55"/>
      <c r="T982" s="350"/>
      <c r="U982" s="55"/>
      <c r="V982" s="55"/>
      <c r="W982" s="55"/>
      <c r="X982" s="55"/>
      <c r="Y982" s="55"/>
      <c r="Z982" s="55"/>
      <c r="AA982" s="55"/>
    </row>
    <row r="983">
      <c r="A983" s="55"/>
      <c r="B983" s="55"/>
      <c r="C983" s="55"/>
      <c r="D983" s="55"/>
      <c r="E983" s="55"/>
      <c r="F983" s="365"/>
      <c r="G983" s="55"/>
      <c r="H983" s="55"/>
      <c r="I983" s="360"/>
      <c r="J983" s="55"/>
      <c r="K983" s="55"/>
      <c r="L983" s="360"/>
      <c r="M983" s="55"/>
      <c r="N983" s="55"/>
      <c r="O983" s="360"/>
      <c r="P983" s="55"/>
      <c r="Q983" s="55"/>
      <c r="R983" s="360"/>
      <c r="S983" s="55"/>
      <c r="T983" s="350"/>
      <c r="U983" s="55"/>
      <c r="V983" s="55"/>
      <c r="W983" s="55"/>
      <c r="X983" s="55"/>
      <c r="Y983" s="55"/>
      <c r="Z983" s="55"/>
      <c r="AA983" s="55"/>
    </row>
    <row r="984">
      <c r="A984" s="55"/>
      <c r="B984" s="55"/>
      <c r="C984" s="55"/>
      <c r="D984" s="55"/>
      <c r="E984" s="55"/>
      <c r="F984" s="365"/>
      <c r="G984" s="55"/>
      <c r="H984" s="55"/>
      <c r="I984" s="360"/>
      <c r="J984" s="55"/>
      <c r="K984" s="55"/>
      <c r="L984" s="360"/>
      <c r="M984" s="55"/>
      <c r="N984" s="55"/>
      <c r="O984" s="360"/>
      <c r="P984" s="55"/>
      <c r="Q984" s="55"/>
      <c r="R984" s="360"/>
      <c r="S984" s="55"/>
      <c r="T984" s="350"/>
      <c r="U984" s="55"/>
      <c r="V984" s="55"/>
      <c r="W984" s="55"/>
      <c r="X984" s="55"/>
      <c r="Y984" s="55"/>
      <c r="Z984" s="55"/>
      <c r="AA984" s="55"/>
    </row>
    <row r="985">
      <c r="A985" s="55"/>
      <c r="B985" s="55"/>
      <c r="C985" s="55"/>
      <c r="D985" s="55"/>
      <c r="E985" s="55"/>
      <c r="F985" s="365"/>
      <c r="G985" s="55"/>
      <c r="H985" s="55"/>
      <c r="I985" s="360"/>
      <c r="J985" s="55"/>
      <c r="K985" s="55"/>
      <c r="L985" s="360"/>
      <c r="M985" s="55"/>
      <c r="N985" s="55"/>
      <c r="O985" s="360"/>
      <c r="P985" s="55"/>
      <c r="Q985" s="55"/>
      <c r="R985" s="360"/>
      <c r="S985" s="55"/>
      <c r="T985" s="350"/>
      <c r="U985" s="55"/>
      <c r="V985" s="55"/>
      <c r="W985" s="55"/>
      <c r="X985" s="55"/>
      <c r="Y985" s="55"/>
      <c r="Z985" s="55"/>
      <c r="AA985" s="55"/>
    </row>
    <row r="986">
      <c r="A986" s="55"/>
      <c r="B986" s="55"/>
      <c r="C986" s="55"/>
      <c r="D986" s="55"/>
      <c r="E986" s="55"/>
      <c r="F986" s="365"/>
      <c r="G986" s="55"/>
      <c r="H986" s="55"/>
      <c r="I986" s="360"/>
      <c r="J986" s="55"/>
      <c r="K986" s="55"/>
      <c r="L986" s="360"/>
      <c r="M986" s="55"/>
      <c r="N986" s="55"/>
      <c r="O986" s="360"/>
      <c r="P986" s="55"/>
      <c r="Q986" s="55"/>
      <c r="R986" s="360"/>
      <c r="S986" s="55"/>
      <c r="T986" s="350"/>
      <c r="U986" s="55"/>
      <c r="V986" s="55"/>
      <c r="W986" s="55"/>
      <c r="X986" s="55"/>
      <c r="Y986" s="55"/>
      <c r="Z986" s="55"/>
      <c r="AA986" s="55"/>
    </row>
    <row r="987">
      <c r="A987" s="55"/>
      <c r="B987" s="55"/>
      <c r="C987" s="55"/>
      <c r="D987" s="55"/>
      <c r="E987" s="55"/>
      <c r="F987" s="365"/>
      <c r="G987" s="55"/>
      <c r="H987" s="55"/>
      <c r="I987" s="360"/>
      <c r="J987" s="55"/>
      <c r="K987" s="55"/>
      <c r="L987" s="360"/>
      <c r="M987" s="55"/>
      <c r="N987" s="55"/>
      <c r="O987" s="360"/>
      <c r="P987" s="55"/>
      <c r="Q987" s="55"/>
      <c r="R987" s="360"/>
      <c r="S987" s="55"/>
      <c r="T987" s="350"/>
      <c r="U987" s="55"/>
      <c r="V987" s="55"/>
      <c r="W987" s="55"/>
      <c r="X987" s="55"/>
      <c r="Y987" s="55"/>
      <c r="Z987" s="55"/>
      <c r="AA987" s="55"/>
    </row>
    <row r="988">
      <c r="A988" s="55"/>
      <c r="B988" s="55"/>
      <c r="C988" s="55"/>
      <c r="D988" s="55"/>
      <c r="E988" s="55"/>
      <c r="F988" s="365"/>
      <c r="G988" s="55"/>
      <c r="H988" s="55"/>
      <c r="I988" s="360"/>
      <c r="J988" s="55"/>
      <c r="K988" s="55"/>
      <c r="L988" s="360"/>
      <c r="M988" s="55"/>
      <c r="N988" s="55"/>
      <c r="O988" s="360"/>
      <c r="P988" s="55"/>
      <c r="Q988" s="55"/>
      <c r="R988" s="360"/>
      <c r="S988" s="55"/>
      <c r="T988" s="350"/>
      <c r="U988" s="55"/>
      <c r="V988" s="55"/>
      <c r="W988" s="55"/>
      <c r="X988" s="55"/>
      <c r="Y988" s="55"/>
      <c r="Z988" s="55"/>
      <c r="AA988" s="55"/>
    </row>
    <row r="989">
      <c r="A989" s="55"/>
      <c r="B989" s="55"/>
      <c r="C989" s="55"/>
      <c r="D989" s="55"/>
      <c r="E989" s="55"/>
      <c r="F989" s="365"/>
      <c r="G989" s="55"/>
      <c r="H989" s="55"/>
      <c r="I989" s="360"/>
      <c r="J989" s="55"/>
      <c r="K989" s="55"/>
      <c r="L989" s="360"/>
      <c r="M989" s="55"/>
      <c r="N989" s="55"/>
      <c r="O989" s="360"/>
      <c r="P989" s="55"/>
      <c r="Q989" s="55"/>
      <c r="R989" s="360"/>
      <c r="S989" s="55"/>
      <c r="T989" s="350"/>
      <c r="U989" s="55"/>
      <c r="V989" s="55"/>
      <c r="W989" s="55"/>
      <c r="X989" s="55"/>
      <c r="Y989" s="55"/>
      <c r="Z989" s="55"/>
      <c r="AA989" s="55"/>
    </row>
    <row r="990">
      <c r="A990" s="55"/>
      <c r="B990" s="55"/>
      <c r="C990" s="55"/>
      <c r="D990" s="55"/>
      <c r="E990" s="55"/>
      <c r="F990" s="365"/>
      <c r="G990" s="55"/>
      <c r="H990" s="55"/>
      <c r="I990" s="360"/>
      <c r="J990" s="55"/>
      <c r="K990" s="55"/>
      <c r="L990" s="360"/>
      <c r="M990" s="55"/>
      <c r="N990" s="55"/>
      <c r="O990" s="360"/>
      <c r="P990" s="55"/>
      <c r="Q990" s="55"/>
      <c r="R990" s="360"/>
      <c r="S990" s="55"/>
      <c r="T990" s="350"/>
      <c r="U990" s="55"/>
      <c r="V990" s="55"/>
      <c r="W990" s="55"/>
      <c r="X990" s="55"/>
      <c r="Y990" s="55"/>
      <c r="Z990" s="55"/>
      <c r="AA990" s="55"/>
    </row>
    <row r="991">
      <c r="A991" s="55"/>
      <c r="B991" s="55"/>
      <c r="C991" s="55"/>
      <c r="D991" s="55"/>
      <c r="E991" s="55"/>
      <c r="F991" s="365"/>
      <c r="G991" s="55"/>
      <c r="H991" s="55"/>
      <c r="I991" s="360"/>
      <c r="J991" s="55"/>
      <c r="K991" s="55"/>
      <c r="L991" s="360"/>
      <c r="M991" s="55"/>
      <c r="N991" s="55"/>
      <c r="O991" s="360"/>
      <c r="P991" s="55"/>
      <c r="Q991" s="55"/>
      <c r="R991" s="360"/>
      <c r="S991" s="55"/>
      <c r="T991" s="350"/>
      <c r="U991" s="55"/>
      <c r="V991" s="55"/>
      <c r="W991" s="55"/>
      <c r="X991" s="55"/>
      <c r="Y991" s="55"/>
      <c r="Z991" s="55"/>
      <c r="AA991" s="55"/>
    </row>
    <row r="992">
      <c r="A992" s="55"/>
      <c r="B992" s="55"/>
      <c r="C992" s="55"/>
      <c r="D992" s="55"/>
      <c r="E992" s="55"/>
      <c r="F992" s="365"/>
      <c r="G992" s="55"/>
      <c r="H992" s="55"/>
      <c r="I992" s="360"/>
      <c r="J992" s="55"/>
      <c r="K992" s="55"/>
      <c r="L992" s="360"/>
      <c r="M992" s="55"/>
      <c r="N992" s="55"/>
      <c r="O992" s="360"/>
      <c r="P992" s="55"/>
      <c r="Q992" s="55"/>
      <c r="R992" s="360"/>
      <c r="S992" s="55"/>
      <c r="T992" s="350"/>
      <c r="U992" s="55"/>
      <c r="V992" s="55"/>
      <c r="W992" s="55"/>
      <c r="X992" s="55"/>
      <c r="Y992" s="55"/>
      <c r="Z992" s="55"/>
      <c r="AA992" s="55"/>
    </row>
    <row r="993">
      <c r="A993" s="55"/>
      <c r="B993" s="55"/>
      <c r="C993" s="55"/>
      <c r="D993" s="55"/>
      <c r="E993" s="55"/>
      <c r="F993" s="365"/>
      <c r="G993" s="55"/>
      <c r="H993" s="55"/>
      <c r="I993" s="360"/>
      <c r="J993" s="55"/>
      <c r="K993" s="55"/>
      <c r="L993" s="360"/>
      <c r="M993" s="55"/>
      <c r="N993" s="55"/>
      <c r="O993" s="360"/>
      <c r="P993" s="55"/>
      <c r="Q993" s="55"/>
      <c r="R993" s="360"/>
      <c r="S993" s="55"/>
      <c r="T993" s="350"/>
      <c r="U993" s="55"/>
      <c r="V993" s="55"/>
      <c r="W993" s="55"/>
      <c r="X993" s="55"/>
      <c r="Y993" s="55"/>
      <c r="Z993" s="55"/>
      <c r="AA993" s="55"/>
    </row>
    <row r="994">
      <c r="A994" s="55"/>
      <c r="B994" s="55"/>
      <c r="C994" s="55"/>
      <c r="D994" s="55"/>
      <c r="E994" s="55"/>
      <c r="F994" s="365"/>
      <c r="G994" s="55"/>
      <c r="H994" s="55"/>
      <c r="I994" s="360"/>
      <c r="J994" s="55"/>
      <c r="K994" s="55"/>
      <c r="L994" s="360"/>
      <c r="M994" s="55"/>
      <c r="N994" s="55"/>
      <c r="O994" s="360"/>
      <c r="P994" s="55"/>
      <c r="Q994" s="55"/>
      <c r="R994" s="360"/>
      <c r="S994" s="55"/>
      <c r="T994" s="350"/>
      <c r="U994" s="55"/>
      <c r="V994" s="55"/>
      <c r="W994" s="55"/>
      <c r="X994" s="55"/>
      <c r="Y994" s="55"/>
      <c r="Z994" s="55"/>
      <c r="AA994" s="55"/>
    </row>
    <row r="995">
      <c r="A995" s="55"/>
      <c r="B995" s="55"/>
      <c r="C995" s="55"/>
      <c r="D995" s="55"/>
      <c r="E995" s="55"/>
      <c r="F995" s="365"/>
      <c r="G995" s="55"/>
      <c r="H995" s="55"/>
      <c r="I995" s="360"/>
      <c r="J995" s="55"/>
      <c r="K995" s="55"/>
      <c r="L995" s="360"/>
      <c r="M995" s="55"/>
      <c r="N995" s="55"/>
      <c r="O995" s="360"/>
      <c r="P995" s="55"/>
      <c r="Q995" s="55"/>
      <c r="R995" s="360"/>
      <c r="S995" s="55"/>
      <c r="T995" s="350"/>
      <c r="U995" s="55"/>
      <c r="V995" s="55"/>
      <c r="W995" s="55"/>
      <c r="X995" s="55"/>
      <c r="Y995" s="55"/>
      <c r="Z995" s="55"/>
      <c r="AA995" s="55"/>
    </row>
    <row r="996">
      <c r="A996" s="55"/>
      <c r="B996" s="55"/>
      <c r="C996" s="55"/>
      <c r="D996" s="55"/>
      <c r="E996" s="55"/>
      <c r="F996" s="365"/>
      <c r="G996" s="55"/>
      <c r="H996" s="55"/>
      <c r="I996" s="360"/>
      <c r="J996" s="55"/>
      <c r="K996" s="55"/>
      <c r="L996" s="360"/>
      <c r="M996" s="55"/>
      <c r="N996" s="55"/>
      <c r="O996" s="360"/>
      <c r="P996" s="55"/>
      <c r="Q996" s="55"/>
      <c r="R996" s="360"/>
      <c r="S996" s="55"/>
      <c r="T996" s="350"/>
      <c r="U996" s="55"/>
      <c r="V996" s="55"/>
      <c r="W996" s="55"/>
      <c r="X996" s="55"/>
      <c r="Y996" s="55"/>
      <c r="Z996" s="55"/>
      <c r="AA996" s="55"/>
    </row>
    <row r="997">
      <c r="A997" s="55"/>
      <c r="B997" s="55"/>
      <c r="C997" s="55"/>
      <c r="D997" s="55"/>
      <c r="E997" s="55"/>
      <c r="F997" s="365"/>
      <c r="G997" s="55"/>
      <c r="H997" s="55"/>
      <c r="I997" s="360"/>
      <c r="J997" s="55"/>
      <c r="K997" s="55"/>
      <c r="L997" s="360"/>
      <c r="M997" s="55"/>
      <c r="N997" s="55"/>
      <c r="O997" s="360"/>
      <c r="P997" s="55"/>
      <c r="Q997" s="55"/>
      <c r="R997" s="360"/>
      <c r="S997" s="55"/>
      <c r="T997" s="350"/>
      <c r="U997" s="55"/>
      <c r="V997" s="55"/>
      <c r="W997" s="55"/>
      <c r="X997" s="55"/>
      <c r="Y997" s="55"/>
      <c r="Z997" s="55"/>
      <c r="AA997" s="55"/>
    </row>
    <row r="998">
      <c r="A998" s="55"/>
      <c r="B998" s="55"/>
      <c r="C998" s="55"/>
      <c r="D998" s="55"/>
      <c r="E998" s="55"/>
      <c r="F998" s="365"/>
      <c r="G998" s="55"/>
      <c r="H998" s="55"/>
      <c r="I998" s="360"/>
      <c r="J998" s="55"/>
      <c r="K998" s="55"/>
      <c r="L998" s="360"/>
      <c r="M998" s="55"/>
      <c r="N998" s="55"/>
      <c r="O998" s="360"/>
      <c r="P998" s="55"/>
      <c r="Q998" s="55"/>
      <c r="R998" s="360"/>
      <c r="S998" s="55"/>
      <c r="T998" s="350"/>
      <c r="U998" s="55"/>
      <c r="V998" s="55"/>
      <c r="W998" s="55"/>
      <c r="X998" s="55"/>
      <c r="Y998" s="55"/>
      <c r="Z998" s="55"/>
      <c r="AA998" s="55"/>
    </row>
    <row r="999">
      <c r="A999" s="55"/>
      <c r="B999" s="55"/>
      <c r="C999" s="55"/>
      <c r="D999" s="55"/>
      <c r="E999" s="55"/>
      <c r="F999" s="365"/>
      <c r="G999" s="55"/>
      <c r="H999" s="55"/>
      <c r="I999" s="360"/>
      <c r="J999" s="55"/>
      <c r="K999" s="55"/>
      <c r="L999" s="360"/>
      <c r="M999" s="55"/>
      <c r="N999" s="55"/>
      <c r="O999" s="360"/>
      <c r="P999" s="55"/>
      <c r="Q999" s="55"/>
      <c r="R999" s="360"/>
      <c r="S999" s="55"/>
      <c r="T999" s="350"/>
      <c r="U999" s="55"/>
      <c r="V999" s="55"/>
      <c r="W999" s="55"/>
      <c r="X999" s="55"/>
      <c r="Y999" s="55"/>
      <c r="Z999" s="55"/>
      <c r="AA999" s="55"/>
    </row>
    <row r="1000">
      <c r="A1000" s="55"/>
      <c r="B1000" s="55"/>
      <c r="C1000" s="55"/>
      <c r="D1000" s="55"/>
      <c r="E1000" s="55"/>
      <c r="F1000" s="365"/>
      <c r="G1000" s="55"/>
      <c r="H1000" s="55"/>
      <c r="I1000" s="360"/>
      <c r="J1000" s="55"/>
      <c r="K1000" s="55"/>
      <c r="L1000" s="360"/>
      <c r="M1000" s="55"/>
      <c r="N1000" s="55"/>
      <c r="O1000" s="360"/>
      <c r="P1000" s="55"/>
      <c r="Q1000" s="55"/>
      <c r="R1000" s="360"/>
      <c r="S1000" s="55"/>
      <c r="T1000" s="350"/>
      <c r="U1000" s="55"/>
      <c r="V1000" s="55"/>
      <c r="W1000" s="55"/>
      <c r="X1000" s="55"/>
      <c r="Y1000" s="55"/>
      <c r="Z1000" s="55"/>
      <c r="AA1000" s="55"/>
    </row>
    <row r="1001">
      <c r="A1001" s="55"/>
      <c r="B1001" s="55"/>
      <c r="C1001" s="55"/>
      <c r="D1001" s="55"/>
      <c r="E1001" s="55"/>
      <c r="F1001" s="365"/>
      <c r="G1001" s="55"/>
      <c r="H1001" s="55"/>
      <c r="I1001" s="360"/>
      <c r="J1001" s="55"/>
      <c r="K1001" s="55"/>
      <c r="L1001" s="360"/>
      <c r="M1001" s="55"/>
      <c r="N1001" s="55"/>
      <c r="O1001" s="360"/>
      <c r="P1001" s="55"/>
      <c r="Q1001" s="55"/>
      <c r="R1001" s="360"/>
      <c r="S1001" s="55"/>
      <c r="T1001" s="350"/>
      <c r="U1001" s="55"/>
      <c r="V1001" s="55"/>
      <c r="W1001" s="55"/>
      <c r="X1001" s="55"/>
      <c r="Y1001" s="55"/>
      <c r="Z1001" s="55"/>
      <c r="AA1001" s="55"/>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5" max="5" width="16.63"/>
    <col customWidth="1" min="6" max="6" width="14.38"/>
    <col customWidth="1" min="7" max="7" width="22.63"/>
    <col customWidth="1" min="8" max="8" width="14.38"/>
    <col customWidth="1" min="9" max="9" width="17.38"/>
  </cols>
  <sheetData>
    <row r="1">
      <c r="A1" s="383" t="s">
        <v>53</v>
      </c>
      <c r="B1" s="383" t="s">
        <v>54</v>
      </c>
      <c r="C1" s="383" t="s">
        <v>55</v>
      </c>
      <c r="D1" s="384" t="s">
        <v>6208</v>
      </c>
      <c r="E1" s="384" t="s">
        <v>6209</v>
      </c>
      <c r="F1" s="384" t="s">
        <v>6210</v>
      </c>
      <c r="G1" s="384" t="s">
        <v>6211</v>
      </c>
      <c r="H1" s="384" t="s">
        <v>6212</v>
      </c>
      <c r="I1" s="384" t="s">
        <v>6213</v>
      </c>
      <c r="J1" s="384" t="s">
        <v>6214</v>
      </c>
      <c r="M1" s="385" t="s">
        <v>6215</v>
      </c>
    </row>
    <row r="2">
      <c r="A2" s="68" t="b">
        <v>1</v>
      </c>
      <c r="B2" s="386" t="s">
        <v>67</v>
      </c>
      <c r="C2" s="386" t="str">
        <f t="array" ref="C2">TEXTJOIN("", TRUE, IFERROR(INDEX('language&amp;DataTest'!A:J, MATCH(INDEX( PointerTest!C:C, MATCH(B2, PointerTest!A:A, 0), 0), 'language&amp;DataTest'!A:A, 0), MATCH(HOME!$A$25, 'language&amp;DataTest'!$A$1:$G$1, 0))),                      IFERROR(INDEX('language&amp;DataTest'!A:J, MATCH(INDEX( PointerTest!D:D, MATCH(B2, PointerTest!A:A, 0), 0), 'language&amp;DataTest'!A:A, 0), MATCH(HOME!$A$25, 'language&amp;DataTest'!$A$1:$G$1, 0))),                                          
IFERROR(INDEX('language&amp;DataTest'!A:J, MATCH(INDEX( PointerTest!E:E, MATCH(B2, PointerTest!A:A, 0), 0), 'language&amp;DataTest'!A:A, 0), MATCH(HOME!$A$25, 'language&amp;DataTest'!$A$1:$G$1, 0))))</f>
        <v>Bulbasaur</v>
      </c>
      <c r="D2" s="124" t="str">
        <f>SUBSTITUTE(C2:C1000, " ex", "TEST")</f>
        <v>Bulbasaur</v>
      </c>
      <c r="E2" s="124" t="b">
        <f>IFERROR(__xludf.DUMMYFUNCTION("REGEXMATCH(SUBSTITUTE(SUBSTITUTE(SUBSTITUTE(C2:C1000, ""♂"", ""male""), ""♀"", ""female""), "" ex"", """"), TEXTJOIN(""\b|"", TRUE,SPLIT($M$2, "" "")) &amp; ""\b"")"),TRUE)</f>
        <v>1</v>
      </c>
      <c r="F2" s="341">
        <f>IFERROR(__xludf.DUMMYFUNCTION("COUNTA(UNIQUE(FILTER(SUBSTITUTE(SUBSTITUTE(SUBSTITUTE(C2:C1000, ""♂"", ""male""), ""♀"", ""female""), "" ex"", """"), REGEXMATCH(SUBSTITUTE(SUBSTITUTE(SUBSTITUTE(C2:C1000, ""♂"", ""male""), ""♀"", ""female""), "" ex"", """"), TEXTJOIN(""\b|"", TRUE,SPLIT("&amp;"$M$2, "" "")) &amp; ""\b""))))"),150.0)</f>
        <v>150</v>
      </c>
      <c r="G2" s="124" t="str">
        <f>IFERROR(__xludf.DUMMYFUNCTION("FILTER(SUBSTITUTE(C2:C1000, "" ex"", """"), REGEXMATCH(SUBSTITUTE(C2:C1000, "" ex"", """"), TEXTJOIN(""\b|"", TRUE,SPLIT($M$2, "" "")) &amp; ""\b""), A2:A1000 = TRUE)"),"Bulbasaur")</f>
        <v>Bulbasaur</v>
      </c>
      <c r="H2" s="341">
        <f>IFERROR(__xludf.DUMMYFUNCTION("COUNTA(FILTER(SUBSTITUTE(C2:C1000, "" ex"", """"), REGEXMATCH(SUBSTITUTE(C2:C1000, "" ex"", """"), TEXTJOIN(""\b|"", TRUE,SPLIT($M$2, "" "")) &amp; ""\b""), A2:A1000 = TRUE))"),177.0)</f>
        <v>177</v>
      </c>
      <c r="I2" s="341" t="str">
        <f>IFERROR(__xludf.DUMMYFUNCTION("UNIQUE(FILTER(SUBSTITUTE(C2:C1000, "" ex"", """"), REGEXMATCH(SUBSTITUTE(C2:C1000, "" ex"", """"), TEXTJOIN(""\b|"", TRUE,SPLIT($M$2, "" "")) &amp; ""\b""), A2:A1000 = TRUE))"),"Bulbasaur")</f>
        <v>Bulbasaur</v>
      </c>
      <c r="J2" s="341">
        <f>IFERROR(__xludf.DUMMYFUNCTION("COUNTA(UNIQUE(FILTER(SUBSTITUTE(SUBSTITUTE(SUBSTITUTE(C2:C1000, ""♂"", ""male""), ""♀"", ""female""), "" ex"", """"), REGEXMATCH(SUBSTITUTE(SUBSTITUTE(SUBSTITUTE(C2:C1000, ""♂"", ""male""), ""♀"", ""female""), "" ex"", """"), TEXTJOIN(""\b|"", TRUE,SPLIT("&amp;"$M$2, "" "")) &amp; ""\b""), A2:A1000 = TRUE)))"),149.0)</f>
        <v>149</v>
      </c>
      <c r="M2" s="387" t="str">
        <f>SUBSTITUTE(SUBSTITUTE(TEXTJOIN(" ", TRUE, C2:C4, C6:C23, C25:C27, C34:C36, C38:C41, C43:C47, C54:C56, C58:C76, C78:C84, C95:C96, C98:C104, C114:C123, C125:C129, C138:C146, C148:C153, C155:C160, C165:C178, C184:C195, C197:C207, C210:C212), "♂", "male"), "♀", "female")</f>
        <v>Bulbasaur Ivysaur Venusaur Caterpie Metapod Butterfree Weedle Kakuna Beedrill Oddish Gloom Vileplume Paras Parasect Venonat Venomoth Bellsprout Weepinbell Victreebel Exeggcute Exeggutor Tangela Scyther Pinsir Charmander Charmeleon Charizard Vulpix Ninetales Growlithe Arcanine Ponyta Rapidash Magmar Flareon Moltres Squirtle Wartortle Blastoise Psyduck Golduck Poliwag Poliwhirl Poliwrath Tentacool Tentacruel Seel Dewgong Shellder Cloyster Krabby Kingler Horsea Seadra Goldeen Seaking Staryu Starmie Magikarp Gyarados Lapras Vaporeon Omanyte Omastar Articuno Pikachu Raichu Magnemite Magneton Voltorb Electrode Electabuzz Jolteon Zapdos Clefairy Clefable Abra Kadabra Alakazam Slowpoke Slowbro Gastly Haunter Gengar Drowzee Hypno Mr. Mime Jynx Mewtwo Sandshrew Sandslash Diglett Dugtrio Mankey Primeape Machop Machoke Machamp Geodude Graveler Golem Onix Cubone Marowak Hitmonlee Hitmonchan Rhyhorn Rhydon Kabuto Kabutops Ekans Arbok Nidoranfemale Nidorina Nidoqueen Nidoranmale Nidorino Nidoking Zubat Golbat Grimer Muk Koffing Weezing Dratini Dragonair Dragonite Pidgey Pidgeotto Pidgeot Rattata Raticate Spearow Fearow Jigglypuff Wigglytuff Meowth Persian Farfetch'd Doduo Dodrio Lickitung Chansey Kangaskhan Tauros Ditto Eevee Porygon Aerodactyl Snorlax</v>
      </c>
      <c r="N2" s="127"/>
      <c r="O2" s="127"/>
      <c r="P2" s="127"/>
      <c r="Q2" s="127"/>
      <c r="R2" s="127"/>
      <c r="S2" s="388"/>
    </row>
    <row r="3">
      <c r="A3" s="68" t="b">
        <v>1</v>
      </c>
      <c r="B3" s="386" t="s">
        <v>70</v>
      </c>
      <c r="C3" s="386" t="str">
        <f t="array" ref="C3">TEXTJOIN("", TRUE, IFERROR(INDEX('language&amp;DataTest'!A:J, MATCH(INDEX( PointerTest!C:C, MATCH(B3, PointerTest!A:A, 0), 0), 'language&amp;DataTest'!A:A, 0), MATCH(HOME!$A$25, 'language&amp;DataTest'!$A$1:$G$1, 0))),                      IFERROR(INDEX('language&amp;DataTest'!A:J, MATCH(INDEX( PointerTest!D:D, MATCH(B3, PointerTest!A:A, 0), 0), 'language&amp;DataTest'!A:A, 0), MATCH(HOME!$A$25, 'language&amp;DataTest'!$A$1:$G$1, 0))),                                          
IFERROR(INDEX('language&amp;DataTest'!A:J, MATCH(INDEX( PointerTest!E:E, MATCH(B3, PointerTest!A:A, 0), 0), 'language&amp;DataTest'!A:A, 0), MATCH(HOME!$A$25, 'language&amp;DataTest'!$A$1:$G$1, 0))))</f>
        <v>Ivysaur</v>
      </c>
      <c r="D3" s="124" t="str">
        <f t="shared" ref="D3:D287" si="1">SUBSTITUTE(C3:C1000, " ex", "")</f>
        <v>Ivysaur</v>
      </c>
      <c r="E3" s="124" t="b">
        <f>IFERROR(__xludf.DUMMYFUNCTION("REGEXMATCH(SUBSTITUTE(SUBSTITUTE(SUBSTITUTE(C3:C1000, ""♂"", ""male""), ""♀"", ""female""), "" ex"", """"), TEXTJOIN(""\b|"", TRUE,SPLIT($M$2, "" "")) &amp; ""\b"")"),TRUE)</f>
        <v>1</v>
      </c>
      <c r="G3" s="341" t="str">
        <f>IFERROR(__xludf.DUMMYFUNCTION("""COMPUTED_VALUE"""),"Ivysaur")</f>
        <v>Ivysaur</v>
      </c>
      <c r="I3" s="341" t="str">
        <f>IFERROR(__xludf.DUMMYFUNCTION("""COMPUTED_VALUE"""),"Ivysaur")</f>
        <v>Ivysaur</v>
      </c>
      <c r="M3" s="297"/>
      <c r="S3" s="389"/>
    </row>
    <row r="4">
      <c r="A4" s="68" t="b">
        <v>1</v>
      </c>
      <c r="B4" s="386" t="s">
        <v>72</v>
      </c>
      <c r="C4" s="386" t="str">
        <f t="array" ref="C4">TEXTJOIN("", TRUE, IFERROR(INDEX('language&amp;DataTest'!A:J, MATCH(INDEX( PointerTest!C:C, MATCH(B4, PointerTest!A:A, 0), 0), 'language&amp;DataTest'!A:A, 0), MATCH(HOME!$A$25, 'language&amp;DataTest'!$A$1:$G$1, 0))),                      IFERROR(INDEX('language&amp;DataTest'!A:J, MATCH(INDEX( PointerTest!D:D, MATCH(B4, PointerTest!A:A, 0), 0), 'language&amp;DataTest'!A:A, 0), MATCH(HOME!$A$25, 'language&amp;DataTest'!$A$1:$G$1, 0))),                                          
IFERROR(INDEX('language&amp;DataTest'!A:J, MATCH(INDEX( PointerTest!E:E, MATCH(B4, PointerTest!A:A, 0), 0), 'language&amp;DataTest'!A:A, 0), MATCH(HOME!$A$25, 'language&amp;DataTest'!$A$1:$G$1, 0))))</f>
        <v>Venusaur</v>
      </c>
      <c r="D4" s="124" t="str">
        <f t="shared" si="1"/>
        <v>Venusaur</v>
      </c>
      <c r="E4" s="124" t="b">
        <f>IFERROR(__xludf.DUMMYFUNCTION("REGEXMATCH(SUBSTITUTE(SUBSTITUTE(SUBSTITUTE(C4:C1000, ""♂"", ""male""), ""♀"", ""female""), "" ex"", """"), TEXTJOIN(""\b|"", TRUE,SPLIT($M$2, "" "")) &amp; ""\b"")"),TRUE)</f>
        <v>1</v>
      </c>
      <c r="G4" s="341" t="str">
        <f>IFERROR(__xludf.DUMMYFUNCTION("""COMPUTED_VALUE"""),"Venusaur")</f>
        <v>Venusaur</v>
      </c>
      <c r="I4" s="341" t="str">
        <f>IFERROR(__xludf.DUMMYFUNCTION("""COMPUTED_VALUE"""),"Venusaur")</f>
        <v>Venusaur</v>
      </c>
      <c r="M4" s="297"/>
      <c r="S4" s="389"/>
    </row>
    <row r="5">
      <c r="A5" s="68" t="b">
        <v>1</v>
      </c>
      <c r="B5" s="386" t="s">
        <v>74</v>
      </c>
      <c r="C5" s="386" t="str">
        <f t="array" ref="C5">TEXTJOIN("", TRUE, IFERROR(INDEX('language&amp;DataTest'!A:J, MATCH(INDEX( PointerTest!C:C, MATCH(B5, PointerTest!A:A, 0), 0), 'language&amp;DataTest'!A:A, 0), MATCH(HOME!$A$25, 'language&amp;DataTest'!$A$1:$G$1, 0))),                      IFERROR(INDEX('language&amp;DataTest'!A:J, MATCH(INDEX( PointerTest!D:D, MATCH(B5, PointerTest!A:A, 0), 0), 'language&amp;DataTest'!A:A, 0), MATCH(HOME!$A$25, 'language&amp;DataTest'!$A$1:$G$1, 0))),                                          
IFERROR(INDEX('language&amp;DataTest'!A:J, MATCH(INDEX( PointerTest!E:E, MATCH(B5, PointerTest!A:A, 0), 0), 'language&amp;DataTest'!A:A, 0), MATCH(HOME!$A$25, 'language&amp;DataTest'!$A$1:$G$1, 0))))</f>
        <v>Venusaur ex</v>
      </c>
      <c r="D5" s="124" t="str">
        <f t="shared" si="1"/>
        <v>Venusaur</v>
      </c>
      <c r="E5" s="124" t="b">
        <f>IFERROR(__xludf.DUMMYFUNCTION("REGEXMATCH(SUBSTITUTE(SUBSTITUTE(SUBSTITUTE(C5:C1000, ""♂"", ""male""), ""♀"", ""female""), "" ex"", """"), TEXTJOIN(""\b|"", TRUE,SPLIT($M$2, "" "")) &amp; ""\b"")"),TRUE)</f>
        <v>1</v>
      </c>
      <c r="G5" s="341" t="str">
        <f>IFERROR(__xludf.DUMMYFUNCTION("""COMPUTED_VALUE"""),"Venusaur")</f>
        <v>Venusaur</v>
      </c>
      <c r="I5" s="341" t="str">
        <f>IFERROR(__xludf.DUMMYFUNCTION("""COMPUTED_VALUE"""),"Caterpie")</f>
        <v>Caterpie</v>
      </c>
      <c r="M5" s="297"/>
      <c r="S5" s="389"/>
    </row>
    <row r="6">
      <c r="A6" s="68" t="b">
        <v>1</v>
      </c>
      <c r="B6" s="390" t="s">
        <v>76</v>
      </c>
      <c r="C6" s="386" t="str">
        <f t="array" ref="C6">TEXTJOIN("", TRUE, IFERROR(INDEX('language&amp;DataTest'!A:J, MATCH(INDEX( PointerTest!C:C, MATCH(B6, PointerTest!A:A, 0), 0), 'language&amp;DataTest'!A:A, 0), MATCH(HOME!$A$25, 'language&amp;DataTest'!$A$1:$G$1, 0))),                      IFERROR(INDEX('language&amp;DataTest'!A:J, MATCH(INDEX( PointerTest!D:D, MATCH(B6, PointerTest!A:A, 0), 0), 'language&amp;DataTest'!A:A, 0), MATCH(HOME!$A$25, 'language&amp;DataTest'!$A$1:$G$1, 0))),                                          
IFERROR(INDEX('language&amp;DataTest'!A:J, MATCH(INDEX( PointerTest!E:E, MATCH(B6, PointerTest!A:A, 0), 0), 'language&amp;DataTest'!A:A, 0), MATCH(HOME!$A$25, 'language&amp;DataTest'!$A$1:$G$1, 0))))</f>
        <v>Caterpie</v>
      </c>
      <c r="D6" s="124" t="str">
        <f t="shared" si="1"/>
        <v>Caterpie</v>
      </c>
      <c r="E6" s="124" t="b">
        <f>IFERROR(__xludf.DUMMYFUNCTION("REGEXMATCH(SUBSTITUTE(SUBSTITUTE(SUBSTITUTE(C6:C1000, ""♂"", ""male""), ""♀"", ""female""), "" ex"", """"), TEXTJOIN(""\b|"", TRUE,SPLIT($M$2, "" "")) &amp; ""\b"")"),TRUE)</f>
        <v>1</v>
      </c>
      <c r="G6" s="341" t="str">
        <f>IFERROR(__xludf.DUMMYFUNCTION("""COMPUTED_VALUE"""),"Caterpie")</f>
        <v>Caterpie</v>
      </c>
      <c r="I6" s="341" t="str">
        <f>IFERROR(__xludf.DUMMYFUNCTION("""COMPUTED_VALUE"""),"Metapod")</f>
        <v>Metapod</v>
      </c>
      <c r="M6" s="297"/>
      <c r="S6" s="389"/>
    </row>
    <row r="7">
      <c r="A7" s="68" t="b">
        <v>1</v>
      </c>
      <c r="B7" s="390" t="s">
        <v>78</v>
      </c>
      <c r="C7" s="386" t="str">
        <f t="array" ref="C7">TEXTJOIN("", TRUE, IFERROR(INDEX('language&amp;DataTest'!A:J, MATCH(INDEX( PointerTest!C:C, MATCH(B7, PointerTest!A:A, 0), 0), 'language&amp;DataTest'!A:A, 0), MATCH(HOME!$A$25, 'language&amp;DataTest'!$A$1:$G$1, 0))),                      IFERROR(INDEX('language&amp;DataTest'!A:J, MATCH(INDEX( PointerTest!D:D, MATCH(B7, PointerTest!A:A, 0), 0), 'language&amp;DataTest'!A:A, 0), MATCH(HOME!$A$25, 'language&amp;DataTest'!$A$1:$G$1, 0))),                                          
IFERROR(INDEX('language&amp;DataTest'!A:J, MATCH(INDEX( PointerTest!E:E, MATCH(B7, PointerTest!A:A, 0), 0), 'language&amp;DataTest'!A:A, 0), MATCH(HOME!$A$25, 'language&amp;DataTest'!$A$1:$G$1, 0))))</f>
        <v>Metapod</v>
      </c>
      <c r="D7" s="124" t="str">
        <f t="shared" si="1"/>
        <v>Metapod</v>
      </c>
      <c r="E7" s="124" t="b">
        <f>IFERROR(__xludf.DUMMYFUNCTION("REGEXMATCH(SUBSTITUTE(SUBSTITUTE(SUBSTITUTE(C7:C1000, ""♂"", ""male""), ""♀"", ""female""), "" ex"", """"), TEXTJOIN(""\b|"", TRUE,SPLIT($M$2, "" "")) &amp; ""\b"")"),TRUE)</f>
        <v>1</v>
      </c>
      <c r="G7" s="341" t="str">
        <f>IFERROR(__xludf.DUMMYFUNCTION("""COMPUTED_VALUE"""),"Metapod")</f>
        <v>Metapod</v>
      </c>
      <c r="I7" s="341" t="str">
        <f>IFERROR(__xludf.DUMMYFUNCTION("""COMPUTED_VALUE"""),"Butterfree")</f>
        <v>Butterfree</v>
      </c>
      <c r="M7" s="297"/>
      <c r="S7" s="389"/>
    </row>
    <row r="8">
      <c r="A8" s="68" t="b">
        <v>1</v>
      </c>
      <c r="B8" s="390" t="s">
        <v>80</v>
      </c>
      <c r="C8" s="386" t="str">
        <f t="array" ref="C8">TEXTJOIN("", TRUE, IFERROR(INDEX('language&amp;DataTest'!A:J, MATCH(INDEX( PointerTest!C:C, MATCH(B8, PointerTest!A:A, 0), 0), 'language&amp;DataTest'!A:A, 0), MATCH(HOME!$A$25, 'language&amp;DataTest'!$A$1:$G$1, 0))),                      IFERROR(INDEX('language&amp;DataTest'!A:J, MATCH(INDEX( PointerTest!D:D, MATCH(B8, PointerTest!A:A, 0), 0), 'language&amp;DataTest'!A:A, 0), MATCH(HOME!$A$25, 'language&amp;DataTest'!$A$1:$G$1, 0))),                                          
IFERROR(INDEX('language&amp;DataTest'!A:J, MATCH(INDEX( PointerTest!E:E, MATCH(B8, PointerTest!A:A, 0), 0), 'language&amp;DataTest'!A:A, 0), MATCH(HOME!$A$25, 'language&amp;DataTest'!$A$1:$G$1, 0))))</f>
        <v>Butterfree</v>
      </c>
      <c r="D8" s="124" t="str">
        <f t="shared" si="1"/>
        <v>Butterfree</v>
      </c>
      <c r="E8" s="124" t="b">
        <f>IFERROR(__xludf.DUMMYFUNCTION("REGEXMATCH(SUBSTITUTE(SUBSTITUTE(SUBSTITUTE(C8:C1000, ""♂"", ""male""), ""♀"", ""female""), "" ex"", """"), TEXTJOIN(""\b|"", TRUE,SPLIT($M$2, "" "")) &amp; ""\b"")"),TRUE)</f>
        <v>1</v>
      </c>
      <c r="G8" s="341" t="str">
        <f>IFERROR(__xludf.DUMMYFUNCTION("""COMPUTED_VALUE"""),"Butterfree")</f>
        <v>Butterfree</v>
      </c>
      <c r="I8" s="341" t="str">
        <f>IFERROR(__xludf.DUMMYFUNCTION("""COMPUTED_VALUE"""),"Weedle")</f>
        <v>Weedle</v>
      </c>
      <c r="M8" s="297"/>
      <c r="S8" s="389"/>
    </row>
    <row r="9">
      <c r="A9" s="68" t="b">
        <v>1</v>
      </c>
      <c r="B9" s="386" t="s">
        <v>82</v>
      </c>
      <c r="C9" s="386" t="str">
        <f t="array" ref="C9">TEXTJOIN("", TRUE, IFERROR(INDEX('language&amp;DataTest'!A:J, MATCH(INDEX( PointerTest!C:C, MATCH(B9, PointerTest!A:A, 0), 0), 'language&amp;DataTest'!A:A, 0), MATCH(HOME!$A$25, 'language&amp;DataTest'!$A$1:$G$1, 0))),                      IFERROR(INDEX('language&amp;DataTest'!A:J, MATCH(INDEX( PointerTest!D:D, MATCH(B9, PointerTest!A:A, 0), 0), 'language&amp;DataTest'!A:A, 0), MATCH(HOME!$A$25, 'language&amp;DataTest'!$A$1:$G$1, 0))),                                          
IFERROR(INDEX('language&amp;DataTest'!A:J, MATCH(INDEX( PointerTest!E:E, MATCH(B9, PointerTest!A:A, 0), 0), 'language&amp;DataTest'!A:A, 0), MATCH(HOME!$A$25, 'language&amp;DataTest'!$A$1:$G$1, 0))))</f>
        <v>Weedle</v>
      </c>
      <c r="D9" s="124" t="str">
        <f t="shared" si="1"/>
        <v>Weedle</v>
      </c>
      <c r="E9" s="124" t="b">
        <f>IFERROR(__xludf.DUMMYFUNCTION("REGEXMATCH(SUBSTITUTE(SUBSTITUTE(SUBSTITUTE(C9:C1000, ""♂"", ""male""), ""♀"", ""female""), "" ex"", """"), TEXTJOIN(""\b|"", TRUE,SPLIT($M$2, "" "")) &amp; ""\b"")"),TRUE)</f>
        <v>1</v>
      </c>
      <c r="G9" s="341" t="str">
        <f>IFERROR(__xludf.DUMMYFUNCTION("""COMPUTED_VALUE"""),"Weedle")</f>
        <v>Weedle</v>
      </c>
      <c r="I9" s="341" t="str">
        <f>IFERROR(__xludf.DUMMYFUNCTION("""COMPUTED_VALUE"""),"Kakuna")</f>
        <v>Kakuna</v>
      </c>
      <c r="M9" s="297"/>
      <c r="S9" s="389"/>
    </row>
    <row r="10">
      <c r="A10" s="68" t="b">
        <v>1</v>
      </c>
      <c r="B10" s="386" t="s">
        <v>84</v>
      </c>
      <c r="C10" s="386" t="str">
        <f t="array" ref="C10">TEXTJOIN("", TRUE, IFERROR(INDEX('language&amp;DataTest'!A:J, MATCH(INDEX( PointerTest!C:C, MATCH(B10, PointerTest!A:A, 0), 0), 'language&amp;DataTest'!A:A, 0), MATCH(HOME!$A$25, 'language&amp;DataTest'!$A$1:$G$1, 0))),                      IFERROR(INDEX('language&amp;DataTest'!A:J, MATCH(INDEX( PointerTest!D:D, MATCH(B10, PointerTest!A:A, 0), 0), 'language&amp;DataTest'!A:A, 0), MATCH(HOME!$A$25, 'language&amp;DataTest'!$A$1:$G$1, 0))),                                          
IFERROR(INDEX('language&amp;DataTest'!A:J, MATCH(INDEX( PointerTest!E:E, MATCH(B10, PointerTest!A:A, 0), 0), 'language&amp;DataTest'!A:A, 0), MATCH(HOME!$A$25, 'language&amp;DataTest'!$A$1:$G$1, 0))))</f>
        <v>Kakuna</v>
      </c>
      <c r="D10" s="124" t="str">
        <f t="shared" si="1"/>
        <v>Kakuna</v>
      </c>
      <c r="E10" s="124" t="b">
        <f>IFERROR(__xludf.DUMMYFUNCTION("REGEXMATCH(SUBSTITUTE(SUBSTITUTE(SUBSTITUTE(C10:C1000, ""♂"", ""male""), ""♀"", ""female""), "" ex"", """"), TEXTJOIN(""\b|"", TRUE,SPLIT($M$2, "" "")) &amp; ""\b"")"),TRUE)</f>
        <v>1</v>
      </c>
      <c r="G10" s="341" t="str">
        <f>IFERROR(__xludf.DUMMYFUNCTION("""COMPUTED_VALUE"""),"Kakuna")</f>
        <v>Kakuna</v>
      </c>
      <c r="I10" s="341" t="str">
        <f>IFERROR(__xludf.DUMMYFUNCTION("""COMPUTED_VALUE"""),"Beedrill")</f>
        <v>Beedrill</v>
      </c>
      <c r="M10" s="297"/>
      <c r="S10" s="389"/>
    </row>
    <row r="11">
      <c r="A11" s="68" t="b">
        <v>1</v>
      </c>
      <c r="B11" s="386" t="s">
        <v>86</v>
      </c>
      <c r="C11" s="386" t="str">
        <f t="array" ref="C11">TEXTJOIN("", TRUE, IFERROR(INDEX('language&amp;DataTest'!A:J, MATCH(INDEX( PointerTest!C:C, MATCH(B11, PointerTest!A:A, 0), 0), 'language&amp;DataTest'!A:A, 0), MATCH(HOME!$A$25, 'language&amp;DataTest'!$A$1:$G$1, 0))),                      IFERROR(INDEX('language&amp;DataTest'!A:J, MATCH(INDEX( PointerTest!D:D, MATCH(B11, PointerTest!A:A, 0), 0), 'language&amp;DataTest'!A:A, 0), MATCH(HOME!$A$25, 'language&amp;DataTest'!$A$1:$G$1, 0))),                                          
IFERROR(INDEX('language&amp;DataTest'!A:J, MATCH(INDEX( PointerTest!E:E, MATCH(B11, PointerTest!A:A, 0), 0), 'language&amp;DataTest'!A:A, 0), MATCH(HOME!$A$25, 'language&amp;DataTest'!$A$1:$G$1, 0))))</f>
        <v>Beedrill</v>
      </c>
      <c r="D11" s="124" t="str">
        <f t="shared" si="1"/>
        <v>Beedrill</v>
      </c>
      <c r="E11" s="124" t="b">
        <f>IFERROR(__xludf.DUMMYFUNCTION("REGEXMATCH(SUBSTITUTE(SUBSTITUTE(SUBSTITUTE(C11:C1000, ""♂"", ""male""), ""♀"", ""female""), "" ex"", """"), TEXTJOIN(""\b|"", TRUE,SPLIT($M$2, "" "")) &amp; ""\b"")"),TRUE)</f>
        <v>1</v>
      </c>
      <c r="G11" s="341" t="str">
        <f>IFERROR(__xludf.DUMMYFUNCTION("""COMPUTED_VALUE"""),"Beedrill")</f>
        <v>Beedrill</v>
      </c>
      <c r="I11" s="341" t="str">
        <f>IFERROR(__xludf.DUMMYFUNCTION("""COMPUTED_VALUE"""),"Oddish")</f>
        <v>Oddish</v>
      </c>
      <c r="M11" s="391"/>
      <c r="N11" s="142"/>
      <c r="O11" s="142"/>
      <c r="P11" s="142"/>
      <c r="Q11" s="142"/>
      <c r="R11" s="142"/>
      <c r="S11" s="392"/>
    </row>
    <row r="12">
      <c r="A12" s="68" t="b">
        <v>1</v>
      </c>
      <c r="B12" s="393" t="s">
        <v>89</v>
      </c>
      <c r="C12" s="386" t="str">
        <f t="array" ref="C12">TEXTJOIN("", TRUE, IFERROR(INDEX('language&amp;DataTest'!A:J, MATCH(INDEX( PointerTest!C:C, MATCH(B12, PointerTest!A:A, 0), 0), 'language&amp;DataTest'!A:A, 0), MATCH(HOME!$A$25, 'language&amp;DataTest'!$A$1:$G$1, 0))),                      IFERROR(INDEX('language&amp;DataTest'!A:J, MATCH(INDEX( PointerTest!D:D, MATCH(B12, PointerTest!A:A, 0), 0), 'language&amp;DataTest'!A:A, 0), MATCH(HOME!$A$25, 'language&amp;DataTest'!$A$1:$G$1, 0))),                                          
IFERROR(INDEX('language&amp;DataTest'!A:J, MATCH(INDEX( PointerTest!E:E, MATCH(B12, PointerTest!A:A, 0), 0), 'language&amp;DataTest'!A:A, 0), MATCH(HOME!$A$25, 'language&amp;DataTest'!$A$1:$G$1, 0))))</f>
        <v>Oddish</v>
      </c>
      <c r="D12" s="124" t="str">
        <f t="shared" si="1"/>
        <v>Oddish</v>
      </c>
      <c r="E12" s="124" t="b">
        <f>IFERROR(__xludf.DUMMYFUNCTION("REGEXMATCH(SUBSTITUTE(SUBSTITUTE(SUBSTITUTE(C12:C1000, ""♂"", ""male""), ""♀"", ""female""), "" ex"", """"), TEXTJOIN(""\b|"", TRUE,SPLIT($M$2, "" "")) &amp; ""\b"")"),TRUE)</f>
        <v>1</v>
      </c>
      <c r="G12" s="341" t="str">
        <f>IFERROR(__xludf.DUMMYFUNCTION("""COMPUTED_VALUE"""),"Oddish")</f>
        <v>Oddish</v>
      </c>
      <c r="I12" s="341" t="str">
        <f>IFERROR(__xludf.DUMMYFUNCTION("""COMPUTED_VALUE"""),"Gloom")</f>
        <v>Gloom</v>
      </c>
    </row>
    <row r="13">
      <c r="A13" s="68" t="b">
        <v>1</v>
      </c>
      <c r="B13" s="393" t="s">
        <v>90</v>
      </c>
      <c r="C13" s="386" t="str">
        <f t="array" ref="C13">TEXTJOIN("", TRUE, IFERROR(INDEX('language&amp;DataTest'!A:J, MATCH(INDEX( PointerTest!C:C, MATCH(B13, PointerTest!A:A, 0), 0), 'language&amp;DataTest'!A:A, 0), MATCH(HOME!$A$25, 'language&amp;DataTest'!$A$1:$G$1, 0))),                      IFERROR(INDEX('language&amp;DataTest'!A:J, MATCH(INDEX( PointerTest!D:D, MATCH(B13, PointerTest!A:A, 0), 0), 'language&amp;DataTest'!A:A, 0), MATCH(HOME!$A$25, 'language&amp;DataTest'!$A$1:$G$1, 0))),                                          
IFERROR(INDEX('language&amp;DataTest'!A:J, MATCH(INDEX( PointerTest!E:E, MATCH(B13, PointerTest!A:A, 0), 0), 'language&amp;DataTest'!A:A, 0), MATCH(HOME!$A$25, 'language&amp;DataTest'!$A$1:$G$1, 0))))</f>
        <v>Gloom</v>
      </c>
      <c r="D13" s="124" t="str">
        <f t="shared" si="1"/>
        <v>Gloom</v>
      </c>
      <c r="E13" s="124" t="b">
        <f>IFERROR(__xludf.DUMMYFUNCTION("REGEXMATCH(SUBSTITUTE(SUBSTITUTE(SUBSTITUTE(C13:C1000, ""♂"", ""male""), ""♀"", ""female""), "" ex"", """"), TEXTJOIN(""\b|"", TRUE,SPLIT($M$2, "" "")) &amp; ""\b"")"),TRUE)</f>
        <v>1</v>
      </c>
      <c r="G13" s="341" t="str">
        <f>IFERROR(__xludf.DUMMYFUNCTION("""COMPUTED_VALUE"""),"Gloom")</f>
        <v>Gloom</v>
      </c>
      <c r="I13" s="341" t="str">
        <f>IFERROR(__xludf.DUMMYFUNCTION("""COMPUTED_VALUE"""),"Vileplume")</f>
        <v>Vileplume</v>
      </c>
      <c r="M13" s="124" t="s">
        <v>6216</v>
      </c>
    </row>
    <row r="14">
      <c r="A14" s="68" t="b">
        <v>1</v>
      </c>
      <c r="B14" s="393" t="s">
        <v>95</v>
      </c>
      <c r="C14" s="386" t="str">
        <f t="array" ref="C14">TEXTJOIN("", TRUE, IFERROR(INDEX('language&amp;DataTest'!A:J, MATCH(INDEX( PointerTest!C:C, MATCH(B14, PointerTest!A:A, 0), 0), 'language&amp;DataTest'!A:A, 0), MATCH(HOME!$A$25, 'language&amp;DataTest'!$A$1:$G$1, 0))),                      IFERROR(INDEX('language&amp;DataTest'!A:J, MATCH(INDEX( PointerTest!D:D, MATCH(B14, PointerTest!A:A, 0), 0), 'language&amp;DataTest'!A:A, 0), MATCH(HOME!$A$25, 'language&amp;DataTest'!$A$1:$G$1, 0))),                                          
IFERROR(INDEX('language&amp;DataTest'!A:J, MATCH(INDEX( PointerTest!E:E, MATCH(B14, PointerTest!A:A, 0), 0), 'language&amp;DataTest'!A:A, 0), MATCH(HOME!$A$25, 'language&amp;DataTest'!$A$1:$G$1, 0))))</f>
        <v>Vileplume</v>
      </c>
      <c r="D14" s="124" t="str">
        <f t="shared" si="1"/>
        <v>Vileplume</v>
      </c>
      <c r="E14" s="124" t="b">
        <f>IFERROR(__xludf.DUMMYFUNCTION("REGEXMATCH(SUBSTITUTE(SUBSTITUTE(SUBSTITUTE(C14:C1000, ""♂"", ""male""), ""♀"", ""female""), "" ex"", """"), TEXTJOIN(""\b|"", TRUE,SPLIT($M$2, "" "")) &amp; ""\b"")"),TRUE)</f>
        <v>1</v>
      </c>
      <c r="G14" s="341" t="str">
        <f>IFERROR(__xludf.DUMMYFUNCTION("""COMPUTED_VALUE"""),"Vileplume")</f>
        <v>Vileplume</v>
      </c>
      <c r="I14" s="341" t="str">
        <f>IFERROR(__xludf.DUMMYFUNCTION("""COMPUTED_VALUE"""),"Paras")</f>
        <v>Paras</v>
      </c>
      <c r="M14" s="394" t="str">
        <f>IFERROR(__xludf.DUMMYFUNCTION("TEXTJOIN(""\b|"", TRUE,SPLIT($M$2, "" "")) &amp; ""\b"""),"Bulbasaur\b|Ivysaur\b|Venusaur\b|Caterpie\b|Metapod\b|Butterfree\b|Weedle\b|Kakuna\b|Beedrill\b|Oddish\b|Gloom\b|Vileplume\b|Paras\b|Parasect\b|Venonat\b|Venomoth\b|Bellsprout\b|Weepinbell\b|Victreebel\b|Exeggcute\b|Exeggutor\b|Tangela\b|Scyther\b|Pinsir\"&amp;"b|Charmander\b|Charmeleon\b|Charizard\b|Vulpix\b|Ninetales\b|Growlithe\b|Arcanine\b|Ponyta\b|Rapidash\b|Magmar\b|Flareon\b|Moltres\b|Squirtle\b|Wartortle\b|Blastoise\b|Psyduck\b|Golduck\b|Poliwag\b|Poliwhirl\b|Poliwrath\b|Tentacool\b|Tentacruel\b|Seel\b|D"&amp;"ewgong\b|Shellder\b|Cloyster\b|Krabby\b|Kingler\b|Horsea\b|Seadra\b|Goldeen\b|Seaking\b|Staryu\b|Starmie\b|Magikarp\b|Gyarados\b|Lapras\b|Vaporeon\b|Omanyte\b|Omastar\b|Articuno\b|Pikachu\b|Raichu\b|Magnemite\b|Magneton\b|Voltorb\b|Electrode\b|Electabuzz\"&amp;"b|Jolteon\b|Zapdos\b|Clefairy\b|Clefable\b|Abra\b|Kadabra\b|Alakazam\b|Slowpoke\b|Slowbro\b|Gastly\b|Haunter\b|Gengar\b|Drowzee\b|Hypno\b|Mr.\b|Mime\b|Jynx\b|Mewtwo\b|Sandshrew\b|Sandslash\b|Diglett\b|Dugtrio\b|Mankey\b|Primeape\b|Machop\b|Machoke\b|Macha"&amp;"mp\b|Geodude\b|Graveler\b|Golem\b|Onix\b|Cubone\b|Marowak\b|Hitmonlee\b|Hitmonchan\b|Rhyhorn\b|Rhydon\b|Kabuto\b|Kabutops\b|Ekans\b|Arbok\b|Nidoranfemale\b|Nidorina\b|Nidoqueen\b|Nidoranmale\b|Nidorino\b|Nidoking\b|Zubat\b|Golbat\b|Grimer\b|Muk\b|Koffing\"&amp;"b|Weezing\b|Dratini\b|Dragonair\b|Dragonite\b|Pidgey\b|Pidgeotto\b|Pidgeot\b|Rattata\b|Raticate\b|Spearow\b|Fearow\b|Jigglypuff\b|Wigglytuff\b|Meowth\b|Persian\b|Farfetch'd\b|Doduo\b|Dodrio\b|Lickitung\b|Chansey\b|Kangaskhan\b|Tauros\b|Ditto\b|Eevee\b|Por"&amp;"ygon\b|Aerodactyl\b|Snorlax\b")</f>
        <v>Bulbasaur\b|Ivysaur\b|Venusaur\b|Caterpie\b|Metapod\b|Butterfree\b|Weedle\b|Kakuna\b|Beedrill\b|Oddish\b|Gloom\b|Vileplume\b|Paras\b|Parasect\b|Venonat\b|Venomoth\b|Bellsprout\b|Weepinbell\b|Victreebel\b|Exeggcute\b|Exeggutor\b|Tangela\b|Scyther\b|Pinsir\b|Charmander\b|Charmeleon\b|Charizard\b|Vulpix\b|Ninetales\b|Growlithe\b|Arcanine\b|Ponyta\b|Rapidash\b|Magmar\b|Flareon\b|Moltres\b|Squirtle\b|Wartortle\b|Blastoise\b|Psyduck\b|Golduck\b|Poliwag\b|Poliwhirl\b|Poliwrath\b|Tentacool\b|Tentacruel\b|Seel\b|Dewgong\b|Shellder\b|Cloyster\b|Krabby\b|Kingler\b|Horsea\b|Seadra\b|Goldeen\b|Seaking\b|Staryu\b|Starmie\b|Magikarp\b|Gyarados\b|Lapras\b|Vaporeon\b|Omanyte\b|Omastar\b|Articuno\b|Pikachu\b|Raichu\b|Magnemite\b|Magneton\b|Voltorb\b|Electrode\b|Electabuzz\b|Jolteon\b|Zapdos\b|Clefairy\b|Clefable\b|Abra\b|Kadabra\b|Alakazam\b|Slowpoke\b|Slowbro\b|Gastly\b|Haunter\b|Gengar\b|Drowzee\b|Hypno\b|Mr.\b|Mime\b|Jynx\b|Mewtwo\b|Sandshrew\b|Sandslash\b|Diglett\b|Dugtrio\b|Mankey\b|Primeape\b|Machop\b|Machoke\b|Machamp\b|Geodude\b|Graveler\b|Golem\b|Onix\b|Cubone\b|Marowak\b|Hitmonlee\b|Hitmonchan\b|Rhyhorn\b|Rhydon\b|Kabuto\b|Kabutops\b|Ekans\b|Arbok\b|Nidoranfemale\b|Nidorina\b|Nidoqueen\b|Nidoranmale\b|Nidorino\b|Nidoking\b|Zubat\b|Golbat\b|Grimer\b|Muk\b|Koffing\b|Weezing\b|Dratini\b|Dragonair\b|Dragonite\b|Pidgey\b|Pidgeotto\b|Pidgeot\b|Rattata\b|Raticate\b|Spearow\b|Fearow\b|Jigglypuff\b|Wigglytuff\b|Meowth\b|Persian\b|Farfetch'd\b|Doduo\b|Dodrio\b|Lickitung\b|Chansey\b|Kangaskhan\b|Tauros\b|Ditto\b|Eevee\b|Porygon\b|Aerodactyl\b|Snorlax\b</v>
      </c>
      <c r="N14" s="127"/>
      <c r="O14" s="127"/>
      <c r="P14" s="127"/>
      <c r="Q14" s="127"/>
      <c r="R14" s="127"/>
      <c r="S14" s="388"/>
    </row>
    <row r="15">
      <c r="A15" s="68" t="b">
        <v>1</v>
      </c>
      <c r="B15" s="390" t="s">
        <v>97</v>
      </c>
      <c r="C15" s="386" t="str">
        <f t="array" ref="C15">TEXTJOIN("", TRUE, IFERROR(INDEX('language&amp;DataTest'!A:J, MATCH(INDEX( PointerTest!C:C, MATCH(B15, PointerTest!A:A, 0), 0), 'language&amp;DataTest'!A:A, 0), MATCH(HOME!$A$25, 'language&amp;DataTest'!$A$1:$G$1, 0))),                      IFERROR(INDEX('language&amp;DataTest'!A:J, MATCH(INDEX( PointerTest!D:D, MATCH(B15, PointerTest!A:A, 0), 0), 'language&amp;DataTest'!A:A, 0), MATCH(HOME!$A$25, 'language&amp;DataTest'!$A$1:$G$1, 0))),                                          
IFERROR(INDEX('language&amp;DataTest'!A:J, MATCH(INDEX( PointerTest!E:E, MATCH(B15, PointerTest!A:A, 0), 0), 'language&amp;DataTest'!A:A, 0), MATCH(HOME!$A$25, 'language&amp;DataTest'!$A$1:$G$1, 0))))</f>
        <v>Paras</v>
      </c>
      <c r="D15" s="124" t="str">
        <f t="shared" si="1"/>
        <v>Paras</v>
      </c>
      <c r="E15" s="124" t="b">
        <f>IFERROR(__xludf.DUMMYFUNCTION("REGEXMATCH(SUBSTITUTE(SUBSTITUTE(SUBSTITUTE(C15:C1000, ""♂"", ""male""), ""♀"", ""female""), "" ex"", """"), TEXTJOIN(""\b|"", TRUE,SPLIT($M$2, "" "")) &amp; ""\b"")"),TRUE)</f>
        <v>1</v>
      </c>
      <c r="G15" s="341" t="str">
        <f>IFERROR(__xludf.DUMMYFUNCTION("""COMPUTED_VALUE"""),"Paras")</f>
        <v>Paras</v>
      </c>
      <c r="I15" s="341" t="str">
        <f>IFERROR(__xludf.DUMMYFUNCTION("""COMPUTED_VALUE"""),"Parasect")</f>
        <v>Parasect</v>
      </c>
      <c r="M15" s="297"/>
      <c r="S15" s="389"/>
    </row>
    <row r="16">
      <c r="A16" s="68" t="b">
        <v>1</v>
      </c>
      <c r="B16" s="390" t="s">
        <v>98</v>
      </c>
      <c r="C16" s="386" t="str">
        <f t="array" ref="C16">TEXTJOIN("", TRUE, IFERROR(INDEX('language&amp;DataTest'!A:J, MATCH(INDEX( PointerTest!C:C, MATCH(B16, PointerTest!A:A, 0), 0), 'language&amp;DataTest'!A:A, 0), MATCH(HOME!$A$25, 'language&amp;DataTest'!$A$1:$G$1, 0))),                      IFERROR(INDEX('language&amp;DataTest'!A:J, MATCH(INDEX( PointerTest!D:D, MATCH(B16, PointerTest!A:A, 0), 0), 'language&amp;DataTest'!A:A, 0), MATCH(HOME!$A$25, 'language&amp;DataTest'!$A$1:$G$1, 0))),                                          
IFERROR(INDEX('language&amp;DataTest'!A:J, MATCH(INDEX( PointerTest!E:E, MATCH(B16, PointerTest!A:A, 0), 0), 'language&amp;DataTest'!A:A, 0), MATCH(HOME!$A$25, 'language&amp;DataTest'!$A$1:$G$1, 0))))</f>
        <v>Parasect</v>
      </c>
      <c r="D16" s="124" t="str">
        <f t="shared" si="1"/>
        <v>Parasect</v>
      </c>
      <c r="E16" s="124" t="b">
        <f>IFERROR(__xludf.DUMMYFUNCTION("REGEXMATCH(SUBSTITUTE(SUBSTITUTE(SUBSTITUTE(C16:C1000, ""♂"", ""male""), ""♀"", ""female""), "" ex"", """"), TEXTJOIN(""\b|"", TRUE,SPLIT($M$2, "" "")) &amp; ""\b"")"),TRUE)</f>
        <v>1</v>
      </c>
      <c r="G16" s="341" t="str">
        <f>IFERROR(__xludf.DUMMYFUNCTION("""COMPUTED_VALUE"""),"Parasect")</f>
        <v>Parasect</v>
      </c>
      <c r="I16" s="341" t="str">
        <f>IFERROR(__xludf.DUMMYFUNCTION("""COMPUTED_VALUE"""),"Venonat")</f>
        <v>Venonat</v>
      </c>
      <c r="M16" s="297"/>
      <c r="S16" s="389"/>
    </row>
    <row r="17">
      <c r="A17" s="68" t="b">
        <v>1</v>
      </c>
      <c r="B17" s="386" t="s">
        <v>99</v>
      </c>
      <c r="C17" s="386" t="str">
        <f t="array" ref="C17">TEXTJOIN("", TRUE, IFERROR(INDEX('language&amp;DataTest'!A:J, MATCH(INDEX( PointerTest!C:C, MATCH(B17, PointerTest!A:A, 0), 0), 'language&amp;DataTest'!A:A, 0), MATCH(HOME!$A$25, 'language&amp;DataTest'!$A$1:$G$1, 0))),                      IFERROR(INDEX('language&amp;DataTest'!A:J, MATCH(INDEX( PointerTest!D:D, MATCH(B17, PointerTest!A:A, 0), 0), 'language&amp;DataTest'!A:A, 0), MATCH(HOME!$A$25, 'language&amp;DataTest'!$A$1:$G$1, 0))),                                          
IFERROR(INDEX('language&amp;DataTest'!A:J, MATCH(INDEX( PointerTest!E:E, MATCH(B17, PointerTest!A:A, 0), 0), 'language&amp;DataTest'!A:A, 0), MATCH(HOME!$A$25, 'language&amp;DataTest'!$A$1:$G$1, 0))))</f>
        <v>Venonat</v>
      </c>
      <c r="D17" s="124" t="str">
        <f t="shared" si="1"/>
        <v>Venonat</v>
      </c>
      <c r="E17" s="124" t="b">
        <f>IFERROR(__xludf.DUMMYFUNCTION("REGEXMATCH(SUBSTITUTE(SUBSTITUTE(SUBSTITUTE(C17:C1000, ""♂"", ""male""), ""♀"", ""female""), "" ex"", """"), TEXTJOIN(""\b|"", TRUE,SPLIT($M$2, "" "")) &amp; ""\b"")"),TRUE)</f>
        <v>1</v>
      </c>
      <c r="G17" s="341" t="str">
        <f>IFERROR(__xludf.DUMMYFUNCTION("""COMPUTED_VALUE"""),"Venonat")</f>
        <v>Venonat</v>
      </c>
      <c r="I17" s="341" t="str">
        <f>IFERROR(__xludf.DUMMYFUNCTION("""COMPUTED_VALUE"""),"Venomoth")</f>
        <v>Venomoth</v>
      </c>
      <c r="M17" s="297"/>
      <c r="S17" s="389"/>
    </row>
    <row r="18">
      <c r="A18" s="68" t="b">
        <v>1</v>
      </c>
      <c r="B18" s="386" t="s">
        <v>100</v>
      </c>
      <c r="C18" s="386" t="str">
        <f t="array" ref="C18">TEXTJOIN("", TRUE, IFERROR(INDEX('language&amp;DataTest'!A:J, MATCH(INDEX( PointerTest!C:C, MATCH(B18, PointerTest!A:A, 0), 0), 'language&amp;DataTest'!A:A, 0), MATCH(HOME!$A$25, 'language&amp;DataTest'!$A$1:$G$1, 0))),                      IFERROR(INDEX('language&amp;DataTest'!A:J, MATCH(INDEX( PointerTest!D:D, MATCH(B18, PointerTest!A:A, 0), 0), 'language&amp;DataTest'!A:A, 0), MATCH(HOME!$A$25, 'language&amp;DataTest'!$A$1:$G$1, 0))),                                          
IFERROR(INDEX('language&amp;DataTest'!A:J, MATCH(INDEX( PointerTest!E:E, MATCH(B18, PointerTest!A:A, 0), 0), 'language&amp;DataTest'!A:A, 0), MATCH(HOME!$A$25, 'language&amp;DataTest'!$A$1:$G$1, 0))))</f>
        <v>Venomoth</v>
      </c>
      <c r="D18" s="124" t="str">
        <f t="shared" si="1"/>
        <v>Venomoth</v>
      </c>
      <c r="E18" s="124" t="b">
        <f>IFERROR(__xludf.DUMMYFUNCTION("REGEXMATCH(SUBSTITUTE(SUBSTITUTE(SUBSTITUTE(C18:C1000, ""♂"", ""male""), ""♀"", ""female""), "" ex"", """"), TEXTJOIN(""\b|"", TRUE,SPLIT($M$2, "" "")) &amp; ""\b"")"),TRUE)</f>
        <v>1</v>
      </c>
      <c r="G18" s="341" t="str">
        <f>IFERROR(__xludf.DUMMYFUNCTION("""COMPUTED_VALUE"""),"Venomoth")</f>
        <v>Venomoth</v>
      </c>
      <c r="I18" s="341" t="str">
        <f>IFERROR(__xludf.DUMMYFUNCTION("""COMPUTED_VALUE"""),"Bellsprout")</f>
        <v>Bellsprout</v>
      </c>
      <c r="M18" s="297"/>
      <c r="S18" s="389"/>
    </row>
    <row r="19">
      <c r="A19" s="68" t="b">
        <v>1</v>
      </c>
      <c r="B19" s="393" t="s">
        <v>102</v>
      </c>
      <c r="C19" s="386" t="str">
        <f t="array" ref="C19">TEXTJOIN("", TRUE, IFERROR(INDEX('language&amp;DataTest'!A:J, MATCH(INDEX( PointerTest!C:C, MATCH(B19, PointerTest!A:A, 0), 0), 'language&amp;DataTest'!A:A, 0), MATCH(HOME!$A$25, 'language&amp;DataTest'!$A$1:$G$1, 0))),                      IFERROR(INDEX('language&amp;DataTest'!A:J, MATCH(INDEX( PointerTest!D:D, MATCH(B19, PointerTest!A:A, 0), 0), 'language&amp;DataTest'!A:A, 0), MATCH(HOME!$A$25, 'language&amp;DataTest'!$A$1:$G$1, 0))),                                          
IFERROR(INDEX('language&amp;DataTest'!A:J, MATCH(INDEX( PointerTest!E:E, MATCH(B19, PointerTest!A:A, 0), 0), 'language&amp;DataTest'!A:A, 0), MATCH(HOME!$A$25, 'language&amp;DataTest'!$A$1:$G$1, 0))))</f>
        <v>Bellsprout</v>
      </c>
      <c r="D19" s="124" t="str">
        <f t="shared" si="1"/>
        <v>Bellsprout</v>
      </c>
      <c r="E19" s="124" t="b">
        <f>IFERROR(__xludf.DUMMYFUNCTION("REGEXMATCH(SUBSTITUTE(SUBSTITUTE(SUBSTITUTE(C19:C1000, ""♂"", ""male""), ""♀"", ""female""), "" ex"", """"), TEXTJOIN(""\b|"", TRUE,SPLIT($M$2, "" "")) &amp; ""\b"")"),TRUE)</f>
        <v>1</v>
      </c>
      <c r="G19" s="341" t="str">
        <f>IFERROR(__xludf.DUMMYFUNCTION("""COMPUTED_VALUE"""),"Bellsprout")</f>
        <v>Bellsprout</v>
      </c>
      <c r="I19" s="341" t="str">
        <f>IFERROR(__xludf.DUMMYFUNCTION("""COMPUTED_VALUE"""),"Weepinbell")</f>
        <v>Weepinbell</v>
      </c>
      <c r="M19" s="297"/>
      <c r="S19" s="389"/>
    </row>
    <row r="20">
      <c r="A20" s="68" t="b">
        <v>1</v>
      </c>
      <c r="B20" s="393" t="s">
        <v>103</v>
      </c>
      <c r="C20" s="386" t="str">
        <f t="array" ref="C20">TEXTJOIN("", TRUE, IFERROR(INDEX('language&amp;DataTest'!A:J, MATCH(INDEX( PointerTest!C:C, MATCH(B20, PointerTest!A:A, 0), 0), 'language&amp;DataTest'!A:A, 0), MATCH(HOME!$A$25, 'language&amp;DataTest'!$A$1:$G$1, 0))),                      IFERROR(INDEX('language&amp;DataTest'!A:J, MATCH(INDEX( PointerTest!D:D, MATCH(B20, PointerTest!A:A, 0), 0), 'language&amp;DataTest'!A:A, 0), MATCH(HOME!$A$25, 'language&amp;DataTest'!$A$1:$G$1, 0))),                                          
IFERROR(INDEX('language&amp;DataTest'!A:J, MATCH(INDEX( PointerTest!E:E, MATCH(B20, PointerTest!A:A, 0), 0), 'language&amp;DataTest'!A:A, 0), MATCH(HOME!$A$25, 'language&amp;DataTest'!$A$1:$G$1, 0))))</f>
        <v>Weepinbell</v>
      </c>
      <c r="D20" s="124" t="str">
        <f t="shared" si="1"/>
        <v>Weepinbell</v>
      </c>
      <c r="E20" s="124" t="b">
        <f>IFERROR(__xludf.DUMMYFUNCTION("REGEXMATCH(SUBSTITUTE(SUBSTITUTE(SUBSTITUTE(C20:C1000, ""♂"", ""male""), ""♀"", ""female""), "" ex"", """"), TEXTJOIN(""\b|"", TRUE,SPLIT($M$2, "" "")) &amp; ""\b"")"),TRUE)</f>
        <v>1</v>
      </c>
      <c r="G20" s="341" t="str">
        <f>IFERROR(__xludf.DUMMYFUNCTION("""COMPUTED_VALUE"""),"Weepinbell")</f>
        <v>Weepinbell</v>
      </c>
      <c r="I20" s="341" t="str">
        <f>IFERROR(__xludf.DUMMYFUNCTION("""COMPUTED_VALUE"""),"Victreebel")</f>
        <v>Victreebel</v>
      </c>
      <c r="M20" s="297"/>
      <c r="S20" s="389"/>
    </row>
    <row r="21">
      <c r="A21" s="68" t="b">
        <v>1</v>
      </c>
      <c r="B21" s="393" t="s">
        <v>106</v>
      </c>
      <c r="C21" s="386" t="str">
        <f t="array" ref="C21">TEXTJOIN("", TRUE, IFERROR(INDEX('language&amp;DataTest'!A:J, MATCH(INDEX( PointerTest!C:C, MATCH(B21, PointerTest!A:A, 0), 0), 'language&amp;DataTest'!A:A, 0), MATCH(HOME!$A$25, 'language&amp;DataTest'!$A$1:$G$1, 0))),                      IFERROR(INDEX('language&amp;DataTest'!A:J, MATCH(INDEX( PointerTest!D:D, MATCH(B21, PointerTest!A:A, 0), 0), 'language&amp;DataTest'!A:A, 0), MATCH(HOME!$A$25, 'language&amp;DataTest'!$A$1:$G$1, 0))),                                          
IFERROR(INDEX('language&amp;DataTest'!A:J, MATCH(INDEX( PointerTest!E:E, MATCH(B21, PointerTest!A:A, 0), 0), 'language&amp;DataTest'!A:A, 0), MATCH(HOME!$A$25, 'language&amp;DataTest'!$A$1:$G$1, 0))))</f>
        <v>Victreebel</v>
      </c>
      <c r="D21" s="124" t="str">
        <f t="shared" si="1"/>
        <v>Victreebel</v>
      </c>
      <c r="E21" s="124" t="b">
        <f>IFERROR(__xludf.DUMMYFUNCTION("REGEXMATCH(SUBSTITUTE(SUBSTITUTE(SUBSTITUTE(C21:C1000, ""♂"", ""male""), ""♀"", ""female""), "" ex"", """"), TEXTJOIN(""\b|"", TRUE,SPLIT($M$2, "" "")) &amp; ""\b"")"),TRUE)</f>
        <v>1</v>
      </c>
      <c r="G21" s="341" t="str">
        <f>IFERROR(__xludf.DUMMYFUNCTION("""COMPUTED_VALUE"""),"Victreebel")</f>
        <v>Victreebel</v>
      </c>
      <c r="I21" s="341" t="str">
        <f>IFERROR(__xludf.DUMMYFUNCTION("""COMPUTED_VALUE"""),"Exeggcute")</f>
        <v>Exeggcute</v>
      </c>
      <c r="M21" s="297"/>
      <c r="S21" s="389"/>
    </row>
    <row r="22">
      <c r="A22" s="68" t="b">
        <v>1</v>
      </c>
      <c r="B22" s="393" t="s">
        <v>107</v>
      </c>
      <c r="C22" s="386" t="str">
        <f t="array" ref="C22">TEXTJOIN("", TRUE, IFERROR(INDEX('language&amp;DataTest'!A:J, MATCH(INDEX( PointerTest!C:C, MATCH(B22, PointerTest!A:A, 0), 0), 'language&amp;DataTest'!A:A, 0), MATCH(HOME!$A$25, 'language&amp;DataTest'!$A$1:$G$1, 0))),                      IFERROR(INDEX('language&amp;DataTest'!A:J, MATCH(INDEX( PointerTest!D:D, MATCH(B22, PointerTest!A:A, 0), 0), 'language&amp;DataTest'!A:A, 0), MATCH(HOME!$A$25, 'language&amp;DataTest'!$A$1:$G$1, 0))),                                          
IFERROR(INDEX('language&amp;DataTest'!A:J, MATCH(INDEX( PointerTest!E:E, MATCH(B22, PointerTest!A:A, 0), 0), 'language&amp;DataTest'!A:A, 0), MATCH(HOME!$A$25, 'language&amp;DataTest'!$A$1:$G$1, 0))))</f>
        <v>Exeggcute</v>
      </c>
      <c r="D22" s="124" t="str">
        <f t="shared" si="1"/>
        <v>Exeggcute</v>
      </c>
      <c r="E22" s="124" t="b">
        <f>IFERROR(__xludf.DUMMYFUNCTION("REGEXMATCH(SUBSTITUTE(SUBSTITUTE(SUBSTITUTE(C22:C1000, ""♂"", ""male""), ""♀"", ""female""), "" ex"", """"), TEXTJOIN(""\b|"", TRUE,SPLIT($M$2, "" "")) &amp; ""\b"")"),TRUE)</f>
        <v>1</v>
      </c>
      <c r="G22" s="341" t="str">
        <f>IFERROR(__xludf.DUMMYFUNCTION("""COMPUTED_VALUE"""),"Exeggcute")</f>
        <v>Exeggcute</v>
      </c>
      <c r="I22" s="341" t="str">
        <f>IFERROR(__xludf.DUMMYFUNCTION("""COMPUTED_VALUE"""),"Exeggutor")</f>
        <v>Exeggutor</v>
      </c>
      <c r="M22" s="297"/>
      <c r="S22" s="389"/>
    </row>
    <row r="23">
      <c r="A23" s="68" t="b">
        <v>1</v>
      </c>
      <c r="B23" s="393" t="s">
        <v>108</v>
      </c>
      <c r="C23" s="386" t="str">
        <f t="array" ref="C23">TEXTJOIN("", TRUE, IFERROR(INDEX('language&amp;DataTest'!A:J, MATCH(INDEX( PointerTest!C:C, MATCH(B23, PointerTest!A:A, 0), 0), 'language&amp;DataTest'!A:A, 0), MATCH(HOME!$A$25, 'language&amp;DataTest'!$A$1:$G$1, 0))),                      IFERROR(INDEX('language&amp;DataTest'!A:J, MATCH(INDEX( PointerTest!D:D, MATCH(B23, PointerTest!A:A, 0), 0), 'language&amp;DataTest'!A:A, 0), MATCH(HOME!$A$25, 'language&amp;DataTest'!$A$1:$G$1, 0))),                                          
IFERROR(INDEX('language&amp;DataTest'!A:J, MATCH(INDEX( PointerTest!E:E, MATCH(B23, PointerTest!A:A, 0), 0), 'language&amp;DataTest'!A:A, 0), MATCH(HOME!$A$25, 'language&amp;DataTest'!$A$1:$G$1, 0))))</f>
        <v>Exeggutor</v>
      </c>
      <c r="D23" s="124" t="str">
        <f t="shared" si="1"/>
        <v>Exeggutor</v>
      </c>
      <c r="E23" s="124" t="b">
        <f>IFERROR(__xludf.DUMMYFUNCTION("REGEXMATCH(SUBSTITUTE(SUBSTITUTE(SUBSTITUTE(C23:C1000, ""♂"", ""male""), ""♀"", ""female""), "" ex"", """"), TEXTJOIN(""\b|"", TRUE,SPLIT($M$2, "" "")) &amp; ""\b"")"),TRUE)</f>
        <v>1</v>
      </c>
      <c r="G23" s="341" t="str">
        <f>IFERROR(__xludf.DUMMYFUNCTION("""COMPUTED_VALUE"""),"Exeggutor")</f>
        <v>Exeggutor</v>
      </c>
      <c r="I23" s="341" t="str">
        <f>IFERROR(__xludf.DUMMYFUNCTION("""COMPUTED_VALUE"""),"Tangela")</f>
        <v>Tangela</v>
      </c>
      <c r="M23" s="297"/>
      <c r="S23" s="389"/>
    </row>
    <row r="24">
      <c r="A24" s="68" t="b">
        <v>1</v>
      </c>
      <c r="B24" s="393" t="s">
        <v>109</v>
      </c>
      <c r="C24" s="386" t="str">
        <f t="array" ref="C24">TEXTJOIN("", TRUE, IFERROR(INDEX('language&amp;DataTest'!A:J, MATCH(INDEX( PointerTest!C:C, MATCH(B24, PointerTest!A:A, 0), 0), 'language&amp;DataTest'!A:A, 0), MATCH(HOME!$A$25, 'language&amp;DataTest'!$A$1:$G$1, 0))),                      IFERROR(INDEX('language&amp;DataTest'!A:J, MATCH(INDEX( PointerTest!D:D, MATCH(B24, PointerTest!A:A, 0), 0), 'language&amp;DataTest'!A:A, 0), MATCH(HOME!$A$25, 'language&amp;DataTest'!$A$1:$G$1, 0))),                                          
IFERROR(INDEX('language&amp;DataTest'!A:J, MATCH(INDEX( PointerTest!E:E, MATCH(B24, PointerTest!A:A, 0), 0), 'language&amp;DataTest'!A:A, 0), MATCH(HOME!$A$25, 'language&amp;DataTest'!$A$1:$G$1, 0))))</f>
        <v>Exeggutor ex</v>
      </c>
      <c r="D24" s="124" t="str">
        <f t="shared" si="1"/>
        <v>Exeggutor</v>
      </c>
      <c r="E24" s="124" t="b">
        <f>IFERROR(__xludf.DUMMYFUNCTION("REGEXMATCH(SUBSTITUTE(SUBSTITUTE(SUBSTITUTE(C24:C1000, ""♂"", ""male""), ""♀"", ""female""), "" ex"", """"), TEXTJOIN(""\b|"", TRUE,SPLIT($M$2, "" "")) &amp; ""\b"")"),TRUE)</f>
        <v>1</v>
      </c>
      <c r="G24" s="341" t="str">
        <f>IFERROR(__xludf.DUMMYFUNCTION("""COMPUTED_VALUE"""),"Exeggutor")</f>
        <v>Exeggutor</v>
      </c>
      <c r="I24" s="341" t="str">
        <f>IFERROR(__xludf.DUMMYFUNCTION("""COMPUTED_VALUE"""),"Scyther")</f>
        <v>Scyther</v>
      </c>
      <c r="M24" s="297"/>
      <c r="S24" s="389"/>
    </row>
    <row r="25">
      <c r="A25" s="68" t="b">
        <v>1</v>
      </c>
      <c r="B25" s="393" t="s">
        <v>110</v>
      </c>
      <c r="C25" s="386" t="str">
        <f t="array" ref="C25">TEXTJOIN("", TRUE, IFERROR(INDEX('language&amp;DataTest'!A:J, MATCH(INDEX( PointerTest!C:C, MATCH(B25, PointerTest!A:A, 0), 0), 'language&amp;DataTest'!A:A, 0), MATCH(HOME!$A$25, 'language&amp;DataTest'!$A$1:$G$1, 0))),                      IFERROR(INDEX('language&amp;DataTest'!A:J, MATCH(INDEX( PointerTest!D:D, MATCH(B25, PointerTest!A:A, 0), 0), 'language&amp;DataTest'!A:A, 0), MATCH(HOME!$A$25, 'language&amp;DataTest'!$A$1:$G$1, 0))),                                          
IFERROR(INDEX('language&amp;DataTest'!A:J, MATCH(INDEX( PointerTest!E:E, MATCH(B25, PointerTest!A:A, 0), 0), 'language&amp;DataTest'!A:A, 0), MATCH(HOME!$A$25, 'language&amp;DataTest'!$A$1:$G$1, 0))))</f>
        <v>Tangela</v>
      </c>
      <c r="D25" s="124" t="str">
        <f t="shared" si="1"/>
        <v>Tangela</v>
      </c>
      <c r="E25" s="124" t="b">
        <f>IFERROR(__xludf.DUMMYFUNCTION("REGEXMATCH(SUBSTITUTE(SUBSTITUTE(SUBSTITUTE(C25:C1000, ""♂"", ""male""), ""♀"", ""female""), "" ex"", """"), TEXTJOIN(""\b|"", TRUE,SPLIT($M$2, "" "")) &amp; ""\b"")"),TRUE)</f>
        <v>1</v>
      </c>
      <c r="G25" s="341" t="str">
        <f>IFERROR(__xludf.DUMMYFUNCTION("""COMPUTED_VALUE"""),"Tangela")</f>
        <v>Tangela</v>
      </c>
      <c r="I25" s="341" t="str">
        <f>IFERROR(__xludf.DUMMYFUNCTION("""COMPUTED_VALUE"""),"Pinsir")</f>
        <v>Pinsir</v>
      </c>
      <c r="M25" s="297"/>
      <c r="S25" s="389"/>
    </row>
    <row r="26">
      <c r="A26" s="68" t="b">
        <v>1</v>
      </c>
      <c r="B26" s="386" t="s">
        <v>111</v>
      </c>
      <c r="C26" s="386" t="str">
        <f t="array" ref="C26">TEXTJOIN("", TRUE, IFERROR(INDEX('language&amp;DataTest'!A:J, MATCH(INDEX( PointerTest!C:C, MATCH(B26, PointerTest!A:A, 0), 0), 'language&amp;DataTest'!A:A, 0), MATCH(HOME!$A$25, 'language&amp;DataTest'!$A$1:$G$1, 0))),                      IFERROR(INDEX('language&amp;DataTest'!A:J, MATCH(INDEX( PointerTest!D:D, MATCH(B26, PointerTest!A:A, 0), 0), 'language&amp;DataTest'!A:A, 0), MATCH(HOME!$A$25, 'language&amp;DataTest'!$A$1:$G$1, 0))),                                          
IFERROR(INDEX('language&amp;DataTest'!A:J, MATCH(INDEX( PointerTest!E:E, MATCH(B26, PointerTest!A:A, 0), 0), 'language&amp;DataTest'!A:A, 0), MATCH(HOME!$A$25, 'language&amp;DataTest'!$A$1:$G$1, 0))))</f>
        <v>Scyther</v>
      </c>
      <c r="D26" s="124" t="str">
        <f t="shared" si="1"/>
        <v>Scyther</v>
      </c>
      <c r="E26" s="124" t="b">
        <f>IFERROR(__xludf.DUMMYFUNCTION("REGEXMATCH(SUBSTITUTE(SUBSTITUTE(SUBSTITUTE(C26:C1000, ""♂"", ""male""), ""♀"", ""female""), "" ex"", """"), TEXTJOIN(""\b|"", TRUE,SPLIT($M$2, "" "")) &amp; ""\b"")"),TRUE)</f>
        <v>1</v>
      </c>
      <c r="G26" s="341" t="str">
        <f>IFERROR(__xludf.DUMMYFUNCTION("""COMPUTED_VALUE"""),"Scyther")</f>
        <v>Scyther</v>
      </c>
      <c r="I26" s="341" t="str">
        <f>IFERROR(__xludf.DUMMYFUNCTION("""COMPUTED_VALUE"""),"Charmander")</f>
        <v>Charmander</v>
      </c>
      <c r="M26" s="297"/>
      <c r="S26" s="389"/>
    </row>
    <row r="27">
      <c r="A27" s="68" t="b">
        <v>1</v>
      </c>
      <c r="B27" s="395" t="s">
        <v>114</v>
      </c>
      <c r="C27" s="386" t="str">
        <f t="array" ref="C27">TEXTJOIN("", TRUE, IFERROR(INDEX('language&amp;DataTest'!A:J, MATCH(INDEX( PointerTest!C:C, MATCH(B27, PointerTest!A:A, 0), 0), 'language&amp;DataTest'!A:A, 0), MATCH(HOME!$A$25, 'language&amp;DataTest'!$A$1:$G$1, 0))),                      IFERROR(INDEX('language&amp;DataTest'!A:J, MATCH(INDEX( PointerTest!D:D, MATCH(B27, PointerTest!A:A, 0), 0), 'language&amp;DataTest'!A:A, 0), MATCH(HOME!$A$25, 'language&amp;DataTest'!$A$1:$G$1, 0))),                                          
IFERROR(INDEX('language&amp;DataTest'!A:J, MATCH(INDEX( PointerTest!E:E, MATCH(B27, PointerTest!A:A, 0), 0), 'language&amp;DataTest'!A:A, 0), MATCH(HOME!$A$25, 'language&amp;DataTest'!$A$1:$G$1, 0))))</f>
        <v>Pinsir</v>
      </c>
      <c r="D27" s="124" t="str">
        <f t="shared" si="1"/>
        <v>Pinsir</v>
      </c>
      <c r="E27" s="124" t="b">
        <f>IFERROR(__xludf.DUMMYFUNCTION("REGEXMATCH(SUBSTITUTE(SUBSTITUTE(SUBSTITUTE(C27:C1000, ""♂"", ""male""), ""♀"", ""female""), "" ex"", """"), TEXTJOIN(""\b|"", TRUE,SPLIT($M$2, "" "")) &amp; ""\b"")"),TRUE)</f>
        <v>1</v>
      </c>
      <c r="G27" s="341" t="str">
        <f>IFERROR(__xludf.DUMMYFUNCTION("""COMPUTED_VALUE"""),"Pinsir")</f>
        <v>Pinsir</v>
      </c>
      <c r="I27" s="341" t="str">
        <f>IFERROR(__xludf.DUMMYFUNCTION("""COMPUTED_VALUE"""),"Charmeleon")</f>
        <v>Charmeleon</v>
      </c>
      <c r="M27" s="391"/>
      <c r="N27" s="142"/>
      <c r="O27" s="142"/>
      <c r="P27" s="142"/>
      <c r="Q27" s="142"/>
      <c r="R27" s="142"/>
      <c r="S27" s="392"/>
    </row>
    <row r="28">
      <c r="A28" s="68" t="b">
        <v>1</v>
      </c>
      <c r="B28" s="395" t="s">
        <v>117</v>
      </c>
      <c r="C28" s="386" t="str">
        <f t="array" ref="C28">TEXTJOIN("", TRUE, IFERROR(INDEX('language&amp;DataTest'!A:J, MATCH(INDEX( PointerTest!C:C, MATCH(B28, PointerTest!A:A, 0), 0), 'language&amp;DataTest'!A:A, 0), MATCH(HOME!$A$25, 'language&amp;DataTest'!$A$1:$G$1, 0))),                      IFERROR(INDEX('language&amp;DataTest'!A:J, MATCH(INDEX( PointerTest!D:D, MATCH(B28, PointerTest!A:A, 0), 0), 'language&amp;DataTest'!A:A, 0), MATCH(HOME!$A$25, 'language&amp;DataTest'!$A$1:$G$1, 0))),                                          
IFERROR(INDEX('language&amp;DataTest'!A:J, MATCH(INDEX( PointerTest!E:E, MATCH(B28, PointerTest!A:A, 0), 0), 'language&amp;DataTest'!A:A, 0), MATCH(HOME!$A$25, 'language&amp;DataTest'!$A$1:$G$1, 0))))</f>
        <v>Cottonee</v>
      </c>
      <c r="D28" s="124" t="str">
        <f t="shared" si="1"/>
        <v>Cottonee</v>
      </c>
      <c r="E28" s="124" t="b">
        <f>IFERROR(__xludf.DUMMYFUNCTION("REGEXMATCH(SUBSTITUTE(SUBSTITUTE(SUBSTITUTE(C28:C1000, ""♂"", ""male""), ""♀"", ""female""), "" ex"", """"), TEXTJOIN(""\b|"", TRUE,SPLIT($M$2, "" "")) &amp; ""\b"")"),FALSE)</f>
        <v>0</v>
      </c>
      <c r="G28" s="341" t="str">
        <f>IFERROR(__xludf.DUMMYFUNCTION("""COMPUTED_VALUE"""),"Charmander")</f>
        <v>Charmander</v>
      </c>
      <c r="I28" s="341" t="str">
        <f>IFERROR(__xludf.DUMMYFUNCTION("""COMPUTED_VALUE"""),"Charizard")</f>
        <v>Charizard</v>
      </c>
    </row>
    <row r="29">
      <c r="A29" s="68" t="b">
        <v>1</v>
      </c>
      <c r="B29" s="395" t="s">
        <v>119</v>
      </c>
      <c r="C29" s="386" t="str">
        <f t="array" ref="C29">TEXTJOIN("", TRUE, IFERROR(INDEX('language&amp;DataTest'!A:J, MATCH(INDEX( PointerTest!C:C, MATCH(B29, PointerTest!A:A, 0), 0), 'language&amp;DataTest'!A:A, 0), MATCH(HOME!$A$25, 'language&amp;DataTest'!$A$1:$G$1, 0))),                      IFERROR(INDEX('language&amp;DataTest'!A:J, MATCH(INDEX( PointerTest!D:D, MATCH(B29, PointerTest!A:A, 0), 0), 'language&amp;DataTest'!A:A, 0), MATCH(HOME!$A$25, 'language&amp;DataTest'!$A$1:$G$1, 0))),                                          
IFERROR(INDEX('language&amp;DataTest'!A:J, MATCH(INDEX( PointerTest!E:E, MATCH(B29, PointerTest!A:A, 0), 0), 'language&amp;DataTest'!A:A, 0), MATCH(HOME!$A$25, 'language&amp;DataTest'!$A$1:$G$1, 0))))</f>
        <v>Whimsicott</v>
      </c>
      <c r="D29" s="124" t="str">
        <f t="shared" si="1"/>
        <v>Whimsicott</v>
      </c>
      <c r="E29" s="124" t="b">
        <f>IFERROR(__xludf.DUMMYFUNCTION("REGEXMATCH(SUBSTITUTE(SUBSTITUTE(SUBSTITUTE(C29:C1000, ""♂"", ""male""), ""♀"", ""female""), "" ex"", """"), TEXTJOIN(""\b|"", TRUE,SPLIT($M$2, "" "")) &amp; ""\b"")"),FALSE)</f>
        <v>0</v>
      </c>
      <c r="G29" s="341" t="str">
        <f>IFERROR(__xludf.DUMMYFUNCTION("""COMPUTED_VALUE"""),"Charmeleon")</f>
        <v>Charmeleon</v>
      </c>
      <c r="I29" s="341" t="str">
        <f>IFERROR(__xludf.DUMMYFUNCTION("""COMPUTED_VALUE"""),"Vulpix")</f>
        <v>Vulpix</v>
      </c>
      <c r="M29" s="124" t="s">
        <v>6217</v>
      </c>
    </row>
    <row r="30">
      <c r="A30" s="68" t="b">
        <v>1</v>
      </c>
      <c r="B30" s="395" t="s">
        <v>120</v>
      </c>
      <c r="C30" s="386" t="str">
        <f t="array" ref="C30">TEXTJOIN("", TRUE, IFERROR(INDEX('language&amp;DataTest'!A:J, MATCH(INDEX( PointerTest!C:C, MATCH(B30, PointerTest!A:A, 0), 0), 'language&amp;DataTest'!A:A, 0), MATCH(HOME!$A$25, 'language&amp;DataTest'!$A$1:$G$1, 0))),                      IFERROR(INDEX('language&amp;DataTest'!A:J, MATCH(INDEX( PointerTest!D:D, MATCH(B30, PointerTest!A:A, 0), 0), 'language&amp;DataTest'!A:A, 0), MATCH(HOME!$A$25, 'language&amp;DataTest'!$A$1:$G$1, 0))),                                          
IFERROR(INDEX('language&amp;DataTest'!A:J, MATCH(INDEX( PointerTest!E:E, MATCH(B30, PointerTest!A:A, 0), 0), 'language&amp;DataTest'!A:A, 0), MATCH(HOME!$A$25, 'language&amp;DataTest'!$A$1:$G$1, 0))))</f>
        <v>Petilil</v>
      </c>
      <c r="D30" s="124" t="str">
        <f t="shared" si="1"/>
        <v>Petilil</v>
      </c>
      <c r="E30" s="124" t="b">
        <f>IFERROR(__xludf.DUMMYFUNCTION("REGEXMATCH(SUBSTITUTE(SUBSTITUTE(SUBSTITUTE(C30:C1000, ""♂"", ""male""), ""♀"", ""female""), "" ex"", """"), TEXTJOIN(""\b|"", TRUE,SPLIT($M$2, "" "")) &amp; ""\b"")"),FALSE)</f>
        <v>0</v>
      </c>
      <c r="G30" s="341" t="str">
        <f>IFERROR(__xludf.DUMMYFUNCTION("""COMPUTED_VALUE"""),"Charizard")</f>
        <v>Charizard</v>
      </c>
      <c r="I30" s="341" t="str">
        <f>IFERROR(__xludf.DUMMYFUNCTION("""COMPUTED_VALUE"""),"Ninetales")</f>
        <v>Ninetales</v>
      </c>
      <c r="M30" s="396" t="str">
        <f t="array" ref="M30">TEXTJOIN("|", TRUE, INDEX('language&amp;DataTest'!A33:AB182, , MATCH(HOME!$A$25, 'language&amp;DataTest'!$A$1:$G$1, 0)))</f>
        <v>Bulbasaur|Ivysaur|Venusaur|Charmander|Charmeleon|Charizard|Squirtle|Wartortle|Blastoise|Caterpie|Metapod|Butterfree|Weedle|Kakuna|Beedrill|Pidgey|Pidgeotto|Pidgeot|Rattata|Raticate|Spearow|Fearow|Ekans|Arbok|Pikachu|Raichu|Sandshrew|Sandslash|Nidoran♀|Nidorina|Nidoqueen|Nidoran♂|Nidorino|Nidoking|Clefairy|Clefable|Vulpix|Ninetales|Jigglypuff|Wigglytuff|Zubat|Golbat|Oddish|Gloom|Vileplume|Paras|Parasect|Venonat|Venomoth|Diglett|Dugtrio|Meowth|Persian|Psyduck|Golduck|Mankey|Primeape|Growlithe|Arcanine|Poliwag|Poliwhirl|Poliwrath|Abra|Kadabra|Alakazam|Machop|Machoke|Machamp|Bellsprout|Weepinbell|Victreebel|Tentacool|Tentacruel|Geodude|Graveler|Golem|Ponyta|Rapidash|Slowpoke|Slowbro|Magnemite|Magneton|Farfetch'd|Doduo|Dodrio|Seel|Dewgong|Grimer|Muk|Shellder|Cloyster|Gastly|Haunter|Gengar|Onix|Drowzee|Hypno|Krabby|Kingler|Voltorb|Electrode|Exeggcute|Exeggutor|Cubone|Marowak|Hitmonlee|Hitmonchan|Lickitung|Koffing|Weezing|Rhyhorn|Rhydon|Chansey|Tangela|Kangaskhan|Horsea|Seadra|Goldeen|Seaking|Staryu|Starmie|Mr. Mime|Scyther|Jynx|Electabuzz|Magmar|Pinsir|Tauros|Magikarp|Gyarados|Lapras|Ditto|Eevee|Vaporeon|Jolteon|Flareon|Porygon|Omanyte|Omastar|Kabuto|Kabutops|Aerodactyl|Snorlax|Articuno|Zapdos|Moltres|Dratini|Dragonair|Dragonite|Mewtwo</v>
      </c>
    </row>
    <row r="31">
      <c r="A31" s="68" t="b">
        <v>1</v>
      </c>
      <c r="B31" s="395" t="s">
        <v>121</v>
      </c>
      <c r="C31" s="386" t="str">
        <f t="array" ref="C31">TEXTJOIN("", TRUE, IFERROR(INDEX('language&amp;DataTest'!A:J, MATCH(INDEX( PointerTest!C:C, MATCH(B31, PointerTest!A:A, 0), 0), 'language&amp;DataTest'!A:A, 0), MATCH(HOME!$A$25, 'language&amp;DataTest'!$A$1:$G$1, 0))),                      IFERROR(INDEX('language&amp;DataTest'!A:J, MATCH(INDEX( PointerTest!D:D, MATCH(B31, PointerTest!A:A, 0), 0), 'language&amp;DataTest'!A:A, 0), MATCH(HOME!$A$25, 'language&amp;DataTest'!$A$1:$G$1, 0))),                                          
IFERROR(INDEX('language&amp;DataTest'!A:J, MATCH(INDEX( PointerTest!E:E, MATCH(B31, PointerTest!A:A, 0), 0), 'language&amp;DataTest'!A:A, 0), MATCH(HOME!$A$25, 'language&amp;DataTest'!$A$1:$G$1, 0))))</f>
        <v>Lilligant</v>
      </c>
      <c r="D31" s="124" t="str">
        <f t="shared" si="1"/>
        <v>Lilligant</v>
      </c>
      <c r="E31" s="124" t="b">
        <f>IFERROR(__xludf.DUMMYFUNCTION("REGEXMATCH(SUBSTITUTE(SUBSTITUTE(SUBSTITUTE(C31:C1000, ""♂"", ""male""), ""♀"", ""female""), "" ex"", """"), TEXTJOIN(""\b|"", TRUE,SPLIT($M$2, "" "")) &amp; ""\b"")"),FALSE)</f>
        <v>0</v>
      </c>
      <c r="G31" s="341" t="str">
        <f>IFERROR(__xludf.DUMMYFUNCTION("""COMPUTED_VALUE"""),"Charizard")</f>
        <v>Charizard</v>
      </c>
      <c r="I31" s="341" t="str">
        <f>IFERROR(__xludf.DUMMYFUNCTION("""COMPUTED_VALUE"""),"Growlithe")</f>
        <v>Growlithe</v>
      </c>
    </row>
    <row r="32">
      <c r="A32" s="68" t="b">
        <v>1</v>
      </c>
      <c r="B32" s="393" t="s">
        <v>122</v>
      </c>
      <c r="C32" s="386" t="str">
        <f t="array" ref="C32">TEXTJOIN("", TRUE, IFERROR(INDEX('language&amp;DataTest'!A:J, MATCH(INDEX( PointerTest!C:C, MATCH(B32, PointerTest!A:A, 0), 0), 'language&amp;DataTest'!A:A, 0), MATCH(HOME!$A$25, 'language&amp;DataTest'!$A$1:$G$1, 0))),                      IFERROR(INDEX('language&amp;DataTest'!A:J, MATCH(INDEX( PointerTest!D:D, MATCH(B32, PointerTest!A:A, 0), 0), 'language&amp;DataTest'!A:A, 0), MATCH(HOME!$A$25, 'language&amp;DataTest'!$A$1:$G$1, 0))),                                          
IFERROR(INDEX('language&amp;DataTest'!A:J, MATCH(INDEX( PointerTest!E:E, MATCH(B32, PointerTest!A:A, 0), 0), 'language&amp;DataTest'!A:A, 0), MATCH(HOME!$A$25, 'language&amp;DataTest'!$A$1:$G$1, 0))))</f>
        <v>Skiddo</v>
      </c>
      <c r="D32" s="124" t="str">
        <f t="shared" si="1"/>
        <v>Skiddo</v>
      </c>
      <c r="E32" s="124" t="b">
        <f>IFERROR(__xludf.DUMMYFUNCTION("REGEXMATCH(SUBSTITUTE(SUBSTITUTE(SUBSTITUTE(C32:C1000, ""♂"", ""male""), ""♀"", ""female""), "" ex"", """"), TEXTJOIN(""\b|"", TRUE,SPLIT($M$2, "" "")) &amp; ""\b"")"),FALSE)</f>
        <v>0</v>
      </c>
      <c r="G32" s="341" t="str">
        <f>IFERROR(__xludf.DUMMYFUNCTION("""COMPUTED_VALUE"""),"Vulpix")</f>
        <v>Vulpix</v>
      </c>
      <c r="I32" s="341" t="str">
        <f>IFERROR(__xludf.DUMMYFUNCTION("""COMPUTED_VALUE"""),"Arcanine")</f>
        <v>Arcanine</v>
      </c>
    </row>
    <row r="33">
      <c r="A33" s="68" t="b">
        <v>1</v>
      </c>
      <c r="B33" s="393" t="s">
        <v>123</v>
      </c>
      <c r="C33" s="386" t="str">
        <f t="array" ref="C33">TEXTJOIN("", TRUE, IFERROR(INDEX('language&amp;DataTest'!A:J, MATCH(INDEX( PointerTest!C:C, MATCH(B33, PointerTest!A:A, 0), 0), 'language&amp;DataTest'!A:A, 0), MATCH(HOME!$A$25, 'language&amp;DataTest'!$A$1:$G$1, 0))),                      IFERROR(INDEX('language&amp;DataTest'!A:J, MATCH(INDEX( PointerTest!D:D, MATCH(B33, PointerTest!A:A, 0), 0), 'language&amp;DataTest'!A:A, 0), MATCH(HOME!$A$25, 'language&amp;DataTest'!$A$1:$G$1, 0))),                                          
IFERROR(INDEX('language&amp;DataTest'!A:J, MATCH(INDEX( PointerTest!E:E, MATCH(B33, PointerTest!A:A, 0), 0), 'language&amp;DataTest'!A:A, 0), MATCH(HOME!$A$25, 'language&amp;DataTest'!$A$1:$G$1, 0))))</f>
        <v>Gogoat</v>
      </c>
      <c r="D33" s="124" t="str">
        <f t="shared" si="1"/>
        <v>Gogoat</v>
      </c>
      <c r="E33" s="124" t="b">
        <f>IFERROR(__xludf.DUMMYFUNCTION("REGEXMATCH(SUBSTITUTE(SUBSTITUTE(SUBSTITUTE(C33:C1000, ""♂"", ""male""), ""♀"", ""female""), "" ex"", """"), TEXTJOIN(""\b|"", TRUE,SPLIT($M$2, "" "")) &amp; ""\b"")"),FALSE)</f>
        <v>0</v>
      </c>
      <c r="G33" s="341" t="str">
        <f>IFERROR(__xludf.DUMMYFUNCTION("""COMPUTED_VALUE"""),"Ninetales")</f>
        <v>Ninetales</v>
      </c>
      <c r="I33" s="341" t="str">
        <f>IFERROR(__xludf.DUMMYFUNCTION("""COMPUTED_VALUE"""),"Ponyta")</f>
        <v>Ponyta</v>
      </c>
    </row>
    <row r="34">
      <c r="A34" s="68" t="b">
        <v>1</v>
      </c>
      <c r="B34" s="393" t="s">
        <v>124</v>
      </c>
      <c r="C34" s="386" t="str">
        <f t="array" ref="C34">TEXTJOIN("", TRUE, IFERROR(INDEX('language&amp;DataTest'!A:J, MATCH(INDEX( PointerTest!C:C, MATCH(B34, PointerTest!A:A, 0), 0), 'language&amp;DataTest'!A:A, 0), MATCH(HOME!$A$25, 'language&amp;DataTest'!$A$1:$G$1, 0))),                      IFERROR(INDEX('language&amp;DataTest'!A:J, MATCH(INDEX( PointerTest!D:D, MATCH(B34, PointerTest!A:A, 0), 0), 'language&amp;DataTest'!A:A, 0), MATCH(HOME!$A$25, 'language&amp;DataTest'!$A$1:$G$1, 0))),                                          
IFERROR(INDEX('language&amp;DataTest'!A:J, MATCH(INDEX( PointerTest!E:E, MATCH(B34, PointerTest!A:A, 0), 0), 'language&amp;DataTest'!A:A, 0), MATCH(HOME!$A$25, 'language&amp;DataTest'!$A$1:$G$1, 0))))</f>
        <v>Charmander</v>
      </c>
      <c r="D34" s="124" t="str">
        <f t="shared" si="1"/>
        <v>Charmander</v>
      </c>
      <c r="E34" s="124" t="b">
        <f>IFERROR(__xludf.DUMMYFUNCTION("REGEXMATCH(SUBSTITUTE(SUBSTITUTE(SUBSTITUTE(C34:C1000, ""♂"", ""male""), ""♀"", ""female""), "" ex"", """"), TEXTJOIN(""\b|"", TRUE,SPLIT($M$2, "" "")) &amp; ""\b"")"),TRUE)</f>
        <v>1</v>
      </c>
      <c r="G34" s="341" t="str">
        <f>IFERROR(__xludf.DUMMYFUNCTION("""COMPUTED_VALUE"""),"Growlithe")</f>
        <v>Growlithe</v>
      </c>
      <c r="I34" s="341" t="str">
        <f>IFERROR(__xludf.DUMMYFUNCTION("""COMPUTED_VALUE"""),"Rapidash")</f>
        <v>Rapidash</v>
      </c>
    </row>
    <row r="35">
      <c r="A35" s="68" t="b">
        <v>1</v>
      </c>
      <c r="B35" s="393" t="s">
        <v>125</v>
      </c>
      <c r="C35" s="386" t="str">
        <f t="array" ref="C35">TEXTJOIN("", TRUE, IFERROR(INDEX('language&amp;DataTest'!A:J, MATCH(INDEX( PointerTest!C:C, MATCH(B35, PointerTest!A:A, 0), 0), 'language&amp;DataTest'!A:A, 0), MATCH(HOME!$A$25, 'language&amp;DataTest'!$A$1:$G$1, 0))),                      IFERROR(INDEX('language&amp;DataTest'!A:J, MATCH(INDEX( PointerTest!D:D, MATCH(B35, PointerTest!A:A, 0), 0), 'language&amp;DataTest'!A:A, 0), MATCH(HOME!$A$25, 'language&amp;DataTest'!$A$1:$G$1, 0))),                                          
IFERROR(INDEX('language&amp;DataTest'!A:J, MATCH(INDEX( PointerTest!E:E, MATCH(B35, PointerTest!A:A, 0), 0), 'language&amp;DataTest'!A:A, 0), MATCH(HOME!$A$25, 'language&amp;DataTest'!$A$1:$G$1, 0))))</f>
        <v>Charmeleon</v>
      </c>
      <c r="D35" s="124" t="str">
        <f t="shared" si="1"/>
        <v>Charmeleon</v>
      </c>
      <c r="E35" s="124" t="b">
        <f>IFERROR(__xludf.DUMMYFUNCTION("REGEXMATCH(SUBSTITUTE(SUBSTITUTE(SUBSTITUTE(C35:C1000, ""♂"", ""male""), ""♀"", ""female""), "" ex"", """"), TEXTJOIN(""\b|"", TRUE,SPLIT($M$2, "" "")) &amp; ""\b"")"),TRUE)</f>
        <v>1</v>
      </c>
      <c r="G35" s="341" t="str">
        <f>IFERROR(__xludf.DUMMYFUNCTION("""COMPUTED_VALUE"""),"Arcanine")</f>
        <v>Arcanine</v>
      </c>
      <c r="I35" s="341" t="str">
        <f>IFERROR(__xludf.DUMMYFUNCTION("""COMPUTED_VALUE"""),"Magmar")</f>
        <v>Magmar</v>
      </c>
    </row>
    <row r="36">
      <c r="A36" s="68" t="b">
        <v>1</v>
      </c>
      <c r="B36" s="393" t="s">
        <v>126</v>
      </c>
      <c r="C36" s="386" t="str">
        <f t="array" ref="C36">TEXTJOIN("", TRUE, IFERROR(INDEX('language&amp;DataTest'!A:J, MATCH(INDEX( PointerTest!C:C, MATCH(B36, PointerTest!A:A, 0), 0), 'language&amp;DataTest'!A:A, 0), MATCH(HOME!$A$25, 'language&amp;DataTest'!$A$1:$G$1, 0))),                      IFERROR(INDEX('language&amp;DataTest'!A:J, MATCH(INDEX( PointerTest!D:D, MATCH(B36, PointerTest!A:A, 0), 0), 'language&amp;DataTest'!A:A, 0), MATCH(HOME!$A$25, 'language&amp;DataTest'!$A$1:$G$1, 0))),                                          
IFERROR(INDEX('language&amp;DataTest'!A:J, MATCH(INDEX( PointerTest!E:E, MATCH(B36, PointerTest!A:A, 0), 0), 'language&amp;DataTest'!A:A, 0), MATCH(HOME!$A$25, 'language&amp;DataTest'!$A$1:$G$1, 0))))</f>
        <v>Charizard</v>
      </c>
      <c r="D36" s="124" t="str">
        <f t="shared" si="1"/>
        <v>Charizard</v>
      </c>
      <c r="E36" s="124" t="b">
        <f>IFERROR(__xludf.DUMMYFUNCTION("REGEXMATCH(SUBSTITUTE(SUBSTITUTE(SUBSTITUTE(C36:C1000, ""♂"", ""male""), ""♀"", ""female""), "" ex"", """"), TEXTJOIN(""\b|"", TRUE,SPLIT($M$2, "" "")) &amp; ""\b"")"),TRUE)</f>
        <v>1</v>
      </c>
      <c r="G36" s="341" t="str">
        <f>IFERROR(__xludf.DUMMYFUNCTION("""COMPUTED_VALUE"""),"Arcanine")</f>
        <v>Arcanine</v>
      </c>
      <c r="I36" s="341" t="str">
        <f>IFERROR(__xludf.DUMMYFUNCTION("""COMPUTED_VALUE"""),"Flareon")</f>
        <v>Flareon</v>
      </c>
    </row>
    <row r="37">
      <c r="A37" s="68" t="b">
        <v>1</v>
      </c>
      <c r="B37" s="393" t="s">
        <v>129</v>
      </c>
      <c r="C37" s="386" t="str">
        <f t="array" ref="C37">TEXTJOIN("", TRUE, IFERROR(INDEX('language&amp;DataTest'!A:J, MATCH(INDEX( PointerTest!C:C, MATCH(B37, PointerTest!A:A, 0), 0), 'language&amp;DataTest'!A:A, 0), MATCH(HOME!$A$25, 'language&amp;DataTest'!$A$1:$G$1, 0))),                      IFERROR(INDEX('language&amp;DataTest'!A:J, MATCH(INDEX( PointerTest!D:D, MATCH(B37, PointerTest!A:A, 0), 0), 'language&amp;DataTest'!A:A, 0), MATCH(HOME!$A$25, 'language&amp;DataTest'!$A$1:$G$1, 0))),                                          
IFERROR(INDEX('language&amp;DataTest'!A:J, MATCH(INDEX( PointerTest!E:E, MATCH(B37, PointerTest!A:A, 0), 0), 'language&amp;DataTest'!A:A, 0), MATCH(HOME!$A$25, 'language&amp;DataTest'!$A$1:$G$1, 0))))</f>
        <v>Charizard ex</v>
      </c>
      <c r="D37" s="124" t="str">
        <f t="shared" si="1"/>
        <v>Charizard</v>
      </c>
      <c r="E37" s="124" t="b">
        <f>IFERROR(__xludf.DUMMYFUNCTION("REGEXMATCH(SUBSTITUTE(SUBSTITUTE(SUBSTITUTE(C37:C1000, ""♂"", ""male""), ""♀"", ""female""), "" ex"", """"), TEXTJOIN(""\b|"", TRUE,SPLIT($M$2, "" "")) &amp; ""\b"")"),TRUE)</f>
        <v>1</v>
      </c>
      <c r="G37" s="341" t="str">
        <f>IFERROR(__xludf.DUMMYFUNCTION("""COMPUTED_VALUE"""),"Ponyta")</f>
        <v>Ponyta</v>
      </c>
      <c r="I37" s="341" t="str">
        <f>IFERROR(__xludf.DUMMYFUNCTION("""COMPUTED_VALUE"""),"Moltres")</f>
        <v>Moltres</v>
      </c>
    </row>
    <row r="38">
      <c r="A38" s="68" t="b">
        <v>1</v>
      </c>
      <c r="B38" s="393" t="s">
        <v>130</v>
      </c>
      <c r="C38" s="386" t="str">
        <f t="array" ref="C38">TEXTJOIN("", TRUE, IFERROR(INDEX('language&amp;DataTest'!A:J, MATCH(INDEX( PointerTest!C:C, MATCH(B38, PointerTest!A:A, 0), 0), 'language&amp;DataTest'!A:A, 0), MATCH(HOME!$A$25, 'language&amp;DataTest'!$A$1:$G$1, 0))),                      IFERROR(INDEX('language&amp;DataTest'!A:J, MATCH(INDEX( PointerTest!D:D, MATCH(B38, PointerTest!A:A, 0), 0), 'language&amp;DataTest'!A:A, 0), MATCH(HOME!$A$25, 'language&amp;DataTest'!$A$1:$G$1, 0))),                                          
IFERROR(INDEX('language&amp;DataTest'!A:J, MATCH(INDEX( PointerTest!E:E, MATCH(B38, PointerTest!A:A, 0), 0), 'language&amp;DataTest'!A:A, 0), MATCH(HOME!$A$25, 'language&amp;DataTest'!$A$1:$G$1, 0))))</f>
        <v>Vulpix</v>
      </c>
      <c r="D38" s="124" t="str">
        <f t="shared" si="1"/>
        <v>Vulpix</v>
      </c>
      <c r="E38" s="124" t="b">
        <f>IFERROR(__xludf.DUMMYFUNCTION("REGEXMATCH(SUBSTITUTE(SUBSTITUTE(SUBSTITUTE(C38:C1000, ""♂"", ""male""), ""♀"", ""female""), "" ex"", """"), TEXTJOIN(""\b|"", TRUE,SPLIT($M$2, "" "")) &amp; ""\b"")"),TRUE)</f>
        <v>1</v>
      </c>
      <c r="G38" s="341" t="str">
        <f>IFERROR(__xludf.DUMMYFUNCTION("""COMPUTED_VALUE"""),"Rapidash")</f>
        <v>Rapidash</v>
      </c>
      <c r="I38" s="341" t="str">
        <f>IFERROR(__xludf.DUMMYFUNCTION("""COMPUTED_VALUE"""),"Squirtle")</f>
        <v>Squirtle</v>
      </c>
    </row>
    <row r="39">
      <c r="A39" s="68" t="b">
        <v>1</v>
      </c>
      <c r="B39" s="393" t="s">
        <v>131</v>
      </c>
      <c r="C39" s="386" t="str">
        <f t="array" ref="C39">TEXTJOIN("", TRUE, IFERROR(INDEX('language&amp;DataTest'!A:J, MATCH(INDEX( PointerTest!C:C, MATCH(B39, PointerTest!A:A, 0), 0), 'language&amp;DataTest'!A:A, 0), MATCH(HOME!$A$25, 'language&amp;DataTest'!$A$1:$G$1, 0))),                      IFERROR(INDEX('language&amp;DataTest'!A:J, MATCH(INDEX( PointerTest!D:D, MATCH(B39, PointerTest!A:A, 0), 0), 'language&amp;DataTest'!A:A, 0), MATCH(HOME!$A$25, 'language&amp;DataTest'!$A$1:$G$1, 0))),                                          
IFERROR(INDEX('language&amp;DataTest'!A:J, MATCH(INDEX( PointerTest!E:E, MATCH(B39, PointerTest!A:A, 0), 0), 'language&amp;DataTest'!A:A, 0), MATCH(HOME!$A$25, 'language&amp;DataTest'!$A$1:$G$1, 0))))</f>
        <v>Ninetales</v>
      </c>
      <c r="D39" s="124" t="str">
        <f t="shared" si="1"/>
        <v>Ninetales</v>
      </c>
      <c r="E39" s="124" t="b">
        <f>IFERROR(__xludf.DUMMYFUNCTION("REGEXMATCH(SUBSTITUTE(SUBSTITUTE(SUBSTITUTE(C39:C1000, ""♂"", ""male""), ""♀"", ""female""), "" ex"", """"), TEXTJOIN(""\b|"", TRUE,SPLIT($M$2, "" "")) &amp; ""\b"")"),TRUE)</f>
        <v>1</v>
      </c>
      <c r="G39" s="341" t="str">
        <f>IFERROR(__xludf.DUMMYFUNCTION("""COMPUTED_VALUE"""),"Magmar")</f>
        <v>Magmar</v>
      </c>
      <c r="I39" s="341" t="str">
        <f>IFERROR(__xludf.DUMMYFUNCTION("""COMPUTED_VALUE"""),"Wartortle")</f>
        <v>Wartortle</v>
      </c>
    </row>
    <row r="40">
      <c r="A40" s="68" t="b">
        <v>1</v>
      </c>
      <c r="B40" s="390" t="s">
        <v>132</v>
      </c>
      <c r="C40" s="386" t="str">
        <f t="array" ref="C40">TEXTJOIN("", TRUE, IFERROR(INDEX('language&amp;DataTest'!A:J, MATCH(INDEX( PointerTest!C:C, MATCH(B40, PointerTest!A:A, 0), 0), 'language&amp;DataTest'!A:A, 0), MATCH(HOME!$A$25, 'language&amp;DataTest'!$A$1:$G$1, 0))),                      IFERROR(INDEX('language&amp;DataTest'!A:J, MATCH(INDEX( PointerTest!D:D, MATCH(B40, PointerTest!A:A, 0), 0), 'language&amp;DataTest'!A:A, 0), MATCH(HOME!$A$25, 'language&amp;DataTest'!$A$1:$G$1, 0))),                                          
IFERROR(INDEX('language&amp;DataTest'!A:J, MATCH(INDEX( PointerTest!E:E, MATCH(B40, PointerTest!A:A, 0), 0), 'language&amp;DataTest'!A:A, 0), MATCH(HOME!$A$25, 'language&amp;DataTest'!$A$1:$G$1, 0))))</f>
        <v>Growlithe</v>
      </c>
      <c r="D40" s="124" t="str">
        <f t="shared" si="1"/>
        <v>Growlithe</v>
      </c>
      <c r="E40" s="124" t="b">
        <f>IFERROR(__xludf.DUMMYFUNCTION("REGEXMATCH(SUBSTITUTE(SUBSTITUTE(SUBSTITUTE(C40:C1000, ""♂"", ""male""), ""♀"", ""female""), "" ex"", """"), TEXTJOIN(""\b|"", TRUE,SPLIT($M$2, "" "")) &amp; ""\b"")"),TRUE)</f>
        <v>1</v>
      </c>
      <c r="G40" s="341" t="str">
        <f>IFERROR(__xludf.DUMMYFUNCTION("""COMPUTED_VALUE"""),"Flareon")</f>
        <v>Flareon</v>
      </c>
      <c r="I40" s="341" t="str">
        <f>IFERROR(__xludf.DUMMYFUNCTION("""COMPUTED_VALUE"""),"Blastoise")</f>
        <v>Blastoise</v>
      </c>
    </row>
    <row r="41">
      <c r="A41" s="68" t="b">
        <v>1</v>
      </c>
      <c r="B41" s="390" t="s">
        <v>133</v>
      </c>
      <c r="C41" s="386" t="str">
        <f t="array" ref="C41">TEXTJOIN("", TRUE, IFERROR(INDEX('language&amp;DataTest'!A:J, MATCH(INDEX( PointerTest!C:C, MATCH(B41, PointerTest!A:A, 0), 0), 'language&amp;DataTest'!A:A, 0), MATCH(HOME!$A$25, 'language&amp;DataTest'!$A$1:$G$1, 0))),                      IFERROR(INDEX('language&amp;DataTest'!A:J, MATCH(INDEX( PointerTest!D:D, MATCH(B41, PointerTest!A:A, 0), 0), 'language&amp;DataTest'!A:A, 0), MATCH(HOME!$A$25, 'language&amp;DataTest'!$A$1:$G$1, 0))),                                          
IFERROR(INDEX('language&amp;DataTest'!A:J, MATCH(INDEX( PointerTest!E:E, MATCH(B41, PointerTest!A:A, 0), 0), 'language&amp;DataTest'!A:A, 0), MATCH(HOME!$A$25, 'language&amp;DataTest'!$A$1:$G$1, 0))))</f>
        <v>Arcanine</v>
      </c>
      <c r="D41" s="124" t="str">
        <f t="shared" si="1"/>
        <v>Arcanine</v>
      </c>
      <c r="E41" s="124" t="b">
        <f>IFERROR(__xludf.DUMMYFUNCTION("REGEXMATCH(SUBSTITUTE(SUBSTITUTE(SUBSTITUTE(C41:C1000, ""♂"", ""male""), ""♀"", ""female""), "" ex"", """"), TEXTJOIN(""\b|"", TRUE,SPLIT($M$2, "" "")) &amp; ""\b"")"),TRUE)</f>
        <v>1</v>
      </c>
      <c r="G41" s="341" t="str">
        <f>IFERROR(__xludf.DUMMYFUNCTION("""COMPUTED_VALUE"""),"Moltres")</f>
        <v>Moltres</v>
      </c>
      <c r="I41" s="341" t="str">
        <f>IFERROR(__xludf.DUMMYFUNCTION("""COMPUTED_VALUE"""),"Psyduck")</f>
        <v>Psyduck</v>
      </c>
    </row>
    <row r="42">
      <c r="A42" s="68" t="b">
        <v>1</v>
      </c>
      <c r="B42" s="390" t="s">
        <v>135</v>
      </c>
      <c r="C42" s="386" t="str">
        <f t="array" ref="C42">TEXTJOIN("", TRUE, IFERROR(INDEX('language&amp;DataTest'!A:J, MATCH(INDEX( PointerTest!C:C, MATCH(B42, PointerTest!A:A, 0), 0), 'language&amp;DataTest'!A:A, 0), MATCH(HOME!$A$25, 'language&amp;DataTest'!$A$1:$G$1, 0))),                      IFERROR(INDEX('language&amp;DataTest'!A:J, MATCH(INDEX( PointerTest!D:D, MATCH(B42, PointerTest!A:A, 0), 0), 'language&amp;DataTest'!A:A, 0), MATCH(HOME!$A$25, 'language&amp;DataTest'!$A$1:$G$1, 0))),                                          
IFERROR(INDEX('language&amp;DataTest'!A:J, MATCH(INDEX( PointerTest!E:E, MATCH(B42, PointerTest!A:A, 0), 0), 'language&amp;DataTest'!A:A, 0), MATCH(HOME!$A$25, 'language&amp;DataTest'!$A$1:$G$1, 0))))</f>
        <v>Arcanine ex</v>
      </c>
      <c r="D42" s="124" t="str">
        <f t="shared" si="1"/>
        <v>Arcanine</v>
      </c>
      <c r="E42" s="124" t="b">
        <f>IFERROR(__xludf.DUMMYFUNCTION("REGEXMATCH(SUBSTITUTE(SUBSTITUTE(SUBSTITUTE(C42:C1000, ""♂"", ""male""), ""♀"", ""female""), "" ex"", """"), TEXTJOIN(""\b|"", TRUE,SPLIT($M$2, "" "")) &amp; ""\b"")"),TRUE)</f>
        <v>1</v>
      </c>
      <c r="G42" s="341" t="str">
        <f>IFERROR(__xludf.DUMMYFUNCTION("""COMPUTED_VALUE"""),"Moltres")</f>
        <v>Moltres</v>
      </c>
      <c r="I42" s="341" t="str">
        <f>IFERROR(__xludf.DUMMYFUNCTION("""COMPUTED_VALUE"""),"Golduck")</f>
        <v>Golduck</v>
      </c>
    </row>
    <row r="43">
      <c r="A43" s="68" t="b">
        <v>1</v>
      </c>
      <c r="B43" s="395" t="s">
        <v>136</v>
      </c>
      <c r="C43" s="386" t="str">
        <f t="array" ref="C43">TEXTJOIN("", TRUE, IFERROR(INDEX('language&amp;DataTest'!A:J, MATCH(INDEX( PointerTest!C:C, MATCH(B43, PointerTest!A:A, 0), 0), 'language&amp;DataTest'!A:A, 0), MATCH(HOME!$A$25, 'language&amp;DataTest'!$A$1:$G$1, 0))),                      IFERROR(INDEX('language&amp;DataTest'!A:J, MATCH(INDEX( PointerTest!D:D, MATCH(B43, PointerTest!A:A, 0), 0), 'language&amp;DataTest'!A:A, 0), MATCH(HOME!$A$25, 'language&amp;DataTest'!$A$1:$G$1, 0))),                                          
IFERROR(INDEX('language&amp;DataTest'!A:J, MATCH(INDEX( PointerTest!E:E, MATCH(B43, PointerTest!A:A, 0), 0), 'language&amp;DataTest'!A:A, 0), MATCH(HOME!$A$25, 'language&amp;DataTest'!$A$1:$G$1, 0))))</f>
        <v>Ponyta</v>
      </c>
      <c r="D43" s="124" t="str">
        <f t="shared" si="1"/>
        <v>Ponyta</v>
      </c>
      <c r="E43" s="124" t="b">
        <f>IFERROR(__xludf.DUMMYFUNCTION("REGEXMATCH(SUBSTITUTE(SUBSTITUTE(SUBSTITUTE(C43:C1000, ""♂"", ""male""), ""♀"", ""female""), "" ex"", """"), TEXTJOIN(""\b|"", TRUE,SPLIT($M$2, "" "")) &amp; ""\b"")"),TRUE)</f>
        <v>1</v>
      </c>
      <c r="G43" s="341" t="str">
        <f>IFERROR(__xludf.DUMMYFUNCTION("""COMPUTED_VALUE"""),"Squirtle")</f>
        <v>Squirtle</v>
      </c>
      <c r="I43" s="341" t="str">
        <f>IFERROR(__xludf.DUMMYFUNCTION("""COMPUTED_VALUE"""),"Poliwag")</f>
        <v>Poliwag</v>
      </c>
    </row>
    <row r="44">
      <c r="A44" s="68" t="b">
        <v>1</v>
      </c>
      <c r="B44" s="395" t="s">
        <v>139</v>
      </c>
      <c r="C44" s="386" t="str">
        <f t="array" ref="C44">TEXTJOIN("", TRUE, IFERROR(INDEX('language&amp;DataTest'!A:J, MATCH(INDEX( PointerTest!C:C, MATCH(B44, PointerTest!A:A, 0), 0), 'language&amp;DataTest'!A:A, 0), MATCH(HOME!$A$25, 'language&amp;DataTest'!$A$1:$G$1, 0))),                      IFERROR(INDEX('language&amp;DataTest'!A:J, MATCH(INDEX( PointerTest!D:D, MATCH(B44, PointerTest!A:A, 0), 0), 'language&amp;DataTest'!A:A, 0), MATCH(HOME!$A$25, 'language&amp;DataTest'!$A$1:$G$1, 0))),                                          
IFERROR(INDEX('language&amp;DataTest'!A:J, MATCH(INDEX( PointerTest!E:E, MATCH(B44, PointerTest!A:A, 0), 0), 'language&amp;DataTest'!A:A, 0), MATCH(HOME!$A$25, 'language&amp;DataTest'!$A$1:$G$1, 0))))</f>
        <v>Rapidash</v>
      </c>
      <c r="D44" s="124" t="str">
        <f t="shared" si="1"/>
        <v>Rapidash</v>
      </c>
      <c r="E44" s="124" t="b">
        <f>IFERROR(__xludf.DUMMYFUNCTION("REGEXMATCH(SUBSTITUTE(SUBSTITUTE(SUBSTITUTE(C44:C1000, ""♂"", ""male""), ""♀"", ""female""), "" ex"", """"), TEXTJOIN(""\b|"", TRUE,SPLIT($M$2, "" "")) &amp; ""\b"")"),TRUE)</f>
        <v>1</v>
      </c>
      <c r="G44" s="341" t="str">
        <f>IFERROR(__xludf.DUMMYFUNCTION("""COMPUTED_VALUE"""),"Wartortle")</f>
        <v>Wartortle</v>
      </c>
      <c r="I44" s="341" t="str">
        <f>IFERROR(__xludf.DUMMYFUNCTION("""COMPUTED_VALUE"""),"Poliwhirl")</f>
        <v>Poliwhirl</v>
      </c>
    </row>
    <row r="45">
      <c r="A45" s="68" t="b">
        <v>1</v>
      </c>
      <c r="B45" s="393" t="s">
        <v>141</v>
      </c>
      <c r="C45" s="386" t="str">
        <f t="array" ref="C45">TEXTJOIN("", TRUE, IFERROR(INDEX('language&amp;DataTest'!A:J, MATCH(INDEX( PointerTest!C:C, MATCH(B45, PointerTest!A:A, 0), 0), 'language&amp;DataTest'!A:A, 0), MATCH(HOME!$A$25, 'language&amp;DataTest'!$A$1:$G$1, 0))),                      IFERROR(INDEX('language&amp;DataTest'!A:J, MATCH(INDEX( PointerTest!D:D, MATCH(B45, PointerTest!A:A, 0), 0), 'language&amp;DataTest'!A:A, 0), MATCH(HOME!$A$25, 'language&amp;DataTest'!$A$1:$G$1, 0))),                                          
IFERROR(INDEX('language&amp;DataTest'!A:J, MATCH(INDEX( PointerTest!E:E, MATCH(B45, PointerTest!A:A, 0), 0), 'language&amp;DataTest'!A:A, 0), MATCH(HOME!$A$25, 'language&amp;DataTest'!$A$1:$G$1, 0))))</f>
        <v>Magmar</v>
      </c>
      <c r="D45" s="124" t="str">
        <f t="shared" si="1"/>
        <v>Magmar</v>
      </c>
      <c r="E45" s="124" t="b">
        <f>IFERROR(__xludf.DUMMYFUNCTION("REGEXMATCH(SUBSTITUTE(SUBSTITUTE(SUBSTITUTE(C45:C1000, ""♂"", ""male""), ""♀"", ""female""), "" ex"", """"), TEXTJOIN(""\b|"", TRUE,SPLIT($M$2, "" "")) &amp; ""\b"")"),TRUE)</f>
        <v>1</v>
      </c>
      <c r="G45" s="341" t="str">
        <f>IFERROR(__xludf.DUMMYFUNCTION("""COMPUTED_VALUE"""),"Blastoise")</f>
        <v>Blastoise</v>
      </c>
      <c r="I45" s="341" t="str">
        <f>IFERROR(__xludf.DUMMYFUNCTION("""COMPUTED_VALUE"""),"Poliwrath")</f>
        <v>Poliwrath</v>
      </c>
    </row>
    <row r="46">
      <c r="A46" s="68" t="b">
        <v>1</v>
      </c>
      <c r="B46" s="393" t="s">
        <v>142</v>
      </c>
      <c r="C46" s="386" t="str">
        <f t="array" ref="C46">TEXTJOIN("", TRUE, IFERROR(INDEX('language&amp;DataTest'!A:J, MATCH(INDEX( PointerTest!C:C, MATCH(B46, PointerTest!A:A, 0), 0), 'language&amp;DataTest'!A:A, 0), MATCH(HOME!$A$25, 'language&amp;DataTest'!$A$1:$G$1, 0))),                      IFERROR(INDEX('language&amp;DataTest'!A:J, MATCH(INDEX( PointerTest!D:D, MATCH(B46, PointerTest!A:A, 0), 0), 'language&amp;DataTest'!A:A, 0), MATCH(HOME!$A$25, 'language&amp;DataTest'!$A$1:$G$1, 0))),                                          
IFERROR(INDEX('language&amp;DataTest'!A:J, MATCH(INDEX( PointerTest!E:E, MATCH(B46, PointerTest!A:A, 0), 0), 'language&amp;DataTest'!A:A, 0), MATCH(HOME!$A$25, 'language&amp;DataTest'!$A$1:$G$1, 0))))</f>
        <v>Flareon</v>
      </c>
      <c r="D46" s="124" t="str">
        <f t="shared" si="1"/>
        <v>Flareon</v>
      </c>
      <c r="E46" s="124" t="b">
        <f>IFERROR(__xludf.DUMMYFUNCTION("REGEXMATCH(SUBSTITUTE(SUBSTITUTE(SUBSTITUTE(C46:C1000, ""♂"", ""male""), ""♀"", ""female""), "" ex"", """"), TEXTJOIN(""\b|"", TRUE,SPLIT($M$2, "" "")) &amp; ""\b"")"),TRUE)</f>
        <v>1</v>
      </c>
      <c r="G46" s="341" t="str">
        <f>IFERROR(__xludf.DUMMYFUNCTION("""COMPUTED_VALUE"""),"Blastoise")</f>
        <v>Blastoise</v>
      </c>
      <c r="I46" s="341" t="str">
        <f>IFERROR(__xludf.DUMMYFUNCTION("""COMPUTED_VALUE"""),"Tentacool")</f>
        <v>Tentacool</v>
      </c>
    </row>
    <row r="47">
      <c r="A47" s="68" t="b">
        <v>1</v>
      </c>
      <c r="B47" s="393" t="s">
        <v>143</v>
      </c>
      <c r="C47" s="386" t="str">
        <f t="array" ref="C47">TEXTJOIN("", TRUE, IFERROR(INDEX('language&amp;DataTest'!A:J, MATCH(INDEX( PointerTest!C:C, MATCH(B47, PointerTest!A:A, 0), 0), 'language&amp;DataTest'!A:A, 0), MATCH(HOME!$A$25, 'language&amp;DataTest'!$A$1:$G$1, 0))),                      IFERROR(INDEX('language&amp;DataTest'!A:J, MATCH(INDEX( PointerTest!D:D, MATCH(B47, PointerTest!A:A, 0), 0), 'language&amp;DataTest'!A:A, 0), MATCH(HOME!$A$25, 'language&amp;DataTest'!$A$1:$G$1, 0))),                                          
IFERROR(INDEX('language&amp;DataTest'!A:J, MATCH(INDEX( PointerTest!E:E, MATCH(B47, PointerTest!A:A, 0), 0), 'language&amp;DataTest'!A:A, 0), MATCH(HOME!$A$25, 'language&amp;DataTest'!$A$1:$G$1, 0))))</f>
        <v>Moltres</v>
      </c>
      <c r="D47" s="124" t="str">
        <f t="shared" si="1"/>
        <v>Moltres</v>
      </c>
      <c r="E47" s="124" t="b">
        <f>IFERROR(__xludf.DUMMYFUNCTION("REGEXMATCH(SUBSTITUTE(SUBSTITUTE(SUBSTITUTE(C47:C1000, ""♂"", ""male""), ""♀"", ""female""), "" ex"", """"), TEXTJOIN(""\b|"", TRUE,SPLIT($M$2, "" "")) &amp; ""\b"")"),TRUE)</f>
        <v>1</v>
      </c>
      <c r="G47" s="341" t="str">
        <f>IFERROR(__xludf.DUMMYFUNCTION("""COMPUTED_VALUE"""),"Psyduck")</f>
        <v>Psyduck</v>
      </c>
      <c r="I47" s="341" t="str">
        <f>IFERROR(__xludf.DUMMYFUNCTION("""COMPUTED_VALUE"""),"Tentacruel")</f>
        <v>Tentacruel</v>
      </c>
    </row>
    <row r="48">
      <c r="A48" s="68" t="b">
        <v>1</v>
      </c>
      <c r="B48" s="393" t="s">
        <v>146</v>
      </c>
      <c r="C48" s="386" t="str">
        <f t="array" ref="C48">TEXTJOIN("", TRUE, IFERROR(INDEX('language&amp;DataTest'!A:J, MATCH(INDEX( PointerTest!C:C, MATCH(B48, PointerTest!A:A, 0), 0), 'language&amp;DataTest'!A:A, 0), MATCH(HOME!$A$25, 'language&amp;DataTest'!$A$1:$G$1, 0))),                      IFERROR(INDEX('language&amp;DataTest'!A:J, MATCH(INDEX( PointerTest!D:D, MATCH(B48, PointerTest!A:A, 0), 0), 'language&amp;DataTest'!A:A, 0), MATCH(HOME!$A$25, 'language&amp;DataTest'!$A$1:$G$1, 0))),                                          
IFERROR(INDEX('language&amp;DataTest'!A:J, MATCH(INDEX( PointerTest!E:E, MATCH(B48, PointerTest!A:A, 0), 0), 'language&amp;DataTest'!A:A, 0), MATCH(HOME!$A$25, 'language&amp;DataTest'!$A$1:$G$1, 0))))</f>
        <v>Moltres ex</v>
      </c>
      <c r="D48" s="124" t="str">
        <f t="shared" si="1"/>
        <v>Moltres</v>
      </c>
      <c r="E48" s="124" t="b">
        <f>IFERROR(__xludf.DUMMYFUNCTION("REGEXMATCH(SUBSTITUTE(SUBSTITUTE(SUBSTITUTE(C48:C1000, ""♂"", ""male""), ""♀"", ""female""), "" ex"", """"), TEXTJOIN(""\b|"", TRUE,SPLIT($M$2, "" "")) &amp; ""\b"")"),TRUE)</f>
        <v>1</v>
      </c>
      <c r="G48" s="341" t="str">
        <f>IFERROR(__xludf.DUMMYFUNCTION("""COMPUTED_VALUE"""),"Golduck")</f>
        <v>Golduck</v>
      </c>
      <c r="I48" s="341" t="str">
        <f>IFERROR(__xludf.DUMMYFUNCTION("""COMPUTED_VALUE"""),"Seel")</f>
        <v>Seel</v>
      </c>
    </row>
    <row r="49">
      <c r="A49" s="68" t="b">
        <v>1</v>
      </c>
      <c r="B49" s="395" t="s">
        <v>147</v>
      </c>
      <c r="C49" s="386" t="str">
        <f t="array" ref="C49">TEXTJOIN("", TRUE, IFERROR(INDEX('language&amp;DataTest'!A:J, MATCH(INDEX( PointerTest!C:C, MATCH(B49, PointerTest!A:A, 0), 0), 'language&amp;DataTest'!A:A, 0), MATCH(HOME!$A$25, 'language&amp;DataTest'!$A$1:$G$1, 0))),                      IFERROR(INDEX('language&amp;DataTest'!A:J, MATCH(INDEX( PointerTest!D:D, MATCH(B49, PointerTest!A:A, 0), 0), 'language&amp;DataTest'!A:A, 0), MATCH(HOME!$A$25, 'language&amp;DataTest'!$A$1:$G$1, 0))),                                          
IFERROR(INDEX('language&amp;DataTest'!A:J, MATCH(INDEX( PointerTest!E:E, MATCH(B49, PointerTest!A:A, 0), 0), 'language&amp;DataTest'!A:A, 0), MATCH(HOME!$A$25, 'language&amp;DataTest'!$A$1:$G$1, 0))))</f>
        <v>Heatmor</v>
      </c>
      <c r="D49" s="124" t="str">
        <f t="shared" si="1"/>
        <v>Heatmor</v>
      </c>
      <c r="E49" s="124" t="b">
        <f>IFERROR(__xludf.DUMMYFUNCTION("REGEXMATCH(SUBSTITUTE(SUBSTITUTE(SUBSTITUTE(C49:C1000, ""♂"", ""male""), ""♀"", ""female""), "" ex"", """"), TEXTJOIN(""\b|"", TRUE,SPLIT($M$2, "" "")) &amp; ""\b"")"),FALSE)</f>
        <v>0</v>
      </c>
      <c r="G49" s="341" t="str">
        <f>IFERROR(__xludf.DUMMYFUNCTION("""COMPUTED_VALUE"""),"Poliwag")</f>
        <v>Poliwag</v>
      </c>
      <c r="I49" s="341" t="str">
        <f>IFERROR(__xludf.DUMMYFUNCTION("""COMPUTED_VALUE"""),"Dewgong")</f>
        <v>Dewgong</v>
      </c>
    </row>
    <row r="50">
      <c r="A50" s="68" t="b">
        <v>1</v>
      </c>
      <c r="B50" s="386" t="s">
        <v>149</v>
      </c>
      <c r="C50" s="386" t="str">
        <f t="array" ref="C50">TEXTJOIN("", TRUE, IFERROR(INDEX('language&amp;DataTest'!A:J, MATCH(INDEX( PointerTest!C:C, MATCH(B50, PointerTest!A:A, 0), 0), 'language&amp;DataTest'!A:A, 0), MATCH(HOME!$A$25, 'language&amp;DataTest'!$A$1:$G$1, 0))),                      IFERROR(INDEX('language&amp;DataTest'!A:J, MATCH(INDEX( PointerTest!D:D, MATCH(B50, PointerTest!A:A, 0), 0), 'language&amp;DataTest'!A:A, 0), MATCH(HOME!$A$25, 'language&amp;DataTest'!$A$1:$G$1, 0))),                                          
IFERROR(INDEX('language&amp;DataTest'!A:J, MATCH(INDEX( PointerTest!E:E, MATCH(B50, PointerTest!A:A, 0), 0), 'language&amp;DataTest'!A:A, 0), MATCH(HOME!$A$25, 'language&amp;DataTest'!$A$1:$G$1, 0))))</f>
        <v>Salandit</v>
      </c>
      <c r="D50" s="124" t="str">
        <f t="shared" si="1"/>
        <v>Salandit</v>
      </c>
      <c r="E50" s="124" t="b">
        <f>IFERROR(__xludf.DUMMYFUNCTION("REGEXMATCH(SUBSTITUTE(SUBSTITUTE(SUBSTITUTE(C50:C1000, ""♂"", ""male""), ""♀"", ""female""), "" ex"", """"), TEXTJOIN(""\b|"", TRUE,SPLIT($M$2, "" "")) &amp; ""\b"")"),FALSE)</f>
        <v>0</v>
      </c>
      <c r="G50" s="341" t="str">
        <f>IFERROR(__xludf.DUMMYFUNCTION("""COMPUTED_VALUE"""),"Poliwhirl")</f>
        <v>Poliwhirl</v>
      </c>
      <c r="I50" s="341" t="str">
        <f>IFERROR(__xludf.DUMMYFUNCTION("""COMPUTED_VALUE"""),"Shellder")</f>
        <v>Shellder</v>
      </c>
    </row>
    <row r="51">
      <c r="A51" s="68" t="b">
        <v>1</v>
      </c>
      <c r="B51" s="386" t="s">
        <v>150</v>
      </c>
      <c r="C51" s="386" t="str">
        <f t="array" ref="C51">TEXTJOIN("", TRUE, IFERROR(INDEX('language&amp;DataTest'!A:J, MATCH(INDEX( PointerTest!C:C, MATCH(B51, PointerTest!A:A, 0), 0), 'language&amp;DataTest'!A:A, 0), MATCH(HOME!$A$25, 'language&amp;DataTest'!$A$1:$G$1, 0))),                      IFERROR(INDEX('language&amp;DataTest'!A:J, MATCH(INDEX( PointerTest!D:D, MATCH(B51, PointerTest!A:A, 0), 0), 'language&amp;DataTest'!A:A, 0), MATCH(HOME!$A$25, 'language&amp;DataTest'!$A$1:$G$1, 0))),                                          
IFERROR(INDEX('language&amp;DataTest'!A:J, MATCH(INDEX( PointerTest!E:E, MATCH(B51, PointerTest!A:A, 0), 0), 'language&amp;DataTest'!A:A, 0), MATCH(HOME!$A$25, 'language&amp;DataTest'!$A$1:$G$1, 0))))</f>
        <v>Salazzle</v>
      </c>
      <c r="D51" s="124" t="str">
        <f t="shared" si="1"/>
        <v>Salazzle</v>
      </c>
      <c r="E51" s="124" t="b">
        <f>IFERROR(__xludf.DUMMYFUNCTION("REGEXMATCH(SUBSTITUTE(SUBSTITUTE(SUBSTITUTE(C51:C1000, ""♂"", ""male""), ""♀"", ""female""), "" ex"", """"), TEXTJOIN(""\b|"", TRUE,SPLIT($M$2, "" "")) &amp; ""\b"")"),FALSE)</f>
        <v>0</v>
      </c>
      <c r="G51" s="341" t="str">
        <f>IFERROR(__xludf.DUMMYFUNCTION("""COMPUTED_VALUE"""),"Poliwrath")</f>
        <v>Poliwrath</v>
      </c>
      <c r="I51" s="341" t="str">
        <f>IFERROR(__xludf.DUMMYFUNCTION("""COMPUTED_VALUE"""),"Cloyster")</f>
        <v>Cloyster</v>
      </c>
    </row>
    <row r="52">
      <c r="A52" s="68" t="b">
        <v>1</v>
      </c>
      <c r="B52" s="395" t="s">
        <v>151</v>
      </c>
      <c r="C52" s="386" t="str">
        <f t="array" ref="C52">TEXTJOIN("", TRUE, IFERROR(INDEX('language&amp;DataTest'!A:J, MATCH(INDEX( PointerTest!C:C, MATCH(B52, PointerTest!A:A, 0), 0), 'language&amp;DataTest'!A:A, 0), MATCH(HOME!$A$25, 'language&amp;DataTest'!$A$1:$G$1, 0))),                      IFERROR(INDEX('language&amp;DataTest'!A:J, MATCH(INDEX( PointerTest!D:D, MATCH(B52, PointerTest!A:A, 0), 0), 'language&amp;DataTest'!A:A, 0), MATCH(HOME!$A$25, 'language&amp;DataTest'!$A$1:$G$1, 0))),                                          
IFERROR(INDEX('language&amp;DataTest'!A:J, MATCH(INDEX( PointerTest!E:E, MATCH(B52, PointerTest!A:A, 0), 0), 'language&amp;DataTest'!A:A, 0), MATCH(HOME!$A$25, 'language&amp;DataTest'!$A$1:$G$1, 0))))</f>
        <v>Sizzlipede</v>
      </c>
      <c r="D52" s="124" t="str">
        <f t="shared" si="1"/>
        <v>Sizzlipede</v>
      </c>
      <c r="E52" s="124" t="b">
        <f>IFERROR(__xludf.DUMMYFUNCTION("REGEXMATCH(SUBSTITUTE(SUBSTITUTE(SUBSTITUTE(C52:C1000, ""♂"", ""male""), ""♀"", ""female""), "" ex"", """"), TEXTJOIN(""\b|"", TRUE,SPLIT($M$2, "" "")) &amp; ""\b"")"),FALSE)</f>
        <v>0</v>
      </c>
      <c r="G52" s="341" t="str">
        <f>IFERROR(__xludf.DUMMYFUNCTION("""COMPUTED_VALUE"""),"Tentacool")</f>
        <v>Tentacool</v>
      </c>
      <c r="I52" s="341" t="str">
        <f>IFERROR(__xludf.DUMMYFUNCTION("""COMPUTED_VALUE"""),"Krabby")</f>
        <v>Krabby</v>
      </c>
    </row>
    <row r="53">
      <c r="A53" s="68" t="b">
        <v>1</v>
      </c>
      <c r="B53" s="395" t="s">
        <v>152</v>
      </c>
      <c r="C53" s="386" t="str">
        <f t="array" ref="C53">TEXTJOIN("", TRUE, IFERROR(INDEX('language&amp;DataTest'!A:J, MATCH(INDEX( PointerTest!C:C, MATCH(B53, PointerTest!A:A, 0), 0), 'language&amp;DataTest'!A:A, 0), MATCH(HOME!$A$25, 'language&amp;DataTest'!$A$1:$G$1, 0))),                      IFERROR(INDEX('language&amp;DataTest'!A:J, MATCH(INDEX( PointerTest!D:D, MATCH(B53, PointerTest!A:A, 0), 0), 'language&amp;DataTest'!A:A, 0), MATCH(HOME!$A$25, 'language&amp;DataTest'!$A$1:$G$1, 0))),                                          
IFERROR(INDEX('language&amp;DataTest'!A:J, MATCH(INDEX( PointerTest!E:E, MATCH(B53, PointerTest!A:A, 0), 0), 'language&amp;DataTest'!A:A, 0), MATCH(HOME!$A$25, 'language&amp;DataTest'!$A$1:$G$1, 0))))</f>
        <v>Centiskorch</v>
      </c>
      <c r="D53" s="124" t="str">
        <f t="shared" si="1"/>
        <v>Centiskorch</v>
      </c>
      <c r="E53" s="124" t="b">
        <f>IFERROR(__xludf.DUMMYFUNCTION("REGEXMATCH(SUBSTITUTE(SUBSTITUTE(SUBSTITUTE(C53:C1000, ""♂"", ""male""), ""♀"", ""female""), "" ex"", """"), TEXTJOIN(""\b|"", TRUE,SPLIT($M$2, "" "")) &amp; ""\b"")"),FALSE)</f>
        <v>0</v>
      </c>
      <c r="G53" s="341" t="str">
        <f>IFERROR(__xludf.DUMMYFUNCTION("""COMPUTED_VALUE"""),"Tentacruel")</f>
        <v>Tentacruel</v>
      </c>
      <c r="I53" s="341" t="str">
        <f>IFERROR(__xludf.DUMMYFUNCTION("""COMPUTED_VALUE"""),"Kingler")</f>
        <v>Kingler</v>
      </c>
    </row>
    <row r="54">
      <c r="A54" s="68" t="b">
        <v>1</v>
      </c>
      <c r="B54" s="390" t="s">
        <v>153</v>
      </c>
      <c r="C54" s="386" t="str">
        <f t="array" ref="C54">TEXTJOIN("", TRUE, IFERROR(INDEX('language&amp;DataTest'!A:J, MATCH(INDEX( PointerTest!C:C, MATCH(B54, PointerTest!A:A, 0), 0), 'language&amp;DataTest'!A:A, 0), MATCH(HOME!$A$25, 'language&amp;DataTest'!$A$1:$G$1, 0))),                      IFERROR(INDEX('language&amp;DataTest'!A:J, MATCH(INDEX( PointerTest!D:D, MATCH(B54, PointerTest!A:A, 0), 0), 'language&amp;DataTest'!A:A, 0), MATCH(HOME!$A$25, 'language&amp;DataTest'!$A$1:$G$1, 0))),                                          
IFERROR(INDEX('language&amp;DataTest'!A:J, MATCH(INDEX( PointerTest!E:E, MATCH(B54, PointerTest!A:A, 0), 0), 'language&amp;DataTest'!A:A, 0), MATCH(HOME!$A$25, 'language&amp;DataTest'!$A$1:$G$1, 0))))</f>
        <v>Squirtle</v>
      </c>
      <c r="D54" s="124" t="str">
        <f t="shared" si="1"/>
        <v>Squirtle</v>
      </c>
      <c r="E54" s="124" t="b">
        <f>IFERROR(__xludf.DUMMYFUNCTION("REGEXMATCH(SUBSTITUTE(SUBSTITUTE(SUBSTITUTE(C54:C1000, ""♂"", ""male""), ""♀"", ""female""), "" ex"", """"), TEXTJOIN(""\b|"", TRUE,SPLIT($M$2, "" "")) &amp; ""\b"")"),TRUE)</f>
        <v>1</v>
      </c>
      <c r="G54" s="341" t="str">
        <f>IFERROR(__xludf.DUMMYFUNCTION("""COMPUTED_VALUE"""),"Seel")</f>
        <v>Seel</v>
      </c>
      <c r="I54" s="341" t="str">
        <f>IFERROR(__xludf.DUMMYFUNCTION("""COMPUTED_VALUE"""),"Horsea")</f>
        <v>Horsea</v>
      </c>
    </row>
    <row r="55">
      <c r="A55" s="68" t="b">
        <v>1</v>
      </c>
      <c r="B55" s="390" t="s">
        <v>154</v>
      </c>
      <c r="C55" s="386" t="str">
        <f t="array" ref="C55">TEXTJOIN("", TRUE, IFERROR(INDEX('language&amp;DataTest'!A:J, MATCH(INDEX( PointerTest!C:C, MATCH(B55, PointerTest!A:A, 0), 0), 'language&amp;DataTest'!A:A, 0), MATCH(HOME!$A$25, 'language&amp;DataTest'!$A$1:$G$1, 0))),                      IFERROR(INDEX('language&amp;DataTest'!A:J, MATCH(INDEX( PointerTest!D:D, MATCH(B55, PointerTest!A:A, 0), 0), 'language&amp;DataTest'!A:A, 0), MATCH(HOME!$A$25, 'language&amp;DataTest'!$A$1:$G$1, 0))),                                          
IFERROR(INDEX('language&amp;DataTest'!A:J, MATCH(INDEX( PointerTest!E:E, MATCH(B55, PointerTest!A:A, 0), 0), 'language&amp;DataTest'!A:A, 0), MATCH(HOME!$A$25, 'language&amp;DataTest'!$A$1:$G$1, 0))))</f>
        <v>Wartortle</v>
      </c>
      <c r="D55" s="124" t="str">
        <f t="shared" si="1"/>
        <v>Wartortle</v>
      </c>
      <c r="E55" s="124" t="b">
        <f>IFERROR(__xludf.DUMMYFUNCTION("REGEXMATCH(SUBSTITUTE(SUBSTITUTE(SUBSTITUTE(C55:C1000, ""♂"", ""male""), ""♀"", ""female""), "" ex"", """"), TEXTJOIN(""\b|"", TRUE,SPLIT($M$2, "" "")) &amp; ""\b"")"),TRUE)</f>
        <v>1</v>
      </c>
      <c r="G55" s="341" t="str">
        <f>IFERROR(__xludf.DUMMYFUNCTION("""COMPUTED_VALUE"""),"Dewgong")</f>
        <v>Dewgong</v>
      </c>
      <c r="I55" s="341" t="str">
        <f>IFERROR(__xludf.DUMMYFUNCTION("""COMPUTED_VALUE"""),"Seadra")</f>
        <v>Seadra</v>
      </c>
    </row>
    <row r="56">
      <c r="A56" s="68" t="b">
        <v>1</v>
      </c>
      <c r="B56" s="390" t="s">
        <v>155</v>
      </c>
      <c r="C56" s="386" t="str">
        <f t="array" ref="C56">TEXTJOIN("", TRUE, IFERROR(INDEX('language&amp;DataTest'!A:J, MATCH(INDEX( PointerTest!C:C, MATCH(B56, PointerTest!A:A, 0), 0), 'language&amp;DataTest'!A:A, 0), MATCH(HOME!$A$25, 'language&amp;DataTest'!$A$1:$G$1, 0))),                      IFERROR(INDEX('language&amp;DataTest'!A:J, MATCH(INDEX( PointerTest!D:D, MATCH(B56, PointerTest!A:A, 0), 0), 'language&amp;DataTest'!A:A, 0), MATCH(HOME!$A$25, 'language&amp;DataTest'!$A$1:$G$1, 0))),                                          
IFERROR(INDEX('language&amp;DataTest'!A:J, MATCH(INDEX( PointerTest!E:E, MATCH(B56, PointerTest!A:A, 0), 0), 'language&amp;DataTest'!A:A, 0), MATCH(HOME!$A$25, 'language&amp;DataTest'!$A$1:$G$1, 0))))</f>
        <v>Blastoise</v>
      </c>
      <c r="D56" s="124" t="str">
        <f t="shared" si="1"/>
        <v>Blastoise</v>
      </c>
      <c r="E56" s="124" t="b">
        <f>IFERROR(__xludf.DUMMYFUNCTION("REGEXMATCH(SUBSTITUTE(SUBSTITUTE(SUBSTITUTE(C56:C1000, ""♂"", ""male""), ""♀"", ""female""), "" ex"", """"), TEXTJOIN(""\b|"", TRUE,SPLIT($M$2, "" "")) &amp; ""\b"")"),TRUE)</f>
        <v>1</v>
      </c>
      <c r="G56" s="341" t="str">
        <f>IFERROR(__xludf.DUMMYFUNCTION("""COMPUTED_VALUE"""),"Shellder")</f>
        <v>Shellder</v>
      </c>
      <c r="I56" s="341" t="str">
        <f>IFERROR(__xludf.DUMMYFUNCTION("""COMPUTED_VALUE"""),"Goldeen")</f>
        <v>Goldeen</v>
      </c>
    </row>
    <row r="57">
      <c r="A57" s="68" t="b">
        <v>1</v>
      </c>
      <c r="B57" s="390" t="s">
        <v>156</v>
      </c>
      <c r="C57" s="386" t="str">
        <f t="array" ref="C57">TEXTJOIN("", TRUE, IFERROR(INDEX('language&amp;DataTest'!A:J, MATCH(INDEX( PointerTest!C:C, MATCH(B57, PointerTest!A:A, 0), 0), 'language&amp;DataTest'!A:A, 0), MATCH(HOME!$A$25, 'language&amp;DataTest'!$A$1:$G$1, 0))),                      IFERROR(INDEX('language&amp;DataTest'!A:J, MATCH(INDEX( PointerTest!D:D, MATCH(B57, PointerTest!A:A, 0), 0), 'language&amp;DataTest'!A:A, 0), MATCH(HOME!$A$25, 'language&amp;DataTest'!$A$1:$G$1, 0))),                                          
IFERROR(INDEX('language&amp;DataTest'!A:J, MATCH(INDEX( PointerTest!E:E, MATCH(B57, PointerTest!A:A, 0), 0), 'language&amp;DataTest'!A:A, 0), MATCH(HOME!$A$25, 'language&amp;DataTest'!$A$1:$G$1, 0))))</f>
        <v>Blastoise ex</v>
      </c>
      <c r="D57" s="124" t="str">
        <f t="shared" si="1"/>
        <v>Blastoise</v>
      </c>
      <c r="E57" s="124" t="b">
        <f>IFERROR(__xludf.DUMMYFUNCTION("REGEXMATCH(SUBSTITUTE(SUBSTITUTE(SUBSTITUTE(C57:C1000, ""♂"", ""male""), ""♀"", ""female""), "" ex"", """"), TEXTJOIN(""\b|"", TRUE,SPLIT($M$2, "" "")) &amp; ""\b"")"),TRUE)</f>
        <v>1</v>
      </c>
      <c r="G57" s="341" t="str">
        <f>IFERROR(__xludf.DUMMYFUNCTION("""COMPUTED_VALUE"""),"Cloyster")</f>
        <v>Cloyster</v>
      </c>
      <c r="I57" s="341" t="str">
        <f>IFERROR(__xludf.DUMMYFUNCTION("""COMPUTED_VALUE"""),"Seaking")</f>
        <v>Seaking</v>
      </c>
    </row>
    <row r="58">
      <c r="A58" s="68" t="b">
        <v>1</v>
      </c>
      <c r="B58" s="395" t="s">
        <v>159</v>
      </c>
      <c r="C58" s="386" t="str">
        <f t="array" ref="C58">TEXTJOIN("", TRUE, IFERROR(INDEX('language&amp;DataTest'!A:J, MATCH(INDEX( PointerTest!C:C, MATCH(B58, PointerTest!A:A, 0), 0), 'language&amp;DataTest'!A:A, 0), MATCH(HOME!$A$25, 'language&amp;DataTest'!$A$1:$G$1, 0))),                      IFERROR(INDEX('language&amp;DataTest'!A:J, MATCH(INDEX( PointerTest!D:D, MATCH(B58, PointerTest!A:A, 0), 0), 'language&amp;DataTest'!A:A, 0), MATCH(HOME!$A$25, 'language&amp;DataTest'!$A$1:$G$1, 0))),                                          
IFERROR(INDEX('language&amp;DataTest'!A:J, MATCH(INDEX( PointerTest!E:E, MATCH(B58, PointerTest!A:A, 0), 0), 'language&amp;DataTest'!A:A, 0), MATCH(HOME!$A$25, 'language&amp;DataTest'!$A$1:$G$1, 0))))</f>
        <v>Psyduck</v>
      </c>
      <c r="D58" s="124" t="str">
        <f t="shared" si="1"/>
        <v>Psyduck</v>
      </c>
      <c r="E58" s="124" t="b">
        <f>IFERROR(__xludf.DUMMYFUNCTION("REGEXMATCH(SUBSTITUTE(SUBSTITUTE(SUBSTITUTE(C58:C1000, ""♂"", ""male""), ""♀"", ""female""), "" ex"", """"), TEXTJOIN(""\b|"", TRUE,SPLIT($M$2, "" "")) &amp; ""\b"")"),TRUE)</f>
        <v>1</v>
      </c>
      <c r="G58" s="341" t="str">
        <f>IFERROR(__xludf.DUMMYFUNCTION("""COMPUTED_VALUE"""),"Krabby")</f>
        <v>Krabby</v>
      </c>
      <c r="I58" s="341" t="str">
        <f>IFERROR(__xludf.DUMMYFUNCTION("""COMPUTED_VALUE"""),"Staryu")</f>
        <v>Staryu</v>
      </c>
    </row>
    <row r="59">
      <c r="A59" s="68" t="b">
        <v>1</v>
      </c>
      <c r="B59" s="395" t="s">
        <v>160</v>
      </c>
      <c r="C59" s="386" t="str">
        <f t="array" ref="C59">TEXTJOIN("", TRUE, IFERROR(INDEX('language&amp;DataTest'!A:J, MATCH(INDEX( PointerTest!C:C, MATCH(B59, PointerTest!A:A, 0), 0), 'language&amp;DataTest'!A:A, 0), MATCH(HOME!$A$25, 'language&amp;DataTest'!$A$1:$G$1, 0))),                      IFERROR(INDEX('language&amp;DataTest'!A:J, MATCH(INDEX( PointerTest!D:D, MATCH(B59, PointerTest!A:A, 0), 0), 'language&amp;DataTest'!A:A, 0), MATCH(HOME!$A$25, 'language&amp;DataTest'!$A$1:$G$1, 0))),                                          
IFERROR(INDEX('language&amp;DataTest'!A:J, MATCH(INDEX( PointerTest!E:E, MATCH(B59, PointerTest!A:A, 0), 0), 'language&amp;DataTest'!A:A, 0), MATCH(HOME!$A$25, 'language&amp;DataTest'!$A$1:$G$1, 0))))</f>
        <v>Golduck</v>
      </c>
      <c r="D59" s="124" t="str">
        <f t="shared" si="1"/>
        <v>Golduck</v>
      </c>
      <c r="E59" s="124" t="b">
        <f>IFERROR(__xludf.DUMMYFUNCTION("REGEXMATCH(SUBSTITUTE(SUBSTITUTE(SUBSTITUTE(C59:C1000, ""♂"", ""male""), ""♀"", ""female""), "" ex"", """"), TEXTJOIN(""\b|"", TRUE,SPLIT($M$2, "" "")) &amp; ""\b"")"),TRUE)</f>
        <v>1</v>
      </c>
      <c r="G59" s="341" t="str">
        <f>IFERROR(__xludf.DUMMYFUNCTION("""COMPUTED_VALUE"""),"Kingler")</f>
        <v>Kingler</v>
      </c>
      <c r="I59" s="341" t="str">
        <f>IFERROR(__xludf.DUMMYFUNCTION("""COMPUTED_VALUE"""),"Starmie")</f>
        <v>Starmie</v>
      </c>
    </row>
    <row r="60">
      <c r="A60" s="68" t="b">
        <v>1</v>
      </c>
      <c r="B60" s="393" t="s">
        <v>161</v>
      </c>
      <c r="C60" s="386" t="str">
        <f t="array" ref="C60">TEXTJOIN("", TRUE, IFERROR(INDEX('language&amp;DataTest'!A:J, MATCH(INDEX( PointerTest!C:C, MATCH(B60, PointerTest!A:A, 0), 0), 'language&amp;DataTest'!A:A, 0), MATCH(HOME!$A$25, 'language&amp;DataTest'!$A$1:$G$1, 0))),                      IFERROR(INDEX('language&amp;DataTest'!A:J, MATCH(INDEX( PointerTest!D:D, MATCH(B60, PointerTest!A:A, 0), 0), 'language&amp;DataTest'!A:A, 0), MATCH(HOME!$A$25, 'language&amp;DataTest'!$A$1:$G$1, 0))),                                          
IFERROR(INDEX('language&amp;DataTest'!A:J, MATCH(INDEX( PointerTest!E:E, MATCH(B60, PointerTest!A:A, 0), 0), 'language&amp;DataTest'!A:A, 0), MATCH(HOME!$A$25, 'language&amp;DataTest'!$A$1:$G$1, 0))))</f>
        <v>Poliwag</v>
      </c>
      <c r="D60" s="124" t="str">
        <f t="shared" si="1"/>
        <v>Poliwag</v>
      </c>
      <c r="E60" s="124" t="b">
        <f>IFERROR(__xludf.DUMMYFUNCTION("REGEXMATCH(SUBSTITUTE(SUBSTITUTE(SUBSTITUTE(C60:C1000, ""♂"", ""male""), ""♀"", ""female""), "" ex"", """"), TEXTJOIN(""\b|"", TRUE,SPLIT($M$2, "" "")) &amp; ""\b"")"),TRUE)</f>
        <v>1</v>
      </c>
      <c r="G60" s="341" t="str">
        <f>IFERROR(__xludf.DUMMYFUNCTION("""COMPUTED_VALUE"""),"Horsea")</f>
        <v>Horsea</v>
      </c>
      <c r="I60" s="341" t="str">
        <f>IFERROR(__xludf.DUMMYFUNCTION("""COMPUTED_VALUE"""),"Magikarp")</f>
        <v>Magikarp</v>
      </c>
    </row>
    <row r="61">
      <c r="A61" s="68" t="b">
        <v>1</v>
      </c>
      <c r="B61" s="393" t="s">
        <v>162</v>
      </c>
      <c r="C61" s="386" t="str">
        <f t="array" ref="C61">TEXTJOIN("", TRUE, IFERROR(INDEX('language&amp;DataTest'!A:J, MATCH(INDEX( PointerTest!C:C, MATCH(B61, PointerTest!A:A, 0), 0), 'language&amp;DataTest'!A:A, 0), MATCH(HOME!$A$25, 'language&amp;DataTest'!$A$1:$G$1, 0))),                      IFERROR(INDEX('language&amp;DataTest'!A:J, MATCH(INDEX( PointerTest!D:D, MATCH(B61, PointerTest!A:A, 0), 0), 'language&amp;DataTest'!A:A, 0), MATCH(HOME!$A$25, 'language&amp;DataTest'!$A$1:$G$1, 0))),                                          
IFERROR(INDEX('language&amp;DataTest'!A:J, MATCH(INDEX( PointerTest!E:E, MATCH(B61, PointerTest!A:A, 0), 0), 'language&amp;DataTest'!A:A, 0), MATCH(HOME!$A$25, 'language&amp;DataTest'!$A$1:$G$1, 0))))</f>
        <v>Poliwhirl</v>
      </c>
      <c r="D61" s="124" t="str">
        <f t="shared" si="1"/>
        <v>Poliwhirl</v>
      </c>
      <c r="E61" s="124" t="b">
        <f>IFERROR(__xludf.DUMMYFUNCTION("REGEXMATCH(SUBSTITUTE(SUBSTITUTE(SUBSTITUTE(C61:C1000, ""♂"", ""male""), ""♀"", ""female""), "" ex"", """"), TEXTJOIN(""\b|"", TRUE,SPLIT($M$2, "" "")) &amp; ""\b"")"),TRUE)</f>
        <v>1</v>
      </c>
      <c r="G61" s="341" t="str">
        <f>IFERROR(__xludf.DUMMYFUNCTION("""COMPUTED_VALUE"""),"Seadra")</f>
        <v>Seadra</v>
      </c>
      <c r="I61" s="341" t="str">
        <f>IFERROR(__xludf.DUMMYFUNCTION("""COMPUTED_VALUE"""),"Gyarados")</f>
        <v>Gyarados</v>
      </c>
    </row>
    <row r="62">
      <c r="A62" s="68" t="b">
        <v>1</v>
      </c>
      <c r="B62" s="393" t="s">
        <v>163</v>
      </c>
      <c r="C62" s="386" t="str">
        <f t="array" ref="C62">TEXTJOIN("", TRUE, IFERROR(INDEX('language&amp;DataTest'!A:J, MATCH(INDEX( PointerTest!C:C, MATCH(B62, PointerTest!A:A, 0), 0), 'language&amp;DataTest'!A:A, 0), MATCH(HOME!$A$25, 'language&amp;DataTest'!$A$1:$G$1, 0))),                      IFERROR(INDEX('language&amp;DataTest'!A:J, MATCH(INDEX( PointerTest!D:D, MATCH(B62, PointerTest!A:A, 0), 0), 'language&amp;DataTest'!A:A, 0), MATCH(HOME!$A$25, 'language&amp;DataTest'!$A$1:$G$1, 0))),                                          
IFERROR(INDEX('language&amp;DataTest'!A:J, MATCH(INDEX( PointerTest!E:E, MATCH(B62, PointerTest!A:A, 0), 0), 'language&amp;DataTest'!A:A, 0), MATCH(HOME!$A$25, 'language&amp;DataTest'!$A$1:$G$1, 0))))</f>
        <v>Poliwrath</v>
      </c>
      <c r="D62" s="124" t="str">
        <f t="shared" si="1"/>
        <v>Poliwrath</v>
      </c>
      <c r="E62" s="124" t="b">
        <f>IFERROR(__xludf.DUMMYFUNCTION("REGEXMATCH(SUBSTITUTE(SUBSTITUTE(SUBSTITUTE(C62:C1000, ""♂"", ""male""), ""♀"", ""female""), "" ex"", """"), TEXTJOIN(""\b|"", TRUE,SPLIT($M$2, "" "")) &amp; ""\b"")"),TRUE)</f>
        <v>1</v>
      </c>
      <c r="G62" s="341" t="str">
        <f>IFERROR(__xludf.DUMMYFUNCTION("""COMPUTED_VALUE"""),"Goldeen")</f>
        <v>Goldeen</v>
      </c>
      <c r="I62" s="341" t="str">
        <f>IFERROR(__xludf.DUMMYFUNCTION("""COMPUTED_VALUE"""),"Lapras")</f>
        <v>Lapras</v>
      </c>
    </row>
    <row r="63">
      <c r="A63" s="68" t="b">
        <v>1</v>
      </c>
      <c r="B63" s="386" t="s">
        <v>164</v>
      </c>
      <c r="C63" s="386" t="str">
        <f t="array" ref="C63">TEXTJOIN("", TRUE, IFERROR(INDEX('language&amp;DataTest'!A:J, MATCH(INDEX( PointerTest!C:C, MATCH(B63, PointerTest!A:A, 0), 0), 'language&amp;DataTest'!A:A, 0), MATCH(HOME!$A$25, 'language&amp;DataTest'!$A$1:$G$1, 0))),                      IFERROR(INDEX('language&amp;DataTest'!A:J, MATCH(INDEX( PointerTest!D:D, MATCH(B63, PointerTest!A:A, 0), 0), 'language&amp;DataTest'!A:A, 0), MATCH(HOME!$A$25, 'language&amp;DataTest'!$A$1:$G$1, 0))),                                          
IFERROR(INDEX('language&amp;DataTest'!A:J, MATCH(INDEX( PointerTest!E:E, MATCH(B63, PointerTest!A:A, 0), 0), 'language&amp;DataTest'!A:A, 0), MATCH(HOME!$A$25, 'language&amp;DataTest'!$A$1:$G$1, 0))))</f>
        <v>Tentacool</v>
      </c>
      <c r="D63" s="124" t="str">
        <f t="shared" si="1"/>
        <v>Tentacool</v>
      </c>
      <c r="E63" s="124" t="b">
        <f>IFERROR(__xludf.DUMMYFUNCTION("REGEXMATCH(SUBSTITUTE(SUBSTITUTE(SUBSTITUTE(C63:C1000, ""♂"", ""male""), ""♀"", ""female""), "" ex"", """"), TEXTJOIN(""\b|"", TRUE,SPLIT($M$2, "" "")) &amp; ""\b"")"),TRUE)</f>
        <v>1</v>
      </c>
      <c r="G63" s="341" t="str">
        <f>IFERROR(__xludf.DUMMYFUNCTION("""COMPUTED_VALUE"""),"Seaking")</f>
        <v>Seaking</v>
      </c>
      <c r="I63" s="341" t="str">
        <f>IFERROR(__xludf.DUMMYFUNCTION("""COMPUTED_VALUE"""),"Vaporeon")</f>
        <v>Vaporeon</v>
      </c>
    </row>
    <row r="64">
      <c r="A64" s="68" t="b">
        <v>1</v>
      </c>
      <c r="B64" s="386" t="s">
        <v>165</v>
      </c>
      <c r="C64" s="386" t="str">
        <f t="array" ref="C64">TEXTJOIN("", TRUE, IFERROR(INDEX('language&amp;DataTest'!A:J, MATCH(INDEX( PointerTest!C:C, MATCH(B64, PointerTest!A:A, 0), 0), 'language&amp;DataTest'!A:A, 0), MATCH(HOME!$A$25, 'language&amp;DataTest'!$A$1:$G$1, 0))),                      IFERROR(INDEX('language&amp;DataTest'!A:J, MATCH(INDEX( PointerTest!D:D, MATCH(B64, PointerTest!A:A, 0), 0), 'language&amp;DataTest'!A:A, 0), MATCH(HOME!$A$25, 'language&amp;DataTest'!$A$1:$G$1, 0))),                                          
IFERROR(INDEX('language&amp;DataTest'!A:J, MATCH(INDEX( PointerTest!E:E, MATCH(B64, PointerTest!A:A, 0), 0), 'language&amp;DataTest'!A:A, 0), MATCH(HOME!$A$25, 'language&amp;DataTest'!$A$1:$G$1, 0))))</f>
        <v>Tentacruel</v>
      </c>
      <c r="D64" s="124" t="str">
        <f t="shared" si="1"/>
        <v>Tentacruel</v>
      </c>
      <c r="E64" s="124" t="b">
        <f>IFERROR(__xludf.DUMMYFUNCTION("REGEXMATCH(SUBSTITUTE(SUBSTITUTE(SUBSTITUTE(C64:C1000, ""♂"", ""male""), ""♀"", ""female""), "" ex"", """"), TEXTJOIN(""\b|"", TRUE,SPLIT($M$2, "" "")) &amp; ""\b"")"),TRUE)</f>
        <v>1</v>
      </c>
      <c r="G64" s="341" t="str">
        <f>IFERROR(__xludf.DUMMYFUNCTION("""COMPUTED_VALUE"""),"Staryu")</f>
        <v>Staryu</v>
      </c>
      <c r="I64" s="341" t="str">
        <f>IFERROR(__xludf.DUMMYFUNCTION("""COMPUTED_VALUE"""),"Omanyte")</f>
        <v>Omanyte</v>
      </c>
    </row>
    <row r="65">
      <c r="A65" s="68" t="b">
        <v>1</v>
      </c>
      <c r="B65" s="390" t="s">
        <v>168</v>
      </c>
      <c r="C65" s="386" t="str">
        <f t="array" ref="C65">TEXTJOIN("", TRUE, IFERROR(INDEX('language&amp;DataTest'!A:J, MATCH(INDEX( PointerTest!C:C, MATCH(B65, PointerTest!A:A, 0), 0), 'language&amp;DataTest'!A:A, 0), MATCH(HOME!$A$25, 'language&amp;DataTest'!$A$1:$G$1, 0))),                      IFERROR(INDEX('language&amp;DataTest'!A:J, MATCH(INDEX( PointerTest!D:D, MATCH(B65, PointerTest!A:A, 0), 0), 'language&amp;DataTest'!A:A, 0), MATCH(HOME!$A$25, 'language&amp;DataTest'!$A$1:$G$1, 0))),                                          
IFERROR(INDEX('language&amp;DataTest'!A:J, MATCH(INDEX( PointerTest!E:E, MATCH(B65, PointerTest!A:A, 0), 0), 'language&amp;DataTest'!A:A, 0), MATCH(HOME!$A$25, 'language&amp;DataTest'!$A$1:$G$1, 0))))</f>
        <v>Seel</v>
      </c>
      <c r="D65" s="124" t="str">
        <f t="shared" si="1"/>
        <v>Seel</v>
      </c>
      <c r="E65" s="124" t="b">
        <f>IFERROR(__xludf.DUMMYFUNCTION("REGEXMATCH(SUBSTITUTE(SUBSTITUTE(SUBSTITUTE(C65:C1000, ""♂"", ""male""), ""♀"", ""female""), "" ex"", """"), TEXTJOIN(""\b|"", TRUE,SPLIT($M$2, "" "")) &amp; ""\b"")"),TRUE)</f>
        <v>1</v>
      </c>
      <c r="G65" s="341" t="str">
        <f>IFERROR(__xludf.DUMMYFUNCTION("""COMPUTED_VALUE"""),"Starmie")</f>
        <v>Starmie</v>
      </c>
      <c r="I65" s="341" t="str">
        <f>IFERROR(__xludf.DUMMYFUNCTION("""COMPUTED_VALUE"""),"Omastar")</f>
        <v>Omastar</v>
      </c>
    </row>
    <row r="66">
      <c r="A66" s="68" t="b">
        <v>1</v>
      </c>
      <c r="B66" s="390" t="s">
        <v>170</v>
      </c>
      <c r="C66" s="386" t="str">
        <f t="array" ref="C66">TEXTJOIN("", TRUE, IFERROR(INDEX('language&amp;DataTest'!A:J, MATCH(INDEX( PointerTest!C:C, MATCH(B66, PointerTest!A:A, 0), 0), 'language&amp;DataTest'!A:A, 0), MATCH(HOME!$A$25, 'language&amp;DataTest'!$A$1:$G$1, 0))),                      IFERROR(INDEX('language&amp;DataTest'!A:J, MATCH(INDEX( PointerTest!D:D, MATCH(B66, PointerTest!A:A, 0), 0), 'language&amp;DataTest'!A:A, 0), MATCH(HOME!$A$25, 'language&amp;DataTest'!$A$1:$G$1, 0))),                                          
IFERROR(INDEX('language&amp;DataTest'!A:J, MATCH(INDEX( PointerTest!E:E, MATCH(B66, PointerTest!A:A, 0), 0), 'language&amp;DataTest'!A:A, 0), MATCH(HOME!$A$25, 'language&amp;DataTest'!$A$1:$G$1, 0))))</f>
        <v>Dewgong</v>
      </c>
      <c r="D66" s="124" t="str">
        <f t="shared" si="1"/>
        <v>Dewgong</v>
      </c>
      <c r="E66" s="124" t="b">
        <f>IFERROR(__xludf.DUMMYFUNCTION("REGEXMATCH(SUBSTITUTE(SUBSTITUTE(SUBSTITUTE(C66:C1000, ""♂"", ""male""), ""♀"", ""female""), "" ex"", """"), TEXTJOIN(""\b|"", TRUE,SPLIT($M$2, "" "")) &amp; ""\b"")"),TRUE)</f>
        <v>1</v>
      </c>
      <c r="G66" s="341" t="str">
        <f>IFERROR(__xludf.DUMMYFUNCTION("""COMPUTED_VALUE"""),"Starmie")</f>
        <v>Starmie</v>
      </c>
      <c r="I66" s="341" t="str">
        <f>IFERROR(__xludf.DUMMYFUNCTION("""COMPUTED_VALUE"""),"Articuno")</f>
        <v>Articuno</v>
      </c>
    </row>
    <row r="67">
      <c r="A67" s="68" t="b">
        <v>1</v>
      </c>
      <c r="B67" s="386" t="s">
        <v>171</v>
      </c>
      <c r="C67" s="386" t="str">
        <f t="array" ref="C67">TEXTJOIN("", TRUE, IFERROR(INDEX('language&amp;DataTest'!A:J, MATCH(INDEX( PointerTest!C:C, MATCH(B67, PointerTest!A:A, 0), 0), 'language&amp;DataTest'!A:A, 0), MATCH(HOME!$A$25, 'language&amp;DataTest'!$A$1:$G$1, 0))),                      IFERROR(INDEX('language&amp;DataTest'!A:J, MATCH(INDEX( PointerTest!D:D, MATCH(B67, PointerTest!A:A, 0), 0), 'language&amp;DataTest'!A:A, 0), MATCH(HOME!$A$25, 'language&amp;DataTest'!$A$1:$G$1, 0))),                                          
IFERROR(INDEX('language&amp;DataTest'!A:J, MATCH(INDEX( PointerTest!E:E, MATCH(B67, PointerTest!A:A, 0), 0), 'language&amp;DataTest'!A:A, 0), MATCH(HOME!$A$25, 'language&amp;DataTest'!$A$1:$G$1, 0))))</f>
        <v>Shellder</v>
      </c>
      <c r="D67" s="124" t="str">
        <f t="shared" si="1"/>
        <v>Shellder</v>
      </c>
      <c r="E67" s="124" t="b">
        <f>IFERROR(__xludf.DUMMYFUNCTION("REGEXMATCH(SUBSTITUTE(SUBSTITUTE(SUBSTITUTE(C67:C1000, ""♂"", ""male""), ""♀"", ""female""), "" ex"", """"), TEXTJOIN(""\b|"", TRUE,SPLIT($M$2, "" "")) &amp; ""\b"")"),TRUE)</f>
        <v>1</v>
      </c>
      <c r="G67" s="341" t="str">
        <f>IFERROR(__xludf.DUMMYFUNCTION("""COMPUTED_VALUE"""),"Magikarp")</f>
        <v>Magikarp</v>
      </c>
      <c r="I67" s="341" t="str">
        <f>IFERROR(__xludf.DUMMYFUNCTION("""COMPUTED_VALUE"""),"Pikachu")</f>
        <v>Pikachu</v>
      </c>
    </row>
    <row r="68">
      <c r="A68" s="68" t="b">
        <v>1</v>
      </c>
      <c r="B68" s="386" t="s">
        <v>172</v>
      </c>
      <c r="C68" s="386" t="str">
        <f t="array" ref="C68">TEXTJOIN("", TRUE, IFERROR(INDEX('language&amp;DataTest'!A:J, MATCH(INDEX( PointerTest!C:C, MATCH(B68, PointerTest!A:A, 0), 0), 'language&amp;DataTest'!A:A, 0), MATCH(HOME!$A$25, 'language&amp;DataTest'!$A$1:$G$1, 0))),                      IFERROR(INDEX('language&amp;DataTest'!A:J, MATCH(INDEX( PointerTest!D:D, MATCH(B68, PointerTest!A:A, 0), 0), 'language&amp;DataTest'!A:A, 0), MATCH(HOME!$A$25, 'language&amp;DataTest'!$A$1:$G$1, 0))),                                          
IFERROR(INDEX('language&amp;DataTest'!A:J, MATCH(INDEX( PointerTest!E:E, MATCH(B68, PointerTest!A:A, 0), 0), 'language&amp;DataTest'!A:A, 0), MATCH(HOME!$A$25, 'language&amp;DataTest'!$A$1:$G$1, 0))))</f>
        <v>Cloyster</v>
      </c>
      <c r="D68" s="124" t="str">
        <f t="shared" si="1"/>
        <v>Cloyster</v>
      </c>
      <c r="E68" s="124" t="b">
        <f>IFERROR(__xludf.DUMMYFUNCTION("REGEXMATCH(SUBSTITUTE(SUBSTITUTE(SUBSTITUTE(C68:C1000, ""♂"", ""male""), ""♀"", ""female""), "" ex"", """"), TEXTJOIN(""\b|"", TRUE,SPLIT($M$2, "" "")) &amp; ""\b"")"),TRUE)</f>
        <v>1</v>
      </c>
      <c r="G68" s="341" t="str">
        <f>IFERROR(__xludf.DUMMYFUNCTION("""COMPUTED_VALUE"""),"Gyarados")</f>
        <v>Gyarados</v>
      </c>
      <c r="I68" s="341" t="str">
        <f>IFERROR(__xludf.DUMMYFUNCTION("""COMPUTED_VALUE"""),"Raichu")</f>
        <v>Raichu</v>
      </c>
    </row>
    <row r="69">
      <c r="A69" s="68" t="b">
        <v>1</v>
      </c>
      <c r="B69" s="386" t="s">
        <v>174</v>
      </c>
      <c r="C69" s="386" t="str">
        <f t="array" ref="C69">TEXTJOIN("", TRUE, IFERROR(INDEX('language&amp;DataTest'!A:J, MATCH(INDEX( PointerTest!C:C, MATCH(B69, PointerTest!A:A, 0), 0), 'language&amp;DataTest'!A:A, 0), MATCH(HOME!$A$25, 'language&amp;DataTest'!$A$1:$G$1, 0))),                      IFERROR(INDEX('language&amp;DataTest'!A:J, MATCH(INDEX( PointerTest!D:D, MATCH(B69, PointerTest!A:A, 0), 0), 'language&amp;DataTest'!A:A, 0), MATCH(HOME!$A$25, 'language&amp;DataTest'!$A$1:$G$1, 0))),                                          
IFERROR(INDEX('language&amp;DataTest'!A:J, MATCH(INDEX( PointerTest!E:E, MATCH(B69, PointerTest!A:A, 0), 0), 'language&amp;DataTest'!A:A, 0), MATCH(HOME!$A$25, 'language&amp;DataTest'!$A$1:$G$1, 0))))</f>
        <v>Krabby</v>
      </c>
      <c r="D69" s="124" t="str">
        <f t="shared" si="1"/>
        <v>Krabby</v>
      </c>
      <c r="E69" s="124" t="b">
        <f>IFERROR(__xludf.DUMMYFUNCTION("REGEXMATCH(SUBSTITUTE(SUBSTITUTE(SUBSTITUTE(C69:C1000, ""♂"", ""male""), ""♀"", ""female""), "" ex"", """"), TEXTJOIN(""\b|"", TRUE,SPLIT($M$2, "" "")) &amp; ""\b"")"),TRUE)</f>
        <v>1</v>
      </c>
      <c r="G69" s="341" t="str">
        <f>IFERROR(__xludf.DUMMYFUNCTION("""COMPUTED_VALUE"""),"Lapras")</f>
        <v>Lapras</v>
      </c>
      <c r="I69" s="341" t="str">
        <f>IFERROR(__xludf.DUMMYFUNCTION("""COMPUTED_VALUE"""),"Magnemite")</f>
        <v>Magnemite</v>
      </c>
    </row>
    <row r="70">
      <c r="A70" s="68" t="b">
        <v>1</v>
      </c>
      <c r="B70" s="386" t="s">
        <v>175</v>
      </c>
      <c r="C70" s="386" t="str">
        <f t="array" ref="C70">TEXTJOIN("", TRUE, IFERROR(INDEX('language&amp;DataTest'!A:J, MATCH(INDEX( PointerTest!C:C, MATCH(B70, PointerTest!A:A, 0), 0), 'language&amp;DataTest'!A:A, 0), MATCH(HOME!$A$25, 'language&amp;DataTest'!$A$1:$G$1, 0))),                      IFERROR(INDEX('language&amp;DataTest'!A:J, MATCH(INDEX( PointerTest!D:D, MATCH(B70, PointerTest!A:A, 0), 0), 'language&amp;DataTest'!A:A, 0), MATCH(HOME!$A$25, 'language&amp;DataTest'!$A$1:$G$1, 0))),                                          
IFERROR(INDEX('language&amp;DataTest'!A:J, MATCH(INDEX( PointerTest!E:E, MATCH(B70, PointerTest!A:A, 0), 0), 'language&amp;DataTest'!A:A, 0), MATCH(HOME!$A$25, 'language&amp;DataTest'!$A$1:$G$1, 0))))</f>
        <v>Kingler</v>
      </c>
      <c r="D70" s="124" t="str">
        <f t="shared" si="1"/>
        <v>Kingler</v>
      </c>
      <c r="E70" s="124" t="b">
        <f>IFERROR(__xludf.DUMMYFUNCTION("REGEXMATCH(SUBSTITUTE(SUBSTITUTE(SUBSTITUTE(C70:C1000, ""♂"", ""male""), ""♀"", ""female""), "" ex"", """"), TEXTJOIN(""\b|"", TRUE,SPLIT($M$2, "" "")) &amp; ""\b"")"),TRUE)</f>
        <v>1</v>
      </c>
      <c r="G70" s="341" t="str">
        <f>IFERROR(__xludf.DUMMYFUNCTION("""COMPUTED_VALUE"""),"Vaporeon")</f>
        <v>Vaporeon</v>
      </c>
      <c r="I70" s="341" t="str">
        <f>IFERROR(__xludf.DUMMYFUNCTION("""COMPUTED_VALUE"""),"Magneton")</f>
        <v>Magneton</v>
      </c>
    </row>
    <row r="71">
      <c r="A71" s="68" t="b">
        <v>1</v>
      </c>
      <c r="B71" s="390" t="s">
        <v>177</v>
      </c>
      <c r="C71" s="386" t="str">
        <f t="array" ref="C71">TEXTJOIN("", TRUE, IFERROR(INDEX('language&amp;DataTest'!A:J, MATCH(INDEX( PointerTest!C:C, MATCH(B71, PointerTest!A:A, 0), 0), 'language&amp;DataTest'!A:A, 0), MATCH(HOME!$A$25, 'language&amp;DataTest'!$A$1:$G$1, 0))),                      IFERROR(INDEX('language&amp;DataTest'!A:J, MATCH(INDEX( PointerTest!D:D, MATCH(B71, PointerTest!A:A, 0), 0), 'language&amp;DataTest'!A:A, 0), MATCH(HOME!$A$25, 'language&amp;DataTest'!$A$1:$G$1, 0))),                                          
IFERROR(INDEX('language&amp;DataTest'!A:J, MATCH(INDEX( PointerTest!E:E, MATCH(B71, PointerTest!A:A, 0), 0), 'language&amp;DataTest'!A:A, 0), MATCH(HOME!$A$25, 'language&amp;DataTest'!$A$1:$G$1, 0))))</f>
        <v>Horsea</v>
      </c>
      <c r="D71" s="124" t="str">
        <f t="shared" si="1"/>
        <v>Horsea</v>
      </c>
      <c r="E71" s="124" t="b">
        <f>IFERROR(__xludf.DUMMYFUNCTION("REGEXMATCH(SUBSTITUTE(SUBSTITUTE(SUBSTITUTE(C71:C1000, ""♂"", ""male""), ""♀"", ""female""), "" ex"", """"), TEXTJOIN(""\b|"", TRUE,SPLIT($M$2, "" "")) &amp; ""\b"")"),TRUE)</f>
        <v>1</v>
      </c>
      <c r="G71" s="341" t="str">
        <f>IFERROR(__xludf.DUMMYFUNCTION("""COMPUTED_VALUE"""),"Omanyte")</f>
        <v>Omanyte</v>
      </c>
      <c r="I71" s="341" t="str">
        <f>IFERROR(__xludf.DUMMYFUNCTION("""COMPUTED_VALUE"""),"Voltorb")</f>
        <v>Voltorb</v>
      </c>
    </row>
    <row r="72">
      <c r="A72" s="68" t="b">
        <v>1</v>
      </c>
      <c r="B72" s="390" t="s">
        <v>178</v>
      </c>
      <c r="C72" s="386" t="str">
        <f t="array" ref="C72">TEXTJOIN("", TRUE, IFERROR(INDEX('language&amp;DataTest'!A:J, MATCH(INDEX( PointerTest!C:C, MATCH(B72, PointerTest!A:A, 0), 0), 'language&amp;DataTest'!A:A, 0), MATCH(HOME!$A$25, 'language&amp;DataTest'!$A$1:$G$1, 0))),                      IFERROR(INDEX('language&amp;DataTest'!A:J, MATCH(INDEX( PointerTest!D:D, MATCH(B72, PointerTest!A:A, 0), 0), 'language&amp;DataTest'!A:A, 0), MATCH(HOME!$A$25, 'language&amp;DataTest'!$A$1:$G$1, 0))),                                          
IFERROR(INDEX('language&amp;DataTest'!A:J, MATCH(INDEX( PointerTest!E:E, MATCH(B72, PointerTest!A:A, 0), 0), 'language&amp;DataTest'!A:A, 0), MATCH(HOME!$A$25, 'language&amp;DataTest'!$A$1:$G$1, 0))))</f>
        <v>Seadra</v>
      </c>
      <c r="D72" s="124" t="str">
        <f t="shared" si="1"/>
        <v>Seadra</v>
      </c>
      <c r="E72" s="124" t="b">
        <f>IFERROR(__xludf.DUMMYFUNCTION("REGEXMATCH(SUBSTITUTE(SUBSTITUTE(SUBSTITUTE(C72:C1000, ""♂"", ""male""), ""♀"", ""female""), "" ex"", """"), TEXTJOIN(""\b|"", TRUE,SPLIT($M$2, "" "")) &amp; ""\b"")"),TRUE)</f>
        <v>1</v>
      </c>
      <c r="G72" s="341" t="str">
        <f>IFERROR(__xludf.DUMMYFUNCTION("""COMPUTED_VALUE"""),"Omastar")</f>
        <v>Omastar</v>
      </c>
      <c r="I72" s="341" t="str">
        <f>IFERROR(__xludf.DUMMYFUNCTION("""COMPUTED_VALUE"""),"Electrode")</f>
        <v>Electrode</v>
      </c>
    </row>
    <row r="73">
      <c r="A73" s="68" t="b">
        <v>1</v>
      </c>
      <c r="B73" s="390" t="s">
        <v>179</v>
      </c>
      <c r="C73" s="386" t="str">
        <f t="array" ref="C73">TEXTJOIN("", TRUE, IFERROR(INDEX('language&amp;DataTest'!A:J, MATCH(INDEX( PointerTest!C:C, MATCH(B73, PointerTest!A:A, 0), 0), 'language&amp;DataTest'!A:A, 0), MATCH(HOME!$A$25, 'language&amp;DataTest'!$A$1:$G$1, 0))),                      IFERROR(INDEX('language&amp;DataTest'!A:J, MATCH(INDEX( PointerTest!D:D, MATCH(B73, PointerTest!A:A, 0), 0), 'language&amp;DataTest'!A:A, 0), MATCH(HOME!$A$25, 'language&amp;DataTest'!$A$1:$G$1, 0))),                                          
IFERROR(INDEX('language&amp;DataTest'!A:J, MATCH(INDEX( PointerTest!E:E, MATCH(B73, PointerTest!A:A, 0), 0), 'language&amp;DataTest'!A:A, 0), MATCH(HOME!$A$25, 'language&amp;DataTest'!$A$1:$G$1, 0))))</f>
        <v>Goldeen</v>
      </c>
      <c r="D73" s="124" t="str">
        <f t="shared" si="1"/>
        <v>Goldeen</v>
      </c>
      <c r="E73" s="124" t="b">
        <f>IFERROR(__xludf.DUMMYFUNCTION("REGEXMATCH(SUBSTITUTE(SUBSTITUTE(SUBSTITUTE(C73:C1000, ""♂"", ""male""), ""♀"", ""female""), "" ex"", """"), TEXTJOIN(""\b|"", TRUE,SPLIT($M$2, "" "")) &amp; ""\b"")"),TRUE)</f>
        <v>1</v>
      </c>
      <c r="G73" s="341" t="str">
        <f>IFERROR(__xludf.DUMMYFUNCTION("""COMPUTED_VALUE"""),"Articuno")</f>
        <v>Articuno</v>
      </c>
      <c r="I73" s="341" t="str">
        <f>IFERROR(__xludf.DUMMYFUNCTION("""COMPUTED_VALUE"""),"Electabuzz")</f>
        <v>Electabuzz</v>
      </c>
    </row>
    <row r="74">
      <c r="A74" s="68" t="b">
        <v>1</v>
      </c>
      <c r="B74" s="390" t="s">
        <v>180</v>
      </c>
      <c r="C74" s="386" t="str">
        <f t="array" ref="C74">TEXTJOIN("", TRUE, IFERROR(INDEX('language&amp;DataTest'!A:J, MATCH(INDEX( PointerTest!C:C, MATCH(B74, PointerTest!A:A, 0), 0), 'language&amp;DataTest'!A:A, 0), MATCH(HOME!$A$25, 'language&amp;DataTest'!$A$1:$G$1, 0))),                      IFERROR(INDEX('language&amp;DataTest'!A:J, MATCH(INDEX( PointerTest!D:D, MATCH(B74, PointerTest!A:A, 0), 0), 'language&amp;DataTest'!A:A, 0), MATCH(HOME!$A$25, 'language&amp;DataTest'!$A$1:$G$1, 0))),                                          
IFERROR(INDEX('language&amp;DataTest'!A:J, MATCH(INDEX( PointerTest!E:E, MATCH(B74, PointerTest!A:A, 0), 0), 'language&amp;DataTest'!A:A, 0), MATCH(HOME!$A$25, 'language&amp;DataTest'!$A$1:$G$1, 0))))</f>
        <v>Seaking</v>
      </c>
      <c r="D74" s="124" t="str">
        <f t="shared" si="1"/>
        <v>Seaking</v>
      </c>
      <c r="E74" s="124" t="b">
        <f>IFERROR(__xludf.DUMMYFUNCTION("REGEXMATCH(SUBSTITUTE(SUBSTITUTE(SUBSTITUTE(C74:C1000, ""♂"", ""male""), ""♀"", ""female""), "" ex"", """"), TEXTJOIN(""\b|"", TRUE,SPLIT($M$2, "" "")) &amp; ""\b"")"),TRUE)</f>
        <v>1</v>
      </c>
      <c r="G74" s="341" t="str">
        <f>IFERROR(__xludf.DUMMYFUNCTION("""COMPUTED_VALUE"""),"Articuno")</f>
        <v>Articuno</v>
      </c>
      <c r="I74" s="341" t="str">
        <f>IFERROR(__xludf.DUMMYFUNCTION("""COMPUTED_VALUE"""),"Jolteon")</f>
        <v>Jolteon</v>
      </c>
    </row>
    <row r="75">
      <c r="A75" s="68" t="b">
        <v>1</v>
      </c>
      <c r="B75" s="393" t="s">
        <v>181</v>
      </c>
      <c r="C75" s="386" t="str">
        <f t="array" ref="C75">TEXTJOIN("", TRUE, IFERROR(INDEX('language&amp;DataTest'!A:J, MATCH(INDEX( PointerTest!C:C, MATCH(B75, PointerTest!A:A, 0), 0), 'language&amp;DataTest'!A:A, 0), MATCH(HOME!$A$25, 'language&amp;DataTest'!$A$1:$G$1, 0))),                      IFERROR(INDEX('language&amp;DataTest'!A:J, MATCH(INDEX( PointerTest!D:D, MATCH(B75, PointerTest!A:A, 0), 0), 'language&amp;DataTest'!A:A, 0), MATCH(HOME!$A$25, 'language&amp;DataTest'!$A$1:$G$1, 0))),                                          
IFERROR(INDEX('language&amp;DataTest'!A:J, MATCH(INDEX( PointerTest!E:E, MATCH(B75, PointerTest!A:A, 0), 0), 'language&amp;DataTest'!A:A, 0), MATCH(HOME!$A$25, 'language&amp;DataTest'!$A$1:$G$1, 0))))</f>
        <v>Staryu</v>
      </c>
      <c r="D75" s="124" t="str">
        <f t="shared" si="1"/>
        <v>Staryu</v>
      </c>
      <c r="E75" s="124" t="b">
        <f>IFERROR(__xludf.DUMMYFUNCTION("REGEXMATCH(SUBSTITUTE(SUBSTITUTE(SUBSTITUTE(C75:C1000, ""♂"", ""male""), ""♀"", ""female""), "" ex"", """"), TEXTJOIN(""\b|"", TRUE,SPLIT($M$2, "" "")) &amp; ""\b"")"),TRUE)</f>
        <v>1</v>
      </c>
      <c r="G75" s="341" t="str">
        <f>IFERROR(__xludf.DUMMYFUNCTION("""COMPUTED_VALUE"""),"Pikachu")</f>
        <v>Pikachu</v>
      </c>
      <c r="I75" s="341" t="str">
        <f>IFERROR(__xludf.DUMMYFUNCTION("""COMPUTED_VALUE"""),"Zapdos")</f>
        <v>Zapdos</v>
      </c>
    </row>
    <row r="76">
      <c r="A76" s="68" t="b">
        <v>1</v>
      </c>
      <c r="B76" s="393" t="s">
        <v>182</v>
      </c>
      <c r="C76" s="386" t="str">
        <f t="array" ref="C76">TEXTJOIN("", TRUE, IFERROR(INDEX('language&amp;DataTest'!A:J, MATCH(INDEX( PointerTest!C:C, MATCH(B76, PointerTest!A:A, 0), 0), 'language&amp;DataTest'!A:A, 0), MATCH(HOME!$A$25, 'language&amp;DataTest'!$A$1:$G$1, 0))),                      IFERROR(INDEX('language&amp;DataTest'!A:J, MATCH(INDEX( PointerTest!D:D, MATCH(B76, PointerTest!A:A, 0), 0), 'language&amp;DataTest'!A:A, 0), MATCH(HOME!$A$25, 'language&amp;DataTest'!$A$1:$G$1, 0))),                                          
IFERROR(INDEX('language&amp;DataTest'!A:J, MATCH(INDEX( PointerTest!E:E, MATCH(B76, PointerTest!A:A, 0), 0), 'language&amp;DataTest'!A:A, 0), MATCH(HOME!$A$25, 'language&amp;DataTest'!$A$1:$G$1, 0))))</f>
        <v>Starmie</v>
      </c>
      <c r="D76" s="124" t="str">
        <f t="shared" si="1"/>
        <v>Starmie</v>
      </c>
      <c r="E76" s="124" t="b">
        <f>IFERROR(__xludf.DUMMYFUNCTION("REGEXMATCH(SUBSTITUTE(SUBSTITUTE(SUBSTITUTE(C76:C1000, ""♂"", ""male""), ""♀"", ""female""), "" ex"", """"), TEXTJOIN(""\b|"", TRUE,SPLIT($M$2, "" "")) &amp; ""\b"")"),TRUE)</f>
        <v>1</v>
      </c>
      <c r="G76" s="341" t="str">
        <f>IFERROR(__xludf.DUMMYFUNCTION("""COMPUTED_VALUE"""),"Raichu")</f>
        <v>Raichu</v>
      </c>
      <c r="I76" s="341" t="str">
        <f>IFERROR(__xludf.DUMMYFUNCTION("""COMPUTED_VALUE"""),"Clefairy")</f>
        <v>Clefairy</v>
      </c>
    </row>
    <row r="77">
      <c r="A77" s="68" t="b">
        <v>1</v>
      </c>
      <c r="B77" s="393" t="s">
        <v>184</v>
      </c>
      <c r="C77" s="386" t="str">
        <f t="array" ref="C77">TEXTJOIN("", TRUE, IFERROR(INDEX('language&amp;DataTest'!A:J, MATCH(INDEX( PointerTest!C:C, MATCH(B77, PointerTest!A:A, 0), 0), 'language&amp;DataTest'!A:A, 0), MATCH(HOME!$A$25, 'language&amp;DataTest'!$A$1:$G$1, 0))),                      IFERROR(INDEX('language&amp;DataTest'!A:J, MATCH(INDEX( PointerTest!D:D, MATCH(B77, PointerTest!A:A, 0), 0), 'language&amp;DataTest'!A:A, 0), MATCH(HOME!$A$25, 'language&amp;DataTest'!$A$1:$G$1, 0))),                                          
IFERROR(INDEX('language&amp;DataTest'!A:J, MATCH(INDEX( PointerTest!E:E, MATCH(B77, PointerTest!A:A, 0), 0), 'language&amp;DataTest'!A:A, 0), MATCH(HOME!$A$25, 'language&amp;DataTest'!$A$1:$G$1, 0))))</f>
        <v>Starmie ex</v>
      </c>
      <c r="D77" s="124" t="str">
        <f t="shared" si="1"/>
        <v>Starmie</v>
      </c>
      <c r="E77" s="124" t="b">
        <f>IFERROR(__xludf.DUMMYFUNCTION("REGEXMATCH(SUBSTITUTE(SUBSTITUTE(SUBSTITUTE(C77:C1000, ""♂"", ""male""), ""♀"", ""female""), "" ex"", """"), TEXTJOIN(""\b|"", TRUE,SPLIT($M$2, "" "")) &amp; ""\b"")"),TRUE)</f>
        <v>1</v>
      </c>
      <c r="G77" s="341" t="str">
        <f>IFERROR(__xludf.DUMMYFUNCTION("""COMPUTED_VALUE"""),"Pikachu")</f>
        <v>Pikachu</v>
      </c>
      <c r="I77" s="341" t="str">
        <f>IFERROR(__xludf.DUMMYFUNCTION("""COMPUTED_VALUE"""),"Clefable")</f>
        <v>Clefable</v>
      </c>
    </row>
    <row r="78">
      <c r="A78" s="68" t="b">
        <v>1</v>
      </c>
      <c r="B78" s="390" t="s">
        <v>185</v>
      </c>
      <c r="C78" s="386" t="str">
        <f t="array" ref="C78">TEXTJOIN("", TRUE, IFERROR(INDEX('language&amp;DataTest'!A:J, MATCH(INDEX( PointerTest!C:C, MATCH(B78, PointerTest!A:A, 0), 0), 'language&amp;DataTest'!A:A, 0), MATCH(HOME!$A$25, 'language&amp;DataTest'!$A$1:$G$1, 0))),                      IFERROR(INDEX('language&amp;DataTest'!A:J, MATCH(INDEX( PointerTest!D:D, MATCH(B78, PointerTest!A:A, 0), 0), 'language&amp;DataTest'!A:A, 0), MATCH(HOME!$A$25, 'language&amp;DataTest'!$A$1:$G$1, 0))),                                          
IFERROR(INDEX('language&amp;DataTest'!A:J, MATCH(INDEX( PointerTest!E:E, MATCH(B78, PointerTest!A:A, 0), 0), 'language&amp;DataTest'!A:A, 0), MATCH(HOME!$A$25, 'language&amp;DataTest'!$A$1:$G$1, 0))))</f>
        <v>Magikarp</v>
      </c>
      <c r="D78" s="124" t="str">
        <f t="shared" si="1"/>
        <v>Magikarp</v>
      </c>
      <c r="E78" s="124" t="b">
        <f>IFERROR(__xludf.DUMMYFUNCTION("REGEXMATCH(SUBSTITUTE(SUBSTITUTE(SUBSTITUTE(C78:C1000, ""♂"", ""male""), ""♀"", ""female""), "" ex"", """"), TEXTJOIN(""\b|"", TRUE,SPLIT($M$2, "" "")) &amp; ""\b"")"),TRUE)</f>
        <v>1</v>
      </c>
      <c r="G78" s="341" t="str">
        <f>IFERROR(__xludf.DUMMYFUNCTION("""COMPUTED_VALUE"""),"Magnemite")</f>
        <v>Magnemite</v>
      </c>
      <c r="I78" s="341" t="str">
        <f>IFERROR(__xludf.DUMMYFUNCTION("""COMPUTED_VALUE"""),"Abra")</f>
        <v>Abra</v>
      </c>
    </row>
    <row r="79">
      <c r="A79" s="68" t="b">
        <v>1</v>
      </c>
      <c r="B79" s="390" t="s">
        <v>186</v>
      </c>
      <c r="C79" s="386" t="str">
        <f t="array" ref="C79">TEXTJOIN("", TRUE, IFERROR(INDEX('language&amp;DataTest'!A:J, MATCH(INDEX( PointerTest!C:C, MATCH(B79, PointerTest!A:A, 0), 0), 'language&amp;DataTest'!A:A, 0), MATCH(HOME!$A$25, 'language&amp;DataTest'!$A$1:$G$1, 0))),                      IFERROR(INDEX('language&amp;DataTest'!A:J, MATCH(INDEX( PointerTest!D:D, MATCH(B79, PointerTest!A:A, 0), 0), 'language&amp;DataTest'!A:A, 0), MATCH(HOME!$A$25, 'language&amp;DataTest'!$A$1:$G$1, 0))),                                          
IFERROR(INDEX('language&amp;DataTest'!A:J, MATCH(INDEX( PointerTest!E:E, MATCH(B79, PointerTest!A:A, 0), 0), 'language&amp;DataTest'!A:A, 0), MATCH(HOME!$A$25, 'language&amp;DataTest'!$A$1:$G$1, 0))))</f>
        <v>Gyarados</v>
      </c>
      <c r="D79" s="124" t="str">
        <f t="shared" si="1"/>
        <v>Gyarados</v>
      </c>
      <c r="E79" s="124" t="b">
        <f>IFERROR(__xludf.DUMMYFUNCTION("REGEXMATCH(SUBSTITUTE(SUBSTITUTE(SUBSTITUTE(C79:C1000, ""♂"", ""male""), ""♀"", ""female""), "" ex"", """"), TEXTJOIN(""\b|"", TRUE,SPLIT($M$2, "" "")) &amp; ""\b"")"),TRUE)</f>
        <v>1</v>
      </c>
      <c r="G79" s="341" t="str">
        <f>IFERROR(__xludf.DUMMYFUNCTION("""COMPUTED_VALUE"""),"Magneton")</f>
        <v>Magneton</v>
      </c>
      <c r="I79" s="341" t="str">
        <f>IFERROR(__xludf.DUMMYFUNCTION("""COMPUTED_VALUE"""),"Kadabra")</f>
        <v>Kadabra</v>
      </c>
    </row>
    <row r="80">
      <c r="A80" s="68" t="b">
        <v>1</v>
      </c>
      <c r="B80" s="393" t="s">
        <v>187</v>
      </c>
      <c r="C80" s="386" t="str">
        <f t="array" ref="C80">TEXTJOIN("", TRUE, IFERROR(INDEX('language&amp;DataTest'!A:J, MATCH(INDEX( PointerTest!C:C, MATCH(B80, PointerTest!A:A, 0), 0), 'language&amp;DataTest'!A:A, 0), MATCH(HOME!$A$25, 'language&amp;DataTest'!$A$1:$G$1, 0))),                      IFERROR(INDEX('language&amp;DataTest'!A:J, MATCH(INDEX( PointerTest!D:D, MATCH(B80, PointerTest!A:A, 0), 0), 'language&amp;DataTest'!A:A, 0), MATCH(HOME!$A$25, 'language&amp;DataTest'!$A$1:$G$1, 0))),                                          
IFERROR(INDEX('language&amp;DataTest'!A:J, MATCH(INDEX( PointerTest!E:E, MATCH(B80, PointerTest!A:A, 0), 0), 'language&amp;DataTest'!A:A, 0), MATCH(HOME!$A$25, 'language&amp;DataTest'!$A$1:$G$1, 0))))</f>
        <v>Lapras</v>
      </c>
      <c r="D80" s="124" t="str">
        <f t="shared" si="1"/>
        <v>Lapras</v>
      </c>
      <c r="E80" s="124" t="b">
        <f>IFERROR(__xludf.DUMMYFUNCTION("REGEXMATCH(SUBSTITUTE(SUBSTITUTE(SUBSTITUTE(C80:C1000, ""♂"", ""male""), ""♀"", ""female""), "" ex"", """"), TEXTJOIN(""\b|"", TRUE,SPLIT($M$2, "" "")) &amp; ""\b"")"),TRUE)</f>
        <v>1</v>
      </c>
      <c r="G80" s="341" t="str">
        <f>IFERROR(__xludf.DUMMYFUNCTION("""COMPUTED_VALUE"""),"Voltorb")</f>
        <v>Voltorb</v>
      </c>
      <c r="I80" s="341" t="str">
        <f>IFERROR(__xludf.DUMMYFUNCTION("""COMPUTED_VALUE"""),"Alakazam")</f>
        <v>Alakazam</v>
      </c>
    </row>
    <row r="81">
      <c r="A81" s="68" t="b">
        <v>1</v>
      </c>
      <c r="B81" s="386" t="s">
        <v>189</v>
      </c>
      <c r="C81" s="386" t="str">
        <f t="array" ref="C81">TEXTJOIN("", TRUE, IFERROR(INDEX('language&amp;DataTest'!A:J, MATCH(INDEX( PointerTest!C:C, MATCH(B81, PointerTest!A:A, 0), 0), 'language&amp;DataTest'!A:A, 0), MATCH(HOME!$A$25, 'language&amp;DataTest'!$A$1:$G$1, 0))),                      IFERROR(INDEX('language&amp;DataTest'!A:J, MATCH(INDEX( PointerTest!D:D, MATCH(B81, PointerTest!A:A, 0), 0), 'language&amp;DataTest'!A:A, 0), MATCH(HOME!$A$25, 'language&amp;DataTest'!$A$1:$G$1, 0))),                                          
IFERROR(INDEX('language&amp;DataTest'!A:J, MATCH(INDEX( PointerTest!E:E, MATCH(B81, PointerTest!A:A, 0), 0), 'language&amp;DataTest'!A:A, 0), MATCH(HOME!$A$25, 'language&amp;DataTest'!$A$1:$G$1, 0))))</f>
        <v>Vaporeon</v>
      </c>
      <c r="D81" s="124" t="str">
        <f t="shared" si="1"/>
        <v>Vaporeon</v>
      </c>
      <c r="E81" s="124" t="b">
        <f>IFERROR(__xludf.DUMMYFUNCTION("REGEXMATCH(SUBSTITUTE(SUBSTITUTE(SUBSTITUTE(C81:C1000, ""♂"", ""male""), ""♀"", ""female""), "" ex"", """"), TEXTJOIN(""\b|"", TRUE,SPLIT($M$2, "" "")) &amp; ""\b"")"),TRUE)</f>
        <v>1</v>
      </c>
      <c r="G81" s="341" t="str">
        <f>IFERROR(__xludf.DUMMYFUNCTION("""COMPUTED_VALUE"""),"Electrode")</f>
        <v>Electrode</v>
      </c>
      <c r="I81" s="341" t="str">
        <f>IFERROR(__xludf.DUMMYFUNCTION("""COMPUTED_VALUE"""),"Slowpoke")</f>
        <v>Slowpoke</v>
      </c>
    </row>
    <row r="82">
      <c r="A82" s="68" t="b">
        <v>1</v>
      </c>
      <c r="B82" s="390" t="s">
        <v>190</v>
      </c>
      <c r="C82" s="386" t="str">
        <f t="array" ref="C82">TEXTJOIN("", TRUE, IFERROR(INDEX('language&amp;DataTest'!A:J, MATCH(INDEX( PointerTest!C:C, MATCH(B82, PointerTest!A:A, 0), 0), 'language&amp;DataTest'!A:A, 0), MATCH(HOME!$A$25, 'language&amp;DataTest'!$A$1:$G$1, 0))),                      IFERROR(INDEX('language&amp;DataTest'!A:J, MATCH(INDEX( PointerTest!D:D, MATCH(B82, PointerTest!A:A, 0), 0), 'language&amp;DataTest'!A:A, 0), MATCH(HOME!$A$25, 'language&amp;DataTest'!$A$1:$G$1, 0))),                                          
IFERROR(INDEX('language&amp;DataTest'!A:J, MATCH(INDEX( PointerTest!E:E, MATCH(B82, PointerTest!A:A, 0), 0), 'language&amp;DataTest'!A:A, 0), MATCH(HOME!$A$25, 'language&amp;DataTest'!$A$1:$G$1, 0))))</f>
        <v>Omanyte</v>
      </c>
      <c r="D82" s="124" t="str">
        <f t="shared" si="1"/>
        <v>Omanyte</v>
      </c>
      <c r="E82" s="124" t="b">
        <f>IFERROR(__xludf.DUMMYFUNCTION("REGEXMATCH(SUBSTITUTE(SUBSTITUTE(SUBSTITUTE(C82:C1000, ""♂"", ""male""), ""♀"", ""female""), "" ex"", """"), TEXTJOIN(""\b|"", TRUE,SPLIT($M$2, "" "")) &amp; ""\b"")"),TRUE)</f>
        <v>1</v>
      </c>
      <c r="G82" s="341" t="str">
        <f>IFERROR(__xludf.DUMMYFUNCTION("""COMPUTED_VALUE"""),"Electabuzz")</f>
        <v>Electabuzz</v>
      </c>
      <c r="I82" s="341" t="str">
        <f>IFERROR(__xludf.DUMMYFUNCTION("""COMPUTED_VALUE"""),"Slowbro")</f>
        <v>Slowbro</v>
      </c>
    </row>
    <row r="83">
      <c r="A83" s="68" t="b">
        <v>1</v>
      </c>
      <c r="B83" s="390" t="s">
        <v>192</v>
      </c>
      <c r="C83" s="386" t="str">
        <f t="array" ref="C83">TEXTJOIN("", TRUE, IFERROR(INDEX('language&amp;DataTest'!A:J, MATCH(INDEX( PointerTest!C:C, MATCH(B83, PointerTest!A:A, 0), 0), 'language&amp;DataTest'!A:A, 0), MATCH(HOME!$A$25, 'language&amp;DataTest'!$A$1:$G$1, 0))),                      IFERROR(INDEX('language&amp;DataTest'!A:J, MATCH(INDEX( PointerTest!D:D, MATCH(B83, PointerTest!A:A, 0), 0), 'language&amp;DataTest'!A:A, 0), MATCH(HOME!$A$25, 'language&amp;DataTest'!$A$1:$G$1, 0))),                                          
IFERROR(INDEX('language&amp;DataTest'!A:J, MATCH(INDEX( PointerTest!E:E, MATCH(B83, PointerTest!A:A, 0), 0), 'language&amp;DataTest'!A:A, 0), MATCH(HOME!$A$25, 'language&amp;DataTest'!$A$1:$G$1, 0))))</f>
        <v>Omastar</v>
      </c>
      <c r="D83" s="124" t="str">
        <f t="shared" si="1"/>
        <v>Omastar</v>
      </c>
      <c r="E83" s="124" t="b">
        <f>IFERROR(__xludf.DUMMYFUNCTION("REGEXMATCH(SUBSTITUTE(SUBSTITUTE(SUBSTITUTE(C83:C1000, ""♂"", ""male""), ""♀"", ""female""), "" ex"", """"), TEXTJOIN(""\b|"", TRUE,SPLIT($M$2, "" "")) &amp; ""\b"")"),TRUE)</f>
        <v>1</v>
      </c>
      <c r="G83" s="341" t="str">
        <f>IFERROR(__xludf.DUMMYFUNCTION("""COMPUTED_VALUE"""),"Jolteon")</f>
        <v>Jolteon</v>
      </c>
      <c r="I83" s="341" t="str">
        <f>IFERROR(__xludf.DUMMYFUNCTION("""COMPUTED_VALUE"""),"Gastly")</f>
        <v>Gastly</v>
      </c>
    </row>
    <row r="84">
      <c r="A84" s="68" t="b">
        <v>1</v>
      </c>
      <c r="B84" s="386" t="s">
        <v>193</v>
      </c>
      <c r="C84" s="386" t="str">
        <f t="array" ref="C84">TEXTJOIN("", TRUE, IFERROR(INDEX('language&amp;DataTest'!A:J, MATCH(INDEX( PointerTest!C:C, MATCH(B84, PointerTest!A:A, 0), 0), 'language&amp;DataTest'!A:A, 0), MATCH(HOME!$A$25, 'language&amp;DataTest'!$A$1:$G$1, 0))),                      IFERROR(INDEX('language&amp;DataTest'!A:J, MATCH(INDEX( PointerTest!D:D, MATCH(B84, PointerTest!A:A, 0), 0), 'language&amp;DataTest'!A:A, 0), MATCH(HOME!$A$25, 'language&amp;DataTest'!$A$1:$G$1, 0))),                                          
IFERROR(INDEX('language&amp;DataTest'!A:J, MATCH(INDEX( PointerTest!E:E, MATCH(B84, PointerTest!A:A, 0), 0), 'language&amp;DataTest'!A:A, 0), MATCH(HOME!$A$25, 'language&amp;DataTest'!$A$1:$G$1, 0))))</f>
        <v>Articuno</v>
      </c>
      <c r="D84" s="124" t="str">
        <f t="shared" si="1"/>
        <v>Articuno</v>
      </c>
      <c r="E84" s="124" t="b">
        <f>IFERROR(__xludf.DUMMYFUNCTION("REGEXMATCH(SUBSTITUTE(SUBSTITUTE(SUBSTITUTE(C84:C1000, ""♂"", ""male""), ""♀"", ""female""), "" ex"", """"), TEXTJOIN(""\b|"", TRUE,SPLIT($M$2, "" "")) &amp; ""\b"")"),TRUE)</f>
        <v>1</v>
      </c>
      <c r="G84" s="341" t="str">
        <f>IFERROR(__xludf.DUMMYFUNCTION("""COMPUTED_VALUE"""),"Zapdos")</f>
        <v>Zapdos</v>
      </c>
      <c r="I84" s="341" t="str">
        <f>IFERROR(__xludf.DUMMYFUNCTION("""COMPUTED_VALUE"""),"Haunter")</f>
        <v>Haunter</v>
      </c>
    </row>
    <row r="85">
      <c r="A85" s="68" t="b">
        <v>1</v>
      </c>
      <c r="B85" s="386" t="s">
        <v>194</v>
      </c>
      <c r="C85" s="386" t="str">
        <f t="array" ref="C85">TEXTJOIN("", TRUE, IFERROR(INDEX('language&amp;DataTest'!A:J, MATCH(INDEX( PointerTest!C:C, MATCH(B85, PointerTest!A:A, 0), 0), 'language&amp;DataTest'!A:A, 0), MATCH(HOME!$A$25, 'language&amp;DataTest'!$A$1:$G$1, 0))),                      IFERROR(INDEX('language&amp;DataTest'!A:J, MATCH(INDEX( PointerTest!D:D, MATCH(B85, PointerTest!A:A, 0), 0), 'language&amp;DataTest'!A:A, 0), MATCH(HOME!$A$25, 'language&amp;DataTest'!$A$1:$G$1, 0))),                                          
IFERROR(INDEX('language&amp;DataTest'!A:J, MATCH(INDEX( PointerTest!E:E, MATCH(B85, PointerTest!A:A, 0), 0), 'language&amp;DataTest'!A:A, 0), MATCH(HOME!$A$25, 'language&amp;DataTest'!$A$1:$G$1, 0))))</f>
        <v>Articuno ex</v>
      </c>
      <c r="D85" s="124" t="str">
        <f t="shared" si="1"/>
        <v>Articuno</v>
      </c>
      <c r="E85" s="124" t="b">
        <f>IFERROR(__xludf.DUMMYFUNCTION("REGEXMATCH(SUBSTITUTE(SUBSTITUTE(SUBSTITUTE(C85:C1000, ""♂"", ""male""), ""♀"", ""female""), "" ex"", """"), TEXTJOIN(""\b|"", TRUE,SPLIT($M$2, "" "")) &amp; ""\b"")"),TRUE)</f>
        <v>1</v>
      </c>
      <c r="G85" s="341" t="str">
        <f>IFERROR(__xludf.DUMMYFUNCTION("""COMPUTED_VALUE"""),"Zapdos")</f>
        <v>Zapdos</v>
      </c>
      <c r="I85" s="341" t="str">
        <f>IFERROR(__xludf.DUMMYFUNCTION("""COMPUTED_VALUE"""),"Gengar")</f>
        <v>Gengar</v>
      </c>
    </row>
    <row r="86">
      <c r="A86" s="68" t="b">
        <v>1</v>
      </c>
      <c r="B86" s="393" t="s">
        <v>195</v>
      </c>
      <c r="C86" s="386" t="str">
        <f t="array" ref="C86">TEXTJOIN("", TRUE, IFERROR(INDEX('language&amp;DataTest'!A:J, MATCH(INDEX( PointerTest!C:C, MATCH(B86, PointerTest!A:A, 0), 0), 'language&amp;DataTest'!A:A, 0), MATCH(HOME!$A$25, 'language&amp;DataTest'!$A$1:$G$1, 0))),                      IFERROR(INDEX('language&amp;DataTest'!A:J, MATCH(INDEX( PointerTest!D:D, MATCH(B86, PointerTest!A:A, 0), 0), 'language&amp;DataTest'!A:A, 0), MATCH(HOME!$A$25, 'language&amp;DataTest'!$A$1:$G$1, 0))),                                          
IFERROR(INDEX('language&amp;DataTest'!A:J, MATCH(INDEX( PointerTest!E:E, MATCH(B86, PointerTest!A:A, 0), 0), 'language&amp;DataTest'!A:A, 0), MATCH(HOME!$A$25, 'language&amp;DataTest'!$A$1:$G$1, 0))))</f>
        <v>Ducklett</v>
      </c>
      <c r="D86" s="124" t="str">
        <f t="shared" si="1"/>
        <v>Ducklett</v>
      </c>
      <c r="E86" s="124" t="b">
        <f>IFERROR(__xludf.DUMMYFUNCTION("REGEXMATCH(SUBSTITUTE(SUBSTITUTE(SUBSTITUTE(C86:C1000, ""♂"", ""male""), ""♀"", ""female""), "" ex"", """"), TEXTJOIN(""\b|"", TRUE,SPLIT($M$2, "" "")) &amp; ""\b"")"),FALSE)</f>
        <v>0</v>
      </c>
      <c r="G86" s="341" t="str">
        <f>IFERROR(__xludf.DUMMYFUNCTION("""COMPUTED_VALUE"""),"Clefairy")</f>
        <v>Clefairy</v>
      </c>
      <c r="I86" s="341" t="str">
        <f>IFERROR(__xludf.DUMMYFUNCTION("""COMPUTED_VALUE"""),"Drowzee")</f>
        <v>Drowzee</v>
      </c>
    </row>
    <row r="87">
      <c r="A87" s="68" t="b">
        <v>1</v>
      </c>
      <c r="B87" s="393" t="s">
        <v>196</v>
      </c>
      <c r="C87" s="386" t="str">
        <f t="array" ref="C87">TEXTJOIN("", TRUE, IFERROR(INDEX('language&amp;DataTest'!A:J, MATCH(INDEX( PointerTest!C:C, MATCH(B87, PointerTest!A:A, 0), 0), 'language&amp;DataTest'!A:A, 0), MATCH(HOME!$A$25, 'language&amp;DataTest'!$A$1:$G$1, 0))),                      IFERROR(INDEX('language&amp;DataTest'!A:J, MATCH(INDEX( PointerTest!D:D, MATCH(B87, PointerTest!A:A, 0), 0), 'language&amp;DataTest'!A:A, 0), MATCH(HOME!$A$25, 'language&amp;DataTest'!$A$1:$G$1, 0))),                                          
IFERROR(INDEX('language&amp;DataTest'!A:J, MATCH(INDEX( PointerTest!E:E, MATCH(B87, PointerTest!A:A, 0), 0), 'language&amp;DataTest'!A:A, 0), MATCH(HOME!$A$25, 'language&amp;DataTest'!$A$1:$G$1, 0))))</f>
        <v>Swanna</v>
      </c>
      <c r="D87" s="124" t="str">
        <f t="shared" si="1"/>
        <v>Swanna</v>
      </c>
      <c r="E87" s="124" t="b">
        <f>IFERROR(__xludf.DUMMYFUNCTION("REGEXMATCH(SUBSTITUTE(SUBSTITUTE(SUBSTITUTE(C87:C1000, ""♂"", ""male""), ""♀"", ""female""), "" ex"", """"), TEXTJOIN(""\b|"", TRUE,SPLIT($M$2, "" "")) &amp; ""\b"")"),FALSE)</f>
        <v>0</v>
      </c>
      <c r="G87" s="341" t="str">
        <f>IFERROR(__xludf.DUMMYFUNCTION("""COMPUTED_VALUE"""),"Clefable")</f>
        <v>Clefable</v>
      </c>
      <c r="I87" s="341" t="str">
        <f>IFERROR(__xludf.DUMMYFUNCTION("""COMPUTED_VALUE"""),"Hypno")</f>
        <v>Hypno</v>
      </c>
    </row>
    <row r="88">
      <c r="A88" s="68" t="b">
        <v>1</v>
      </c>
      <c r="B88" s="393" t="s">
        <v>197</v>
      </c>
      <c r="C88" s="386" t="str">
        <f t="array" ref="C88">TEXTJOIN("", TRUE, IFERROR(INDEX('language&amp;DataTest'!A:J, MATCH(INDEX( PointerTest!C:C, MATCH(B88, PointerTest!A:A, 0), 0), 'language&amp;DataTest'!A:A, 0), MATCH(HOME!$A$25, 'language&amp;DataTest'!$A$1:$G$1, 0))),                      IFERROR(INDEX('language&amp;DataTest'!A:J, MATCH(INDEX( PointerTest!D:D, MATCH(B88, PointerTest!A:A, 0), 0), 'language&amp;DataTest'!A:A, 0), MATCH(HOME!$A$25, 'language&amp;DataTest'!$A$1:$G$1, 0))),                                          
IFERROR(INDEX('language&amp;DataTest'!A:J, MATCH(INDEX( PointerTest!E:E, MATCH(B88, PointerTest!A:A, 0), 0), 'language&amp;DataTest'!A:A, 0), MATCH(HOME!$A$25, 'language&amp;DataTest'!$A$1:$G$1, 0))))</f>
        <v>Froakie</v>
      </c>
      <c r="D88" s="124" t="str">
        <f t="shared" si="1"/>
        <v>Froakie</v>
      </c>
      <c r="E88" s="124" t="b">
        <f>IFERROR(__xludf.DUMMYFUNCTION("REGEXMATCH(SUBSTITUTE(SUBSTITUTE(SUBSTITUTE(C88:C1000, ""♂"", ""male""), ""♀"", ""female""), "" ex"", """"), TEXTJOIN(""\b|"", TRUE,SPLIT($M$2, "" "")) &amp; ""\b"")"),FALSE)</f>
        <v>0</v>
      </c>
      <c r="G88" s="341" t="str">
        <f>IFERROR(__xludf.DUMMYFUNCTION("""COMPUTED_VALUE"""),"Abra")</f>
        <v>Abra</v>
      </c>
      <c r="I88" s="341" t="str">
        <f>IFERROR(__xludf.DUMMYFUNCTION("""COMPUTED_VALUE"""),"Mr. Mime")</f>
        <v>Mr. Mime</v>
      </c>
    </row>
    <row r="89">
      <c r="A89" s="68" t="b">
        <v>1</v>
      </c>
      <c r="B89" s="393" t="s">
        <v>198</v>
      </c>
      <c r="C89" s="386" t="str">
        <f t="array" ref="C89">TEXTJOIN("", TRUE, IFERROR(INDEX('language&amp;DataTest'!A:J, MATCH(INDEX( PointerTest!C:C, MATCH(B89, PointerTest!A:A, 0), 0), 'language&amp;DataTest'!A:A, 0), MATCH(HOME!$A$25, 'language&amp;DataTest'!$A$1:$G$1, 0))),                      IFERROR(INDEX('language&amp;DataTest'!A:J, MATCH(INDEX( PointerTest!D:D, MATCH(B89, PointerTest!A:A, 0), 0), 'language&amp;DataTest'!A:A, 0), MATCH(HOME!$A$25, 'language&amp;DataTest'!$A$1:$G$1, 0))),                                          
IFERROR(INDEX('language&amp;DataTest'!A:J, MATCH(INDEX( PointerTest!E:E, MATCH(B89, PointerTest!A:A, 0), 0), 'language&amp;DataTest'!A:A, 0), MATCH(HOME!$A$25, 'language&amp;DataTest'!$A$1:$G$1, 0))))</f>
        <v>Frogadier</v>
      </c>
      <c r="D89" s="124" t="str">
        <f t="shared" si="1"/>
        <v>Frogadier</v>
      </c>
      <c r="E89" s="124" t="b">
        <f>IFERROR(__xludf.DUMMYFUNCTION("REGEXMATCH(SUBSTITUTE(SUBSTITUTE(SUBSTITUTE(C89:C1000, ""♂"", ""male""), ""♀"", ""female""), "" ex"", """"), TEXTJOIN(""\b|"", TRUE,SPLIT($M$2, "" "")) &amp; ""\b"")"),FALSE)</f>
        <v>0</v>
      </c>
      <c r="G89" s="341" t="str">
        <f>IFERROR(__xludf.DUMMYFUNCTION("""COMPUTED_VALUE"""),"Kadabra")</f>
        <v>Kadabra</v>
      </c>
      <c r="I89" s="341" t="str">
        <f>IFERROR(__xludf.DUMMYFUNCTION("""COMPUTED_VALUE"""),"Jynx")</f>
        <v>Jynx</v>
      </c>
    </row>
    <row r="90">
      <c r="A90" s="68" t="b">
        <v>1</v>
      </c>
      <c r="B90" s="393" t="s">
        <v>200</v>
      </c>
      <c r="C90" s="386" t="str">
        <f t="array" ref="C90">TEXTJOIN("", TRUE, IFERROR(INDEX('language&amp;DataTest'!A:J, MATCH(INDEX( PointerTest!C:C, MATCH(B90, PointerTest!A:A, 0), 0), 'language&amp;DataTest'!A:A, 0), MATCH(HOME!$A$25, 'language&amp;DataTest'!$A$1:$G$1, 0))),                      IFERROR(INDEX('language&amp;DataTest'!A:J, MATCH(INDEX( PointerTest!D:D, MATCH(B90, PointerTest!A:A, 0), 0), 'language&amp;DataTest'!A:A, 0), MATCH(HOME!$A$25, 'language&amp;DataTest'!$A$1:$G$1, 0))),                                          
IFERROR(INDEX('language&amp;DataTest'!A:J, MATCH(INDEX( PointerTest!E:E, MATCH(B90, PointerTest!A:A, 0), 0), 'language&amp;DataTest'!A:A, 0), MATCH(HOME!$A$25, 'language&amp;DataTest'!$A$1:$G$1, 0))))</f>
        <v>Greninja</v>
      </c>
      <c r="D90" s="124" t="str">
        <f t="shared" si="1"/>
        <v>Greninja</v>
      </c>
      <c r="E90" s="124" t="b">
        <f>IFERROR(__xludf.DUMMYFUNCTION("REGEXMATCH(SUBSTITUTE(SUBSTITUTE(SUBSTITUTE(C90:C1000, ""♂"", ""male""), ""♀"", ""female""), "" ex"", """"), TEXTJOIN(""\b|"", TRUE,SPLIT($M$2, "" "")) &amp; ""\b"")"),FALSE)</f>
        <v>0</v>
      </c>
      <c r="G90" s="341" t="str">
        <f>IFERROR(__xludf.DUMMYFUNCTION("""COMPUTED_VALUE"""),"Alakazam")</f>
        <v>Alakazam</v>
      </c>
      <c r="I90" s="341" t="str">
        <f>IFERROR(__xludf.DUMMYFUNCTION("""COMPUTED_VALUE"""),"Mewtwo")</f>
        <v>Mewtwo</v>
      </c>
    </row>
    <row r="91">
      <c r="A91" s="68" t="b">
        <v>1</v>
      </c>
      <c r="B91" s="393" t="s">
        <v>201</v>
      </c>
      <c r="C91" s="386" t="str">
        <f t="array" ref="C91">TEXTJOIN("", TRUE, IFERROR(INDEX('language&amp;DataTest'!A:J, MATCH(INDEX( PointerTest!C:C, MATCH(B91, PointerTest!A:A, 0), 0), 'language&amp;DataTest'!A:A, 0), MATCH(HOME!$A$25, 'language&amp;DataTest'!$A$1:$G$1, 0))),                      IFERROR(INDEX('language&amp;DataTest'!A:J, MATCH(INDEX( PointerTest!D:D, MATCH(B91, PointerTest!A:A, 0), 0), 'language&amp;DataTest'!A:A, 0), MATCH(HOME!$A$25, 'language&amp;DataTest'!$A$1:$G$1, 0))),                                          
IFERROR(INDEX('language&amp;DataTest'!A:J, MATCH(INDEX( PointerTest!E:E, MATCH(B91, PointerTest!A:A, 0), 0), 'language&amp;DataTest'!A:A, 0), MATCH(HOME!$A$25, 'language&amp;DataTest'!$A$1:$G$1, 0))))</f>
        <v>Pyukumuku</v>
      </c>
      <c r="D91" s="124" t="str">
        <f t="shared" si="1"/>
        <v>Pyukumuku</v>
      </c>
      <c r="E91" s="124" t="b">
        <f>IFERROR(__xludf.DUMMYFUNCTION("REGEXMATCH(SUBSTITUTE(SUBSTITUTE(SUBSTITUTE(C91:C1000, ""♂"", ""male""), ""♀"", ""female""), "" ex"", """"), TEXTJOIN(""\b|"", TRUE,SPLIT($M$2, "" "")) &amp; ""\b"")"),FALSE)</f>
        <v>0</v>
      </c>
      <c r="G91" s="341" t="str">
        <f>IFERROR(__xludf.DUMMYFUNCTION("""COMPUTED_VALUE"""),"Slowpoke")</f>
        <v>Slowpoke</v>
      </c>
      <c r="I91" s="341" t="str">
        <f>IFERROR(__xludf.DUMMYFUNCTION("""COMPUTED_VALUE"""),"Sandshrew")</f>
        <v>Sandshrew</v>
      </c>
    </row>
    <row r="92">
      <c r="A92" s="68" t="b">
        <v>1</v>
      </c>
      <c r="B92" s="395" t="s">
        <v>203</v>
      </c>
      <c r="C92" s="386" t="str">
        <f t="array" ref="C92">TEXTJOIN("", TRUE, IFERROR(INDEX('language&amp;DataTest'!A:J, MATCH(INDEX( PointerTest!C:C, MATCH(B92, PointerTest!A:A, 0), 0), 'language&amp;DataTest'!A:A, 0), MATCH(HOME!$A$25, 'language&amp;DataTest'!$A$1:$G$1, 0))),                      IFERROR(INDEX('language&amp;DataTest'!A:J, MATCH(INDEX( PointerTest!D:D, MATCH(B92, PointerTest!A:A, 0), 0), 'language&amp;DataTest'!A:A, 0), MATCH(HOME!$A$25, 'language&amp;DataTest'!$A$1:$G$1, 0))),                                          
IFERROR(INDEX('language&amp;DataTest'!A:J, MATCH(INDEX( PointerTest!E:E, MATCH(B92, PointerTest!A:A, 0), 0), 'language&amp;DataTest'!A:A, 0), MATCH(HOME!$A$25, 'language&amp;DataTest'!$A$1:$G$1, 0))))</f>
        <v>Bruxish</v>
      </c>
      <c r="D92" s="124" t="str">
        <f t="shared" si="1"/>
        <v>Bruxish</v>
      </c>
      <c r="E92" s="124" t="b">
        <f>IFERROR(__xludf.DUMMYFUNCTION("REGEXMATCH(SUBSTITUTE(SUBSTITUTE(SUBSTITUTE(C92:C1000, ""♂"", ""male""), ""♀"", ""female""), "" ex"", """"), TEXTJOIN(""\b|"", TRUE,SPLIT($M$2, "" "")) &amp; ""\b"")"),FALSE)</f>
        <v>0</v>
      </c>
      <c r="G92" s="341" t="str">
        <f>IFERROR(__xludf.DUMMYFUNCTION("""COMPUTED_VALUE"""),"Slowbro")</f>
        <v>Slowbro</v>
      </c>
      <c r="I92" s="341" t="str">
        <f>IFERROR(__xludf.DUMMYFUNCTION("""COMPUTED_VALUE"""),"Sandslash")</f>
        <v>Sandslash</v>
      </c>
    </row>
    <row r="93">
      <c r="A93" s="68" t="b">
        <v>1</v>
      </c>
      <c r="B93" s="395" t="s">
        <v>204</v>
      </c>
      <c r="C93" s="386" t="str">
        <f t="array" ref="C93">TEXTJOIN("", TRUE, IFERROR(INDEX('language&amp;DataTest'!A:J, MATCH(INDEX( PointerTest!C:C, MATCH(B93, PointerTest!A:A, 0), 0), 'language&amp;DataTest'!A:A, 0), MATCH(HOME!$A$25, 'language&amp;DataTest'!$A$1:$G$1, 0))),                      IFERROR(INDEX('language&amp;DataTest'!A:J, MATCH(INDEX( PointerTest!D:D, MATCH(B93, PointerTest!A:A, 0), 0), 'language&amp;DataTest'!A:A, 0), MATCH(HOME!$A$25, 'language&amp;DataTest'!$A$1:$G$1, 0))),                                          
IFERROR(INDEX('language&amp;DataTest'!A:J, MATCH(INDEX( PointerTest!E:E, MATCH(B93, PointerTest!A:A, 0), 0), 'language&amp;DataTest'!A:A, 0), MATCH(HOME!$A$25, 'language&amp;DataTest'!$A$1:$G$1, 0))))</f>
        <v>Snom</v>
      </c>
      <c r="D93" s="124" t="str">
        <f t="shared" si="1"/>
        <v>Snom</v>
      </c>
      <c r="E93" s="124" t="b">
        <f>IFERROR(__xludf.DUMMYFUNCTION("REGEXMATCH(SUBSTITUTE(SUBSTITUTE(SUBSTITUTE(C93:C1000, ""♂"", ""male""), ""♀"", ""female""), "" ex"", """"), TEXTJOIN(""\b|"", TRUE,SPLIT($M$2, "" "")) &amp; ""\b"")"),FALSE)</f>
        <v>0</v>
      </c>
      <c r="G93" s="341" t="str">
        <f>IFERROR(__xludf.DUMMYFUNCTION("""COMPUTED_VALUE"""),"Gastly")</f>
        <v>Gastly</v>
      </c>
      <c r="I93" s="341" t="str">
        <f>IFERROR(__xludf.DUMMYFUNCTION("""COMPUTED_VALUE"""),"Diglett")</f>
        <v>Diglett</v>
      </c>
    </row>
    <row r="94">
      <c r="A94" s="68" t="b">
        <v>1</v>
      </c>
      <c r="B94" s="395" t="s">
        <v>205</v>
      </c>
      <c r="C94" s="386" t="str">
        <f t="array" ref="C94">TEXTJOIN("", TRUE, IFERROR(INDEX('language&amp;DataTest'!A:J, MATCH(INDEX( PointerTest!C:C, MATCH(B94, PointerTest!A:A, 0), 0), 'language&amp;DataTest'!A:A, 0), MATCH(HOME!$A$25, 'language&amp;DataTest'!$A$1:$G$1, 0))),                      IFERROR(INDEX('language&amp;DataTest'!A:J, MATCH(INDEX( PointerTest!D:D, MATCH(B94, PointerTest!A:A, 0), 0), 'language&amp;DataTest'!A:A, 0), MATCH(HOME!$A$25, 'language&amp;DataTest'!$A$1:$G$1, 0))),                                          
IFERROR(INDEX('language&amp;DataTest'!A:J, MATCH(INDEX( PointerTest!E:E, MATCH(B94, PointerTest!A:A, 0), 0), 'language&amp;DataTest'!A:A, 0), MATCH(HOME!$A$25, 'language&amp;DataTest'!$A$1:$G$1, 0))))</f>
        <v>Frosmoth</v>
      </c>
      <c r="D94" s="124" t="str">
        <f t="shared" si="1"/>
        <v>Frosmoth</v>
      </c>
      <c r="E94" s="124" t="b">
        <f>IFERROR(__xludf.DUMMYFUNCTION("REGEXMATCH(SUBSTITUTE(SUBSTITUTE(SUBSTITUTE(C94:C1000, ""♂"", ""male""), ""♀"", ""female""), "" ex"", """"), TEXTJOIN(""\b|"", TRUE,SPLIT($M$2, "" "")) &amp; ""\b"")"),FALSE)</f>
        <v>0</v>
      </c>
      <c r="G94" s="341" t="str">
        <f>IFERROR(__xludf.DUMMYFUNCTION("""COMPUTED_VALUE"""),"Haunter")</f>
        <v>Haunter</v>
      </c>
      <c r="I94" s="341" t="str">
        <f>IFERROR(__xludf.DUMMYFUNCTION("""COMPUTED_VALUE"""),"Dugtrio")</f>
        <v>Dugtrio</v>
      </c>
    </row>
    <row r="95">
      <c r="A95" s="68" t="b">
        <v>1</v>
      </c>
      <c r="B95" s="390" t="s">
        <v>206</v>
      </c>
      <c r="C95" s="386" t="str">
        <f t="array" ref="C95">TEXTJOIN("", TRUE, IFERROR(INDEX('language&amp;DataTest'!A:J, MATCH(INDEX( PointerTest!C:C, MATCH(B95, PointerTest!A:A, 0), 0), 'language&amp;DataTest'!A:A, 0), MATCH(HOME!$A$25, 'language&amp;DataTest'!$A$1:$G$1, 0))),                      IFERROR(INDEX('language&amp;DataTest'!A:J, MATCH(INDEX( PointerTest!D:D, MATCH(B95, PointerTest!A:A, 0), 0), 'language&amp;DataTest'!A:A, 0), MATCH(HOME!$A$25, 'language&amp;DataTest'!$A$1:$G$1, 0))),                                          
IFERROR(INDEX('language&amp;DataTest'!A:J, MATCH(INDEX( PointerTest!E:E, MATCH(B95, PointerTest!A:A, 0), 0), 'language&amp;DataTest'!A:A, 0), MATCH(HOME!$A$25, 'language&amp;DataTest'!$A$1:$G$1, 0))))</f>
        <v>Pikachu</v>
      </c>
      <c r="D95" s="124" t="str">
        <f t="shared" si="1"/>
        <v>Pikachu</v>
      </c>
      <c r="E95" s="124" t="b">
        <f>IFERROR(__xludf.DUMMYFUNCTION("REGEXMATCH(SUBSTITUTE(SUBSTITUTE(SUBSTITUTE(C95:C1000, ""♂"", ""male""), ""♀"", ""female""), "" ex"", """"), TEXTJOIN(""\b|"", TRUE,SPLIT($M$2, "" "")) &amp; ""\b"")"),TRUE)</f>
        <v>1</v>
      </c>
      <c r="G95" s="341" t="str">
        <f>IFERROR(__xludf.DUMMYFUNCTION("""COMPUTED_VALUE"""),"Gengar")</f>
        <v>Gengar</v>
      </c>
      <c r="I95" s="341" t="str">
        <f>IFERROR(__xludf.DUMMYFUNCTION("""COMPUTED_VALUE"""),"Mankey")</f>
        <v>Mankey</v>
      </c>
    </row>
    <row r="96">
      <c r="A96" s="68" t="b">
        <v>1</v>
      </c>
      <c r="B96" s="390" t="s">
        <v>207</v>
      </c>
      <c r="C96" s="386" t="str">
        <f t="array" ref="C96">TEXTJOIN("", TRUE, IFERROR(INDEX('language&amp;DataTest'!A:J, MATCH(INDEX( PointerTest!C:C, MATCH(B96, PointerTest!A:A, 0), 0), 'language&amp;DataTest'!A:A, 0), MATCH(HOME!$A$25, 'language&amp;DataTest'!$A$1:$G$1, 0))),                      IFERROR(INDEX('language&amp;DataTest'!A:J, MATCH(INDEX( PointerTest!D:D, MATCH(B96, PointerTest!A:A, 0), 0), 'language&amp;DataTest'!A:A, 0), MATCH(HOME!$A$25, 'language&amp;DataTest'!$A$1:$G$1, 0))),                                          
IFERROR(INDEX('language&amp;DataTest'!A:J, MATCH(INDEX( PointerTest!E:E, MATCH(B96, PointerTest!A:A, 0), 0), 'language&amp;DataTest'!A:A, 0), MATCH(HOME!$A$25, 'language&amp;DataTest'!$A$1:$G$1, 0))))</f>
        <v>Raichu</v>
      </c>
      <c r="D96" s="124" t="str">
        <f t="shared" si="1"/>
        <v>Raichu</v>
      </c>
      <c r="E96" s="124" t="b">
        <f>IFERROR(__xludf.DUMMYFUNCTION("REGEXMATCH(SUBSTITUTE(SUBSTITUTE(SUBSTITUTE(C96:C1000, ""♂"", ""male""), ""♀"", ""female""), "" ex"", """"), TEXTJOIN(""\b|"", TRUE,SPLIT($M$2, "" "")) &amp; ""\b"")"),TRUE)</f>
        <v>1</v>
      </c>
      <c r="G96" s="341" t="str">
        <f>IFERROR(__xludf.DUMMYFUNCTION("""COMPUTED_VALUE"""),"Gengar")</f>
        <v>Gengar</v>
      </c>
      <c r="I96" s="341" t="str">
        <f>IFERROR(__xludf.DUMMYFUNCTION("""COMPUTED_VALUE"""),"Primeape")</f>
        <v>Primeape</v>
      </c>
    </row>
    <row r="97">
      <c r="A97" s="68" t="b">
        <v>1</v>
      </c>
      <c r="B97" s="390" t="s">
        <v>208</v>
      </c>
      <c r="C97" s="386" t="str">
        <f t="array" ref="C97">TEXTJOIN("", TRUE, IFERROR(INDEX('language&amp;DataTest'!A:J, MATCH(INDEX( PointerTest!C:C, MATCH(B97, PointerTest!A:A, 0), 0), 'language&amp;DataTest'!A:A, 0), MATCH(HOME!$A$25, 'language&amp;DataTest'!$A$1:$G$1, 0))),                      IFERROR(INDEX('language&amp;DataTest'!A:J, MATCH(INDEX( PointerTest!D:D, MATCH(B97, PointerTest!A:A, 0), 0), 'language&amp;DataTest'!A:A, 0), MATCH(HOME!$A$25, 'language&amp;DataTest'!$A$1:$G$1, 0))),                                          
IFERROR(INDEX('language&amp;DataTest'!A:J, MATCH(INDEX( PointerTest!E:E, MATCH(B97, PointerTest!A:A, 0), 0), 'language&amp;DataTest'!A:A, 0), MATCH(HOME!$A$25, 'language&amp;DataTest'!$A$1:$G$1, 0))))</f>
        <v>Pikachu ex</v>
      </c>
      <c r="D97" s="124" t="str">
        <f t="shared" si="1"/>
        <v>Pikachu</v>
      </c>
      <c r="E97" s="124" t="b">
        <f>IFERROR(__xludf.DUMMYFUNCTION("REGEXMATCH(SUBSTITUTE(SUBSTITUTE(SUBSTITUTE(C97:C1000, ""♂"", ""male""), ""♀"", ""female""), "" ex"", """"), TEXTJOIN(""\b|"", TRUE,SPLIT($M$2, "" "")) &amp; ""\b"")"),TRUE)</f>
        <v>1</v>
      </c>
      <c r="G97" s="341" t="str">
        <f>IFERROR(__xludf.DUMMYFUNCTION("""COMPUTED_VALUE"""),"Drowzee")</f>
        <v>Drowzee</v>
      </c>
      <c r="I97" s="341" t="str">
        <f>IFERROR(__xludf.DUMMYFUNCTION("""COMPUTED_VALUE"""),"Machop")</f>
        <v>Machop</v>
      </c>
    </row>
    <row r="98">
      <c r="A98" s="68" t="b">
        <v>1</v>
      </c>
      <c r="B98" s="390" t="s">
        <v>210</v>
      </c>
      <c r="C98" s="386" t="str">
        <f t="array" ref="C98">TEXTJOIN("", TRUE, IFERROR(INDEX('language&amp;DataTest'!A:J, MATCH(INDEX( PointerTest!C:C, MATCH(B98, PointerTest!A:A, 0), 0), 'language&amp;DataTest'!A:A, 0), MATCH(HOME!$A$25, 'language&amp;DataTest'!$A$1:$G$1, 0))),                      IFERROR(INDEX('language&amp;DataTest'!A:J, MATCH(INDEX( PointerTest!D:D, MATCH(B98, PointerTest!A:A, 0), 0), 'language&amp;DataTest'!A:A, 0), MATCH(HOME!$A$25, 'language&amp;DataTest'!$A$1:$G$1, 0))),                                          
IFERROR(INDEX('language&amp;DataTest'!A:J, MATCH(INDEX( PointerTest!E:E, MATCH(B98, PointerTest!A:A, 0), 0), 'language&amp;DataTest'!A:A, 0), MATCH(HOME!$A$25, 'language&amp;DataTest'!$A$1:$G$1, 0))))</f>
        <v>Magnemite</v>
      </c>
      <c r="D98" s="124" t="str">
        <f t="shared" si="1"/>
        <v>Magnemite</v>
      </c>
      <c r="E98" s="124" t="b">
        <f>IFERROR(__xludf.DUMMYFUNCTION("REGEXMATCH(SUBSTITUTE(SUBSTITUTE(SUBSTITUTE(C98:C1000, ""♂"", ""male""), ""♀"", ""female""), "" ex"", """"), TEXTJOIN(""\b|"", TRUE,SPLIT($M$2, "" "")) &amp; ""\b"")"),TRUE)</f>
        <v>1</v>
      </c>
      <c r="G98" s="341" t="str">
        <f>IFERROR(__xludf.DUMMYFUNCTION("""COMPUTED_VALUE"""),"Hypno")</f>
        <v>Hypno</v>
      </c>
      <c r="I98" s="341" t="str">
        <f>IFERROR(__xludf.DUMMYFUNCTION("""COMPUTED_VALUE"""),"Machoke")</f>
        <v>Machoke</v>
      </c>
    </row>
    <row r="99">
      <c r="A99" s="68" t="b">
        <v>1</v>
      </c>
      <c r="B99" s="390" t="s">
        <v>211</v>
      </c>
      <c r="C99" s="386" t="str">
        <f t="array" ref="C99">TEXTJOIN("", TRUE, IFERROR(INDEX('language&amp;DataTest'!A:J, MATCH(INDEX( PointerTest!C:C, MATCH(B99, PointerTest!A:A, 0), 0), 'language&amp;DataTest'!A:A, 0), MATCH(HOME!$A$25, 'language&amp;DataTest'!$A$1:$G$1, 0))),                      IFERROR(INDEX('language&amp;DataTest'!A:J, MATCH(INDEX( PointerTest!D:D, MATCH(B99, PointerTest!A:A, 0), 0), 'language&amp;DataTest'!A:A, 0), MATCH(HOME!$A$25, 'language&amp;DataTest'!$A$1:$G$1, 0))),                                          
IFERROR(INDEX('language&amp;DataTest'!A:J, MATCH(INDEX( PointerTest!E:E, MATCH(B99, PointerTest!A:A, 0), 0), 'language&amp;DataTest'!A:A, 0), MATCH(HOME!$A$25, 'language&amp;DataTest'!$A$1:$G$1, 0))))</f>
        <v>Magneton</v>
      </c>
      <c r="D99" s="124" t="str">
        <f t="shared" si="1"/>
        <v>Magneton</v>
      </c>
      <c r="E99" s="124" t="b">
        <f>IFERROR(__xludf.DUMMYFUNCTION("REGEXMATCH(SUBSTITUTE(SUBSTITUTE(SUBSTITUTE(C99:C1000, ""♂"", ""male""), ""♀"", ""female""), "" ex"", """"), TEXTJOIN(""\b|"", TRUE,SPLIT($M$2, "" "")) &amp; ""\b"")"),TRUE)</f>
        <v>1</v>
      </c>
      <c r="G99" s="341" t="str">
        <f>IFERROR(__xludf.DUMMYFUNCTION("""COMPUTED_VALUE"""),"Mr. Mime")</f>
        <v>Mr. Mime</v>
      </c>
      <c r="I99" s="341" t="str">
        <f>IFERROR(__xludf.DUMMYFUNCTION("""COMPUTED_VALUE"""),"Machamp")</f>
        <v>Machamp</v>
      </c>
    </row>
    <row r="100">
      <c r="A100" s="68" t="b">
        <v>1</v>
      </c>
      <c r="B100" s="390" t="s">
        <v>212</v>
      </c>
      <c r="C100" s="386" t="str">
        <f t="array" ref="C100">TEXTJOIN("", TRUE, IFERROR(INDEX('language&amp;DataTest'!A:J, MATCH(INDEX( PointerTest!C:C, MATCH(B100, PointerTest!A:A, 0), 0), 'language&amp;DataTest'!A:A, 0), MATCH(HOME!$A$25, 'language&amp;DataTest'!$A$1:$G$1, 0))),                      IFERROR(INDEX('language&amp;DataTest'!A:J, MATCH(INDEX( PointerTest!D:D, MATCH(B100, PointerTest!A:A, 0), 0), 'language&amp;DataTest'!A:A, 0), MATCH(HOME!$A$25, 'language&amp;DataTest'!$A$1:$G$1, 0))),                                          
IFERROR(INDEX('language&amp;DataTest'!A:J, MATCH(INDEX( PointerTest!E:E, MATCH(B100, PointerTest!A:A, 0), 0), 'language&amp;DataTest'!A:A, 0), MATCH(HOME!$A$25, 'language&amp;DataTest'!$A$1:$G$1, 0))))</f>
        <v>Voltorb</v>
      </c>
      <c r="D100" s="124" t="str">
        <f t="shared" si="1"/>
        <v>Voltorb</v>
      </c>
      <c r="E100" s="124" t="b">
        <f>IFERROR(__xludf.DUMMYFUNCTION("REGEXMATCH(SUBSTITUTE(SUBSTITUTE(SUBSTITUTE(C100:C1000, ""♂"", ""male""), ""♀"", ""female""), "" ex"", """"), TEXTJOIN(""\b|"", TRUE,SPLIT($M$2, "" "")) &amp; ""\b"")"),TRUE)</f>
        <v>1</v>
      </c>
      <c r="G100" s="341" t="str">
        <f>IFERROR(__xludf.DUMMYFUNCTION("""COMPUTED_VALUE"""),"Jynx")</f>
        <v>Jynx</v>
      </c>
      <c r="I100" s="341" t="str">
        <f>IFERROR(__xludf.DUMMYFUNCTION("""COMPUTED_VALUE"""),"Geodude")</f>
        <v>Geodude</v>
      </c>
    </row>
    <row r="101">
      <c r="A101" s="68" t="b">
        <v>1</v>
      </c>
      <c r="B101" s="390" t="s">
        <v>213</v>
      </c>
      <c r="C101" s="386" t="str">
        <f t="array" ref="C101">TEXTJOIN("", TRUE, IFERROR(INDEX('language&amp;DataTest'!A:J, MATCH(INDEX( PointerTest!C:C, MATCH(B101, PointerTest!A:A, 0), 0), 'language&amp;DataTest'!A:A, 0), MATCH(HOME!$A$25, 'language&amp;DataTest'!$A$1:$G$1, 0))),                      IFERROR(INDEX('language&amp;DataTest'!A:J, MATCH(INDEX( PointerTest!D:D, MATCH(B101, PointerTest!A:A, 0), 0), 'language&amp;DataTest'!A:A, 0), MATCH(HOME!$A$25, 'language&amp;DataTest'!$A$1:$G$1, 0))),                                          
IFERROR(INDEX('language&amp;DataTest'!A:J, MATCH(INDEX( PointerTest!E:E, MATCH(B101, PointerTest!A:A, 0), 0), 'language&amp;DataTest'!A:A, 0), MATCH(HOME!$A$25, 'language&amp;DataTest'!$A$1:$G$1, 0))))</f>
        <v>Electrode</v>
      </c>
      <c r="D101" s="124" t="str">
        <f t="shared" si="1"/>
        <v>Electrode</v>
      </c>
      <c r="E101" s="124" t="b">
        <f>IFERROR(__xludf.DUMMYFUNCTION("REGEXMATCH(SUBSTITUTE(SUBSTITUTE(SUBSTITUTE(C101:C1000, ""♂"", ""male""), ""♀"", ""female""), "" ex"", """"), TEXTJOIN(""\b|"", TRUE,SPLIT($M$2, "" "")) &amp; ""\b"")"),TRUE)</f>
        <v>1</v>
      </c>
      <c r="G101" s="341" t="str">
        <f>IFERROR(__xludf.DUMMYFUNCTION("""COMPUTED_VALUE"""),"Mewtwo")</f>
        <v>Mewtwo</v>
      </c>
      <c r="I101" s="341" t="str">
        <f>IFERROR(__xludf.DUMMYFUNCTION("""COMPUTED_VALUE"""),"Graveler")</f>
        <v>Graveler</v>
      </c>
    </row>
    <row r="102">
      <c r="A102" s="68" t="b">
        <v>1</v>
      </c>
      <c r="B102" s="390" t="s">
        <v>214</v>
      </c>
      <c r="C102" s="386" t="str">
        <f t="array" ref="C102">TEXTJOIN("", TRUE, IFERROR(INDEX('language&amp;DataTest'!A:J, MATCH(INDEX( PointerTest!C:C, MATCH(B102, PointerTest!A:A, 0), 0), 'language&amp;DataTest'!A:A, 0), MATCH(HOME!$A$25, 'language&amp;DataTest'!$A$1:$G$1, 0))),                      IFERROR(INDEX('language&amp;DataTest'!A:J, MATCH(INDEX( PointerTest!D:D, MATCH(B102, PointerTest!A:A, 0), 0), 'language&amp;DataTest'!A:A, 0), MATCH(HOME!$A$25, 'language&amp;DataTest'!$A$1:$G$1, 0))),                                          
IFERROR(INDEX('language&amp;DataTest'!A:J, MATCH(INDEX( PointerTest!E:E, MATCH(B102, PointerTest!A:A, 0), 0), 'language&amp;DataTest'!A:A, 0), MATCH(HOME!$A$25, 'language&amp;DataTest'!$A$1:$G$1, 0))))</f>
        <v>Electabuzz</v>
      </c>
      <c r="D102" s="124" t="str">
        <f t="shared" si="1"/>
        <v>Electabuzz</v>
      </c>
      <c r="E102" s="124" t="b">
        <f>IFERROR(__xludf.DUMMYFUNCTION("REGEXMATCH(SUBSTITUTE(SUBSTITUTE(SUBSTITUTE(C102:C1000, ""♂"", ""male""), ""♀"", ""female""), "" ex"", """"), TEXTJOIN(""\b|"", TRUE,SPLIT($M$2, "" "")) &amp; ""\b"")"),TRUE)</f>
        <v>1</v>
      </c>
      <c r="G102" s="341" t="str">
        <f>IFERROR(__xludf.DUMMYFUNCTION("""COMPUTED_VALUE"""),"Mewtwo")</f>
        <v>Mewtwo</v>
      </c>
      <c r="I102" s="341" t="str">
        <f>IFERROR(__xludf.DUMMYFUNCTION("""COMPUTED_VALUE"""),"Golem")</f>
        <v>Golem</v>
      </c>
    </row>
    <row r="103">
      <c r="A103" s="68" t="b">
        <v>1</v>
      </c>
      <c r="B103" s="390" t="s">
        <v>215</v>
      </c>
      <c r="C103" s="386" t="str">
        <f t="array" ref="C103">TEXTJOIN("", TRUE, IFERROR(INDEX('language&amp;DataTest'!A:J, MATCH(INDEX( PointerTest!C:C, MATCH(B103, PointerTest!A:A, 0), 0), 'language&amp;DataTest'!A:A, 0), MATCH(HOME!$A$25, 'language&amp;DataTest'!$A$1:$G$1, 0))),                      IFERROR(INDEX('language&amp;DataTest'!A:J, MATCH(INDEX( PointerTest!D:D, MATCH(B103, PointerTest!A:A, 0), 0), 'language&amp;DataTest'!A:A, 0), MATCH(HOME!$A$25, 'language&amp;DataTest'!$A$1:$G$1, 0))),                                          
IFERROR(INDEX('language&amp;DataTest'!A:J, MATCH(INDEX( PointerTest!E:E, MATCH(B103, PointerTest!A:A, 0), 0), 'language&amp;DataTest'!A:A, 0), MATCH(HOME!$A$25, 'language&amp;DataTest'!$A$1:$G$1, 0))))</f>
        <v>Jolteon</v>
      </c>
      <c r="D103" s="124" t="str">
        <f t="shared" si="1"/>
        <v>Jolteon</v>
      </c>
      <c r="E103" s="124" t="b">
        <f>IFERROR(__xludf.DUMMYFUNCTION("REGEXMATCH(SUBSTITUTE(SUBSTITUTE(SUBSTITUTE(C103:C1000, ""♂"", ""male""), ""♀"", ""female""), "" ex"", """"), TEXTJOIN(""\b|"", TRUE,SPLIT($M$2, "" "")) &amp; ""\b"")"),TRUE)</f>
        <v>1</v>
      </c>
      <c r="G103" s="341" t="str">
        <f>IFERROR(__xludf.DUMMYFUNCTION("""COMPUTED_VALUE"""),"Sandshrew")</f>
        <v>Sandshrew</v>
      </c>
      <c r="I103" s="341" t="str">
        <f>IFERROR(__xludf.DUMMYFUNCTION("""COMPUTED_VALUE"""),"Onix")</f>
        <v>Onix</v>
      </c>
    </row>
    <row r="104">
      <c r="A104" s="68" t="b">
        <v>1</v>
      </c>
      <c r="B104" s="390" t="s">
        <v>216</v>
      </c>
      <c r="C104" s="386" t="str">
        <f t="array" ref="C104">TEXTJOIN("", TRUE, IFERROR(INDEX('language&amp;DataTest'!A:J, MATCH(INDEX( PointerTest!C:C, MATCH(B104, PointerTest!A:A, 0), 0), 'language&amp;DataTest'!A:A, 0), MATCH(HOME!$A$25, 'language&amp;DataTest'!$A$1:$G$1, 0))),                      IFERROR(INDEX('language&amp;DataTest'!A:J, MATCH(INDEX( PointerTest!D:D, MATCH(B104, PointerTest!A:A, 0), 0), 'language&amp;DataTest'!A:A, 0), MATCH(HOME!$A$25, 'language&amp;DataTest'!$A$1:$G$1, 0))),                                          
IFERROR(INDEX('language&amp;DataTest'!A:J, MATCH(INDEX( PointerTest!E:E, MATCH(B104, PointerTest!A:A, 0), 0), 'language&amp;DataTest'!A:A, 0), MATCH(HOME!$A$25, 'language&amp;DataTest'!$A$1:$G$1, 0))))</f>
        <v>Zapdos</v>
      </c>
      <c r="D104" s="124" t="str">
        <f t="shared" si="1"/>
        <v>Zapdos</v>
      </c>
      <c r="E104" s="124" t="b">
        <f>IFERROR(__xludf.DUMMYFUNCTION("REGEXMATCH(SUBSTITUTE(SUBSTITUTE(SUBSTITUTE(C104:C1000, ""♂"", ""male""), ""♀"", ""female""), "" ex"", """"), TEXTJOIN(""\b|"", TRUE,SPLIT($M$2, "" "")) &amp; ""\b"")"),TRUE)</f>
        <v>1</v>
      </c>
      <c r="G104" s="341" t="str">
        <f>IFERROR(__xludf.DUMMYFUNCTION("""COMPUTED_VALUE"""),"Sandslash")</f>
        <v>Sandslash</v>
      </c>
      <c r="I104" s="341" t="str">
        <f>IFERROR(__xludf.DUMMYFUNCTION("""COMPUTED_VALUE"""),"Cubone")</f>
        <v>Cubone</v>
      </c>
    </row>
    <row r="105">
      <c r="A105" s="68" t="b">
        <v>1</v>
      </c>
      <c r="B105" s="390" t="s">
        <v>217</v>
      </c>
      <c r="C105" s="386" t="str">
        <f t="array" ref="C105">TEXTJOIN("", TRUE, IFERROR(INDEX('language&amp;DataTest'!A:J, MATCH(INDEX( PointerTest!C:C, MATCH(B105, PointerTest!A:A, 0), 0), 'language&amp;DataTest'!A:A, 0), MATCH(HOME!$A$25, 'language&amp;DataTest'!$A$1:$G$1, 0))),                      IFERROR(INDEX('language&amp;DataTest'!A:J, MATCH(INDEX( PointerTest!D:D, MATCH(B105, PointerTest!A:A, 0), 0), 'language&amp;DataTest'!A:A, 0), MATCH(HOME!$A$25, 'language&amp;DataTest'!$A$1:$G$1, 0))),                                          
IFERROR(INDEX('language&amp;DataTest'!A:J, MATCH(INDEX( PointerTest!E:E, MATCH(B105, PointerTest!A:A, 0), 0), 'language&amp;DataTest'!A:A, 0), MATCH(HOME!$A$25, 'language&amp;DataTest'!$A$1:$G$1, 0))))</f>
        <v>Zapdos ex</v>
      </c>
      <c r="D105" s="124" t="str">
        <f t="shared" si="1"/>
        <v>Zapdos</v>
      </c>
      <c r="E105" s="124" t="b">
        <f>IFERROR(__xludf.DUMMYFUNCTION("REGEXMATCH(SUBSTITUTE(SUBSTITUTE(SUBSTITUTE(C105:C1000, ""♂"", ""male""), ""♀"", ""female""), "" ex"", """"), TEXTJOIN(""\b|"", TRUE,SPLIT($M$2, "" "")) &amp; ""\b"")"),TRUE)</f>
        <v>1</v>
      </c>
      <c r="G105" s="341" t="str">
        <f>IFERROR(__xludf.DUMMYFUNCTION("""COMPUTED_VALUE"""),"Diglett")</f>
        <v>Diglett</v>
      </c>
      <c r="I105" s="341" t="str">
        <f>IFERROR(__xludf.DUMMYFUNCTION("""COMPUTED_VALUE"""),"Marowak")</f>
        <v>Marowak</v>
      </c>
    </row>
    <row r="106">
      <c r="A106" s="68" t="b">
        <v>1</v>
      </c>
      <c r="B106" s="395" t="s">
        <v>218</v>
      </c>
      <c r="C106" s="386" t="str">
        <f t="array" ref="C106">TEXTJOIN("", TRUE, IFERROR(INDEX('language&amp;DataTest'!A:J, MATCH(INDEX( PointerTest!C:C, MATCH(B106, PointerTest!A:A, 0), 0), 'language&amp;DataTest'!A:A, 0), MATCH(HOME!$A$25, 'language&amp;DataTest'!$A$1:$G$1, 0))),                      IFERROR(INDEX('language&amp;DataTest'!A:J, MATCH(INDEX( PointerTest!D:D, MATCH(B106, PointerTest!A:A, 0), 0), 'language&amp;DataTest'!A:A, 0), MATCH(HOME!$A$25, 'language&amp;DataTest'!$A$1:$G$1, 0))),                                          
IFERROR(INDEX('language&amp;DataTest'!A:J, MATCH(INDEX( PointerTest!E:E, MATCH(B106, PointerTest!A:A, 0), 0), 'language&amp;DataTest'!A:A, 0), MATCH(HOME!$A$25, 'language&amp;DataTest'!$A$1:$G$1, 0))))</f>
        <v>Blitzle</v>
      </c>
      <c r="D106" s="124" t="str">
        <f t="shared" si="1"/>
        <v>Blitzle</v>
      </c>
      <c r="E106" s="124" t="b">
        <f>IFERROR(__xludf.DUMMYFUNCTION("REGEXMATCH(SUBSTITUTE(SUBSTITUTE(SUBSTITUTE(C106:C1000, ""♂"", ""male""), ""♀"", ""female""), "" ex"", """"), TEXTJOIN(""\b|"", TRUE,SPLIT($M$2, "" "")) &amp; ""\b"")"),FALSE)</f>
        <v>0</v>
      </c>
      <c r="G106" s="341" t="str">
        <f>IFERROR(__xludf.DUMMYFUNCTION("""COMPUTED_VALUE"""),"Dugtrio")</f>
        <v>Dugtrio</v>
      </c>
      <c r="I106" s="341" t="str">
        <f>IFERROR(__xludf.DUMMYFUNCTION("""COMPUTED_VALUE"""),"Hitmonlee")</f>
        <v>Hitmonlee</v>
      </c>
    </row>
    <row r="107">
      <c r="A107" s="68" t="b">
        <v>1</v>
      </c>
      <c r="B107" s="395" t="s">
        <v>219</v>
      </c>
      <c r="C107" s="386" t="str">
        <f t="array" ref="C107">TEXTJOIN("", TRUE, IFERROR(INDEX('language&amp;DataTest'!A:J, MATCH(INDEX( PointerTest!C:C, MATCH(B107, PointerTest!A:A, 0), 0), 'language&amp;DataTest'!A:A, 0), MATCH(HOME!$A$25, 'language&amp;DataTest'!$A$1:$G$1, 0))),                      IFERROR(INDEX('language&amp;DataTest'!A:J, MATCH(INDEX( PointerTest!D:D, MATCH(B107, PointerTest!A:A, 0), 0), 'language&amp;DataTest'!A:A, 0), MATCH(HOME!$A$25, 'language&amp;DataTest'!$A$1:$G$1, 0))),                                          
IFERROR(INDEX('language&amp;DataTest'!A:J, MATCH(INDEX( PointerTest!E:E, MATCH(B107, PointerTest!A:A, 0), 0), 'language&amp;DataTest'!A:A, 0), MATCH(HOME!$A$25, 'language&amp;DataTest'!$A$1:$G$1, 0))))</f>
        <v>Zebstrika</v>
      </c>
      <c r="D107" s="124" t="str">
        <f t="shared" si="1"/>
        <v>Zebstrika</v>
      </c>
      <c r="E107" s="124" t="b">
        <f>IFERROR(__xludf.DUMMYFUNCTION("REGEXMATCH(SUBSTITUTE(SUBSTITUTE(SUBSTITUTE(C107:C1000, ""♂"", ""male""), ""♀"", ""female""), "" ex"", """"), TEXTJOIN(""\b|"", TRUE,SPLIT($M$2, "" "")) &amp; ""\b"")"),FALSE)</f>
        <v>0</v>
      </c>
      <c r="G107" s="341" t="str">
        <f>IFERROR(__xludf.DUMMYFUNCTION("""COMPUTED_VALUE"""),"Mankey")</f>
        <v>Mankey</v>
      </c>
      <c r="I107" s="341" t="str">
        <f>IFERROR(__xludf.DUMMYFUNCTION("""COMPUTED_VALUE"""),"Hitmonchan")</f>
        <v>Hitmonchan</v>
      </c>
    </row>
    <row r="108">
      <c r="A108" s="68" t="b">
        <v>1</v>
      </c>
      <c r="B108" s="386" t="s">
        <v>221</v>
      </c>
      <c r="C108" s="386" t="str">
        <f t="array" ref="C108">TEXTJOIN("", TRUE, IFERROR(INDEX('language&amp;DataTest'!A:J, MATCH(INDEX( PointerTest!C:C, MATCH(B108, PointerTest!A:A, 0), 0), 'language&amp;DataTest'!A:A, 0), MATCH(HOME!$A$25, 'language&amp;DataTest'!$A$1:$G$1, 0))),                      IFERROR(INDEX('language&amp;DataTest'!A:J, MATCH(INDEX( PointerTest!D:D, MATCH(B108, PointerTest!A:A, 0), 0), 'language&amp;DataTest'!A:A, 0), MATCH(HOME!$A$25, 'language&amp;DataTest'!$A$1:$G$1, 0))),                                          
IFERROR(INDEX('language&amp;DataTest'!A:J, MATCH(INDEX( PointerTest!E:E, MATCH(B108, PointerTest!A:A, 0), 0), 'language&amp;DataTest'!A:A, 0), MATCH(HOME!$A$25, 'language&amp;DataTest'!$A$1:$G$1, 0))))</f>
        <v>Tynamo</v>
      </c>
      <c r="D108" s="124" t="str">
        <f t="shared" si="1"/>
        <v>Tynamo</v>
      </c>
      <c r="E108" s="124" t="b">
        <f>IFERROR(__xludf.DUMMYFUNCTION("REGEXMATCH(SUBSTITUTE(SUBSTITUTE(SUBSTITUTE(C108:C1000, ""♂"", ""male""), ""♀"", ""female""), "" ex"", """"), TEXTJOIN(""\b|"", TRUE,SPLIT($M$2, "" "")) &amp; ""\b"")"),FALSE)</f>
        <v>0</v>
      </c>
      <c r="G108" s="341" t="str">
        <f>IFERROR(__xludf.DUMMYFUNCTION("""COMPUTED_VALUE"""),"Primeape")</f>
        <v>Primeape</v>
      </c>
      <c r="I108" s="341" t="str">
        <f>IFERROR(__xludf.DUMMYFUNCTION("""COMPUTED_VALUE"""),"Rhyhorn")</f>
        <v>Rhyhorn</v>
      </c>
    </row>
    <row r="109">
      <c r="A109" s="68" t="b">
        <v>1</v>
      </c>
      <c r="B109" s="386" t="s">
        <v>222</v>
      </c>
      <c r="C109" s="386" t="str">
        <f t="array" ref="C109">TEXTJOIN("", TRUE, IFERROR(INDEX('language&amp;DataTest'!A:J, MATCH(INDEX( PointerTest!C:C, MATCH(B109, PointerTest!A:A, 0), 0), 'language&amp;DataTest'!A:A, 0), MATCH(HOME!$A$25, 'language&amp;DataTest'!$A$1:$G$1, 0))),                      IFERROR(INDEX('language&amp;DataTest'!A:J, MATCH(INDEX( PointerTest!D:D, MATCH(B109, PointerTest!A:A, 0), 0), 'language&amp;DataTest'!A:A, 0), MATCH(HOME!$A$25, 'language&amp;DataTest'!$A$1:$G$1, 0))),                                          
IFERROR(INDEX('language&amp;DataTest'!A:J, MATCH(INDEX( PointerTest!E:E, MATCH(B109, PointerTest!A:A, 0), 0), 'language&amp;DataTest'!A:A, 0), MATCH(HOME!$A$25, 'language&amp;DataTest'!$A$1:$G$1, 0))))</f>
        <v>Eelektrik</v>
      </c>
      <c r="D109" s="124" t="str">
        <f t="shared" si="1"/>
        <v>Eelektrik</v>
      </c>
      <c r="E109" s="124" t="b">
        <f>IFERROR(__xludf.DUMMYFUNCTION("REGEXMATCH(SUBSTITUTE(SUBSTITUTE(SUBSTITUTE(C109:C1000, ""♂"", ""male""), ""♀"", ""female""), "" ex"", """"), TEXTJOIN(""\b|"", TRUE,SPLIT($M$2, "" "")) &amp; ""\b"")"),FALSE)</f>
        <v>0</v>
      </c>
      <c r="G109" s="341" t="str">
        <f>IFERROR(__xludf.DUMMYFUNCTION("""COMPUTED_VALUE"""),"Machop")</f>
        <v>Machop</v>
      </c>
      <c r="I109" s="341" t="str">
        <f>IFERROR(__xludf.DUMMYFUNCTION("""COMPUTED_VALUE"""),"Rhydon")</f>
        <v>Rhydon</v>
      </c>
    </row>
    <row r="110">
      <c r="A110" s="68" t="b">
        <v>1</v>
      </c>
      <c r="B110" s="386" t="s">
        <v>223</v>
      </c>
      <c r="C110" s="386" t="str">
        <f t="array" ref="C110">TEXTJOIN("", TRUE, IFERROR(INDEX('language&amp;DataTest'!A:J, MATCH(INDEX( PointerTest!C:C, MATCH(B110, PointerTest!A:A, 0), 0), 'language&amp;DataTest'!A:A, 0), MATCH(HOME!$A$25, 'language&amp;DataTest'!$A$1:$G$1, 0))),                      IFERROR(INDEX('language&amp;DataTest'!A:J, MATCH(INDEX( PointerTest!D:D, MATCH(B110, PointerTest!A:A, 0), 0), 'language&amp;DataTest'!A:A, 0), MATCH(HOME!$A$25, 'language&amp;DataTest'!$A$1:$G$1, 0))),                                          
IFERROR(INDEX('language&amp;DataTest'!A:J, MATCH(INDEX( PointerTest!E:E, MATCH(B110, PointerTest!A:A, 0), 0), 'language&amp;DataTest'!A:A, 0), MATCH(HOME!$A$25, 'language&amp;DataTest'!$A$1:$G$1, 0))))</f>
        <v>Eelektross</v>
      </c>
      <c r="D110" s="124" t="str">
        <f t="shared" si="1"/>
        <v>Eelektross</v>
      </c>
      <c r="E110" s="124" t="b">
        <f>IFERROR(__xludf.DUMMYFUNCTION("REGEXMATCH(SUBSTITUTE(SUBSTITUTE(SUBSTITUTE(C110:C1000, ""♂"", ""male""), ""♀"", ""female""), "" ex"", """"), TEXTJOIN(""\b|"", TRUE,SPLIT($M$2, "" "")) &amp; ""\b"")"),FALSE)</f>
        <v>0</v>
      </c>
      <c r="G110" s="341" t="str">
        <f>IFERROR(__xludf.DUMMYFUNCTION("""COMPUTED_VALUE"""),"Machoke")</f>
        <v>Machoke</v>
      </c>
      <c r="I110" s="341" t="str">
        <f>IFERROR(__xludf.DUMMYFUNCTION("""COMPUTED_VALUE"""),"Kabuto")</f>
        <v>Kabuto</v>
      </c>
    </row>
    <row r="111">
      <c r="A111" s="68" t="b">
        <v>1</v>
      </c>
      <c r="B111" s="395" t="s">
        <v>224</v>
      </c>
      <c r="C111" s="386" t="str">
        <f t="array" ref="C111">TEXTJOIN("", TRUE, IFERROR(INDEX('language&amp;DataTest'!A:J, MATCH(INDEX( PointerTest!C:C, MATCH(B111, PointerTest!A:A, 0), 0), 'language&amp;DataTest'!A:A, 0), MATCH(HOME!$A$25, 'language&amp;DataTest'!$A$1:$G$1, 0))),                      IFERROR(INDEX('language&amp;DataTest'!A:J, MATCH(INDEX( PointerTest!D:D, MATCH(B111, PointerTest!A:A, 0), 0), 'language&amp;DataTest'!A:A, 0), MATCH(HOME!$A$25, 'language&amp;DataTest'!$A$1:$G$1, 0))),                                          
IFERROR(INDEX('language&amp;DataTest'!A:J, MATCH(INDEX( PointerTest!E:E, MATCH(B111, PointerTest!A:A, 0), 0), 'language&amp;DataTest'!A:A, 0), MATCH(HOME!$A$25, 'language&amp;DataTest'!$A$1:$G$1, 0))))</f>
        <v>Helioptile</v>
      </c>
      <c r="D111" s="124" t="str">
        <f t="shared" si="1"/>
        <v>Helioptile</v>
      </c>
      <c r="E111" s="124" t="b">
        <f>IFERROR(__xludf.DUMMYFUNCTION("REGEXMATCH(SUBSTITUTE(SUBSTITUTE(SUBSTITUTE(C111:C1000, ""♂"", ""male""), ""♀"", ""female""), "" ex"", """"), TEXTJOIN(""\b|"", TRUE,SPLIT($M$2, "" "")) &amp; ""\b"")"),FALSE)</f>
        <v>0</v>
      </c>
      <c r="G111" s="341" t="str">
        <f>IFERROR(__xludf.DUMMYFUNCTION("""COMPUTED_VALUE"""),"Machamp")</f>
        <v>Machamp</v>
      </c>
      <c r="I111" s="341" t="str">
        <f>IFERROR(__xludf.DUMMYFUNCTION("""COMPUTED_VALUE"""),"Kabutops")</f>
        <v>Kabutops</v>
      </c>
    </row>
    <row r="112">
      <c r="A112" s="68" t="b">
        <v>1</v>
      </c>
      <c r="B112" s="395" t="s">
        <v>225</v>
      </c>
      <c r="C112" s="386" t="str">
        <f t="array" ref="C112">TEXTJOIN("", TRUE, IFERROR(INDEX('language&amp;DataTest'!A:J, MATCH(INDEX( PointerTest!C:C, MATCH(B112, PointerTest!A:A, 0), 0), 'language&amp;DataTest'!A:A, 0), MATCH(HOME!$A$25, 'language&amp;DataTest'!$A$1:$G$1, 0))),                      IFERROR(INDEX('language&amp;DataTest'!A:J, MATCH(INDEX( PointerTest!D:D, MATCH(B112, PointerTest!A:A, 0), 0), 'language&amp;DataTest'!A:A, 0), MATCH(HOME!$A$25, 'language&amp;DataTest'!$A$1:$G$1, 0))),                                          
IFERROR(INDEX('language&amp;DataTest'!A:J, MATCH(INDEX( PointerTest!E:E, MATCH(B112, PointerTest!A:A, 0), 0), 'language&amp;DataTest'!A:A, 0), MATCH(HOME!$A$25, 'language&amp;DataTest'!$A$1:$G$1, 0))))</f>
        <v>Heliolisk</v>
      </c>
      <c r="D112" s="124" t="str">
        <f t="shared" si="1"/>
        <v>Heliolisk</v>
      </c>
      <c r="E112" s="124" t="b">
        <f>IFERROR(__xludf.DUMMYFUNCTION("REGEXMATCH(SUBSTITUTE(SUBSTITUTE(SUBSTITUTE(C112:C1000, ""♂"", ""male""), ""♀"", ""female""), "" ex"", """"), TEXTJOIN(""\b|"", TRUE,SPLIT($M$2, "" "")) &amp; ""\b"")"),FALSE)</f>
        <v>0</v>
      </c>
      <c r="G112" s="341" t="str">
        <f>IFERROR(__xludf.DUMMYFUNCTION("""COMPUTED_VALUE"""),"Machamp")</f>
        <v>Machamp</v>
      </c>
      <c r="I112" s="341" t="str">
        <f>IFERROR(__xludf.DUMMYFUNCTION("""COMPUTED_VALUE"""),"Ekans")</f>
        <v>Ekans</v>
      </c>
    </row>
    <row r="113">
      <c r="A113" s="68" t="b">
        <v>1</v>
      </c>
      <c r="B113" s="395" t="s">
        <v>226</v>
      </c>
      <c r="C113" s="386" t="str">
        <f t="array" ref="C113">TEXTJOIN("", TRUE, IFERROR(INDEX('language&amp;DataTest'!A:J, MATCH(INDEX( PointerTest!C:C, MATCH(B113, PointerTest!A:A, 0), 0), 'language&amp;DataTest'!A:A, 0), MATCH(HOME!$A$25, 'language&amp;DataTest'!$A$1:$G$1, 0))),                      IFERROR(INDEX('language&amp;DataTest'!A:J, MATCH(INDEX( PointerTest!D:D, MATCH(B113, PointerTest!A:A, 0), 0), 'language&amp;DataTest'!A:A, 0), MATCH(HOME!$A$25, 'language&amp;DataTest'!$A$1:$G$1, 0))),                                          
IFERROR(INDEX('language&amp;DataTest'!A:J, MATCH(INDEX( PointerTest!E:E, MATCH(B113, PointerTest!A:A, 0), 0), 'language&amp;DataTest'!A:A, 0), MATCH(HOME!$A$25, 'language&amp;DataTest'!$A$1:$G$1, 0))))</f>
        <v>Pincurchin</v>
      </c>
      <c r="D113" s="124" t="str">
        <f t="shared" si="1"/>
        <v>Pincurchin</v>
      </c>
      <c r="E113" s="124" t="b">
        <f>IFERROR(__xludf.DUMMYFUNCTION("REGEXMATCH(SUBSTITUTE(SUBSTITUTE(SUBSTITUTE(C113:C1000, ""♂"", ""male""), ""♀"", ""female""), "" ex"", """"), TEXTJOIN(""\b|"", TRUE,SPLIT($M$2, "" "")) &amp; ""\b"")"),FALSE)</f>
        <v>0</v>
      </c>
      <c r="G113" s="341" t="str">
        <f>IFERROR(__xludf.DUMMYFUNCTION("""COMPUTED_VALUE"""),"Geodude")</f>
        <v>Geodude</v>
      </c>
      <c r="I113" s="341" t="str">
        <f>IFERROR(__xludf.DUMMYFUNCTION("""COMPUTED_VALUE"""),"Arbok")</f>
        <v>Arbok</v>
      </c>
    </row>
    <row r="114">
      <c r="A114" s="68" t="b">
        <v>1</v>
      </c>
      <c r="B114" s="390" t="s">
        <v>227</v>
      </c>
      <c r="C114" s="386" t="str">
        <f t="array" ref="C114">TEXTJOIN("", TRUE, IFERROR(INDEX('language&amp;DataTest'!A:J, MATCH(INDEX( PointerTest!C:C, MATCH(B114, PointerTest!A:A, 0), 0), 'language&amp;DataTest'!A:A, 0), MATCH(HOME!$A$25, 'language&amp;DataTest'!$A$1:$G$1, 0))),                      IFERROR(INDEX('language&amp;DataTest'!A:J, MATCH(INDEX( PointerTest!D:D, MATCH(B114, PointerTest!A:A, 0), 0), 'language&amp;DataTest'!A:A, 0), MATCH(HOME!$A$25, 'language&amp;DataTest'!$A$1:$G$1, 0))),                                          
IFERROR(INDEX('language&amp;DataTest'!A:J, MATCH(INDEX( PointerTest!E:E, MATCH(B114, PointerTest!A:A, 0), 0), 'language&amp;DataTest'!A:A, 0), MATCH(HOME!$A$25, 'language&amp;DataTest'!$A$1:$G$1, 0))))</f>
        <v>Clefairy</v>
      </c>
      <c r="D114" s="124" t="str">
        <f t="shared" si="1"/>
        <v>Clefairy</v>
      </c>
      <c r="E114" s="124" t="b">
        <f>IFERROR(__xludf.DUMMYFUNCTION("REGEXMATCH(SUBSTITUTE(SUBSTITUTE(SUBSTITUTE(C114:C1000, ""♂"", ""male""), ""♀"", ""female""), "" ex"", """"), TEXTJOIN(""\b|"", TRUE,SPLIT($M$2, "" "")) &amp; ""\b"")"),TRUE)</f>
        <v>1</v>
      </c>
      <c r="G114" s="341" t="str">
        <f>IFERROR(__xludf.DUMMYFUNCTION("""COMPUTED_VALUE"""),"Graveler")</f>
        <v>Graveler</v>
      </c>
      <c r="I114" s="341" t="str">
        <f>IFERROR(__xludf.DUMMYFUNCTION("""COMPUTED_VALUE"""),"Nidorina")</f>
        <v>Nidorina</v>
      </c>
    </row>
    <row r="115">
      <c r="A115" s="68" t="b">
        <v>1</v>
      </c>
      <c r="B115" s="390" t="s">
        <v>228</v>
      </c>
      <c r="C115" s="386" t="str">
        <f t="array" ref="C115">TEXTJOIN("", TRUE, IFERROR(INDEX('language&amp;DataTest'!A:J, MATCH(INDEX( PointerTest!C:C, MATCH(B115, PointerTest!A:A, 0), 0), 'language&amp;DataTest'!A:A, 0), MATCH(HOME!$A$25, 'language&amp;DataTest'!$A$1:$G$1, 0))),                      IFERROR(INDEX('language&amp;DataTest'!A:J, MATCH(INDEX( PointerTest!D:D, MATCH(B115, PointerTest!A:A, 0), 0), 'language&amp;DataTest'!A:A, 0), MATCH(HOME!$A$25, 'language&amp;DataTest'!$A$1:$G$1, 0))),                                          
IFERROR(INDEX('language&amp;DataTest'!A:J, MATCH(INDEX( PointerTest!E:E, MATCH(B115, PointerTest!A:A, 0), 0), 'language&amp;DataTest'!A:A, 0), MATCH(HOME!$A$25, 'language&amp;DataTest'!$A$1:$G$1, 0))))</f>
        <v>Clefable</v>
      </c>
      <c r="D115" s="124" t="str">
        <f t="shared" si="1"/>
        <v>Clefable</v>
      </c>
      <c r="E115" s="124" t="b">
        <f>IFERROR(__xludf.DUMMYFUNCTION("REGEXMATCH(SUBSTITUTE(SUBSTITUTE(SUBSTITUTE(C115:C1000, ""♂"", ""male""), ""♀"", ""female""), "" ex"", """"), TEXTJOIN(""\b|"", TRUE,SPLIT($M$2, "" "")) &amp; ""\b"")"),TRUE)</f>
        <v>1</v>
      </c>
      <c r="G115" s="341" t="str">
        <f>IFERROR(__xludf.DUMMYFUNCTION("""COMPUTED_VALUE"""),"Golem")</f>
        <v>Golem</v>
      </c>
      <c r="I115" s="341" t="str">
        <f>IFERROR(__xludf.DUMMYFUNCTION("""COMPUTED_VALUE"""),"Nidoqueen")</f>
        <v>Nidoqueen</v>
      </c>
    </row>
    <row r="116">
      <c r="A116" s="68" t="b">
        <v>1</v>
      </c>
      <c r="B116" s="393" t="s">
        <v>229</v>
      </c>
      <c r="C116" s="386" t="str">
        <f t="array" ref="C116">TEXTJOIN("", TRUE, IFERROR(INDEX('language&amp;DataTest'!A:J, MATCH(INDEX( PointerTest!C:C, MATCH(B116, PointerTest!A:A, 0), 0), 'language&amp;DataTest'!A:A, 0), MATCH(HOME!$A$25, 'language&amp;DataTest'!$A$1:$G$1, 0))),                      IFERROR(INDEX('language&amp;DataTest'!A:J, MATCH(INDEX( PointerTest!D:D, MATCH(B116, PointerTest!A:A, 0), 0), 'language&amp;DataTest'!A:A, 0), MATCH(HOME!$A$25, 'language&amp;DataTest'!$A$1:$G$1, 0))),                                          
IFERROR(INDEX('language&amp;DataTest'!A:J, MATCH(INDEX( PointerTest!E:E, MATCH(B116, PointerTest!A:A, 0), 0), 'language&amp;DataTest'!A:A, 0), MATCH(HOME!$A$25, 'language&amp;DataTest'!$A$1:$G$1, 0))))</f>
        <v>Abra</v>
      </c>
      <c r="D116" s="124" t="str">
        <f t="shared" si="1"/>
        <v>Abra</v>
      </c>
      <c r="E116" s="124" t="b">
        <f>IFERROR(__xludf.DUMMYFUNCTION("REGEXMATCH(SUBSTITUTE(SUBSTITUTE(SUBSTITUTE(C116:C1000, ""♂"", ""male""), ""♀"", ""female""), "" ex"", """"), TEXTJOIN(""\b|"", TRUE,SPLIT($M$2, "" "")) &amp; ""\b"")"),TRUE)</f>
        <v>1</v>
      </c>
      <c r="G116" s="341" t="str">
        <f>IFERROR(__xludf.DUMMYFUNCTION("""COMPUTED_VALUE"""),"Onix")</f>
        <v>Onix</v>
      </c>
      <c r="I116" s="341" t="str">
        <f>IFERROR(__xludf.DUMMYFUNCTION("""COMPUTED_VALUE"""),"Nidorino")</f>
        <v>Nidorino</v>
      </c>
    </row>
    <row r="117">
      <c r="A117" s="68" t="b">
        <v>1</v>
      </c>
      <c r="B117" s="393" t="s">
        <v>230</v>
      </c>
      <c r="C117" s="386" t="str">
        <f t="array" ref="C117">TEXTJOIN("", TRUE, IFERROR(INDEX('language&amp;DataTest'!A:J, MATCH(INDEX( PointerTest!C:C, MATCH(B117, PointerTest!A:A, 0), 0), 'language&amp;DataTest'!A:A, 0), MATCH(HOME!$A$25, 'language&amp;DataTest'!$A$1:$G$1, 0))),                      IFERROR(INDEX('language&amp;DataTest'!A:J, MATCH(INDEX( PointerTest!D:D, MATCH(B117, PointerTest!A:A, 0), 0), 'language&amp;DataTest'!A:A, 0), MATCH(HOME!$A$25, 'language&amp;DataTest'!$A$1:$G$1, 0))),                                          
IFERROR(INDEX('language&amp;DataTest'!A:J, MATCH(INDEX( PointerTest!E:E, MATCH(B117, PointerTest!A:A, 0), 0), 'language&amp;DataTest'!A:A, 0), MATCH(HOME!$A$25, 'language&amp;DataTest'!$A$1:$G$1, 0))))</f>
        <v>Kadabra</v>
      </c>
      <c r="D117" s="124" t="str">
        <f t="shared" si="1"/>
        <v>Kadabra</v>
      </c>
      <c r="E117" s="124" t="b">
        <f>IFERROR(__xludf.DUMMYFUNCTION("REGEXMATCH(SUBSTITUTE(SUBSTITUTE(SUBSTITUTE(C117:C1000, ""♂"", ""male""), ""♀"", ""female""), "" ex"", """"), TEXTJOIN(""\b|"", TRUE,SPLIT($M$2, "" "")) &amp; ""\b"")"),TRUE)</f>
        <v>1</v>
      </c>
      <c r="G117" s="341" t="str">
        <f>IFERROR(__xludf.DUMMYFUNCTION("""COMPUTED_VALUE"""),"Cubone")</f>
        <v>Cubone</v>
      </c>
      <c r="I117" s="341" t="str">
        <f>IFERROR(__xludf.DUMMYFUNCTION("""COMPUTED_VALUE"""),"Nidoking")</f>
        <v>Nidoking</v>
      </c>
    </row>
    <row r="118">
      <c r="A118" s="68" t="b">
        <v>1</v>
      </c>
      <c r="B118" s="393" t="s">
        <v>231</v>
      </c>
      <c r="C118" s="386" t="str">
        <f t="array" ref="C118">TEXTJOIN("", TRUE, IFERROR(INDEX('language&amp;DataTest'!A:J, MATCH(INDEX( PointerTest!C:C, MATCH(B118, PointerTest!A:A, 0), 0), 'language&amp;DataTest'!A:A, 0), MATCH(HOME!$A$25, 'language&amp;DataTest'!$A$1:$G$1, 0))),                      IFERROR(INDEX('language&amp;DataTest'!A:J, MATCH(INDEX( PointerTest!D:D, MATCH(B118, PointerTest!A:A, 0), 0), 'language&amp;DataTest'!A:A, 0), MATCH(HOME!$A$25, 'language&amp;DataTest'!$A$1:$G$1, 0))),                                          
IFERROR(INDEX('language&amp;DataTest'!A:J, MATCH(INDEX( PointerTest!E:E, MATCH(B118, PointerTest!A:A, 0), 0), 'language&amp;DataTest'!A:A, 0), MATCH(HOME!$A$25, 'language&amp;DataTest'!$A$1:$G$1, 0))))</f>
        <v>Alakazam</v>
      </c>
      <c r="D118" s="124" t="str">
        <f t="shared" si="1"/>
        <v>Alakazam</v>
      </c>
      <c r="E118" s="124" t="b">
        <f>IFERROR(__xludf.DUMMYFUNCTION("REGEXMATCH(SUBSTITUTE(SUBSTITUTE(SUBSTITUTE(C118:C1000, ""♂"", ""male""), ""♀"", ""female""), "" ex"", """"), TEXTJOIN(""\b|"", TRUE,SPLIT($M$2, "" "")) &amp; ""\b"")"),TRUE)</f>
        <v>1</v>
      </c>
      <c r="G118" s="341" t="str">
        <f>IFERROR(__xludf.DUMMYFUNCTION("""COMPUTED_VALUE"""),"Marowak")</f>
        <v>Marowak</v>
      </c>
      <c r="I118" s="341" t="str">
        <f>IFERROR(__xludf.DUMMYFUNCTION("""COMPUTED_VALUE"""),"Zubat")</f>
        <v>Zubat</v>
      </c>
    </row>
    <row r="119">
      <c r="A119" s="68" t="b">
        <v>1</v>
      </c>
      <c r="B119" s="395" t="s">
        <v>232</v>
      </c>
      <c r="C119" s="386" t="str">
        <f t="array" ref="C119">TEXTJOIN("", TRUE, IFERROR(INDEX('language&amp;DataTest'!A:J, MATCH(INDEX( PointerTest!C:C, MATCH(B119, PointerTest!A:A, 0), 0), 'language&amp;DataTest'!A:A, 0), MATCH(HOME!$A$25, 'language&amp;DataTest'!$A$1:$G$1, 0))),                      IFERROR(INDEX('language&amp;DataTest'!A:J, MATCH(INDEX( PointerTest!D:D, MATCH(B119, PointerTest!A:A, 0), 0), 'language&amp;DataTest'!A:A, 0), MATCH(HOME!$A$25, 'language&amp;DataTest'!$A$1:$G$1, 0))),                                          
IFERROR(INDEX('language&amp;DataTest'!A:J, MATCH(INDEX( PointerTest!E:E, MATCH(B119, PointerTest!A:A, 0), 0), 'language&amp;DataTest'!A:A, 0), MATCH(HOME!$A$25, 'language&amp;DataTest'!$A$1:$G$1, 0))))</f>
        <v>Slowpoke</v>
      </c>
      <c r="D119" s="124" t="str">
        <f t="shared" si="1"/>
        <v>Slowpoke</v>
      </c>
      <c r="E119" s="124" t="b">
        <f>IFERROR(__xludf.DUMMYFUNCTION("REGEXMATCH(SUBSTITUTE(SUBSTITUTE(SUBSTITUTE(C119:C1000, ""♂"", ""male""), ""♀"", ""female""), "" ex"", """"), TEXTJOIN(""\b|"", TRUE,SPLIT($M$2, "" "")) &amp; ""\b"")"),TRUE)</f>
        <v>1</v>
      </c>
      <c r="G119" s="341" t="str">
        <f>IFERROR(__xludf.DUMMYFUNCTION("""COMPUTED_VALUE"""),"Marowak")</f>
        <v>Marowak</v>
      </c>
      <c r="I119" s="341" t="str">
        <f>IFERROR(__xludf.DUMMYFUNCTION("""COMPUTED_VALUE"""),"Golbat")</f>
        <v>Golbat</v>
      </c>
    </row>
    <row r="120">
      <c r="A120" s="68" t="b">
        <v>1</v>
      </c>
      <c r="B120" s="395" t="s">
        <v>234</v>
      </c>
      <c r="C120" s="386" t="str">
        <f t="array" ref="C120">TEXTJOIN("", TRUE, IFERROR(INDEX('language&amp;DataTest'!A:J, MATCH(INDEX( PointerTest!C:C, MATCH(B120, PointerTest!A:A, 0), 0), 'language&amp;DataTest'!A:A, 0), MATCH(HOME!$A$25, 'language&amp;DataTest'!$A$1:$G$1, 0))),                      IFERROR(INDEX('language&amp;DataTest'!A:J, MATCH(INDEX( PointerTest!D:D, MATCH(B120, PointerTest!A:A, 0), 0), 'language&amp;DataTest'!A:A, 0), MATCH(HOME!$A$25, 'language&amp;DataTest'!$A$1:$G$1, 0))),                                          
IFERROR(INDEX('language&amp;DataTest'!A:J, MATCH(INDEX( PointerTest!E:E, MATCH(B120, PointerTest!A:A, 0), 0), 'language&amp;DataTest'!A:A, 0), MATCH(HOME!$A$25, 'language&amp;DataTest'!$A$1:$G$1, 0))))</f>
        <v>Slowbro</v>
      </c>
      <c r="D120" s="124" t="str">
        <f t="shared" si="1"/>
        <v>Slowbro</v>
      </c>
      <c r="E120" s="124" t="b">
        <f>IFERROR(__xludf.DUMMYFUNCTION("REGEXMATCH(SUBSTITUTE(SUBSTITUTE(SUBSTITUTE(C120:C1000, ""♂"", ""male""), ""♀"", ""female""), "" ex"", """"), TEXTJOIN(""\b|"", TRUE,SPLIT($M$2, "" "")) &amp; ""\b"")"),TRUE)</f>
        <v>1</v>
      </c>
      <c r="G120" s="341" t="str">
        <f>IFERROR(__xludf.DUMMYFUNCTION("""COMPUTED_VALUE"""),"Hitmonlee")</f>
        <v>Hitmonlee</v>
      </c>
      <c r="I120" s="341" t="str">
        <f>IFERROR(__xludf.DUMMYFUNCTION("""COMPUTED_VALUE"""),"Grimer")</f>
        <v>Grimer</v>
      </c>
    </row>
    <row r="121">
      <c r="A121" s="68" t="b">
        <v>1</v>
      </c>
      <c r="B121" s="386" t="s">
        <v>235</v>
      </c>
      <c r="C121" s="386" t="str">
        <f t="array" ref="C121">TEXTJOIN("", TRUE, IFERROR(INDEX('language&amp;DataTest'!A:J, MATCH(INDEX( PointerTest!C:C, MATCH(B121, PointerTest!A:A, 0), 0), 'language&amp;DataTest'!A:A, 0), MATCH(HOME!$A$25, 'language&amp;DataTest'!$A$1:$G$1, 0))),                      IFERROR(INDEX('language&amp;DataTest'!A:J, MATCH(INDEX( PointerTest!D:D, MATCH(B121, PointerTest!A:A, 0), 0), 'language&amp;DataTest'!A:A, 0), MATCH(HOME!$A$25, 'language&amp;DataTest'!$A$1:$G$1, 0))),                                          
IFERROR(INDEX('language&amp;DataTest'!A:J, MATCH(INDEX( PointerTest!E:E, MATCH(B121, PointerTest!A:A, 0), 0), 'language&amp;DataTest'!A:A, 0), MATCH(HOME!$A$25, 'language&amp;DataTest'!$A$1:$G$1, 0))))</f>
        <v>Gastly</v>
      </c>
      <c r="D121" s="124" t="str">
        <f t="shared" si="1"/>
        <v>Gastly</v>
      </c>
      <c r="E121" s="124" t="b">
        <f>IFERROR(__xludf.DUMMYFUNCTION("REGEXMATCH(SUBSTITUTE(SUBSTITUTE(SUBSTITUTE(C121:C1000, ""♂"", ""male""), ""♀"", ""female""), "" ex"", """"), TEXTJOIN(""\b|"", TRUE,SPLIT($M$2, "" "")) &amp; ""\b"")"),TRUE)</f>
        <v>1</v>
      </c>
      <c r="G121" s="341" t="str">
        <f>IFERROR(__xludf.DUMMYFUNCTION("""COMPUTED_VALUE"""),"Hitmonchan")</f>
        <v>Hitmonchan</v>
      </c>
      <c r="I121" s="341" t="str">
        <f>IFERROR(__xludf.DUMMYFUNCTION("""COMPUTED_VALUE"""),"Muk")</f>
        <v>Muk</v>
      </c>
    </row>
    <row r="122">
      <c r="A122" s="68" t="b">
        <v>1</v>
      </c>
      <c r="B122" s="386" t="s">
        <v>236</v>
      </c>
      <c r="C122" s="386" t="str">
        <f t="array" ref="C122">TEXTJOIN("", TRUE, IFERROR(INDEX('language&amp;DataTest'!A:J, MATCH(INDEX( PointerTest!C:C, MATCH(B122, PointerTest!A:A, 0), 0), 'language&amp;DataTest'!A:A, 0), MATCH(HOME!$A$25, 'language&amp;DataTest'!$A$1:$G$1, 0))),                      IFERROR(INDEX('language&amp;DataTest'!A:J, MATCH(INDEX( PointerTest!D:D, MATCH(B122, PointerTest!A:A, 0), 0), 'language&amp;DataTest'!A:A, 0), MATCH(HOME!$A$25, 'language&amp;DataTest'!$A$1:$G$1, 0))),                                          
IFERROR(INDEX('language&amp;DataTest'!A:J, MATCH(INDEX( PointerTest!E:E, MATCH(B122, PointerTest!A:A, 0), 0), 'language&amp;DataTest'!A:A, 0), MATCH(HOME!$A$25, 'language&amp;DataTest'!$A$1:$G$1, 0))))</f>
        <v>Haunter</v>
      </c>
      <c r="D122" s="124" t="str">
        <f t="shared" si="1"/>
        <v>Haunter</v>
      </c>
      <c r="E122" s="124" t="b">
        <f>IFERROR(__xludf.DUMMYFUNCTION("REGEXMATCH(SUBSTITUTE(SUBSTITUTE(SUBSTITUTE(C122:C1000, ""♂"", ""male""), ""♀"", ""female""), "" ex"", """"), TEXTJOIN(""\b|"", TRUE,SPLIT($M$2, "" "")) &amp; ""\b"")"),TRUE)</f>
        <v>1</v>
      </c>
      <c r="G122" s="341" t="str">
        <f>IFERROR(__xludf.DUMMYFUNCTION("""COMPUTED_VALUE"""),"Rhyhorn")</f>
        <v>Rhyhorn</v>
      </c>
      <c r="I122" s="341" t="str">
        <f>IFERROR(__xludf.DUMMYFUNCTION("""COMPUTED_VALUE"""),"Koffing")</f>
        <v>Koffing</v>
      </c>
    </row>
    <row r="123">
      <c r="A123" s="68" t="b">
        <v>1</v>
      </c>
      <c r="B123" s="386" t="s">
        <v>237</v>
      </c>
      <c r="C123" s="386" t="str">
        <f t="array" ref="C123">TEXTJOIN("", TRUE, IFERROR(INDEX('language&amp;DataTest'!A:J, MATCH(INDEX( PointerTest!C:C, MATCH(B123, PointerTest!A:A, 0), 0), 'language&amp;DataTest'!A:A, 0), MATCH(HOME!$A$25, 'language&amp;DataTest'!$A$1:$G$1, 0))),                      IFERROR(INDEX('language&amp;DataTest'!A:J, MATCH(INDEX( PointerTest!D:D, MATCH(B123, PointerTest!A:A, 0), 0), 'language&amp;DataTest'!A:A, 0), MATCH(HOME!$A$25, 'language&amp;DataTest'!$A$1:$G$1, 0))),                                          
IFERROR(INDEX('language&amp;DataTest'!A:J, MATCH(INDEX( PointerTest!E:E, MATCH(B123, PointerTest!A:A, 0), 0), 'language&amp;DataTest'!A:A, 0), MATCH(HOME!$A$25, 'language&amp;DataTest'!$A$1:$G$1, 0))))</f>
        <v>Gengar</v>
      </c>
      <c r="D123" s="124" t="str">
        <f t="shared" si="1"/>
        <v>Gengar</v>
      </c>
      <c r="E123" s="124" t="b">
        <f>IFERROR(__xludf.DUMMYFUNCTION("REGEXMATCH(SUBSTITUTE(SUBSTITUTE(SUBSTITUTE(C123:C1000, ""♂"", ""male""), ""♀"", ""female""), "" ex"", """"), TEXTJOIN(""\b|"", TRUE,SPLIT($M$2, "" "")) &amp; ""\b"")"),TRUE)</f>
        <v>1</v>
      </c>
      <c r="G123" s="341" t="str">
        <f>IFERROR(__xludf.DUMMYFUNCTION("""COMPUTED_VALUE"""),"Rhydon")</f>
        <v>Rhydon</v>
      </c>
      <c r="I123" s="341" t="str">
        <f>IFERROR(__xludf.DUMMYFUNCTION("""COMPUTED_VALUE"""),"Weezing")</f>
        <v>Weezing</v>
      </c>
    </row>
    <row r="124">
      <c r="A124" s="68" t="b">
        <v>1</v>
      </c>
      <c r="B124" s="386" t="s">
        <v>238</v>
      </c>
      <c r="C124" s="386" t="str">
        <f t="array" ref="C124">TEXTJOIN("", TRUE, IFERROR(INDEX('language&amp;DataTest'!A:J, MATCH(INDEX( PointerTest!C:C, MATCH(B124, PointerTest!A:A, 0), 0), 'language&amp;DataTest'!A:A, 0), MATCH(HOME!$A$25, 'language&amp;DataTest'!$A$1:$G$1, 0))),                      IFERROR(INDEX('language&amp;DataTest'!A:J, MATCH(INDEX( PointerTest!D:D, MATCH(B124, PointerTest!A:A, 0), 0), 'language&amp;DataTest'!A:A, 0), MATCH(HOME!$A$25, 'language&amp;DataTest'!$A$1:$G$1, 0))),                                          
IFERROR(INDEX('language&amp;DataTest'!A:J, MATCH(INDEX( PointerTest!E:E, MATCH(B124, PointerTest!A:A, 0), 0), 'language&amp;DataTest'!A:A, 0), MATCH(HOME!$A$25, 'language&amp;DataTest'!$A$1:$G$1, 0))))</f>
        <v>Gengar ex</v>
      </c>
      <c r="D124" s="124" t="str">
        <f t="shared" si="1"/>
        <v>Gengar</v>
      </c>
      <c r="E124" s="124" t="b">
        <f>IFERROR(__xludf.DUMMYFUNCTION("REGEXMATCH(SUBSTITUTE(SUBSTITUTE(SUBSTITUTE(C124:C1000, ""♂"", ""male""), ""♀"", ""female""), "" ex"", """"), TEXTJOIN(""\b|"", TRUE,SPLIT($M$2, "" "")) &amp; ""\b"")"),TRUE)</f>
        <v>1</v>
      </c>
      <c r="G124" s="341" t="str">
        <f>IFERROR(__xludf.DUMMYFUNCTION("""COMPUTED_VALUE"""),"Kabuto")</f>
        <v>Kabuto</v>
      </c>
      <c r="I124" s="341" t="str">
        <f>IFERROR(__xludf.DUMMYFUNCTION("""COMPUTED_VALUE"""),"Dratini")</f>
        <v>Dratini</v>
      </c>
    </row>
    <row r="125">
      <c r="A125" s="68" t="b">
        <v>1</v>
      </c>
      <c r="B125" s="390" t="s">
        <v>239</v>
      </c>
      <c r="C125" s="386" t="str">
        <f t="array" ref="C125">TEXTJOIN("", TRUE, IFERROR(INDEX('language&amp;DataTest'!A:J, MATCH(INDEX( PointerTest!C:C, MATCH(B125, PointerTest!A:A, 0), 0), 'language&amp;DataTest'!A:A, 0), MATCH(HOME!$A$25, 'language&amp;DataTest'!$A$1:$G$1, 0))),                      IFERROR(INDEX('language&amp;DataTest'!A:J, MATCH(INDEX( PointerTest!D:D, MATCH(B125, PointerTest!A:A, 0), 0), 'language&amp;DataTest'!A:A, 0), MATCH(HOME!$A$25, 'language&amp;DataTest'!$A$1:$G$1, 0))),                                          
IFERROR(INDEX('language&amp;DataTest'!A:J, MATCH(INDEX( PointerTest!E:E, MATCH(B125, PointerTest!A:A, 0), 0), 'language&amp;DataTest'!A:A, 0), MATCH(HOME!$A$25, 'language&amp;DataTest'!$A$1:$G$1, 0))))</f>
        <v>Drowzee</v>
      </c>
      <c r="D125" s="124" t="str">
        <f t="shared" si="1"/>
        <v>Drowzee</v>
      </c>
      <c r="E125" s="124" t="b">
        <f>IFERROR(__xludf.DUMMYFUNCTION("REGEXMATCH(SUBSTITUTE(SUBSTITUTE(SUBSTITUTE(C125:C1000, ""♂"", ""male""), ""♀"", ""female""), "" ex"", """"), TEXTJOIN(""\b|"", TRUE,SPLIT($M$2, "" "")) &amp; ""\b"")"),TRUE)</f>
        <v>1</v>
      </c>
      <c r="G125" s="341" t="str">
        <f>IFERROR(__xludf.DUMMYFUNCTION("""COMPUTED_VALUE"""),"Kabutops")</f>
        <v>Kabutops</v>
      </c>
      <c r="I125" s="341" t="str">
        <f>IFERROR(__xludf.DUMMYFUNCTION("""COMPUTED_VALUE"""),"Dragonair")</f>
        <v>Dragonair</v>
      </c>
    </row>
    <row r="126">
      <c r="A126" s="68" t="b">
        <v>1</v>
      </c>
      <c r="B126" s="390" t="s">
        <v>241</v>
      </c>
      <c r="C126" s="386" t="str">
        <f t="array" ref="C126">TEXTJOIN("", TRUE, IFERROR(INDEX('language&amp;DataTest'!A:J, MATCH(INDEX( PointerTest!C:C, MATCH(B126, PointerTest!A:A, 0), 0), 'language&amp;DataTest'!A:A, 0), MATCH(HOME!$A$25, 'language&amp;DataTest'!$A$1:$G$1, 0))),                      IFERROR(INDEX('language&amp;DataTest'!A:J, MATCH(INDEX( PointerTest!D:D, MATCH(B126, PointerTest!A:A, 0), 0), 'language&amp;DataTest'!A:A, 0), MATCH(HOME!$A$25, 'language&amp;DataTest'!$A$1:$G$1, 0))),                                          
IFERROR(INDEX('language&amp;DataTest'!A:J, MATCH(INDEX( PointerTest!E:E, MATCH(B126, PointerTest!A:A, 0), 0), 'language&amp;DataTest'!A:A, 0), MATCH(HOME!$A$25, 'language&amp;DataTest'!$A$1:$G$1, 0))))</f>
        <v>Hypno</v>
      </c>
      <c r="D126" s="124" t="str">
        <f t="shared" si="1"/>
        <v>Hypno</v>
      </c>
      <c r="E126" s="124" t="b">
        <f>IFERROR(__xludf.DUMMYFUNCTION("REGEXMATCH(SUBSTITUTE(SUBSTITUTE(SUBSTITUTE(C126:C1000, ""♂"", ""male""), ""♀"", ""female""), "" ex"", """"), TEXTJOIN(""\b|"", TRUE,SPLIT($M$2, "" "")) &amp; ""\b"")"),TRUE)</f>
        <v>1</v>
      </c>
      <c r="G126" s="341" t="str">
        <f>IFERROR(__xludf.DUMMYFUNCTION("""COMPUTED_VALUE"""),"Ekans")</f>
        <v>Ekans</v>
      </c>
      <c r="I126" s="341" t="str">
        <f>IFERROR(__xludf.DUMMYFUNCTION("""COMPUTED_VALUE"""),"Dragonite")</f>
        <v>Dragonite</v>
      </c>
    </row>
    <row r="127">
      <c r="A127" s="68" t="b">
        <v>1</v>
      </c>
      <c r="B127" s="386" t="s">
        <v>242</v>
      </c>
      <c r="C127" s="386" t="str">
        <f t="array" ref="C127">TEXTJOIN("", TRUE, IFERROR(INDEX('language&amp;DataTest'!A:J, MATCH(INDEX( PointerTest!C:C, MATCH(B127, PointerTest!A:A, 0), 0), 'language&amp;DataTest'!A:A, 0), MATCH(HOME!$A$25, 'language&amp;DataTest'!$A$1:$G$1, 0))),                      IFERROR(INDEX('language&amp;DataTest'!A:J, MATCH(INDEX( PointerTest!D:D, MATCH(B127, PointerTest!A:A, 0), 0), 'language&amp;DataTest'!A:A, 0), MATCH(HOME!$A$25, 'language&amp;DataTest'!$A$1:$G$1, 0))),                                          
IFERROR(INDEX('language&amp;DataTest'!A:J, MATCH(INDEX( PointerTest!E:E, MATCH(B127, PointerTest!A:A, 0), 0), 'language&amp;DataTest'!A:A, 0), MATCH(HOME!$A$25, 'language&amp;DataTest'!$A$1:$G$1, 0))))</f>
        <v>Mr. Mime</v>
      </c>
      <c r="D127" s="124" t="str">
        <f t="shared" si="1"/>
        <v>Mr. Mime</v>
      </c>
      <c r="E127" s="124" t="b">
        <f>IFERROR(__xludf.DUMMYFUNCTION("REGEXMATCH(SUBSTITUTE(SUBSTITUTE(SUBSTITUTE(C127:C1000, ""♂"", ""male""), ""♀"", ""female""), "" ex"", """"), TEXTJOIN(""\b|"", TRUE,SPLIT($M$2, "" "")) &amp; ""\b"")"),TRUE)</f>
        <v>1</v>
      </c>
      <c r="G127" s="341" t="str">
        <f>IFERROR(__xludf.DUMMYFUNCTION("""COMPUTED_VALUE"""),"Arbok")</f>
        <v>Arbok</v>
      </c>
      <c r="I127" s="341" t="str">
        <f>IFERROR(__xludf.DUMMYFUNCTION("""COMPUTED_VALUE"""),"Pidgey")</f>
        <v>Pidgey</v>
      </c>
    </row>
    <row r="128">
      <c r="A128" s="68" t="b">
        <v>1</v>
      </c>
      <c r="B128" s="386" t="s">
        <v>244</v>
      </c>
      <c r="C128" s="386" t="str">
        <f t="array" ref="C128">TEXTJOIN("", TRUE, IFERROR(INDEX('language&amp;DataTest'!A:J, MATCH(INDEX( PointerTest!C:C, MATCH(B128, PointerTest!A:A, 0), 0), 'language&amp;DataTest'!A:A, 0), MATCH(HOME!$A$25, 'language&amp;DataTest'!$A$1:$G$1, 0))),                      IFERROR(INDEX('language&amp;DataTest'!A:J, MATCH(INDEX( PointerTest!D:D, MATCH(B128, PointerTest!A:A, 0), 0), 'language&amp;DataTest'!A:A, 0), MATCH(HOME!$A$25, 'language&amp;DataTest'!$A$1:$G$1, 0))),                                          
IFERROR(INDEX('language&amp;DataTest'!A:J, MATCH(INDEX( PointerTest!E:E, MATCH(B128, PointerTest!A:A, 0), 0), 'language&amp;DataTest'!A:A, 0), MATCH(HOME!$A$25, 'language&amp;DataTest'!$A$1:$G$1, 0))))</f>
        <v>Jynx</v>
      </c>
      <c r="D128" s="124" t="str">
        <f t="shared" si="1"/>
        <v>Jynx</v>
      </c>
      <c r="E128" s="124" t="b">
        <f>IFERROR(__xludf.DUMMYFUNCTION("REGEXMATCH(SUBSTITUTE(SUBSTITUTE(SUBSTITUTE(C128:C1000, ""♂"", ""male""), ""♀"", ""female""), "" ex"", """"), TEXTJOIN(""\b|"", TRUE,SPLIT($M$2, "" "")) &amp; ""\b"")"),TRUE)</f>
        <v>1</v>
      </c>
      <c r="G128" s="341" t="str">
        <f>IFERROR(__xludf.DUMMYFUNCTION("""COMPUTED_VALUE"""),"Nidorina")</f>
        <v>Nidorina</v>
      </c>
      <c r="I128" s="341" t="str">
        <f>IFERROR(__xludf.DUMMYFUNCTION("""COMPUTED_VALUE"""),"Pidgeotto")</f>
        <v>Pidgeotto</v>
      </c>
    </row>
    <row r="129">
      <c r="A129" s="68" t="b">
        <v>1</v>
      </c>
      <c r="B129" s="386" t="s">
        <v>245</v>
      </c>
      <c r="C129" s="386" t="str">
        <f t="array" ref="C129">TEXTJOIN("", TRUE, IFERROR(INDEX('language&amp;DataTest'!A:J, MATCH(INDEX( PointerTest!C:C, MATCH(B129, PointerTest!A:A, 0), 0), 'language&amp;DataTest'!A:A, 0), MATCH(HOME!$A$25, 'language&amp;DataTest'!$A$1:$G$1, 0))),                      IFERROR(INDEX('language&amp;DataTest'!A:J, MATCH(INDEX( PointerTest!D:D, MATCH(B129, PointerTest!A:A, 0), 0), 'language&amp;DataTest'!A:A, 0), MATCH(HOME!$A$25, 'language&amp;DataTest'!$A$1:$G$1, 0))),                                          
IFERROR(INDEX('language&amp;DataTest'!A:J, MATCH(INDEX( PointerTest!E:E, MATCH(B129, PointerTest!A:A, 0), 0), 'language&amp;DataTest'!A:A, 0), MATCH(HOME!$A$25, 'language&amp;DataTest'!$A$1:$G$1, 0))))</f>
        <v>Mewtwo</v>
      </c>
      <c r="D129" s="124" t="str">
        <f t="shared" si="1"/>
        <v>Mewtwo</v>
      </c>
      <c r="E129" s="124" t="b">
        <f>IFERROR(__xludf.DUMMYFUNCTION("REGEXMATCH(SUBSTITUTE(SUBSTITUTE(SUBSTITUTE(C129:C1000, ""♂"", ""male""), ""♀"", ""female""), "" ex"", """"), TEXTJOIN(""\b|"", TRUE,SPLIT($M$2, "" "")) &amp; ""\b"")"),TRUE)</f>
        <v>1</v>
      </c>
      <c r="G129" s="341" t="str">
        <f>IFERROR(__xludf.DUMMYFUNCTION("""COMPUTED_VALUE"""),"Nidoqueen")</f>
        <v>Nidoqueen</v>
      </c>
      <c r="I129" s="341" t="str">
        <f>IFERROR(__xludf.DUMMYFUNCTION("""COMPUTED_VALUE"""),"Pidgeot")</f>
        <v>Pidgeot</v>
      </c>
    </row>
    <row r="130">
      <c r="A130" s="68" t="b">
        <v>1</v>
      </c>
      <c r="B130" s="386" t="s">
        <v>246</v>
      </c>
      <c r="C130" s="386" t="str">
        <f t="array" ref="C130">TEXTJOIN("", TRUE, IFERROR(INDEX('language&amp;DataTest'!A:J, MATCH(INDEX( PointerTest!C:C, MATCH(B130, PointerTest!A:A, 0), 0), 'language&amp;DataTest'!A:A, 0), MATCH(HOME!$A$25, 'language&amp;DataTest'!$A$1:$G$1, 0))),                      IFERROR(INDEX('language&amp;DataTest'!A:J, MATCH(INDEX( PointerTest!D:D, MATCH(B130, PointerTest!A:A, 0), 0), 'language&amp;DataTest'!A:A, 0), MATCH(HOME!$A$25, 'language&amp;DataTest'!$A$1:$G$1, 0))),                                          
IFERROR(INDEX('language&amp;DataTest'!A:J, MATCH(INDEX( PointerTest!E:E, MATCH(B130, PointerTest!A:A, 0), 0), 'language&amp;DataTest'!A:A, 0), MATCH(HOME!$A$25, 'language&amp;DataTest'!$A$1:$G$1, 0))))</f>
        <v>Mewtwo ex</v>
      </c>
      <c r="D130" s="124" t="str">
        <f t="shared" si="1"/>
        <v>Mewtwo</v>
      </c>
      <c r="E130" s="124" t="b">
        <f>IFERROR(__xludf.DUMMYFUNCTION("REGEXMATCH(SUBSTITUTE(SUBSTITUTE(SUBSTITUTE(C130:C1000, ""♂"", ""male""), ""♀"", ""female""), "" ex"", """"), TEXTJOIN(""\b|"", TRUE,SPLIT($M$2, "" "")) &amp; ""\b"")"),TRUE)</f>
        <v>1</v>
      </c>
      <c r="G130" s="341" t="str">
        <f>IFERROR(__xludf.DUMMYFUNCTION("""COMPUTED_VALUE"""),"Nidorino")</f>
        <v>Nidorino</v>
      </c>
      <c r="I130" s="341" t="str">
        <f>IFERROR(__xludf.DUMMYFUNCTION("""COMPUTED_VALUE"""),"Rattata")</f>
        <v>Rattata</v>
      </c>
    </row>
    <row r="131">
      <c r="A131" s="68" t="b">
        <v>1</v>
      </c>
      <c r="B131" s="386" t="s">
        <v>247</v>
      </c>
      <c r="C131" s="386" t="str">
        <f t="array" ref="C131">TEXTJOIN("", TRUE, IFERROR(INDEX('language&amp;DataTest'!A:J, MATCH(INDEX( PointerTest!C:C, MATCH(B131, PointerTest!A:A, 0), 0), 'language&amp;DataTest'!A:A, 0), MATCH(HOME!$A$25, 'language&amp;DataTest'!$A$1:$G$1, 0))),                      IFERROR(INDEX('language&amp;DataTest'!A:J, MATCH(INDEX( PointerTest!D:D, MATCH(B131, PointerTest!A:A, 0), 0), 'language&amp;DataTest'!A:A, 0), MATCH(HOME!$A$25, 'language&amp;DataTest'!$A$1:$G$1, 0))),                                          
IFERROR(INDEX('language&amp;DataTest'!A:J, MATCH(INDEX( PointerTest!E:E, MATCH(B131, PointerTest!A:A, 0), 0), 'language&amp;DataTest'!A:A, 0), MATCH(HOME!$A$25, 'language&amp;DataTest'!$A$1:$G$1, 0))))</f>
        <v>Ralts</v>
      </c>
      <c r="D131" s="124" t="str">
        <f t="shared" si="1"/>
        <v>Ralts</v>
      </c>
      <c r="E131" s="124" t="b">
        <f>IFERROR(__xludf.DUMMYFUNCTION("REGEXMATCH(SUBSTITUTE(SUBSTITUTE(SUBSTITUTE(C131:C1000, ""♂"", ""male""), ""♀"", ""female""), "" ex"", """"), TEXTJOIN(""\b|"", TRUE,SPLIT($M$2, "" "")) &amp; ""\b"")"),FALSE)</f>
        <v>0</v>
      </c>
      <c r="G131" s="341" t="str">
        <f>IFERROR(__xludf.DUMMYFUNCTION("""COMPUTED_VALUE"""),"Nidoking")</f>
        <v>Nidoking</v>
      </c>
      <c r="I131" s="341" t="str">
        <f>IFERROR(__xludf.DUMMYFUNCTION("""COMPUTED_VALUE"""),"Raticate")</f>
        <v>Raticate</v>
      </c>
    </row>
    <row r="132">
      <c r="A132" s="68" t="b">
        <v>1</v>
      </c>
      <c r="B132" s="386" t="s">
        <v>248</v>
      </c>
      <c r="C132" s="386" t="str">
        <f t="array" ref="C132">TEXTJOIN("", TRUE, IFERROR(INDEX('language&amp;DataTest'!A:J, MATCH(INDEX( PointerTest!C:C, MATCH(B132, PointerTest!A:A, 0), 0), 'language&amp;DataTest'!A:A, 0), MATCH(HOME!$A$25, 'language&amp;DataTest'!$A$1:$G$1, 0))),                      IFERROR(INDEX('language&amp;DataTest'!A:J, MATCH(INDEX( PointerTest!D:D, MATCH(B132, PointerTest!A:A, 0), 0), 'language&amp;DataTest'!A:A, 0), MATCH(HOME!$A$25, 'language&amp;DataTest'!$A$1:$G$1, 0))),                                          
IFERROR(INDEX('language&amp;DataTest'!A:J, MATCH(INDEX( PointerTest!E:E, MATCH(B132, PointerTest!A:A, 0), 0), 'language&amp;DataTest'!A:A, 0), MATCH(HOME!$A$25, 'language&amp;DataTest'!$A$1:$G$1, 0))))</f>
        <v>Kirlia</v>
      </c>
      <c r="D132" s="124" t="str">
        <f t="shared" si="1"/>
        <v>Kirlia</v>
      </c>
      <c r="E132" s="124" t="b">
        <f>IFERROR(__xludf.DUMMYFUNCTION("REGEXMATCH(SUBSTITUTE(SUBSTITUTE(SUBSTITUTE(C132:C1000, ""♂"", ""male""), ""♀"", ""female""), "" ex"", """"), TEXTJOIN(""\b|"", TRUE,SPLIT($M$2, "" "")) &amp; ""\b"")"),FALSE)</f>
        <v>0</v>
      </c>
      <c r="G132" s="341" t="str">
        <f>IFERROR(__xludf.DUMMYFUNCTION("""COMPUTED_VALUE"""),"Zubat")</f>
        <v>Zubat</v>
      </c>
      <c r="I132" s="341" t="str">
        <f>IFERROR(__xludf.DUMMYFUNCTION("""COMPUTED_VALUE"""),"Spearow")</f>
        <v>Spearow</v>
      </c>
    </row>
    <row r="133">
      <c r="A133" s="68" t="b">
        <v>1</v>
      </c>
      <c r="B133" s="386" t="s">
        <v>249</v>
      </c>
      <c r="C133" s="386" t="str">
        <f t="array" ref="C133">TEXTJOIN("", TRUE, IFERROR(INDEX('language&amp;DataTest'!A:J, MATCH(INDEX( PointerTest!C:C, MATCH(B133, PointerTest!A:A, 0), 0), 'language&amp;DataTest'!A:A, 0), MATCH(HOME!$A$25, 'language&amp;DataTest'!$A$1:$G$1, 0))),                      IFERROR(INDEX('language&amp;DataTest'!A:J, MATCH(INDEX( PointerTest!D:D, MATCH(B133, PointerTest!A:A, 0), 0), 'language&amp;DataTest'!A:A, 0), MATCH(HOME!$A$25, 'language&amp;DataTest'!$A$1:$G$1, 0))),                                          
IFERROR(INDEX('language&amp;DataTest'!A:J, MATCH(INDEX( PointerTest!E:E, MATCH(B133, PointerTest!A:A, 0), 0), 'language&amp;DataTest'!A:A, 0), MATCH(HOME!$A$25, 'language&amp;DataTest'!$A$1:$G$1, 0))))</f>
        <v>Gardevoir</v>
      </c>
      <c r="D133" s="124" t="str">
        <f t="shared" si="1"/>
        <v>Gardevoir</v>
      </c>
      <c r="E133" s="124" t="b">
        <f>IFERROR(__xludf.DUMMYFUNCTION("REGEXMATCH(SUBSTITUTE(SUBSTITUTE(SUBSTITUTE(C133:C1000, ""♂"", ""male""), ""♀"", ""female""), "" ex"", """"), TEXTJOIN(""\b|"", TRUE,SPLIT($M$2, "" "")) &amp; ""\b"")"),FALSE)</f>
        <v>0</v>
      </c>
      <c r="G133" s="341" t="str">
        <f>IFERROR(__xludf.DUMMYFUNCTION("""COMPUTED_VALUE"""),"Golbat")</f>
        <v>Golbat</v>
      </c>
      <c r="I133" s="341" t="str">
        <f>IFERROR(__xludf.DUMMYFUNCTION("""COMPUTED_VALUE"""),"Fearow")</f>
        <v>Fearow</v>
      </c>
    </row>
    <row r="134">
      <c r="A134" s="68" t="b">
        <v>1</v>
      </c>
      <c r="B134" s="395" t="s">
        <v>250</v>
      </c>
      <c r="C134" s="386" t="str">
        <f t="array" ref="C134">TEXTJOIN("", TRUE, IFERROR(INDEX('language&amp;DataTest'!A:J, MATCH(INDEX( PointerTest!C:C, MATCH(B134, PointerTest!A:A, 0), 0), 'language&amp;DataTest'!A:A, 0), MATCH(HOME!$A$25, 'language&amp;DataTest'!$A$1:$G$1, 0))),                      IFERROR(INDEX('language&amp;DataTest'!A:J, MATCH(INDEX( PointerTest!D:D, MATCH(B134, PointerTest!A:A, 0), 0), 'language&amp;DataTest'!A:A, 0), MATCH(HOME!$A$25, 'language&amp;DataTest'!$A$1:$G$1, 0))),                                          
IFERROR(INDEX('language&amp;DataTest'!A:J, MATCH(INDEX( PointerTest!E:E, MATCH(B134, PointerTest!A:A, 0), 0), 'language&amp;DataTest'!A:A, 0), MATCH(HOME!$A$25, 'language&amp;DataTest'!$A$1:$G$1, 0))))</f>
        <v>Woobat</v>
      </c>
      <c r="D134" s="124" t="str">
        <f t="shared" si="1"/>
        <v>Woobat</v>
      </c>
      <c r="E134" s="124" t="b">
        <f>IFERROR(__xludf.DUMMYFUNCTION("REGEXMATCH(SUBSTITUTE(SUBSTITUTE(SUBSTITUTE(C134:C1000, ""♂"", ""male""), ""♀"", ""female""), "" ex"", """"), TEXTJOIN(""\b|"", TRUE,SPLIT($M$2, "" "")) &amp; ""\b"")"),FALSE)</f>
        <v>0</v>
      </c>
      <c r="G134" s="341" t="str">
        <f>IFERROR(__xludf.DUMMYFUNCTION("""COMPUTED_VALUE"""),"Grimer")</f>
        <v>Grimer</v>
      </c>
      <c r="I134" s="341" t="str">
        <f>IFERROR(__xludf.DUMMYFUNCTION("""COMPUTED_VALUE"""),"Jigglypuff")</f>
        <v>Jigglypuff</v>
      </c>
    </row>
    <row r="135">
      <c r="A135" s="68" t="b">
        <v>1</v>
      </c>
      <c r="B135" s="395" t="s">
        <v>251</v>
      </c>
      <c r="C135" s="386" t="str">
        <f t="array" ref="C135">TEXTJOIN("", TRUE, IFERROR(INDEX('language&amp;DataTest'!A:J, MATCH(INDEX( PointerTest!C:C, MATCH(B135, PointerTest!A:A, 0), 0), 'language&amp;DataTest'!A:A, 0), MATCH(HOME!$A$25, 'language&amp;DataTest'!$A$1:$G$1, 0))),                      IFERROR(INDEX('language&amp;DataTest'!A:J, MATCH(INDEX( PointerTest!D:D, MATCH(B135, PointerTest!A:A, 0), 0), 'language&amp;DataTest'!A:A, 0), MATCH(HOME!$A$25, 'language&amp;DataTest'!$A$1:$G$1, 0))),                                          
IFERROR(INDEX('language&amp;DataTest'!A:J, MATCH(INDEX( PointerTest!E:E, MATCH(B135, PointerTest!A:A, 0), 0), 'language&amp;DataTest'!A:A, 0), MATCH(HOME!$A$25, 'language&amp;DataTest'!$A$1:$G$1, 0))))</f>
        <v>Swoobat</v>
      </c>
      <c r="D135" s="124" t="str">
        <f t="shared" si="1"/>
        <v>Swoobat</v>
      </c>
      <c r="E135" s="124" t="b">
        <f>IFERROR(__xludf.DUMMYFUNCTION("REGEXMATCH(SUBSTITUTE(SUBSTITUTE(SUBSTITUTE(C135:C1000, ""♂"", ""male""), ""♀"", ""female""), "" ex"", """"), TEXTJOIN(""\b|"", TRUE,SPLIT($M$2, "" "")) &amp; ""\b"")"),FALSE)</f>
        <v>0</v>
      </c>
      <c r="G135" s="341" t="str">
        <f>IFERROR(__xludf.DUMMYFUNCTION("""COMPUTED_VALUE"""),"Muk")</f>
        <v>Muk</v>
      </c>
      <c r="I135" s="341" t="str">
        <f>IFERROR(__xludf.DUMMYFUNCTION("""COMPUTED_VALUE"""),"Wigglytuff")</f>
        <v>Wigglytuff</v>
      </c>
    </row>
    <row r="136">
      <c r="A136" s="68" t="b">
        <v>1</v>
      </c>
      <c r="B136" s="395" t="s">
        <v>252</v>
      </c>
      <c r="C136" s="386" t="str">
        <f t="array" ref="C136">TEXTJOIN("", TRUE, IFERROR(INDEX('language&amp;DataTest'!A:J, MATCH(INDEX( PointerTest!C:C, MATCH(B136, PointerTest!A:A, 0), 0), 'language&amp;DataTest'!A:A, 0), MATCH(HOME!$A$25, 'language&amp;DataTest'!$A$1:$G$1, 0))),                      IFERROR(INDEX('language&amp;DataTest'!A:J, MATCH(INDEX( PointerTest!D:D, MATCH(B136, PointerTest!A:A, 0), 0), 'language&amp;DataTest'!A:A, 0), MATCH(HOME!$A$25, 'language&amp;DataTest'!$A$1:$G$1, 0))),                                          
IFERROR(INDEX('language&amp;DataTest'!A:J, MATCH(INDEX( PointerTest!E:E, MATCH(B136, PointerTest!A:A, 0), 0), 'language&amp;DataTest'!A:A, 0), MATCH(HOME!$A$25, 'language&amp;DataTest'!$A$1:$G$1, 0))))</f>
        <v>Golett</v>
      </c>
      <c r="D136" s="124" t="str">
        <f t="shared" si="1"/>
        <v>Golett</v>
      </c>
      <c r="E136" s="124" t="b">
        <f>IFERROR(__xludf.DUMMYFUNCTION("REGEXMATCH(SUBSTITUTE(SUBSTITUTE(SUBSTITUTE(C136:C1000, ""♂"", ""male""), ""♀"", ""female""), "" ex"", """"), TEXTJOIN(""\b|"", TRUE,SPLIT($M$2, "" "")) &amp; ""\b"")"),FALSE)</f>
        <v>0</v>
      </c>
      <c r="G136" s="341" t="str">
        <f>IFERROR(__xludf.DUMMYFUNCTION("""COMPUTED_VALUE"""),"Koffing")</f>
        <v>Koffing</v>
      </c>
      <c r="I136" s="341" t="str">
        <f>IFERROR(__xludf.DUMMYFUNCTION("""COMPUTED_VALUE"""),"Meowth")</f>
        <v>Meowth</v>
      </c>
    </row>
    <row r="137">
      <c r="A137" s="68" t="b">
        <v>1</v>
      </c>
      <c r="B137" s="395" t="s">
        <v>253</v>
      </c>
      <c r="C137" s="386" t="str">
        <f t="array" ref="C137">TEXTJOIN("", TRUE, IFERROR(INDEX('language&amp;DataTest'!A:J, MATCH(INDEX( PointerTest!C:C, MATCH(B137, PointerTest!A:A, 0), 0), 'language&amp;DataTest'!A:A, 0), MATCH(HOME!$A$25, 'language&amp;DataTest'!$A$1:$G$1, 0))),                      IFERROR(INDEX('language&amp;DataTest'!A:J, MATCH(INDEX( PointerTest!D:D, MATCH(B137, PointerTest!A:A, 0), 0), 'language&amp;DataTest'!A:A, 0), MATCH(HOME!$A$25, 'language&amp;DataTest'!$A$1:$G$1, 0))),                                          
IFERROR(INDEX('language&amp;DataTest'!A:J, MATCH(INDEX( PointerTest!E:E, MATCH(B137, PointerTest!A:A, 0), 0), 'language&amp;DataTest'!A:A, 0), MATCH(HOME!$A$25, 'language&amp;DataTest'!$A$1:$G$1, 0))))</f>
        <v>Golurk</v>
      </c>
      <c r="D137" s="124" t="str">
        <f t="shared" si="1"/>
        <v>Golurk</v>
      </c>
      <c r="E137" s="124" t="b">
        <f>IFERROR(__xludf.DUMMYFUNCTION("REGEXMATCH(SUBSTITUTE(SUBSTITUTE(SUBSTITUTE(C137:C1000, ""♂"", ""male""), ""♀"", ""female""), "" ex"", """"), TEXTJOIN(""\b|"", TRUE,SPLIT($M$2, "" "")) &amp; ""\b"")"),FALSE)</f>
        <v>0</v>
      </c>
      <c r="G137" s="341" t="str">
        <f>IFERROR(__xludf.DUMMYFUNCTION("""COMPUTED_VALUE"""),"Weezing")</f>
        <v>Weezing</v>
      </c>
      <c r="I137" s="341" t="str">
        <f>IFERROR(__xludf.DUMMYFUNCTION("""COMPUTED_VALUE"""),"Persian")</f>
        <v>Persian</v>
      </c>
    </row>
    <row r="138">
      <c r="A138" s="68" t="b">
        <v>1</v>
      </c>
      <c r="B138" s="395" t="s">
        <v>254</v>
      </c>
      <c r="C138" s="386" t="str">
        <f t="array" ref="C138">TEXTJOIN("", TRUE, IFERROR(INDEX('language&amp;DataTest'!A:J, MATCH(INDEX( PointerTest!C:C, MATCH(B138, PointerTest!A:A, 0), 0), 'language&amp;DataTest'!A:A, 0), MATCH(HOME!$A$25, 'language&amp;DataTest'!$A$1:$G$1, 0))),                      IFERROR(INDEX('language&amp;DataTest'!A:J, MATCH(INDEX( PointerTest!D:D, MATCH(B138, PointerTest!A:A, 0), 0), 'language&amp;DataTest'!A:A, 0), MATCH(HOME!$A$25, 'language&amp;DataTest'!$A$1:$G$1, 0))),                                          
IFERROR(INDEX('language&amp;DataTest'!A:J, MATCH(INDEX( PointerTest!E:E, MATCH(B138, PointerTest!A:A, 0), 0), 'language&amp;DataTest'!A:A, 0), MATCH(HOME!$A$25, 'language&amp;DataTest'!$A$1:$G$1, 0))))</f>
        <v>Sandshrew</v>
      </c>
      <c r="D138" s="124" t="str">
        <f t="shared" si="1"/>
        <v>Sandshrew</v>
      </c>
      <c r="E138" s="124" t="b">
        <f>IFERROR(__xludf.DUMMYFUNCTION("REGEXMATCH(SUBSTITUTE(SUBSTITUTE(SUBSTITUTE(C138:C1000, ""♂"", ""male""), ""♀"", ""female""), "" ex"", """"), TEXTJOIN(""\b|"", TRUE,SPLIT($M$2, "" "")) &amp; ""\b"")"),TRUE)</f>
        <v>1</v>
      </c>
      <c r="G138" s="341" t="str">
        <f>IFERROR(__xludf.DUMMYFUNCTION("""COMPUTED_VALUE"""),"Dratini")</f>
        <v>Dratini</v>
      </c>
      <c r="I138" s="341" t="str">
        <f>IFERROR(__xludf.DUMMYFUNCTION("""COMPUTED_VALUE"""),"Farfetch'd")</f>
        <v>Farfetch'd</v>
      </c>
    </row>
    <row r="139">
      <c r="A139" s="68" t="b">
        <v>1</v>
      </c>
      <c r="B139" s="395" t="s">
        <v>256</v>
      </c>
      <c r="C139" s="386" t="str">
        <f t="array" ref="C139">TEXTJOIN("", TRUE, IFERROR(INDEX('language&amp;DataTest'!A:J, MATCH(INDEX( PointerTest!C:C, MATCH(B139, PointerTest!A:A, 0), 0), 'language&amp;DataTest'!A:A, 0), MATCH(HOME!$A$25, 'language&amp;DataTest'!$A$1:$G$1, 0))),                      IFERROR(INDEX('language&amp;DataTest'!A:J, MATCH(INDEX( PointerTest!D:D, MATCH(B139, PointerTest!A:A, 0), 0), 'language&amp;DataTest'!A:A, 0), MATCH(HOME!$A$25, 'language&amp;DataTest'!$A$1:$G$1, 0))),                                          
IFERROR(INDEX('language&amp;DataTest'!A:J, MATCH(INDEX( PointerTest!E:E, MATCH(B139, PointerTest!A:A, 0), 0), 'language&amp;DataTest'!A:A, 0), MATCH(HOME!$A$25, 'language&amp;DataTest'!$A$1:$G$1, 0))))</f>
        <v>Sandslash</v>
      </c>
      <c r="D139" s="124" t="str">
        <f t="shared" si="1"/>
        <v>Sandslash</v>
      </c>
      <c r="E139" s="124" t="b">
        <f>IFERROR(__xludf.DUMMYFUNCTION("REGEXMATCH(SUBSTITUTE(SUBSTITUTE(SUBSTITUTE(C139:C1000, ""♂"", ""male""), ""♀"", ""female""), "" ex"", """"), TEXTJOIN(""\b|"", TRUE,SPLIT($M$2, "" "")) &amp; ""\b"")"),TRUE)</f>
        <v>1</v>
      </c>
      <c r="G139" s="341" t="str">
        <f>IFERROR(__xludf.DUMMYFUNCTION("""COMPUTED_VALUE"""),"Dragonair")</f>
        <v>Dragonair</v>
      </c>
      <c r="I139" s="341" t="str">
        <f>IFERROR(__xludf.DUMMYFUNCTION("""COMPUTED_VALUE"""),"Doduo")</f>
        <v>Doduo</v>
      </c>
    </row>
    <row r="140">
      <c r="A140" s="68" t="b">
        <v>1</v>
      </c>
      <c r="B140" s="390" t="s">
        <v>257</v>
      </c>
      <c r="C140" s="386" t="str">
        <f t="array" ref="C140">TEXTJOIN("", TRUE, IFERROR(INDEX('language&amp;DataTest'!A:J, MATCH(INDEX( PointerTest!C:C, MATCH(B140, PointerTest!A:A, 0), 0), 'language&amp;DataTest'!A:A, 0), MATCH(HOME!$A$25, 'language&amp;DataTest'!$A$1:$G$1, 0))),                      IFERROR(INDEX('language&amp;DataTest'!A:J, MATCH(INDEX( PointerTest!D:D, MATCH(B140, PointerTest!A:A, 0), 0), 'language&amp;DataTest'!A:A, 0), MATCH(HOME!$A$25, 'language&amp;DataTest'!$A$1:$G$1, 0))),                                          
IFERROR(INDEX('language&amp;DataTest'!A:J, MATCH(INDEX( PointerTest!E:E, MATCH(B140, PointerTest!A:A, 0), 0), 'language&amp;DataTest'!A:A, 0), MATCH(HOME!$A$25, 'language&amp;DataTest'!$A$1:$G$1, 0))))</f>
        <v>Diglett</v>
      </c>
      <c r="D140" s="124" t="str">
        <f t="shared" si="1"/>
        <v>Diglett</v>
      </c>
      <c r="E140" s="124" t="b">
        <f>IFERROR(__xludf.DUMMYFUNCTION("REGEXMATCH(SUBSTITUTE(SUBSTITUTE(SUBSTITUTE(C140:C1000, ""♂"", ""male""), ""♀"", ""female""), "" ex"", """"), TEXTJOIN(""\b|"", TRUE,SPLIT($M$2, "" "")) &amp; ""\b"")"),TRUE)</f>
        <v>1</v>
      </c>
      <c r="G140" s="341" t="str">
        <f>IFERROR(__xludf.DUMMYFUNCTION("""COMPUTED_VALUE"""),"Dragonite")</f>
        <v>Dragonite</v>
      </c>
      <c r="I140" s="341" t="str">
        <f>IFERROR(__xludf.DUMMYFUNCTION("""COMPUTED_VALUE"""),"Dodrio")</f>
        <v>Dodrio</v>
      </c>
    </row>
    <row r="141">
      <c r="A141" s="68" t="b">
        <v>1</v>
      </c>
      <c r="B141" s="390" t="s">
        <v>258</v>
      </c>
      <c r="C141" s="386" t="str">
        <f t="array" ref="C141">TEXTJOIN("", TRUE, IFERROR(INDEX('language&amp;DataTest'!A:J, MATCH(INDEX( PointerTest!C:C, MATCH(B141, PointerTest!A:A, 0), 0), 'language&amp;DataTest'!A:A, 0), MATCH(HOME!$A$25, 'language&amp;DataTest'!$A$1:$G$1, 0))),                      IFERROR(INDEX('language&amp;DataTest'!A:J, MATCH(INDEX( PointerTest!D:D, MATCH(B141, PointerTest!A:A, 0), 0), 'language&amp;DataTest'!A:A, 0), MATCH(HOME!$A$25, 'language&amp;DataTest'!$A$1:$G$1, 0))),                                          
IFERROR(INDEX('language&amp;DataTest'!A:J, MATCH(INDEX( PointerTest!E:E, MATCH(B141, PointerTest!A:A, 0), 0), 'language&amp;DataTest'!A:A, 0), MATCH(HOME!$A$25, 'language&amp;DataTest'!$A$1:$G$1, 0))))</f>
        <v>Dugtrio</v>
      </c>
      <c r="D141" s="124" t="str">
        <f t="shared" si="1"/>
        <v>Dugtrio</v>
      </c>
      <c r="E141" s="124" t="b">
        <f>IFERROR(__xludf.DUMMYFUNCTION("REGEXMATCH(SUBSTITUTE(SUBSTITUTE(SUBSTITUTE(C141:C1000, ""♂"", ""male""), ""♀"", ""female""), "" ex"", """"), TEXTJOIN(""\b|"", TRUE,SPLIT($M$2, "" "")) &amp; ""\b"")"),TRUE)</f>
        <v>1</v>
      </c>
      <c r="G141" s="341" t="str">
        <f>IFERROR(__xludf.DUMMYFUNCTION("""COMPUTED_VALUE"""),"Pidgey")</f>
        <v>Pidgey</v>
      </c>
      <c r="I141" s="341" t="str">
        <f>IFERROR(__xludf.DUMMYFUNCTION("""COMPUTED_VALUE"""),"Lickitung")</f>
        <v>Lickitung</v>
      </c>
    </row>
    <row r="142">
      <c r="A142" s="68" t="b">
        <v>1</v>
      </c>
      <c r="B142" s="393" t="s">
        <v>259</v>
      </c>
      <c r="C142" s="386" t="str">
        <f t="array" ref="C142">TEXTJOIN("", TRUE, IFERROR(INDEX('language&amp;DataTest'!A:J, MATCH(INDEX( PointerTest!C:C, MATCH(B142, PointerTest!A:A, 0), 0), 'language&amp;DataTest'!A:A, 0), MATCH(HOME!$A$25, 'language&amp;DataTest'!$A$1:$G$1, 0))),                      IFERROR(INDEX('language&amp;DataTest'!A:J, MATCH(INDEX( PointerTest!D:D, MATCH(B142, PointerTest!A:A, 0), 0), 'language&amp;DataTest'!A:A, 0), MATCH(HOME!$A$25, 'language&amp;DataTest'!$A$1:$G$1, 0))),                                          
IFERROR(INDEX('language&amp;DataTest'!A:J, MATCH(INDEX( PointerTest!E:E, MATCH(B142, PointerTest!A:A, 0), 0), 'language&amp;DataTest'!A:A, 0), MATCH(HOME!$A$25, 'language&amp;DataTest'!$A$1:$G$1, 0))))</f>
        <v>Mankey</v>
      </c>
      <c r="D142" s="124" t="str">
        <f t="shared" si="1"/>
        <v>Mankey</v>
      </c>
      <c r="E142" s="124" t="b">
        <f>IFERROR(__xludf.DUMMYFUNCTION("REGEXMATCH(SUBSTITUTE(SUBSTITUTE(SUBSTITUTE(C142:C1000, ""♂"", ""male""), ""♀"", ""female""), "" ex"", """"), TEXTJOIN(""\b|"", TRUE,SPLIT($M$2, "" "")) &amp; ""\b"")"),TRUE)</f>
        <v>1</v>
      </c>
      <c r="G142" s="341" t="str">
        <f>IFERROR(__xludf.DUMMYFUNCTION("""COMPUTED_VALUE"""),"Pidgeotto")</f>
        <v>Pidgeotto</v>
      </c>
      <c r="I142" s="341" t="str">
        <f>IFERROR(__xludf.DUMMYFUNCTION("""COMPUTED_VALUE"""),"Chansey")</f>
        <v>Chansey</v>
      </c>
    </row>
    <row r="143">
      <c r="A143" s="68" t="b">
        <v>1</v>
      </c>
      <c r="B143" s="393" t="s">
        <v>260</v>
      </c>
      <c r="C143" s="386" t="str">
        <f t="array" ref="C143">TEXTJOIN("", TRUE, IFERROR(INDEX('language&amp;DataTest'!A:J, MATCH(INDEX( PointerTest!C:C, MATCH(B143, PointerTest!A:A, 0), 0), 'language&amp;DataTest'!A:A, 0), MATCH(HOME!$A$25, 'language&amp;DataTest'!$A$1:$G$1, 0))),                      IFERROR(INDEX('language&amp;DataTest'!A:J, MATCH(INDEX( PointerTest!D:D, MATCH(B143, PointerTest!A:A, 0), 0), 'language&amp;DataTest'!A:A, 0), MATCH(HOME!$A$25, 'language&amp;DataTest'!$A$1:$G$1, 0))),                                          
IFERROR(INDEX('language&amp;DataTest'!A:J, MATCH(INDEX( PointerTest!E:E, MATCH(B143, PointerTest!A:A, 0), 0), 'language&amp;DataTest'!A:A, 0), MATCH(HOME!$A$25, 'language&amp;DataTest'!$A$1:$G$1, 0))))</f>
        <v>Primeape</v>
      </c>
      <c r="D143" s="124" t="str">
        <f t="shared" si="1"/>
        <v>Primeape</v>
      </c>
      <c r="E143" s="124" t="b">
        <f>IFERROR(__xludf.DUMMYFUNCTION("REGEXMATCH(SUBSTITUTE(SUBSTITUTE(SUBSTITUTE(C143:C1000, ""♂"", ""male""), ""♀"", ""female""), "" ex"", """"), TEXTJOIN(""\b|"", TRUE,SPLIT($M$2, "" "")) &amp; ""\b"")"),TRUE)</f>
        <v>1</v>
      </c>
      <c r="G143" s="341" t="str">
        <f>IFERROR(__xludf.DUMMYFUNCTION("""COMPUTED_VALUE"""),"Pidgeot")</f>
        <v>Pidgeot</v>
      </c>
      <c r="I143" s="341" t="str">
        <f>IFERROR(__xludf.DUMMYFUNCTION("""COMPUTED_VALUE"""),"Kangaskhan")</f>
        <v>Kangaskhan</v>
      </c>
    </row>
    <row r="144">
      <c r="A144" s="68" t="b">
        <v>1</v>
      </c>
      <c r="B144" s="393" t="s">
        <v>261</v>
      </c>
      <c r="C144" s="386" t="str">
        <f t="array" ref="C144">TEXTJOIN("", TRUE, IFERROR(INDEX('language&amp;DataTest'!A:J, MATCH(INDEX( PointerTest!C:C, MATCH(B144, PointerTest!A:A, 0), 0), 'language&amp;DataTest'!A:A, 0), MATCH(HOME!$A$25, 'language&amp;DataTest'!$A$1:$G$1, 0))),                      IFERROR(INDEX('language&amp;DataTest'!A:J, MATCH(INDEX( PointerTest!D:D, MATCH(B144, PointerTest!A:A, 0), 0), 'language&amp;DataTest'!A:A, 0), MATCH(HOME!$A$25, 'language&amp;DataTest'!$A$1:$G$1, 0))),                                          
IFERROR(INDEX('language&amp;DataTest'!A:J, MATCH(INDEX( PointerTest!E:E, MATCH(B144, PointerTest!A:A, 0), 0), 'language&amp;DataTest'!A:A, 0), MATCH(HOME!$A$25, 'language&amp;DataTest'!$A$1:$G$1, 0))))</f>
        <v>Machop</v>
      </c>
      <c r="D144" s="124" t="str">
        <f t="shared" si="1"/>
        <v>Machop</v>
      </c>
      <c r="E144" s="124" t="b">
        <f>IFERROR(__xludf.DUMMYFUNCTION("REGEXMATCH(SUBSTITUTE(SUBSTITUTE(SUBSTITUTE(C144:C1000, ""♂"", ""male""), ""♀"", ""female""), "" ex"", """"), TEXTJOIN(""\b|"", TRUE,SPLIT($M$2, "" "")) &amp; ""\b"")"),TRUE)</f>
        <v>1</v>
      </c>
      <c r="G144" s="341" t="str">
        <f>IFERROR(__xludf.DUMMYFUNCTION("""COMPUTED_VALUE"""),"Rattata")</f>
        <v>Rattata</v>
      </c>
      <c r="I144" s="341" t="str">
        <f>IFERROR(__xludf.DUMMYFUNCTION("""COMPUTED_VALUE"""),"Tauros")</f>
        <v>Tauros</v>
      </c>
    </row>
    <row r="145">
      <c r="A145" s="68" t="b">
        <v>1</v>
      </c>
      <c r="B145" s="393" t="s">
        <v>262</v>
      </c>
      <c r="C145" s="386" t="str">
        <f t="array" ref="C145">TEXTJOIN("", TRUE, IFERROR(INDEX('language&amp;DataTest'!A:J, MATCH(INDEX( PointerTest!C:C, MATCH(B145, PointerTest!A:A, 0), 0), 'language&amp;DataTest'!A:A, 0), MATCH(HOME!$A$25, 'language&amp;DataTest'!$A$1:$G$1, 0))),                      IFERROR(INDEX('language&amp;DataTest'!A:J, MATCH(INDEX( PointerTest!D:D, MATCH(B145, PointerTest!A:A, 0), 0), 'language&amp;DataTest'!A:A, 0), MATCH(HOME!$A$25, 'language&amp;DataTest'!$A$1:$G$1, 0))),                                          
IFERROR(INDEX('language&amp;DataTest'!A:J, MATCH(INDEX( PointerTest!E:E, MATCH(B145, PointerTest!A:A, 0), 0), 'language&amp;DataTest'!A:A, 0), MATCH(HOME!$A$25, 'language&amp;DataTest'!$A$1:$G$1, 0))))</f>
        <v>Machoke</v>
      </c>
      <c r="D145" s="124" t="str">
        <f t="shared" si="1"/>
        <v>Machoke</v>
      </c>
      <c r="E145" s="124" t="b">
        <f>IFERROR(__xludf.DUMMYFUNCTION("REGEXMATCH(SUBSTITUTE(SUBSTITUTE(SUBSTITUTE(C145:C1000, ""♂"", ""male""), ""♀"", ""female""), "" ex"", """"), TEXTJOIN(""\b|"", TRUE,SPLIT($M$2, "" "")) &amp; ""\b"")"),TRUE)</f>
        <v>1</v>
      </c>
      <c r="G145" s="341" t="str">
        <f>IFERROR(__xludf.DUMMYFUNCTION("""COMPUTED_VALUE"""),"Raticate")</f>
        <v>Raticate</v>
      </c>
      <c r="I145" s="341" t="str">
        <f>IFERROR(__xludf.DUMMYFUNCTION("""COMPUTED_VALUE"""),"Ditto")</f>
        <v>Ditto</v>
      </c>
    </row>
    <row r="146">
      <c r="A146" s="68" t="b">
        <v>1</v>
      </c>
      <c r="B146" s="393" t="s">
        <v>263</v>
      </c>
      <c r="C146" s="386" t="str">
        <f t="array" ref="C146">TEXTJOIN("", TRUE, IFERROR(INDEX('language&amp;DataTest'!A:J, MATCH(INDEX( PointerTest!C:C, MATCH(B146, PointerTest!A:A, 0), 0), 'language&amp;DataTest'!A:A, 0), MATCH(HOME!$A$25, 'language&amp;DataTest'!$A$1:$G$1, 0))),                      IFERROR(INDEX('language&amp;DataTest'!A:J, MATCH(INDEX( PointerTest!D:D, MATCH(B146, PointerTest!A:A, 0), 0), 'language&amp;DataTest'!A:A, 0), MATCH(HOME!$A$25, 'language&amp;DataTest'!$A$1:$G$1, 0))),                                          
IFERROR(INDEX('language&amp;DataTest'!A:J, MATCH(INDEX( PointerTest!E:E, MATCH(B146, PointerTest!A:A, 0), 0), 'language&amp;DataTest'!A:A, 0), MATCH(HOME!$A$25, 'language&amp;DataTest'!$A$1:$G$1, 0))))</f>
        <v>Machamp</v>
      </c>
      <c r="D146" s="124" t="str">
        <f t="shared" si="1"/>
        <v>Machamp</v>
      </c>
      <c r="E146" s="124" t="b">
        <f>IFERROR(__xludf.DUMMYFUNCTION("REGEXMATCH(SUBSTITUTE(SUBSTITUTE(SUBSTITUTE(C146:C1000, ""♂"", ""male""), ""♀"", ""female""), "" ex"", """"), TEXTJOIN(""\b|"", TRUE,SPLIT($M$2, "" "")) &amp; ""\b"")"),TRUE)</f>
        <v>1</v>
      </c>
      <c r="G146" s="341" t="str">
        <f>IFERROR(__xludf.DUMMYFUNCTION("""COMPUTED_VALUE"""),"Spearow")</f>
        <v>Spearow</v>
      </c>
      <c r="I146" s="341" t="str">
        <f>IFERROR(__xludf.DUMMYFUNCTION("""COMPUTED_VALUE"""),"Eevee")</f>
        <v>Eevee</v>
      </c>
    </row>
    <row r="147">
      <c r="A147" s="68" t="b">
        <v>1</v>
      </c>
      <c r="B147" s="393" t="s">
        <v>264</v>
      </c>
      <c r="C147" s="386" t="str">
        <f t="array" ref="C147">TEXTJOIN("", TRUE, IFERROR(INDEX('language&amp;DataTest'!A:J, MATCH(INDEX( PointerTest!C:C, MATCH(B147, PointerTest!A:A, 0), 0), 'language&amp;DataTest'!A:A, 0), MATCH(HOME!$A$25, 'language&amp;DataTest'!$A$1:$G$1, 0))),                      IFERROR(INDEX('language&amp;DataTest'!A:J, MATCH(INDEX( PointerTest!D:D, MATCH(B147, PointerTest!A:A, 0), 0), 'language&amp;DataTest'!A:A, 0), MATCH(HOME!$A$25, 'language&amp;DataTest'!$A$1:$G$1, 0))),                                          
IFERROR(INDEX('language&amp;DataTest'!A:J, MATCH(INDEX( PointerTest!E:E, MATCH(B147, PointerTest!A:A, 0), 0), 'language&amp;DataTest'!A:A, 0), MATCH(HOME!$A$25, 'language&amp;DataTest'!$A$1:$G$1, 0))))</f>
        <v>Machamp ex</v>
      </c>
      <c r="D147" s="124" t="str">
        <f t="shared" si="1"/>
        <v>Machamp</v>
      </c>
      <c r="E147" s="124" t="b">
        <f>IFERROR(__xludf.DUMMYFUNCTION("REGEXMATCH(SUBSTITUTE(SUBSTITUTE(SUBSTITUTE(C147:C1000, ""♂"", ""male""), ""♀"", ""female""), "" ex"", """"), TEXTJOIN(""\b|"", TRUE,SPLIT($M$2, "" "")) &amp; ""\b"")"),TRUE)</f>
        <v>1</v>
      </c>
      <c r="G147" s="341" t="str">
        <f>IFERROR(__xludf.DUMMYFUNCTION("""COMPUTED_VALUE"""),"Fearow")</f>
        <v>Fearow</v>
      </c>
      <c r="I147" s="341" t="str">
        <f>IFERROR(__xludf.DUMMYFUNCTION("""COMPUTED_VALUE"""),"Porygon")</f>
        <v>Porygon</v>
      </c>
    </row>
    <row r="148">
      <c r="A148" s="68" t="b">
        <v>1</v>
      </c>
      <c r="B148" s="390" t="s">
        <v>265</v>
      </c>
      <c r="C148" s="386" t="str">
        <f t="array" ref="C148">TEXTJOIN("", TRUE, IFERROR(INDEX('language&amp;DataTest'!A:J, MATCH(INDEX( PointerTest!C:C, MATCH(B148, PointerTest!A:A, 0), 0), 'language&amp;DataTest'!A:A, 0), MATCH(HOME!$A$25, 'language&amp;DataTest'!$A$1:$G$1, 0))),                      IFERROR(INDEX('language&amp;DataTest'!A:J, MATCH(INDEX( PointerTest!D:D, MATCH(B148, PointerTest!A:A, 0), 0), 'language&amp;DataTest'!A:A, 0), MATCH(HOME!$A$25, 'language&amp;DataTest'!$A$1:$G$1, 0))),                                          
IFERROR(INDEX('language&amp;DataTest'!A:J, MATCH(INDEX( PointerTest!E:E, MATCH(B148, PointerTest!A:A, 0), 0), 'language&amp;DataTest'!A:A, 0), MATCH(HOME!$A$25, 'language&amp;DataTest'!$A$1:$G$1, 0))))</f>
        <v>Geodude</v>
      </c>
      <c r="D148" s="124" t="str">
        <f t="shared" si="1"/>
        <v>Geodude</v>
      </c>
      <c r="E148" s="124" t="b">
        <f>IFERROR(__xludf.DUMMYFUNCTION("REGEXMATCH(SUBSTITUTE(SUBSTITUTE(SUBSTITUTE(C148:C1000, ""♂"", ""male""), ""♀"", ""female""), "" ex"", """"), TEXTJOIN(""\b|"", TRUE,SPLIT($M$2, "" "")) &amp; ""\b"")"),TRUE)</f>
        <v>1</v>
      </c>
      <c r="G148" s="341" t="str">
        <f>IFERROR(__xludf.DUMMYFUNCTION("""COMPUTED_VALUE"""),"Jigglypuff")</f>
        <v>Jigglypuff</v>
      </c>
      <c r="I148" s="341" t="str">
        <f>IFERROR(__xludf.DUMMYFUNCTION("""COMPUTED_VALUE"""),"Aerodactyl")</f>
        <v>Aerodactyl</v>
      </c>
    </row>
    <row r="149">
      <c r="A149" s="68" t="b">
        <v>1</v>
      </c>
      <c r="B149" s="390" t="s">
        <v>266</v>
      </c>
      <c r="C149" s="386" t="str">
        <f t="array" ref="C149">TEXTJOIN("", TRUE, IFERROR(INDEX('language&amp;DataTest'!A:J, MATCH(INDEX( PointerTest!C:C, MATCH(B149, PointerTest!A:A, 0), 0), 'language&amp;DataTest'!A:A, 0), MATCH(HOME!$A$25, 'language&amp;DataTest'!$A$1:$G$1, 0))),                      IFERROR(INDEX('language&amp;DataTest'!A:J, MATCH(INDEX( PointerTest!D:D, MATCH(B149, PointerTest!A:A, 0), 0), 'language&amp;DataTest'!A:A, 0), MATCH(HOME!$A$25, 'language&amp;DataTest'!$A$1:$G$1, 0))),                                          
IFERROR(INDEX('language&amp;DataTest'!A:J, MATCH(INDEX( PointerTest!E:E, MATCH(B149, PointerTest!A:A, 0), 0), 'language&amp;DataTest'!A:A, 0), MATCH(HOME!$A$25, 'language&amp;DataTest'!$A$1:$G$1, 0))))</f>
        <v>Graveler</v>
      </c>
      <c r="D149" s="124" t="str">
        <f t="shared" si="1"/>
        <v>Graveler</v>
      </c>
      <c r="E149" s="124" t="b">
        <f>IFERROR(__xludf.DUMMYFUNCTION("REGEXMATCH(SUBSTITUTE(SUBSTITUTE(SUBSTITUTE(C149:C1000, ""♂"", ""male""), ""♀"", ""female""), "" ex"", """"), TEXTJOIN(""\b|"", TRUE,SPLIT($M$2, "" "")) &amp; ""\b"")"),TRUE)</f>
        <v>1</v>
      </c>
      <c r="G149" s="341" t="str">
        <f>IFERROR(__xludf.DUMMYFUNCTION("""COMPUTED_VALUE"""),"Wigglytuff")</f>
        <v>Wigglytuff</v>
      </c>
      <c r="I149" s="341" t="str">
        <f>IFERROR(__xludf.DUMMYFUNCTION("""COMPUTED_VALUE"""),"Snorlax")</f>
        <v>Snorlax</v>
      </c>
    </row>
    <row r="150">
      <c r="A150" s="68" t="b">
        <v>1</v>
      </c>
      <c r="B150" s="390" t="s">
        <v>267</v>
      </c>
      <c r="C150" s="386" t="str">
        <f t="array" ref="C150">TEXTJOIN("", TRUE, IFERROR(INDEX('language&amp;DataTest'!A:J, MATCH(INDEX( PointerTest!C:C, MATCH(B150, PointerTest!A:A, 0), 0), 'language&amp;DataTest'!A:A, 0), MATCH(HOME!$A$25, 'language&amp;DataTest'!$A$1:$G$1, 0))),                      IFERROR(INDEX('language&amp;DataTest'!A:J, MATCH(INDEX( PointerTest!D:D, MATCH(B150, PointerTest!A:A, 0), 0), 'language&amp;DataTest'!A:A, 0), MATCH(HOME!$A$25, 'language&amp;DataTest'!$A$1:$G$1, 0))),                                          
IFERROR(INDEX('language&amp;DataTest'!A:J, MATCH(INDEX( PointerTest!E:E, MATCH(B150, PointerTest!A:A, 0), 0), 'language&amp;DataTest'!A:A, 0), MATCH(HOME!$A$25, 'language&amp;DataTest'!$A$1:$G$1, 0))))</f>
        <v>Golem</v>
      </c>
      <c r="D150" s="124" t="str">
        <f t="shared" si="1"/>
        <v>Golem</v>
      </c>
      <c r="E150" s="124" t="b">
        <f>IFERROR(__xludf.DUMMYFUNCTION("REGEXMATCH(SUBSTITUTE(SUBSTITUTE(SUBSTITUTE(C150:C1000, ""♂"", ""male""), ""♀"", ""female""), "" ex"", """"), TEXTJOIN(""\b|"", TRUE,SPLIT($M$2, "" "")) &amp; ""\b"")"),TRUE)</f>
        <v>1</v>
      </c>
      <c r="G150" s="341" t="str">
        <f>IFERROR(__xludf.DUMMYFUNCTION("""COMPUTED_VALUE"""),"Wigglytuff")</f>
        <v>Wigglytuff</v>
      </c>
    </row>
    <row r="151">
      <c r="A151" s="68" t="b">
        <v>1</v>
      </c>
      <c r="B151" s="390" t="s">
        <v>268</v>
      </c>
      <c r="C151" s="386" t="str">
        <f t="array" ref="C151">TEXTJOIN("", TRUE, IFERROR(INDEX('language&amp;DataTest'!A:J, MATCH(INDEX( PointerTest!C:C, MATCH(B151, PointerTest!A:A, 0), 0), 'language&amp;DataTest'!A:A, 0), MATCH(HOME!$A$25, 'language&amp;DataTest'!$A$1:$G$1, 0))),                      IFERROR(INDEX('language&amp;DataTest'!A:J, MATCH(INDEX( PointerTest!D:D, MATCH(B151, PointerTest!A:A, 0), 0), 'language&amp;DataTest'!A:A, 0), MATCH(HOME!$A$25, 'language&amp;DataTest'!$A$1:$G$1, 0))),                                          
IFERROR(INDEX('language&amp;DataTest'!A:J, MATCH(INDEX( PointerTest!E:E, MATCH(B151, PointerTest!A:A, 0), 0), 'language&amp;DataTest'!A:A, 0), MATCH(HOME!$A$25, 'language&amp;DataTest'!$A$1:$G$1, 0))))</f>
        <v>Onix</v>
      </c>
      <c r="D151" s="124" t="str">
        <f t="shared" si="1"/>
        <v>Onix</v>
      </c>
      <c r="E151" s="124" t="b">
        <f>IFERROR(__xludf.DUMMYFUNCTION("REGEXMATCH(SUBSTITUTE(SUBSTITUTE(SUBSTITUTE(C151:C1000, ""♂"", ""male""), ""♀"", ""female""), "" ex"", """"), TEXTJOIN(""\b|"", TRUE,SPLIT($M$2, "" "")) &amp; ""\b"")"),TRUE)</f>
        <v>1</v>
      </c>
      <c r="G151" s="341" t="str">
        <f>IFERROR(__xludf.DUMMYFUNCTION("""COMPUTED_VALUE"""),"Meowth")</f>
        <v>Meowth</v>
      </c>
    </row>
    <row r="152">
      <c r="A152" s="68" t="b">
        <v>1</v>
      </c>
      <c r="B152" s="386" t="s">
        <v>269</v>
      </c>
      <c r="C152" s="386" t="str">
        <f t="array" ref="C152">TEXTJOIN("", TRUE, IFERROR(INDEX('language&amp;DataTest'!A:J, MATCH(INDEX( PointerTest!C:C, MATCH(B152, PointerTest!A:A, 0), 0), 'language&amp;DataTest'!A:A, 0), MATCH(HOME!$A$25, 'language&amp;DataTest'!$A$1:$G$1, 0))),                      IFERROR(INDEX('language&amp;DataTest'!A:J, MATCH(INDEX( PointerTest!D:D, MATCH(B152, PointerTest!A:A, 0), 0), 'language&amp;DataTest'!A:A, 0), MATCH(HOME!$A$25, 'language&amp;DataTest'!$A$1:$G$1, 0))),                                          
IFERROR(INDEX('language&amp;DataTest'!A:J, MATCH(INDEX( PointerTest!E:E, MATCH(B152, PointerTest!A:A, 0), 0), 'language&amp;DataTest'!A:A, 0), MATCH(HOME!$A$25, 'language&amp;DataTest'!$A$1:$G$1, 0))))</f>
        <v>Cubone</v>
      </c>
      <c r="D152" s="124" t="str">
        <f t="shared" si="1"/>
        <v>Cubone</v>
      </c>
      <c r="E152" s="124" t="b">
        <f>IFERROR(__xludf.DUMMYFUNCTION("REGEXMATCH(SUBSTITUTE(SUBSTITUTE(SUBSTITUTE(C152:C1000, ""♂"", ""male""), ""♀"", ""female""), "" ex"", """"), TEXTJOIN(""\b|"", TRUE,SPLIT($M$2, "" "")) &amp; ""\b"")"),TRUE)</f>
        <v>1</v>
      </c>
      <c r="G152" s="341" t="str">
        <f>IFERROR(__xludf.DUMMYFUNCTION("""COMPUTED_VALUE"""),"Persian")</f>
        <v>Persian</v>
      </c>
    </row>
    <row r="153">
      <c r="A153" s="68" t="b">
        <v>1</v>
      </c>
      <c r="B153" s="386" t="s">
        <v>270</v>
      </c>
      <c r="C153" s="386" t="str">
        <f t="array" ref="C153">TEXTJOIN("", TRUE, IFERROR(INDEX('language&amp;DataTest'!A:J, MATCH(INDEX( PointerTest!C:C, MATCH(B153, PointerTest!A:A, 0), 0), 'language&amp;DataTest'!A:A, 0), MATCH(HOME!$A$25, 'language&amp;DataTest'!$A$1:$G$1, 0))),                      IFERROR(INDEX('language&amp;DataTest'!A:J, MATCH(INDEX( PointerTest!D:D, MATCH(B153, PointerTest!A:A, 0), 0), 'language&amp;DataTest'!A:A, 0), MATCH(HOME!$A$25, 'language&amp;DataTest'!$A$1:$G$1, 0))),                                          
IFERROR(INDEX('language&amp;DataTest'!A:J, MATCH(INDEX( PointerTest!E:E, MATCH(B153, PointerTest!A:A, 0), 0), 'language&amp;DataTest'!A:A, 0), MATCH(HOME!$A$25, 'language&amp;DataTest'!$A$1:$G$1, 0))))</f>
        <v>Marowak</v>
      </c>
      <c r="D153" s="124" t="str">
        <f t="shared" si="1"/>
        <v>Marowak</v>
      </c>
      <c r="E153" s="124" t="b">
        <f>IFERROR(__xludf.DUMMYFUNCTION("REGEXMATCH(SUBSTITUTE(SUBSTITUTE(SUBSTITUTE(C153:C1000, ""♂"", ""male""), ""♀"", ""female""), "" ex"", """"), TEXTJOIN(""\b|"", TRUE,SPLIT($M$2, "" "")) &amp; ""\b"")"),TRUE)</f>
        <v>1</v>
      </c>
      <c r="G153" s="341" t="str">
        <f>IFERROR(__xludf.DUMMYFUNCTION("""COMPUTED_VALUE"""),"Farfetch'd")</f>
        <v>Farfetch'd</v>
      </c>
    </row>
    <row r="154">
      <c r="A154" s="68" t="b">
        <v>1</v>
      </c>
      <c r="B154" s="386" t="s">
        <v>271</v>
      </c>
      <c r="C154" s="386" t="str">
        <f t="array" ref="C154">TEXTJOIN("", TRUE, IFERROR(INDEX('language&amp;DataTest'!A:J, MATCH(INDEX( PointerTest!C:C, MATCH(B154, PointerTest!A:A, 0), 0), 'language&amp;DataTest'!A:A, 0), MATCH(HOME!$A$25, 'language&amp;DataTest'!$A$1:$G$1, 0))),                      IFERROR(INDEX('language&amp;DataTest'!A:J, MATCH(INDEX( PointerTest!D:D, MATCH(B154, PointerTest!A:A, 0), 0), 'language&amp;DataTest'!A:A, 0), MATCH(HOME!$A$25, 'language&amp;DataTest'!$A$1:$G$1, 0))),                                          
IFERROR(INDEX('language&amp;DataTest'!A:J, MATCH(INDEX( PointerTest!E:E, MATCH(B154, PointerTest!A:A, 0), 0), 'language&amp;DataTest'!A:A, 0), MATCH(HOME!$A$25, 'language&amp;DataTest'!$A$1:$G$1, 0))))</f>
        <v>Marowak ex</v>
      </c>
      <c r="D154" s="124" t="str">
        <f t="shared" si="1"/>
        <v>Marowak</v>
      </c>
      <c r="E154" s="124" t="b">
        <f>IFERROR(__xludf.DUMMYFUNCTION("REGEXMATCH(SUBSTITUTE(SUBSTITUTE(SUBSTITUTE(C154:C1000, ""♂"", ""male""), ""♀"", ""female""), "" ex"", """"), TEXTJOIN(""\b|"", TRUE,SPLIT($M$2, "" "")) &amp; ""\b"")"),TRUE)</f>
        <v>1</v>
      </c>
      <c r="G154" s="341" t="str">
        <f>IFERROR(__xludf.DUMMYFUNCTION("""COMPUTED_VALUE"""),"Doduo")</f>
        <v>Doduo</v>
      </c>
    </row>
    <row r="155">
      <c r="A155" s="68" t="b">
        <v>1</v>
      </c>
      <c r="B155" s="386" t="s">
        <v>272</v>
      </c>
      <c r="C155" s="386" t="str">
        <f t="array" ref="C155">TEXTJOIN("", TRUE, IFERROR(INDEX('language&amp;DataTest'!A:J, MATCH(INDEX( PointerTest!C:C, MATCH(B155, PointerTest!A:A, 0), 0), 'language&amp;DataTest'!A:A, 0), MATCH(HOME!$A$25, 'language&amp;DataTest'!$A$1:$G$1, 0))),                      IFERROR(INDEX('language&amp;DataTest'!A:J, MATCH(INDEX( PointerTest!D:D, MATCH(B155, PointerTest!A:A, 0), 0), 'language&amp;DataTest'!A:A, 0), MATCH(HOME!$A$25, 'language&amp;DataTest'!$A$1:$G$1, 0))),                                          
IFERROR(INDEX('language&amp;DataTest'!A:J, MATCH(INDEX( PointerTest!E:E, MATCH(B155, PointerTest!A:A, 0), 0), 'language&amp;DataTest'!A:A, 0), MATCH(HOME!$A$25, 'language&amp;DataTest'!$A$1:$G$1, 0))))</f>
        <v>Hitmonlee</v>
      </c>
      <c r="D155" s="124" t="str">
        <f t="shared" si="1"/>
        <v>Hitmonlee</v>
      </c>
      <c r="E155" s="124" t="b">
        <f>IFERROR(__xludf.DUMMYFUNCTION("REGEXMATCH(SUBSTITUTE(SUBSTITUTE(SUBSTITUTE(C155:C1000, ""♂"", ""male""), ""♀"", ""female""), "" ex"", """"), TEXTJOIN(""\b|"", TRUE,SPLIT($M$2, "" "")) &amp; ""\b"")"),TRUE)</f>
        <v>1</v>
      </c>
      <c r="G155" s="341" t="str">
        <f>IFERROR(__xludf.DUMMYFUNCTION("""COMPUTED_VALUE"""),"Dodrio")</f>
        <v>Dodrio</v>
      </c>
    </row>
    <row r="156">
      <c r="A156" s="68" t="b">
        <v>1</v>
      </c>
      <c r="B156" s="393" t="s">
        <v>273</v>
      </c>
      <c r="C156" s="386" t="str">
        <f t="array" ref="C156">TEXTJOIN("", TRUE, IFERROR(INDEX('language&amp;DataTest'!A:J, MATCH(INDEX( PointerTest!C:C, MATCH(B156, PointerTest!A:A, 0), 0), 'language&amp;DataTest'!A:A, 0), MATCH(HOME!$A$25, 'language&amp;DataTest'!$A$1:$G$1, 0))),                      IFERROR(INDEX('language&amp;DataTest'!A:J, MATCH(INDEX( PointerTest!D:D, MATCH(B156, PointerTest!A:A, 0), 0), 'language&amp;DataTest'!A:A, 0), MATCH(HOME!$A$25, 'language&amp;DataTest'!$A$1:$G$1, 0))),                                          
IFERROR(INDEX('language&amp;DataTest'!A:J, MATCH(INDEX( PointerTest!E:E, MATCH(B156, PointerTest!A:A, 0), 0), 'language&amp;DataTest'!A:A, 0), MATCH(HOME!$A$25, 'language&amp;DataTest'!$A$1:$G$1, 0))))</f>
        <v>Hitmonchan</v>
      </c>
      <c r="D156" s="124" t="str">
        <f t="shared" si="1"/>
        <v>Hitmonchan</v>
      </c>
      <c r="E156" s="124" t="b">
        <f>IFERROR(__xludf.DUMMYFUNCTION("REGEXMATCH(SUBSTITUTE(SUBSTITUTE(SUBSTITUTE(C156:C1000, ""♂"", ""male""), ""♀"", ""female""), "" ex"", """"), TEXTJOIN(""\b|"", TRUE,SPLIT($M$2, "" "")) &amp; ""\b"")"),TRUE)</f>
        <v>1</v>
      </c>
      <c r="G156" s="341" t="str">
        <f>IFERROR(__xludf.DUMMYFUNCTION("""COMPUTED_VALUE"""),"Lickitung")</f>
        <v>Lickitung</v>
      </c>
    </row>
    <row r="157">
      <c r="A157" s="68" t="b">
        <v>1</v>
      </c>
      <c r="B157" s="386" t="s">
        <v>274</v>
      </c>
      <c r="C157" s="386" t="str">
        <f t="array" ref="C157">TEXTJOIN("", TRUE, IFERROR(INDEX('language&amp;DataTest'!A:J, MATCH(INDEX( PointerTest!C:C, MATCH(B157, PointerTest!A:A, 0), 0), 'language&amp;DataTest'!A:A, 0), MATCH(HOME!$A$25, 'language&amp;DataTest'!$A$1:$G$1, 0))),                      IFERROR(INDEX('language&amp;DataTest'!A:J, MATCH(INDEX( PointerTest!D:D, MATCH(B157, PointerTest!A:A, 0), 0), 'language&amp;DataTest'!A:A, 0), MATCH(HOME!$A$25, 'language&amp;DataTest'!$A$1:$G$1, 0))),                                          
IFERROR(INDEX('language&amp;DataTest'!A:J, MATCH(INDEX( PointerTest!E:E, MATCH(B157, PointerTest!A:A, 0), 0), 'language&amp;DataTest'!A:A, 0), MATCH(HOME!$A$25, 'language&amp;DataTest'!$A$1:$G$1, 0))))</f>
        <v>Rhyhorn</v>
      </c>
      <c r="D157" s="124" t="str">
        <f t="shared" si="1"/>
        <v>Rhyhorn</v>
      </c>
      <c r="E157" s="124" t="b">
        <f>IFERROR(__xludf.DUMMYFUNCTION("REGEXMATCH(SUBSTITUTE(SUBSTITUTE(SUBSTITUTE(C157:C1000, ""♂"", ""male""), ""♀"", ""female""), "" ex"", """"), TEXTJOIN(""\b|"", TRUE,SPLIT($M$2, "" "")) &amp; ""\b"")"),TRUE)</f>
        <v>1</v>
      </c>
      <c r="G157" s="341" t="str">
        <f>IFERROR(__xludf.DUMMYFUNCTION("""COMPUTED_VALUE"""),"Chansey")</f>
        <v>Chansey</v>
      </c>
    </row>
    <row r="158">
      <c r="A158" s="68" t="b">
        <v>1</v>
      </c>
      <c r="B158" s="386" t="s">
        <v>275</v>
      </c>
      <c r="C158" s="386" t="str">
        <f t="array" ref="C158">TEXTJOIN("", TRUE, IFERROR(INDEX('language&amp;DataTest'!A:J, MATCH(INDEX( PointerTest!C:C, MATCH(B158, PointerTest!A:A, 0), 0), 'language&amp;DataTest'!A:A, 0), MATCH(HOME!$A$25, 'language&amp;DataTest'!$A$1:$G$1, 0))),                      IFERROR(INDEX('language&amp;DataTest'!A:J, MATCH(INDEX( PointerTest!D:D, MATCH(B158, PointerTest!A:A, 0), 0), 'language&amp;DataTest'!A:A, 0), MATCH(HOME!$A$25, 'language&amp;DataTest'!$A$1:$G$1, 0))),                                          
IFERROR(INDEX('language&amp;DataTest'!A:J, MATCH(INDEX( PointerTest!E:E, MATCH(B158, PointerTest!A:A, 0), 0), 'language&amp;DataTest'!A:A, 0), MATCH(HOME!$A$25, 'language&amp;DataTest'!$A$1:$G$1, 0))))</f>
        <v>Rhydon</v>
      </c>
      <c r="D158" s="124" t="str">
        <f t="shared" si="1"/>
        <v>Rhydon</v>
      </c>
      <c r="E158" s="124" t="b">
        <f>IFERROR(__xludf.DUMMYFUNCTION("REGEXMATCH(SUBSTITUTE(SUBSTITUTE(SUBSTITUTE(C158:C1000, ""♂"", ""male""), ""♀"", ""female""), "" ex"", """"), TEXTJOIN(""\b|"", TRUE,SPLIT($M$2, "" "")) &amp; ""\b"")"),TRUE)</f>
        <v>1</v>
      </c>
      <c r="G158" s="341" t="str">
        <f>IFERROR(__xludf.DUMMYFUNCTION("""COMPUTED_VALUE"""),"Kangaskhan")</f>
        <v>Kangaskhan</v>
      </c>
    </row>
    <row r="159">
      <c r="A159" s="68" t="b">
        <v>1</v>
      </c>
      <c r="B159" s="393" t="s">
        <v>276</v>
      </c>
      <c r="C159" s="386" t="str">
        <f t="array" ref="C159">TEXTJOIN("", TRUE, IFERROR(INDEX('language&amp;DataTest'!A:J, MATCH(INDEX( PointerTest!C:C, MATCH(B159, PointerTest!A:A, 0), 0), 'language&amp;DataTest'!A:A, 0), MATCH(HOME!$A$25, 'language&amp;DataTest'!$A$1:$G$1, 0))),                      IFERROR(INDEX('language&amp;DataTest'!A:J, MATCH(INDEX( PointerTest!D:D, MATCH(B159, PointerTest!A:A, 0), 0), 'language&amp;DataTest'!A:A, 0), MATCH(HOME!$A$25, 'language&amp;DataTest'!$A$1:$G$1, 0))),                                          
IFERROR(INDEX('language&amp;DataTest'!A:J, MATCH(INDEX( PointerTest!E:E, MATCH(B159, PointerTest!A:A, 0), 0), 'language&amp;DataTest'!A:A, 0), MATCH(HOME!$A$25, 'language&amp;DataTest'!$A$1:$G$1, 0))))</f>
        <v>Kabuto</v>
      </c>
      <c r="D159" s="124" t="str">
        <f t="shared" si="1"/>
        <v>Kabuto</v>
      </c>
      <c r="E159" s="124" t="b">
        <f>IFERROR(__xludf.DUMMYFUNCTION("REGEXMATCH(SUBSTITUTE(SUBSTITUTE(SUBSTITUTE(C159:C1000, ""♂"", ""male""), ""♀"", ""female""), "" ex"", """"), TEXTJOIN(""\b|"", TRUE,SPLIT($M$2, "" "")) &amp; ""\b"")"),TRUE)</f>
        <v>1</v>
      </c>
      <c r="G159" s="341" t="str">
        <f>IFERROR(__xludf.DUMMYFUNCTION("""COMPUTED_VALUE"""),"Tauros")</f>
        <v>Tauros</v>
      </c>
    </row>
    <row r="160">
      <c r="A160" s="68" t="b">
        <v>1</v>
      </c>
      <c r="B160" s="393" t="s">
        <v>277</v>
      </c>
      <c r="C160" s="386" t="str">
        <f t="array" ref="C160">TEXTJOIN("", TRUE, IFERROR(INDEX('language&amp;DataTest'!A:J, MATCH(INDEX( PointerTest!C:C, MATCH(B160, PointerTest!A:A, 0), 0), 'language&amp;DataTest'!A:A, 0), MATCH(HOME!$A$25, 'language&amp;DataTest'!$A$1:$G$1, 0))),                      IFERROR(INDEX('language&amp;DataTest'!A:J, MATCH(INDEX( PointerTest!D:D, MATCH(B160, PointerTest!A:A, 0), 0), 'language&amp;DataTest'!A:A, 0), MATCH(HOME!$A$25, 'language&amp;DataTest'!$A$1:$G$1, 0))),                                          
IFERROR(INDEX('language&amp;DataTest'!A:J, MATCH(INDEX( PointerTest!E:E, MATCH(B160, PointerTest!A:A, 0), 0), 'language&amp;DataTest'!A:A, 0), MATCH(HOME!$A$25, 'language&amp;DataTest'!$A$1:$G$1, 0))))</f>
        <v>Kabutops</v>
      </c>
      <c r="D160" s="124" t="str">
        <f t="shared" si="1"/>
        <v>Kabutops</v>
      </c>
      <c r="E160" s="124" t="b">
        <f>IFERROR(__xludf.DUMMYFUNCTION("REGEXMATCH(SUBSTITUTE(SUBSTITUTE(SUBSTITUTE(C160:C1000, ""♂"", ""male""), ""♀"", ""female""), "" ex"", """"), TEXTJOIN(""\b|"", TRUE,SPLIT($M$2, "" "")) &amp; ""\b"")"),TRUE)</f>
        <v>1</v>
      </c>
      <c r="G160" s="341" t="str">
        <f>IFERROR(__xludf.DUMMYFUNCTION("""COMPUTED_VALUE"""),"Ditto")</f>
        <v>Ditto</v>
      </c>
    </row>
    <row r="161">
      <c r="A161" s="68" t="b">
        <v>1</v>
      </c>
      <c r="B161" s="390" t="s">
        <v>278</v>
      </c>
      <c r="C161" s="386" t="str">
        <f t="array" ref="C161">TEXTJOIN("", TRUE, IFERROR(INDEX('language&amp;DataTest'!A:J, MATCH(INDEX( PointerTest!C:C, MATCH(B161, PointerTest!A:A, 0), 0), 'language&amp;DataTest'!A:A, 0), MATCH(HOME!$A$25, 'language&amp;DataTest'!$A$1:$G$1, 0))),                      IFERROR(INDEX('language&amp;DataTest'!A:J, MATCH(INDEX( PointerTest!D:D, MATCH(B161, PointerTest!A:A, 0), 0), 'language&amp;DataTest'!A:A, 0), MATCH(HOME!$A$25, 'language&amp;DataTest'!$A$1:$G$1, 0))),                                          
IFERROR(INDEX('language&amp;DataTest'!A:J, MATCH(INDEX( PointerTest!E:E, MATCH(B161, PointerTest!A:A, 0), 0), 'language&amp;DataTest'!A:A, 0), MATCH(HOME!$A$25, 'language&amp;DataTest'!$A$1:$G$1, 0))))</f>
        <v>Mienfoo</v>
      </c>
      <c r="D161" s="124" t="str">
        <f t="shared" si="1"/>
        <v>Mienfoo</v>
      </c>
      <c r="E161" s="124" t="b">
        <f>IFERROR(__xludf.DUMMYFUNCTION("REGEXMATCH(SUBSTITUTE(SUBSTITUTE(SUBSTITUTE(C161:C1000, ""♂"", ""male""), ""♀"", ""female""), "" ex"", """"), TEXTJOIN(""\b|"", TRUE,SPLIT($M$2, "" "")) &amp; ""\b"")"),FALSE)</f>
        <v>0</v>
      </c>
      <c r="G161" s="341" t="str">
        <f>IFERROR(__xludf.DUMMYFUNCTION("""COMPUTED_VALUE"""),"Eevee")</f>
        <v>Eevee</v>
      </c>
    </row>
    <row r="162">
      <c r="A162" s="68" t="b">
        <v>1</v>
      </c>
      <c r="B162" s="390" t="s">
        <v>279</v>
      </c>
      <c r="C162" s="386" t="str">
        <f t="array" ref="C162">TEXTJOIN("", TRUE, IFERROR(INDEX('language&amp;DataTest'!A:J, MATCH(INDEX( PointerTest!C:C, MATCH(B162, PointerTest!A:A, 0), 0), 'language&amp;DataTest'!A:A, 0), MATCH(HOME!$A$25, 'language&amp;DataTest'!$A$1:$G$1, 0))),                      IFERROR(INDEX('language&amp;DataTest'!A:J, MATCH(INDEX( PointerTest!D:D, MATCH(B162, PointerTest!A:A, 0), 0), 'language&amp;DataTest'!A:A, 0), MATCH(HOME!$A$25, 'language&amp;DataTest'!$A$1:$G$1, 0))),                                          
IFERROR(INDEX('language&amp;DataTest'!A:J, MATCH(INDEX( PointerTest!E:E, MATCH(B162, PointerTest!A:A, 0), 0), 'language&amp;DataTest'!A:A, 0), MATCH(HOME!$A$25, 'language&amp;DataTest'!$A$1:$G$1, 0))))</f>
        <v>Mienshao</v>
      </c>
      <c r="D162" s="124" t="str">
        <f t="shared" si="1"/>
        <v>Mienshao</v>
      </c>
      <c r="E162" s="124" t="b">
        <f>IFERROR(__xludf.DUMMYFUNCTION("REGEXMATCH(SUBSTITUTE(SUBSTITUTE(SUBSTITUTE(C162:C1000, ""♂"", ""male""), ""♀"", ""female""), "" ex"", """"), TEXTJOIN(""\b|"", TRUE,SPLIT($M$2, "" "")) &amp; ""\b"")"),FALSE)</f>
        <v>0</v>
      </c>
      <c r="G162" s="341" t="str">
        <f>IFERROR(__xludf.DUMMYFUNCTION("""COMPUTED_VALUE"""),"Eevee")</f>
        <v>Eevee</v>
      </c>
    </row>
    <row r="163">
      <c r="A163" s="68" t="b">
        <v>1</v>
      </c>
      <c r="B163" s="395" t="s">
        <v>280</v>
      </c>
      <c r="C163" s="386" t="str">
        <f t="array" ref="C163">TEXTJOIN("", TRUE, IFERROR(INDEX('language&amp;DataTest'!A:J, MATCH(INDEX( PointerTest!C:C, MATCH(B163, PointerTest!A:A, 0), 0), 'language&amp;DataTest'!A:A, 0), MATCH(HOME!$A$25, 'language&amp;DataTest'!$A$1:$G$1, 0))),                      IFERROR(INDEX('language&amp;DataTest'!A:J, MATCH(INDEX( PointerTest!D:D, MATCH(B163, PointerTest!A:A, 0), 0), 'language&amp;DataTest'!A:A, 0), MATCH(HOME!$A$25, 'language&amp;DataTest'!$A$1:$G$1, 0))),                                          
IFERROR(INDEX('language&amp;DataTest'!A:J, MATCH(INDEX( PointerTest!E:E, MATCH(B163, PointerTest!A:A, 0), 0), 'language&amp;DataTest'!A:A, 0), MATCH(HOME!$A$25, 'language&amp;DataTest'!$A$1:$G$1, 0))))</f>
        <v>Clobbopus</v>
      </c>
      <c r="D163" s="124" t="str">
        <f t="shared" si="1"/>
        <v>Clobbopus</v>
      </c>
      <c r="E163" s="124" t="b">
        <f>IFERROR(__xludf.DUMMYFUNCTION("REGEXMATCH(SUBSTITUTE(SUBSTITUTE(SUBSTITUTE(C163:C1000, ""♂"", ""male""), ""♀"", ""female""), "" ex"", """"), TEXTJOIN(""\b|"", TRUE,SPLIT($M$2, "" "")) &amp; ""\b"")"),FALSE)</f>
        <v>0</v>
      </c>
      <c r="G163" s="341" t="str">
        <f>IFERROR(__xludf.DUMMYFUNCTION("""COMPUTED_VALUE"""),"Eevee")</f>
        <v>Eevee</v>
      </c>
    </row>
    <row r="164">
      <c r="A164" s="68" t="b">
        <v>1</v>
      </c>
      <c r="B164" s="395" t="s">
        <v>281</v>
      </c>
      <c r="C164" s="386" t="str">
        <f t="array" ref="C164">TEXTJOIN("", TRUE, IFERROR(INDEX('language&amp;DataTest'!A:J, MATCH(INDEX( PointerTest!C:C, MATCH(B164, PointerTest!A:A, 0), 0), 'language&amp;DataTest'!A:A, 0), MATCH(HOME!$A$25, 'language&amp;DataTest'!$A$1:$G$1, 0))),                      IFERROR(INDEX('language&amp;DataTest'!A:J, MATCH(INDEX( PointerTest!D:D, MATCH(B164, PointerTest!A:A, 0), 0), 'language&amp;DataTest'!A:A, 0), MATCH(HOME!$A$25, 'language&amp;DataTest'!$A$1:$G$1, 0))),                                          
IFERROR(INDEX('language&amp;DataTest'!A:J, MATCH(INDEX( PointerTest!E:E, MATCH(B164, PointerTest!A:A, 0), 0), 'language&amp;DataTest'!A:A, 0), MATCH(HOME!$A$25, 'language&amp;DataTest'!$A$1:$G$1, 0))))</f>
        <v>Grapploct</v>
      </c>
      <c r="D164" s="124" t="str">
        <f t="shared" si="1"/>
        <v>Grapploct</v>
      </c>
      <c r="E164" s="124" t="b">
        <f>IFERROR(__xludf.DUMMYFUNCTION("REGEXMATCH(SUBSTITUTE(SUBSTITUTE(SUBSTITUTE(C164:C1000, ""♂"", ""male""), ""♀"", ""female""), "" ex"", """"), TEXTJOIN(""\b|"", TRUE,SPLIT($M$2, "" "")) &amp; ""\b"")"),FALSE)</f>
        <v>0</v>
      </c>
      <c r="G164" s="341" t="str">
        <f>IFERROR(__xludf.DUMMYFUNCTION("""COMPUTED_VALUE"""),"Porygon")</f>
        <v>Porygon</v>
      </c>
    </row>
    <row r="165">
      <c r="A165" s="68" t="b">
        <v>1</v>
      </c>
      <c r="B165" s="395" t="s">
        <v>282</v>
      </c>
      <c r="C165" s="386" t="str">
        <f t="array" ref="C165">TEXTJOIN("", TRUE, IFERROR(INDEX('language&amp;DataTest'!A:J, MATCH(INDEX( PointerTest!C:C, MATCH(B165, PointerTest!A:A, 0), 0), 'language&amp;DataTest'!A:A, 0), MATCH(HOME!$A$25, 'language&amp;DataTest'!$A$1:$G$1, 0))),                      IFERROR(INDEX('language&amp;DataTest'!A:J, MATCH(INDEX( PointerTest!D:D, MATCH(B165, PointerTest!A:A, 0), 0), 'language&amp;DataTest'!A:A, 0), MATCH(HOME!$A$25, 'language&amp;DataTest'!$A$1:$G$1, 0))),                                          
IFERROR(INDEX('language&amp;DataTest'!A:J, MATCH(INDEX( PointerTest!E:E, MATCH(B165, PointerTest!A:A, 0), 0), 'language&amp;DataTest'!A:A, 0), MATCH(HOME!$A$25, 'language&amp;DataTest'!$A$1:$G$1, 0))))</f>
        <v>Ekans</v>
      </c>
      <c r="D165" s="124" t="str">
        <f t="shared" si="1"/>
        <v>Ekans</v>
      </c>
      <c r="E165" s="124" t="b">
        <f>IFERROR(__xludf.DUMMYFUNCTION("REGEXMATCH(SUBSTITUTE(SUBSTITUTE(SUBSTITUTE(C165:C1000, ""♂"", ""male""), ""♀"", ""female""), "" ex"", """"), TEXTJOIN(""\b|"", TRUE,SPLIT($M$2, "" "")) &amp; ""\b"")"),TRUE)</f>
        <v>1</v>
      </c>
      <c r="G165" s="341" t="str">
        <f>IFERROR(__xludf.DUMMYFUNCTION("""COMPUTED_VALUE"""),"Aerodactyl")</f>
        <v>Aerodactyl</v>
      </c>
    </row>
    <row r="166">
      <c r="A166" s="68" t="b">
        <v>1</v>
      </c>
      <c r="B166" s="395" t="s">
        <v>283</v>
      </c>
      <c r="C166" s="386" t="str">
        <f t="array" ref="C166">TEXTJOIN("", TRUE, IFERROR(INDEX('language&amp;DataTest'!A:J, MATCH(INDEX( PointerTest!C:C, MATCH(B166, PointerTest!A:A, 0), 0), 'language&amp;DataTest'!A:A, 0), MATCH(HOME!$A$25, 'language&amp;DataTest'!$A$1:$G$1, 0))),                      IFERROR(INDEX('language&amp;DataTest'!A:J, MATCH(INDEX( PointerTest!D:D, MATCH(B166, PointerTest!A:A, 0), 0), 'language&amp;DataTest'!A:A, 0), MATCH(HOME!$A$25, 'language&amp;DataTest'!$A$1:$G$1, 0))),                                          
IFERROR(INDEX('language&amp;DataTest'!A:J, MATCH(INDEX( PointerTest!E:E, MATCH(B166, PointerTest!A:A, 0), 0), 'language&amp;DataTest'!A:A, 0), MATCH(HOME!$A$25, 'language&amp;DataTest'!$A$1:$G$1, 0))))</f>
        <v>Arbok</v>
      </c>
      <c r="D166" s="124" t="str">
        <f t="shared" si="1"/>
        <v>Arbok</v>
      </c>
      <c r="E166" s="124" t="b">
        <f>IFERROR(__xludf.DUMMYFUNCTION("REGEXMATCH(SUBSTITUTE(SUBSTITUTE(SUBSTITUTE(C166:C1000, ""♂"", ""male""), ""♀"", ""female""), "" ex"", """"), TEXTJOIN(""\b|"", TRUE,SPLIT($M$2, "" "")) &amp; ""\b"")"),TRUE)</f>
        <v>1</v>
      </c>
      <c r="G166" s="341" t="str">
        <f>IFERROR(__xludf.DUMMYFUNCTION("""COMPUTED_VALUE"""),"Snorlax")</f>
        <v>Snorlax</v>
      </c>
    </row>
    <row r="167">
      <c r="A167" s="68" t="b">
        <v>0</v>
      </c>
      <c r="B167" s="390" t="s">
        <v>284</v>
      </c>
      <c r="C167" s="386" t="str">
        <f t="array" ref="C167">TEXTJOIN("", TRUE, IFERROR(INDEX('language&amp;DataTest'!A:J, MATCH(INDEX( PointerTest!C:C, MATCH(B167, PointerTest!A:A, 0), 0), 'language&amp;DataTest'!A:A, 0), MATCH(HOME!$A$25, 'language&amp;DataTest'!$A$1:$G$1, 0))),                      IFERROR(INDEX('language&amp;DataTest'!A:J, MATCH(INDEX( PointerTest!D:D, MATCH(B167, PointerTest!A:A, 0), 0), 'language&amp;DataTest'!A:A, 0), MATCH(HOME!$A$25, 'language&amp;DataTest'!$A$1:$G$1, 0))),                                          
IFERROR(INDEX('language&amp;DataTest'!A:J, MATCH(INDEX( PointerTest!E:E, MATCH(B167, PointerTest!A:A, 0), 0), 'language&amp;DataTest'!A:A, 0), MATCH(HOME!$A$25, 'language&amp;DataTest'!$A$1:$G$1, 0))))</f>
        <v>Nidoran♀</v>
      </c>
      <c r="D167" s="124" t="str">
        <f t="shared" si="1"/>
        <v>Nidoran♀</v>
      </c>
      <c r="E167" s="124" t="b">
        <f>IFERROR(__xludf.DUMMYFUNCTION("REGEXMATCH(SUBSTITUTE(SUBSTITUTE(SUBSTITUTE(C167:C1000, ""♂"", ""male""), ""♀"", ""female""), "" ex"", """"), TEXTJOIN(""\b|"", TRUE,SPLIT($M$2, "" "")) &amp; ""\b"")"),TRUE)</f>
        <v>1</v>
      </c>
      <c r="G167" s="341" t="str">
        <f>IFERROR(__xludf.DUMMYFUNCTION("""COMPUTED_VALUE"""),"Moltres")</f>
        <v>Moltres</v>
      </c>
    </row>
    <row r="168">
      <c r="A168" s="68" t="b">
        <v>1</v>
      </c>
      <c r="B168" s="390" t="s">
        <v>285</v>
      </c>
      <c r="C168" s="386" t="str">
        <f t="array" ref="C168">TEXTJOIN("", TRUE, IFERROR(INDEX('language&amp;DataTest'!A:J, MATCH(INDEX( PointerTest!C:C, MATCH(B168, PointerTest!A:A, 0), 0), 'language&amp;DataTest'!A:A, 0), MATCH(HOME!$A$25, 'language&amp;DataTest'!$A$1:$G$1, 0))),                      IFERROR(INDEX('language&amp;DataTest'!A:J, MATCH(INDEX( PointerTest!D:D, MATCH(B168, PointerTest!A:A, 0), 0), 'language&amp;DataTest'!A:A, 0), MATCH(HOME!$A$25, 'language&amp;DataTest'!$A$1:$G$1, 0))),                                          
IFERROR(INDEX('language&amp;DataTest'!A:J, MATCH(INDEX( PointerTest!E:E, MATCH(B168, PointerTest!A:A, 0), 0), 'language&amp;DataTest'!A:A, 0), MATCH(HOME!$A$25, 'language&amp;DataTest'!$A$1:$G$1, 0))))</f>
        <v>Nidorina</v>
      </c>
      <c r="D168" s="124" t="str">
        <f t="shared" si="1"/>
        <v>Nidorina</v>
      </c>
      <c r="E168" s="124" t="b">
        <f>IFERROR(__xludf.DUMMYFUNCTION("REGEXMATCH(SUBSTITUTE(SUBSTITUTE(SUBSTITUTE(C168:C1000, ""♂"", ""male""), ""♀"", ""female""), "" ex"", """"), TEXTJOIN(""\b|"", TRUE,SPLIT($M$2, "" "")) &amp; ""\b"")"),TRUE)</f>
        <v>1</v>
      </c>
      <c r="G168" s="341" t="str">
        <f>IFERROR(__xludf.DUMMYFUNCTION("""COMPUTED_VALUE"""),"Articuno")</f>
        <v>Articuno</v>
      </c>
    </row>
    <row r="169">
      <c r="A169" s="68" t="b">
        <v>1</v>
      </c>
      <c r="B169" s="390" t="s">
        <v>286</v>
      </c>
      <c r="C169" s="386" t="str">
        <f t="array" ref="C169">TEXTJOIN("", TRUE, IFERROR(INDEX('language&amp;DataTest'!A:J, MATCH(INDEX( PointerTest!C:C, MATCH(B169, PointerTest!A:A, 0), 0), 'language&amp;DataTest'!A:A, 0), MATCH(HOME!$A$25, 'language&amp;DataTest'!$A$1:$G$1, 0))),                      IFERROR(INDEX('language&amp;DataTest'!A:J, MATCH(INDEX( PointerTest!D:D, MATCH(B169, PointerTest!A:A, 0), 0), 'language&amp;DataTest'!A:A, 0), MATCH(HOME!$A$25, 'language&amp;DataTest'!$A$1:$G$1, 0))),                                          
IFERROR(INDEX('language&amp;DataTest'!A:J, MATCH(INDEX( PointerTest!E:E, MATCH(B169, PointerTest!A:A, 0), 0), 'language&amp;DataTest'!A:A, 0), MATCH(HOME!$A$25, 'language&amp;DataTest'!$A$1:$G$1, 0))))</f>
        <v>Nidoqueen</v>
      </c>
      <c r="D169" s="124" t="str">
        <f t="shared" si="1"/>
        <v>Nidoqueen</v>
      </c>
      <c r="E169" s="124" t="b">
        <f>IFERROR(__xludf.DUMMYFUNCTION("REGEXMATCH(SUBSTITUTE(SUBSTITUTE(SUBSTITUTE(C169:C1000, ""♂"", ""male""), ""♀"", ""female""), "" ex"", """"), TEXTJOIN(""\b|"", TRUE,SPLIT($M$2, "" "")) &amp; ""\b"")"),TRUE)</f>
        <v>1</v>
      </c>
      <c r="G169" s="341" t="str">
        <f>IFERROR(__xludf.DUMMYFUNCTION("""COMPUTED_VALUE"""),"Zapdos")</f>
        <v>Zapdos</v>
      </c>
    </row>
    <row r="170">
      <c r="A170" s="68" t="b">
        <v>1</v>
      </c>
      <c r="B170" s="390" t="s">
        <v>287</v>
      </c>
      <c r="C170" s="386" t="str">
        <f t="array" ref="C170">TEXTJOIN("", TRUE, IFERROR(INDEX('language&amp;DataTest'!A:J, MATCH(INDEX( PointerTest!C:C, MATCH(B170, PointerTest!A:A, 0), 0), 'language&amp;DataTest'!A:A, 0), MATCH(HOME!$A$25, 'language&amp;DataTest'!$A$1:$G$1, 0))),                      IFERROR(INDEX('language&amp;DataTest'!A:J, MATCH(INDEX( PointerTest!D:D, MATCH(B170, PointerTest!A:A, 0), 0), 'language&amp;DataTest'!A:A, 0), MATCH(HOME!$A$25, 'language&amp;DataTest'!$A$1:$G$1, 0))),                                          
IFERROR(INDEX('language&amp;DataTest'!A:J, MATCH(INDEX( PointerTest!E:E, MATCH(B170, PointerTest!A:A, 0), 0), 'language&amp;DataTest'!A:A, 0), MATCH(HOME!$A$25, 'language&amp;DataTest'!$A$1:$G$1, 0))))</f>
        <v>Nidoran♂</v>
      </c>
      <c r="D170" s="124" t="str">
        <f t="shared" si="1"/>
        <v>Nidoran♂</v>
      </c>
      <c r="E170" s="124" t="b">
        <f>IFERROR(__xludf.DUMMYFUNCTION("REGEXMATCH(SUBSTITUTE(SUBSTITUTE(SUBSTITUTE(C170:C1000, ""♂"", ""male""), ""♀"", ""female""), "" ex"", """"), TEXTJOIN(""\b|"", TRUE,SPLIT($M$2, "" "")) &amp; ""\b"")"),TRUE)</f>
        <v>1</v>
      </c>
      <c r="G170" s="341" t="str">
        <f>IFERROR(__xludf.DUMMYFUNCTION("""COMPUTED_VALUE"""),"Gengar")</f>
        <v>Gengar</v>
      </c>
    </row>
    <row r="171">
      <c r="A171" s="68" t="b">
        <v>1</v>
      </c>
      <c r="B171" s="390" t="s">
        <v>288</v>
      </c>
      <c r="C171" s="386" t="str">
        <f t="array" ref="C171">TEXTJOIN("", TRUE, IFERROR(INDEX('language&amp;DataTest'!A:J, MATCH(INDEX( PointerTest!C:C, MATCH(B171, PointerTest!A:A, 0), 0), 'language&amp;DataTest'!A:A, 0), MATCH(HOME!$A$25, 'language&amp;DataTest'!$A$1:$G$1, 0))),                      IFERROR(INDEX('language&amp;DataTest'!A:J, MATCH(INDEX( PointerTest!D:D, MATCH(B171, PointerTest!A:A, 0), 0), 'language&amp;DataTest'!A:A, 0), MATCH(HOME!$A$25, 'language&amp;DataTest'!$A$1:$G$1, 0))),                                          
IFERROR(INDEX('language&amp;DataTest'!A:J, MATCH(INDEX( PointerTest!E:E, MATCH(B171, PointerTest!A:A, 0), 0), 'language&amp;DataTest'!A:A, 0), MATCH(HOME!$A$25, 'language&amp;DataTest'!$A$1:$G$1, 0))))</f>
        <v>Nidorino</v>
      </c>
      <c r="D171" s="124" t="str">
        <f t="shared" si="1"/>
        <v>Nidorino</v>
      </c>
      <c r="E171" s="124" t="b">
        <f>IFERROR(__xludf.DUMMYFUNCTION("REGEXMATCH(SUBSTITUTE(SUBSTITUTE(SUBSTITUTE(C171:C1000, ""♂"", ""male""), ""♀"", ""female""), "" ex"", """"), TEXTJOIN(""\b|"", TRUE,SPLIT($M$2, "" "")) &amp; ""\b"")"),TRUE)</f>
        <v>1</v>
      </c>
      <c r="G171" s="341" t="str">
        <f>IFERROR(__xludf.DUMMYFUNCTION("""COMPUTED_VALUE"""),"Machamp")</f>
        <v>Machamp</v>
      </c>
    </row>
    <row r="172">
      <c r="A172" s="68" t="b">
        <v>1</v>
      </c>
      <c r="B172" s="390" t="s">
        <v>289</v>
      </c>
      <c r="C172" s="386" t="str">
        <f t="array" ref="C172">TEXTJOIN("", TRUE, IFERROR(INDEX('language&amp;DataTest'!A:J, MATCH(INDEX( PointerTest!C:C, MATCH(B172, PointerTest!A:A, 0), 0), 'language&amp;DataTest'!A:A, 0), MATCH(HOME!$A$25, 'language&amp;DataTest'!$A$1:$G$1, 0))),                      IFERROR(INDEX('language&amp;DataTest'!A:J, MATCH(INDEX( PointerTest!D:D, MATCH(B172, PointerTest!A:A, 0), 0), 'language&amp;DataTest'!A:A, 0), MATCH(HOME!$A$25, 'language&amp;DataTest'!$A$1:$G$1, 0))),                                          
IFERROR(INDEX('language&amp;DataTest'!A:J, MATCH(INDEX( PointerTest!E:E, MATCH(B172, PointerTest!A:A, 0), 0), 'language&amp;DataTest'!A:A, 0), MATCH(HOME!$A$25, 'language&amp;DataTest'!$A$1:$G$1, 0))))</f>
        <v>Nidoking</v>
      </c>
      <c r="D172" s="124" t="str">
        <f t="shared" si="1"/>
        <v>Nidoking</v>
      </c>
      <c r="E172" s="124" t="b">
        <f>IFERROR(__xludf.DUMMYFUNCTION("REGEXMATCH(SUBSTITUTE(SUBSTITUTE(SUBSTITUTE(C172:C1000, ""♂"", ""male""), ""♀"", ""female""), "" ex"", """"), TEXTJOIN(""\b|"", TRUE,SPLIT($M$2, "" "")) &amp; ""\b"")"),TRUE)</f>
        <v>1</v>
      </c>
      <c r="G172" s="341" t="str">
        <f>IFERROR(__xludf.DUMMYFUNCTION("""COMPUTED_VALUE"""),"Wigglytuff")</f>
        <v>Wigglytuff</v>
      </c>
    </row>
    <row r="173">
      <c r="A173" s="68" t="b">
        <v>1</v>
      </c>
      <c r="B173" s="386" t="s">
        <v>290</v>
      </c>
      <c r="C173" s="386" t="str">
        <f t="array" ref="C173">TEXTJOIN("", TRUE, IFERROR(INDEX('language&amp;DataTest'!A:J, MATCH(INDEX( PointerTest!C:C, MATCH(B173, PointerTest!A:A, 0), 0), 'language&amp;DataTest'!A:A, 0), MATCH(HOME!$A$25, 'language&amp;DataTest'!$A$1:$G$1, 0))),                      IFERROR(INDEX('language&amp;DataTest'!A:J, MATCH(INDEX( PointerTest!D:D, MATCH(B173, PointerTest!A:A, 0), 0), 'language&amp;DataTest'!A:A, 0), MATCH(HOME!$A$25, 'language&amp;DataTest'!$A$1:$G$1, 0))),                                          
IFERROR(INDEX('language&amp;DataTest'!A:J, MATCH(INDEX( PointerTest!E:E, MATCH(B173, PointerTest!A:A, 0), 0), 'language&amp;DataTest'!A:A, 0), MATCH(HOME!$A$25, 'language&amp;DataTest'!$A$1:$G$1, 0))))</f>
        <v>Zubat</v>
      </c>
      <c r="D173" s="124" t="str">
        <f t="shared" si="1"/>
        <v>Zubat</v>
      </c>
      <c r="E173" s="124" t="b">
        <f>IFERROR(__xludf.DUMMYFUNCTION("REGEXMATCH(SUBSTITUTE(SUBSTITUTE(SUBSTITUTE(C173:C1000, ""♂"", ""male""), ""♀"", ""female""), "" ex"", """"), TEXTJOIN(""\b|"", TRUE,SPLIT($M$2, "" "")) &amp; ""\b"")"),TRUE)</f>
        <v>1</v>
      </c>
      <c r="G173" s="341" t="str">
        <f>IFERROR(__xludf.DUMMYFUNCTION("""COMPUTED_VALUE"""),"Charizard")</f>
        <v>Charizard</v>
      </c>
    </row>
    <row r="174">
      <c r="A174" s="68" t="b">
        <v>1</v>
      </c>
      <c r="B174" s="386" t="s">
        <v>291</v>
      </c>
      <c r="C174" s="386" t="str">
        <f t="array" ref="C174">TEXTJOIN("", TRUE, IFERROR(INDEX('language&amp;DataTest'!A:J, MATCH(INDEX( PointerTest!C:C, MATCH(B174, PointerTest!A:A, 0), 0), 'language&amp;DataTest'!A:A, 0), MATCH(HOME!$A$25, 'language&amp;DataTest'!$A$1:$G$1, 0))),                      IFERROR(INDEX('language&amp;DataTest'!A:J, MATCH(INDEX( PointerTest!D:D, MATCH(B174, PointerTest!A:A, 0), 0), 'language&amp;DataTest'!A:A, 0), MATCH(HOME!$A$25, 'language&amp;DataTest'!$A$1:$G$1, 0))),                                          
IFERROR(INDEX('language&amp;DataTest'!A:J, MATCH(INDEX( PointerTest!E:E, MATCH(B174, PointerTest!A:A, 0), 0), 'language&amp;DataTest'!A:A, 0), MATCH(HOME!$A$25, 'language&amp;DataTest'!$A$1:$G$1, 0))))</f>
        <v>Golbat</v>
      </c>
      <c r="D174" s="124" t="str">
        <f t="shared" si="1"/>
        <v>Golbat</v>
      </c>
      <c r="E174" s="124" t="b">
        <f>IFERROR(__xludf.DUMMYFUNCTION("REGEXMATCH(SUBSTITUTE(SUBSTITUTE(SUBSTITUTE(C174:C1000, ""♂"", ""male""), ""♀"", ""female""), "" ex"", """"), TEXTJOIN(""\b|"", TRUE,SPLIT($M$2, "" "")) &amp; ""\b"")"),TRUE)</f>
        <v>1</v>
      </c>
      <c r="G174" s="341" t="str">
        <f>IFERROR(__xludf.DUMMYFUNCTION("""COMPUTED_VALUE"""),"Pikachu")</f>
        <v>Pikachu</v>
      </c>
    </row>
    <row r="175">
      <c r="A175" s="68" t="b">
        <v>1</v>
      </c>
      <c r="B175" s="386" t="s">
        <v>292</v>
      </c>
      <c r="C175" s="386" t="str">
        <f t="array" ref="C175">TEXTJOIN("", TRUE, IFERROR(INDEX('language&amp;DataTest'!A:J, MATCH(INDEX( PointerTest!C:C, MATCH(B175, PointerTest!A:A, 0), 0), 'language&amp;DataTest'!A:A, 0), MATCH(HOME!$A$25, 'language&amp;DataTest'!$A$1:$G$1, 0))),                      IFERROR(INDEX('language&amp;DataTest'!A:J, MATCH(INDEX( PointerTest!D:D, MATCH(B175, PointerTest!A:A, 0), 0), 'language&amp;DataTest'!A:A, 0), MATCH(HOME!$A$25, 'language&amp;DataTest'!$A$1:$G$1, 0))),                                          
IFERROR(INDEX('language&amp;DataTest'!A:J, MATCH(INDEX( PointerTest!E:E, MATCH(B175, PointerTest!A:A, 0), 0), 'language&amp;DataTest'!A:A, 0), MATCH(HOME!$A$25, 'language&amp;DataTest'!$A$1:$G$1, 0))))</f>
        <v>Grimer</v>
      </c>
      <c r="D175" s="124" t="str">
        <f t="shared" si="1"/>
        <v>Grimer</v>
      </c>
      <c r="E175" s="124" t="b">
        <f>IFERROR(__xludf.DUMMYFUNCTION("REGEXMATCH(SUBSTITUTE(SUBSTITUTE(SUBSTITUTE(C175:C1000, ""♂"", ""male""), ""♀"", ""female""), "" ex"", """"), TEXTJOIN(""\b|"", TRUE,SPLIT($M$2, "" "")) &amp; ""\b"")"),TRUE)</f>
        <v>1</v>
      </c>
      <c r="G175" s="341" t="str">
        <f>IFERROR(__xludf.DUMMYFUNCTION("""COMPUTED_VALUE"""),"Mewtwo")</f>
        <v>Mewtwo</v>
      </c>
    </row>
    <row r="176">
      <c r="A176" s="68" t="b">
        <v>1</v>
      </c>
      <c r="B176" s="386" t="s">
        <v>293</v>
      </c>
      <c r="C176" s="386" t="str">
        <f t="array" ref="C176">TEXTJOIN("", TRUE, IFERROR(INDEX('language&amp;DataTest'!A:J, MATCH(INDEX( PointerTest!C:C, MATCH(B176, PointerTest!A:A, 0), 0), 'language&amp;DataTest'!A:A, 0), MATCH(HOME!$A$25, 'language&amp;DataTest'!$A$1:$G$1, 0))),                      IFERROR(INDEX('language&amp;DataTest'!A:J, MATCH(INDEX( PointerTest!D:D, MATCH(B176, PointerTest!A:A, 0), 0), 'language&amp;DataTest'!A:A, 0), MATCH(HOME!$A$25, 'language&amp;DataTest'!$A$1:$G$1, 0))),                                          
IFERROR(INDEX('language&amp;DataTest'!A:J, MATCH(INDEX( PointerTest!E:E, MATCH(B176, PointerTest!A:A, 0), 0), 'language&amp;DataTest'!A:A, 0), MATCH(HOME!$A$25, 'language&amp;DataTest'!$A$1:$G$1, 0))))</f>
        <v>Muk</v>
      </c>
      <c r="D176" s="124" t="str">
        <f t="shared" si="1"/>
        <v>Muk</v>
      </c>
      <c r="E176" s="124" t="b">
        <f>IFERROR(__xludf.DUMMYFUNCTION("REGEXMATCH(SUBSTITUTE(SUBSTITUTE(SUBSTITUTE(C176:C1000, ""♂"", ""male""), ""♀"", ""female""), "" ex"", """"), TEXTJOIN(""\b|"", TRUE,SPLIT($M$2, "" "")) &amp; ""\b"")"),TRUE)</f>
        <v>1</v>
      </c>
      <c r="G176" s="341" t="str">
        <f>IFERROR(__xludf.DUMMYFUNCTION("""COMPUTED_VALUE"""),"Charizard")</f>
        <v>Charizard</v>
      </c>
    </row>
    <row r="177">
      <c r="A177" s="68" t="b">
        <v>1</v>
      </c>
      <c r="B177" s="386" t="s">
        <v>294</v>
      </c>
      <c r="C177" s="386" t="str">
        <f t="array" ref="C177">TEXTJOIN("", TRUE, IFERROR(INDEX('language&amp;DataTest'!A:J, MATCH(INDEX( PointerTest!C:C, MATCH(B177, PointerTest!A:A, 0), 0), 'language&amp;DataTest'!A:A, 0), MATCH(HOME!$A$25, 'language&amp;DataTest'!$A$1:$G$1, 0))),                      IFERROR(INDEX('language&amp;DataTest'!A:J, MATCH(INDEX( PointerTest!D:D, MATCH(B177, PointerTest!A:A, 0), 0), 'language&amp;DataTest'!A:A, 0), MATCH(HOME!$A$25, 'language&amp;DataTest'!$A$1:$G$1, 0))),                                          
IFERROR(INDEX('language&amp;DataTest'!A:J, MATCH(INDEX( PointerTest!E:E, MATCH(B177, PointerTest!A:A, 0), 0), 'language&amp;DataTest'!A:A, 0), MATCH(HOME!$A$25, 'language&amp;DataTest'!$A$1:$G$1, 0))))</f>
        <v>Koffing</v>
      </c>
      <c r="D177" s="124" t="str">
        <f t="shared" si="1"/>
        <v>Koffing</v>
      </c>
      <c r="E177" s="124" t="b">
        <f>IFERROR(__xludf.DUMMYFUNCTION("REGEXMATCH(SUBSTITUTE(SUBSTITUTE(SUBSTITUTE(C177:C1000, ""♂"", ""male""), ""♀"", ""female""), "" ex"", """"), TEXTJOIN(""\b|"", TRUE,SPLIT($M$2, "" "")) &amp; ""\b"")"),TRUE)</f>
        <v>1</v>
      </c>
      <c r="G177" s="341" t="str">
        <f>IFERROR(__xludf.DUMMYFUNCTION("""COMPUTED_VALUE"""),"Pikachu")</f>
        <v>Pikachu</v>
      </c>
    </row>
    <row r="178">
      <c r="A178" s="68" t="b">
        <v>1</v>
      </c>
      <c r="B178" s="386" t="s">
        <v>295</v>
      </c>
      <c r="C178" s="386" t="str">
        <f t="array" ref="C178">TEXTJOIN("", TRUE, IFERROR(INDEX('language&amp;DataTest'!A:J, MATCH(INDEX( PointerTest!C:C, MATCH(B178, PointerTest!A:A, 0), 0), 'language&amp;DataTest'!A:A, 0), MATCH(HOME!$A$25, 'language&amp;DataTest'!$A$1:$G$1, 0))),                      IFERROR(INDEX('language&amp;DataTest'!A:J, MATCH(INDEX( PointerTest!D:D, MATCH(B178, PointerTest!A:A, 0), 0), 'language&amp;DataTest'!A:A, 0), MATCH(HOME!$A$25, 'language&amp;DataTest'!$A$1:$G$1, 0))),                                          
IFERROR(INDEX('language&amp;DataTest'!A:J, MATCH(INDEX( PointerTest!E:E, MATCH(B178, PointerTest!A:A, 0), 0), 'language&amp;DataTest'!A:A, 0), MATCH(HOME!$A$25, 'language&amp;DataTest'!$A$1:$G$1, 0))))</f>
        <v>Weezing</v>
      </c>
      <c r="D178" s="124" t="str">
        <f t="shared" si="1"/>
        <v>Weezing</v>
      </c>
      <c r="E178" s="124" t="b">
        <f>IFERROR(__xludf.DUMMYFUNCTION("REGEXMATCH(SUBSTITUTE(SUBSTITUTE(SUBSTITUTE(C178:C1000, ""♂"", ""male""), ""♀"", ""female""), "" ex"", """"), TEXTJOIN(""\b|"", TRUE,SPLIT($M$2, "" "")) &amp; ""\b"")"),TRUE)</f>
        <v>1</v>
      </c>
      <c r="G178" s="341" t="str">
        <f>IFERROR(__xludf.DUMMYFUNCTION("""COMPUTED_VALUE"""),"Mewtwo")</f>
        <v>Mewtwo</v>
      </c>
    </row>
    <row r="179">
      <c r="A179" s="68" t="b">
        <v>1</v>
      </c>
      <c r="B179" s="393" t="s">
        <v>296</v>
      </c>
      <c r="C179" s="386" t="str">
        <f t="array" ref="C179">TEXTJOIN("", TRUE, IFERROR(INDEX('language&amp;DataTest'!A:J, MATCH(INDEX( PointerTest!C:C, MATCH(B179, PointerTest!A:A, 0), 0), 'language&amp;DataTest'!A:A, 0), MATCH(HOME!$A$25, 'language&amp;DataTest'!$A$1:$G$1, 0))),                      IFERROR(INDEX('language&amp;DataTest'!A:J, MATCH(INDEX( PointerTest!D:D, MATCH(B179, PointerTest!A:A, 0), 0), 'language&amp;DataTest'!A:A, 0), MATCH(HOME!$A$25, 'language&amp;DataTest'!$A$1:$G$1, 0))),                                          
IFERROR(INDEX('language&amp;DataTest'!A:J, MATCH(INDEX( PointerTest!E:E, MATCH(B179, PointerTest!A:A, 0), 0), 'language&amp;DataTest'!A:A, 0), MATCH(HOME!$A$25, 'language&amp;DataTest'!$A$1:$G$1, 0))))</f>
        <v>Mawile</v>
      </c>
      <c r="D179" s="124" t="str">
        <f t="shared" si="1"/>
        <v>Mawile</v>
      </c>
      <c r="E179" s="124" t="b">
        <f>IFERROR(__xludf.DUMMYFUNCTION("REGEXMATCH(SUBSTITUTE(SUBSTITUTE(SUBSTITUTE(C179:C1000, ""♂"", ""male""), ""♀"", ""female""), "" ex"", """"), TEXTJOIN(""\b|"", TRUE,SPLIT($M$2, "" "")) &amp; ""\b"")"),FALSE)</f>
        <v>0</v>
      </c>
    </row>
    <row r="180">
      <c r="A180" s="68" t="b">
        <v>1</v>
      </c>
      <c r="B180" s="395" t="s">
        <v>297</v>
      </c>
      <c r="C180" s="386" t="str">
        <f t="array" ref="C180">TEXTJOIN("", TRUE, IFERROR(INDEX('language&amp;DataTest'!A:J, MATCH(INDEX( PointerTest!C:C, MATCH(B180, PointerTest!A:A, 0), 0), 'language&amp;DataTest'!A:A, 0), MATCH(HOME!$A$25, 'language&amp;DataTest'!$A$1:$G$1, 0))),                      IFERROR(INDEX('language&amp;DataTest'!A:J, MATCH(INDEX( PointerTest!D:D, MATCH(B180, PointerTest!A:A, 0), 0), 'language&amp;DataTest'!A:A, 0), MATCH(HOME!$A$25, 'language&amp;DataTest'!$A$1:$G$1, 0))),                                          
IFERROR(INDEX('language&amp;DataTest'!A:J, MATCH(INDEX( PointerTest!E:E, MATCH(B180, PointerTest!A:A, 0), 0), 'language&amp;DataTest'!A:A, 0), MATCH(HOME!$A$25, 'language&amp;DataTest'!$A$1:$G$1, 0))))</f>
        <v>Pawniard</v>
      </c>
      <c r="D180" s="124" t="str">
        <f t="shared" si="1"/>
        <v>Pawniard</v>
      </c>
      <c r="E180" s="124" t="b">
        <f>IFERROR(__xludf.DUMMYFUNCTION("REGEXMATCH(SUBSTITUTE(SUBSTITUTE(SUBSTITUTE(C180:C1000, ""♂"", ""male""), ""♀"", ""female""), "" ex"", """"), TEXTJOIN(""\b|"", TRUE,SPLIT($M$2, "" "")) &amp; ""\b"")"),FALSE)</f>
        <v>0</v>
      </c>
    </row>
    <row r="181">
      <c r="A181" s="68" t="b">
        <v>1</v>
      </c>
      <c r="B181" s="395" t="s">
        <v>298</v>
      </c>
      <c r="C181" s="386" t="str">
        <f t="array" ref="C181">TEXTJOIN("", TRUE, IFERROR(INDEX('language&amp;DataTest'!A:J, MATCH(INDEX( PointerTest!C:C, MATCH(B181, PointerTest!A:A, 0), 0), 'language&amp;DataTest'!A:A, 0), MATCH(HOME!$A$25, 'language&amp;DataTest'!$A$1:$G$1, 0))),                      IFERROR(INDEX('language&amp;DataTest'!A:J, MATCH(INDEX( PointerTest!D:D, MATCH(B181, PointerTest!A:A, 0), 0), 'language&amp;DataTest'!A:A, 0), MATCH(HOME!$A$25, 'language&amp;DataTest'!$A$1:$G$1, 0))),                                          
IFERROR(INDEX('language&amp;DataTest'!A:J, MATCH(INDEX( PointerTest!E:E, MATCH(B181, PointerTest!A:A, 0), 0), 'language&amp;DataTest'!A:A, 0), MATCH(HOME!$A$25, 'language&amp;DataTest'!$A$1:$G$1, 0))))</f>
        <v>Bisharp</v>
      </c>
      <c r="D181" s="124" t="str">
        <f t="shared" si="1"/>
        <v>Bisharp</v>
      </c>
      <c r="E181" s="124" t="b">
        <f>IFERROR(__xludf.DUMMYFUNCTION("REGEXMATCH(SUBSTITUTE(SUBSTITUTE(SUBSTITUTE(C181:C1000, ""♂"", ""male""), ""♀"", ""female""), "" ex"", """"), TEXTJOIN(""\b|"", TRUE,SPLIT($M$2, "" "")) &amp; ""\b"")"),FALSE)</f>
        <v>0</v>
      </c>
    </row>
    <row r="182">
      <c r="A182" s="68" t="b">
        <v>1</v>
      </c>
      <c r="B182" s="393" t="s">
        <v>299</v>
      </c>
      <c r="C182" s="386" t="str">
        <f t="array" ref="C182">TEXTJOIN("", TRUE, IFERROR(INDEX('language&amp;DataTest'!A:J, MATCH(INDEX( PointerTest!C:C, MATCH(B182, PointerTest!A:A, 0), 0), 'language&amp;DataTest'!A:A, 0), MATCH(HOME!$A$25, 'language&amp;DataTest'!$A$1:$G$1, 0))),                      IFERROR(INDEX('language&amp;DataTest'!A:J, MATCH(INDEX( PointerTest!D:D, MATCH(B182, PointerTest!A:A, 0), 0), 'language&amp;DataTest'!A:A, 0), MATCH(HOME!$A$25, 'language&amp;DataTest'!$A$1:$G$1, 0))),                                          
IFERROR(INDEX('language&amp;DataTest'!A:J, MATCH(INDEX( PointerTest!E:E, MATCH(B182, PointerTest!A:A, 0), 0), 'language&amp;DataTest'!A:A, 0), MATCH(HOME!$A$25, 'language&amp;DataTest'!$A$1:$G$1, 0))))</f>
        <v>Meltan</v>
      </c>
      <c r="D182" s="124" t="str">
        <f t="shared" si="1"/>
        <v>Meltan</v>
      </c>
      <c r="E182" s="124" t="b">
        <f>IFERROR(__xludf.DUMMYFUNCTION("REGEXMATCH(SUBSTITUTE(SUBSTITUTE(SUBSTITUTE(C182:C1000, ""♂"", ""male""), ""♀"", ""female""), "" ex"", """"), TEXTJOIN(""\b|"", TRUE,SPLIT($M$2, "" "")) &amp; ""\b"")"),FALSE)</f>
        <v>0</v>
      </c>
    </row>
    <row r="183">
      <c r="A183" s="68" t="b">
        <v>1</v>
      </c>
      <c r="B183" s="393" t="s">
        <v>300</v>
      </c>
      <c r="C183" s="386" t="str">
        <f t="array" ref="C183">TEXTJOIN("", TRUE, IFERROR(INDEX('language&amp;DataTest'!A:J, MATCH(INDEX( PointerTest!C:C, MATCH(B183, PointerTest!A:A, 0), 0), 'language&amp;DataTest'!A:A, 0), MATCH(HOME!$A$25, 'language&amp;DataTest'!$A$1:$G$1, 0))),                      IFERROR(INDEX('language&amp;DataTest'!A:J, MATCH(INDEX( PointerTest!D:D, MATCH(B183, PointerTest!A:A, 0), 0), 'language&amp;DataTest'!A:A, 0), MATCH(HOME!$A$25, 'language&amp;DataTest'!$A$1:$G$1, 0))),                                          
IFERROR(INDEX('language&amp;DataTest'!A:J, MATCH(INDEX( PointerTest!E:E, MATCH(B183, PointerTest!A:A, 0), 0), 'language&amp;DataTest'!A:A, 0), MATCH(HOME!$A$25, 'language&amp;DataTest'!$A$1:$G$1, 0))))</f>
        <v>Melmetal</v>
      </c>
      <c r="D183" s="124" t="str">
        <f t="shared" si="1"/>
        <v>Melmetal</v>
      </c>
      <c r="E183" s="124" t="b">
        <f>IFERROR(__xludf.DUMMYFUNCTION("REGEXMATCH(SUBSTITUTE(SUBSTITUTE(SUBSTITUTE(C183:C1000, ""♂"", ""male""), ""♀"", ""female""), "" ex"", """"), TEXTJOIN(""\b|"", TRUE,SPLIT($M$2, "" "")) &amp; ""\b"")"),FALSE)</f>
        <v>0</v>
      </c>
    </row>
    <row r="184">
      <c r="A184" s="68" t="b">
        <v>1</v>
      </c>
      <c r="B184" s="386" t="s">
        <v>301</v>
      </c>
      <c r="C184" s="386" t="str">
        <f t="array" ref="C184">TEXTJOIN("", TRUE, IFERROR(INDEX('language&amp;DataTest'!A:J, MATCH(INDEX( PointerTest!C:C, MATCH(B184, PointerTest!A:A, 0), 0), 'language&amp;DataTest'!A:A, 0), MATCH(HOME!$A$25, 'language&amp;DataTest'!$A$1:$G$1, 0))),                      IFERROR(INDEX('language&amp;DataTest'!A:J, MATCH(INDEX( PointerTest!D:D, MATCH(B184, PointerTest!A:A, 0), 0), 'language&amp;DataTest'!A:A, 0), MATCH(HOME!$A$25, 'language&amp;DataTest'!$A$1:$G$1, 0))),                                          
IFERROR(INDEX('language&amp;DataTest'!A:J, MATCH(INDEX( PointerTest!E:E, MATCH(B184, PointerTest!A:A, 0), 0), 'language&amp;DataTest'!A:A, 0), MATCH(HOME!$A$25, 'language&amp;DataTest'!$A$1:$G$1, 0))))</f>
        <v>Dratini</v>
      </c>
      <c r="D184" s="124" t="str">
        <f t="shared" si="1"/>
        <v>Dratini</v>
      </c>
      <c r="E184" s="124" t="b">
        <f>IFERROR(__xludf.DUMMYFUNCTION("REGEXMATCH(SUBSTITUTE(SUBSTITUTE(SUBSTITUTE(C184:C1000, ""♂"", ""male""), ""♀"", ""female""), "" ex"", """"), TEXTJOIN(""\b|"", TRUE,SPLIT($M$2, "" "")) &amp; ""\b"")"),TRUE)</f>
        <v>1</v>
      </c>
    </row>
    <row r="185">
      <c r="A185" s="68" t="b">
        <v>1</v>
      </c>
      <c r="B185" s="386" t="s">
        <v>302</v>
      </c>
      <c r="C185" s="386" t="str">
        <f t="array" ref="C185">TEXTJOIN("", TRUE, IFERROR(INDEX('language&amp;DataTest'!A:J, MATCH(INDEX( PointerTest!C:C, MATCH(B185, PointerTest!A:A, 0), 0), 'language&amp;DataTest'!A:A, 0), MATCH(HOME!$A$25, 'language&amp;DataTest'!$A$1:$G$1, 0))),                      IFERROR(INDEX('language&amp;DataTest'!A:J, MATCH(INDEX( PointerTest!D:D, MATCH(B185, PointerTest!A:A, 0), 0), 'language&amp;DataTest'!A:A, 0), MATCH(HOME!$A$25, 'language&amp;DataTest'!$A$1:$G$1, 0))),                                          
IFERROR(INDEX('language&amp;DataTest'!A:J, MATCH(INDEX( PointerTest!E:E, MATCH(B185, PointerTest!A:A, 0), 0), 'language&amp;DataTest'!A:A, 0), MATCH(HOME!$A$25, 'language&amp;DataTest'!$A$1:$G$1, 0))))</f>
        <v>Dragonair</v>
      </c>
      <c r="D185" s="124" t="str">
        <f t="shared" si="1"/>
        <v>Dragonair</v>
      </c>
      <c r="E185" s="124" t="b">
        <f>IFERROR(__xludf.DUMMYFUNCTION("REGEXMATCH(SUBSTITUTE(SUBSTITUTE(SUBSTITUTE(C185:C1000, ""♂"", ""male""), ""♀"", ""female""), "" ex"", """"), TEXTJOIN(""\b|"", TRUE,SPLIT($M$2, "" "")) &amp; ""\b"")"),TRUE)</f>
        <v>1</v>
      </c>
    </row>
    <row r="186">
      <c r="A186" s="68" t="b">
        <v>1</v>
      </c>
      <c r="B186" s="386" t="s">
        <v>303</v>
      </c>
      <c r="C186" s="386" t="str">
        <f t="array" ref="C186">TEXTJOIN("", TRUE, IFERROR(INDEX('language&amp;DataTest'!A:J, MATCH(INDEX( PointerTest!C:C, MATCH(B186, PointerTest!A:A, 0), 0), 'language&amp;DataTest'!A:A, 0), MATCH(HOME!$A$25, 'language&amp;DataTest'!$A$1:$G$1, 0))),                      IFERROR(INDEX('language&amp;DataTest'!A:J, MATCH(INDEX( PointerTest!D:D, MATCH(B186, PointerTest!A:A, 0), 0), 'language&amp;DataTest'!A:A, 0), MATCH(HOME!$A$25, 'language&amp;DataTest'!$A$1:$G$1, 0))),                                          
IFERROR(INDEX('language&amp;DataTest'!A:J, MATCH(INDEX( PointerTest!E:E, MATCH(B186, PointerTest!A:A, 0), 0), 'language&amp;DataTest'!A:A, 0), MATCH(HOME!$A$25, 'language&amp;DataTest'!$A$1:$G$1, 0))))</f>
        <v>Dragonite</v>
      </c>
      <c r="D186" s="124" t="str">
        <f t="shared" si="1"/>
        <v>Dragonite</v>
      </c>
      <c r="E186" s="124" t="b">
        <f>IFERROR(__xludf.DUMMYFUNCTION("REGEXMATCH(SUBSTITUTE(SUBSTITUTE(SUBSTITUTE(C186:C1000, ""♂"", ""male""), ""♀"", ""female""), "" ex"", """"), TEXTJOIN(""\b|"", TRUE,SPLIT($M$2, "" "")) &amp; ""\b"")"),TRUE)</f>
        <v>1</v>
      </c>
    </row>
    <row r="187">
      <c r="A187" s="68" t="b">
        <v>1</v>
      </c>
      <c r="B187" s="386" t="s">
        <v>304</v>
      </c>
      <c r="C187" s="386" t="str">
        <f t="array" ref="C187">TEXTJOIN("", TRUE, IFERROR(INDEX('language&amp;DataTest'!A:J, MATCH(INDEX( PointerTest!C:C, MATCH(B187, PointerTest!A:A, 0), 0), 'language&amp;DataTest'!A:A, 0), MATCH(HOME!$A$25, 'language&amp;DataTest'!$A$1:$G$1, 0))),                      IFERROR(INDEX('language&amp;DataTest'!A:J, MATCH(INDEX( PointerTest!D:D, MATCH(B187, PointerTest!A:A, 0), 0), 'language&amp;DataTest'!A:A, 0), MATCH(HOME!$A$25, 'language&amp;DataTest'!$A$1:$G$1, 0))),                                          
IFERROR(INDEX('language&amp;DataTest'!A:J, MATCH(INDEX( PointerTest!E:E, MATCH(B187, PointerTest!A:A, 0), 0), 'language&amp;DataTest'!A:A, 0), MATCH(HOME!$A$25, 'language&amp;DataTest'!$A$1:$G$1, 0))))</f>
        <v>Pidgey</v>
      </c>
      <c r="D187" s="124" t="str">
        <f t="shared" si="1"/>
        <v>Pidgey</v>
      </c>
      <c r="E187" s="124" t="b">
        <f>IFERROR(__xludf.DUMMYFUNCTION("REGEXMATCH(SUBSTITUTE(SUBSTITUTE(SUBSTITUTE(C187:C1000, ""♂"", ""male""), ""♀"", ""female""), "" ex"", """"), TEXTJOIN(""\b|"", TRUE,SPLIT($M$2, "" "")) &amp; ""\b"")"),TRUE)</f>
        <v>1</v>
      </c>
    </row>
    <row r="188">
      <c r="A188" s="68" t="b">
        <v>1</v>
      </c>
      <c r="B188" s="386" t="s">
        <v>305</v>
      </c>
      <c r="C188" s="386" t="str">
        <f t="array" ref="C188">TEXTJOIN("", TRUE, IFERROR(INDEX('language&amp;DataTest'!A:J, MATCH(INDEX( PointerTest!C:C, MATCH(B188, PointerTest!A:A, 0), 0), 'language&amp;DataTest'!A:A, 0), MATCH(HOME!$A$25, 'language&amp;DataTest'!$A$1:$G$1, 0))),                      IFERROR(INDEX('language&amp;DataTest'!A:J, MATCH(INDEX( PointerTest!D:D, MATCH(B188, PointerTest!A:A, 0), 0), 'language&amp;DataTest'!A:A, 0), MATCH(HOME!$A$25, 'language&amp;DataTest'!$A$1:$G$1, 0))),                                          
IFERROR(INDEX('language&amp;DataTest'!A:J, MATCH(INDEX( PointerTest!E:E, MATCH(B188, PointerTest!A:A, 0), 0), 'language&amp;DataTest'!A:A, 0), MATCH(HOME!$A$25, 'language&amp;DataTest'!$A$1:$G$1, 0))))</f>
        <v>Pidgeotto</v>
      </c>
      <c r="D188" s="124" t="str">
        <f t="shared" si="1"/>
        <v>Pidgeotto</v>
      </c>
      <c r="E188" s="124" t="b">
        <f>IFERROR(__xludf.DUMMYFUNCTION("REGEXMATCH(SUBSTITUTE(SUBSTITUTE(SUBSTITUTE(C188:C1000, ""♂"", ""male""), ""♀"", ""female""), "" ex"", """"), TEXTJOIN(""\b|"", TRUE,SPLIT($M$2, "" "")) &amp; ""\b"")"),TRUE)</f>
        <v>1</v>
      </c>
    </row>
    <row r="189">
      <c r="A189" s="68" t="b">
        <v>1</v>
      </c>
      <c r="B189" s="386" t="s">
        <v>306</v>
      </c>
      <c r="C189" s="386" t="str">
        <f t="array" ref="C189">TEXTJOIN("", TRUE, IFERROR(INDEX('language&amp;DataTest'!A:J, MATCH(INDEX( PointerTest!C:C, MATCH(B189, PointerTest!A:A, 0), 0), 'language&amp;DataTest'!A:A, 0), MATCH(HOME!$A$25, 'language&amp;DataTest'!$A$1:$G$1, 0))),                      IFERROR(INDEX('language&amp;DataTest'!A:J, MATCH(INDEX( PointerTest!D:D, MATCH(B189, PointerTest!A:A, 0), 0), 'language&amp;DataTest'!A:A, 0), MATCH(HOME!$A$25, 'language&amp;DataTest'!$A$1:$G$1, 0))),                                          
IFERROR(INDEX('language&amp;DataTest'!A:J, MATCH(INDEX( PointerTest!E:E, MATCH(B189, PointerTest!A:A, 0), 0), 'language&amp;DataTest'!A:A, 0), MATCH(HOME!$A$25, 'language&amp;DataTest'!$A$1:$G$1, 0))))</f>
        <v>Pidgeot</v>
      </c>
      <c r="D189" s="124" t="str">
        <f t="shared" si="1"/>
        <v>Pidgeot</v>
      </c>
      <c r="E189" s="124" t="b">
        <f>IFERROR(__xludf.DUMMYFUNCTION("REGEXMATCH(SUBSTITUTE(SUBSTITUTE(SUBSTITUTE(C189:C1000, ""♂"", ""male""), ""♀"", ""female""), "" ex"", """"), TEXTJOIN(""\b|"", TRUE,SPLIT($M$2, "" "")) &amp; ""\b"")"),TRUE)</f>
        <v>1</v>
      </c>
    </row>
    <row r="190">
      <c r="A190" s="68" t="b">
        <v>1</v>
      </c>
      <c r="B190" s="395" t="s">
        <v>307</v>
      </c>
      <c r="C190" s="386" t="str">
        <f t="array" ref="C190">TEXTJOIN("", TRUE, IFERROR(INDEX('language&amp;DataTest'!A:J, MATCH(INDEX( PointerTest!C:C, MATCH(B190, PointerTest!A:A, 0), 0), 'language&amp;DataTest'!A:A, 0), MATCH(HOME!$A$25, 'language&amp;DataTest'!$A$1:$G$1, 0))),                      IFERROR(INDEX('language&amp;DataTest'!A:J, MATCH(INDEX( PointerTest!D:D, MATCH(B190, PointerTest!A:A, 0), 0), 'language&amp;DataTest'!A:A, 0), MATCH(HOME!$A$25, 'language&amp;DataTest'!$A$1:$G$1, 0))),                                          
IFERROR(INDEX('language&amp;DataTest'!A:J, MATCH(INDEX( PointerTest!E:E, MATCH(B190, PointerTest!A:A, 0), 0), 'language&amp;DataTest'!A:A, 0), MATCH(HOME!$A$25, 'language&amp;DataTest'!$A$1:$G$1, 0))))</f>
        <v>Rattata</v>
      </c>
      <c r="D190" s="124" t="str">
        <f t="shared" si="1"/>
        <v>Rattata</v>
      </c>
      <c r="E190" s="124" t="b">
        <f>IFERROR(__xludf.DUMMYFUNCTION("REGEXMATCH(SUBSTITUTE(SUBSTITUTE(SUBSTITUTE(C190:C1000, ""♂"", ""male""), ""♀"", ""female""), "" ex"", """"), TEXTJOIN(""\b|"", TRUE,SPLIT($M$2, "" "")) &amp; ""\b"")"),TRUE)</f>
        <v>1</v>
      </c>
    </row>
    <row r="191">
      <c r="A191" s="68" t="b">
        <v>1</v>
      </c>
      <c r="B191" s="395" t="s">
        <v>308</v>
      </c>
      <c r="C191" s="386" t="str">
        <f t="array" ref="C191">TEXTJOIN("", TRUE, IFERROR(INDEX('language&amp;DataTest'!A:J, MATCH(INDEX( PointerTest!C:C, MATCH(B191, PointerTest!A:A, 0), 0), 'language&amp;DataTest'!A:A, 0), MATCH(HOME!$A$25, 'language&amp;DataTest'!$A$1:$G$1, 0))),                      IFERROR(INDEX('language&amp;DataTest'!A:J, MATCH(INDEX( PointerTest!D:D, MATCH(B191, PointerTest!A:A, 0), 0), 'language&amp;DataTest'!A:A, 0), MATCH(HOME!$A$25, 'language&amp;DataTest'!$A$1:$G$1, 0))),                                          
IFERROR(INDEX('language&amp;DataTest'!A:J, MATCH(INDEX( PointerTest!E:E, MATCH(B191, PointerTest!A:A, 0), 0), 'language&amp;DataTest'!A:A, 0), MATCH(HOME!$A$25, 'language&amp;DataTest'!$A$1:$G$1, 0))))</f>
        <v>Raticate</v>
      </c>
      <c r="D191" s="124" t="str">
        <f t="shared" si="1"/>
        <v>Raticate</v>
      </c>
      <c r="E191" s="124" t="b">
        <f>IFERROR(__xludf.DUMMYFUNCTION("REGEXMATCH(SUBSTITUTE(SUBSTITUTE(SUBSTITUTE(C191:C1000, ""♂"", ""male""), ""♀"", ""female""), "" ex"", """"), TEXTJOIN(""\b|"", TRUE,SPLIT($M$2, "" "")) &amp; ""\b"")"),TRUE)</f>
        <v>1</v>
      </c>
    </row>
    <row r="192">
      <c r="A192" s="68" t="b">
        <v>1</v>
      </c>
      <c r="B192" s="393" t="s">
        <v>309</v>
      </c>
      <c r="C192" s="386" t="str">
        <f t="array" ref="C192">TEXTJOIN("", TRUE, IFERROR(INDEX('language&amp;DataTest'!A:J, MATCH(INDEX( PointerTest!C:C, MATCH(B192, PointerTest!A:A, 0), 0), 'language&amp;DataTest'!A:A, 0), MATCH(HOME!$A$25, 'language&amp;DataTest'!$A$1:$G$1, 0))),                      IFERROR(INDEX('language&amp;DataTest'!A:J, MATCH(INDEX( PointerTest!D:D, MATCH(B192, PointerTest!A:A, 0), 0), 'language&amp;DataTest'!A:A, 0), MATCH(HOME!$A$25, 'language&amp;DataTest'!$A$1:$G$1, 0))),                                          
IFERROR(INDEX('language&amp;DataTest'!A:J, MATCH(INDEX( PointerTest!E:E, MATCH(B192, PointerTest!A:A, 0), 0), 'language&amp;DataTest'!A:A, 0), MATCH(HOME!$A$25, 'language&amp;DataTest'!$A$1:$G$1, 0))))</f>
        <v>Spearow</v>
      </c>
      <c r="D192" s="124" t="str">
        <f t="shared" si="1"/>
        <v>Spearow</v>
      </c>
      <c r="E192" s="124" t="b">
        <f>IFERROR(__xludf.DUMMYFUNCTION("REGEXMATCH(SUBSTITUTE(SUBSTITUTE(SUBSTITUTE(C192:C1000, ""♂"", ""male""), ""♀"", ""female""), "" ex"", """"), TEXTJOIN(""\b|"", TRUE,SPLIT($M$2, "" "")) &amp; ""\b"")"),TRUE)</f>
        <v>1</v>
      </c>
    </row>
    <row r="193">
      <c r="A193" s="68" t="b">
        <v>1</v>
      </c>
      <c r="B193" s="393" t="s">
        <v>310</v>
      </c>
      <c r="C193" s="386" t="str">
        <f t="array" ref="C193">TEXTJOIN("", TRUE, IFERROR(INDEX('language&amp;DataTest'!A:J, MATCH(INDEX( PointerTest!C:C, MATCH(B193, PointerTest!A:A, 0), 0), 'language&amp;DataTest'!A:A, 0), MATCH(HOME!$A$25, 'language&amp;DataTest'!$A$1:$G$1, 0))),                      IFERROR(INDEX('language&amp;DataTest'!A:J, MATCH(INDEX( PointerTest!D:D, MATCH(B193, PointerTest!A:A, 0), 0), 'language&amp;DataTest'!A:A, 0), MATCH(HOME!$A$25, 'language&amp;DataTest'!$A$1:$G$1, 0))),                                          
IFERROR(INDEX('language&amp;DataTest'!A:J, MATCH(INDEX( PointerTest!E:E, MATCH(B193, PointerTest!A:A, 0), 0), 'language&amp;DataTest'!A:A, 0), MATCH(HOME!$A$25, 'language&amp;DataTest'!$A$1:$G$1, 0))))</f>
        <v>Fearow</v>
      </c>
      <c r="D193" s="124" t="str">
        <f t="shared" si="1"/>
        <v>Fearow</v>
      </c>
      <c r="E193" s="124" t="b">
        <f>IFERROR(__xludf.DUMMYFUNCTION("REGEXMATCH(SUBSTITUTE(SUBSTITUTE(SUBSTITUTE(C193:C1000, ""♂"", ""male""), ""♀"", ""female""), "" ex"", """"), TEXTJOIN(""\b|"", TRUE,SPLIT($M$2, "" "")) &amp; ""\b"")"),TRUE)</f>
        <v>1</v>
      </c>
    </row>
    <row r="194">
      <c r="A194" s="68" t="b">
        <v>1</v>
      </c>
      <c r="B194" s="390" t="s">
        <v>311</v>
      </c>
      <c r="C194" s="386" t="str">
        <f t="array" ref="C194">TEXTJOIN("", TRUE, IFERROR(INDEX('language&amp;DataTest'!A:J, MATCH(INDEX( PointerTest!C:C, MATCH(B194, PointerTest!A:A, 0), 0), 'language&amp;DataTest'!A:A, 0), MATCH(HOME!$A$25, 'language&amp;DataTest'!$A$1:$G$1, 0))),                      IFERROR(INDEX('language&amp;DataTest'!A:J, MATCH(INDEX( PointerTest!D:D, MATCH(B194, PointerTest!A:A, 0), 0), 'language&amp;DataTest'!A:A, 0), MATCH(HOME!$A$25, 'language&amp;DataTest'!$A$1:$G$1, 0))),                                          
IFERROR(INDEX('language&amp;DataTest'!A:J, MATCH(INDEX( PointerTest!E:E, MATCH(B194, PointerTest!A:A, 0), 0), 'language&amp;DataTest'!A:A, 0), MATCH(HOME!$A$25, 'language&amp;DataTest'!$A$1:$G$1, 0))))</f>
        <v>Jigglypuff</v>
      </c>
      <c r="D194" s="124" t="str">
        <f t="shared" si="1"/>
        <v>Jigglypuff</v>
      </c>
      <c r="E194" s="124" t="b">
        <f>IFERROR(__xludf.DUMMYFUNCTION("REGEXMATCH(SUBSTITUTE(SUBSTITUTE(SUBSTITUTE(C194:C1000, ""♂"", ""male""), ""♀"", ""female""), "" ex"", """"), TEXTJOIN(""\b|"", TRUE,SPLIT($M$2, "" "")) &amp; ""\b"")"),TRUE)</f>
        <v>1</v>
      </c>
    </row>
    <row r="195">
      <c r="A195" s="68" t="b">
        <v>1</v>
      </c>
      <c r="B195" s="390" t="s">
        <v>312</v>
      </c>
      <c r="C195" s="386" t="str">
        <f t="array" ref="C195">TEXTJOIN("", TRUE, IFERROR(INDEX('language&amp;DataTest'!A:J, MATCH(INDEX( PointerTest!C:C, MATCH(B195, PointerTest!A:A, 0), 0), 'language&amp;DataTest'!A:A, 0), MATCH(HOME!$A$25, 'language&amp;DataTest'!$A$1:$G$1, 0))),                      IFERROR(INDEX('language&amp;DataTest'!A:J, MATCH(INDEX( PointerTest!D:D, MATCH(B195, PointerTest!A:A, 0), 0), 'language&amp;DataTest'!A:A, 0), MATCH(HOME!$A$25, 'language&amp;DataTest'!$A$1:$G$1, 0))),                                          
IFERROR(INDEX('language&amp;DataTest'!A:J, MATCH(INDEX( PointerTest!E:E, MATCH(B195, PointerTest!A:A, 0), 0), 'language&amp;DataTest'!A:A, 0), MATCH(HOME!$A$25, 'language&amp;DataTest'!$A$1:$G$1, 0))))</f>
        <v>Wigglytuff</v>
      </c>
      <c r="D195" s="124" t="str">
        <f t="shared" si="1"/>
        <v>Wigglytuff</v>
      </c>
      <c r="E195" s="124" t="b">
        <f>IFERROR(__xludf.DUMMYFUNCTION("REGEXMATCH(SUBSTITUTE(SUBSTITUTE(SUBSTITUTE(C195:C1000, ""♂"", ""male""), ""♀"", ""female""), "" ex"", """"), TEXTJOIN(""\b|"", TRUE,SPLIT($M$2, "" "")) &amp; ""\b"")"),TRUE)</f>
        <v>1</v>
      </c>
    </row>
    <row r="196">
      <c r="A196" s="68" t="b">
        <v>1</v>
      </c>
      <c r="B196" s="390" t="s">
        <v>313</v>
      </c>
      <c r="C196" s="386" t="str">
        <f t="array" ref="C196">TEXTJOIN("", TRUE, IFERROR(INDEX('language&amp;DataTest'!A:J, MATCH(INDEX( PointerTest!C:C, MATCH(B196, PointerTest!A:A, 0), 0), 'language&amp;DataTest'!A:A, 0), MATCH(HOME!$A$25, 'language&amp;DataTest'!$A$1:$G$1, 0))),                      IFERROR(INDEX('language&amp;DataTest'!A:J, MATCH(INDEX( PointerTest!D:D, MATCH(B196, PointerTest!A:A, 0), 0), 'language&amp;DataTest'!A:A, 0), MATCH(HOME!$A$25, 'language&amp;DataTest'!$A$1:$G$1, 0))),                                          
IFERROR(INDEX('language&amp;DataTest'!A:J, MATCH(INDEX( PointerTest!E:E, MATCH(B196, PointerTest!A:A, 0), 0), 'language&amp;DataTest'!A:A, 0), MATCH(HOME!$A$25, 'language&amp;DataTest'!$A$1:$G$1, 0))))</f>
        <v>Wigglytuff ex</v>
      </c>
      <c r="D196" s="124" t="str">
        <f t="shared" si="1"/>
        <v>Wigglytuff</v>
      </c>
      <c r="E196" s="124" t="b">
        <f>IFERROR(__xludf.DUMMYFUNCTION("REGEXMATCH(SUBSTITUTE(SUBSTITUTE(SUBSTITUTE(C196:C1000, ""♂"", ""male""), ""♀"", ""female""), "" ex"", """"), TEXTJOIN(""\b|"", TRUE,SPLIT($M$2, "" "")) &amp; ""\b"")"),TRUE)</f>
        <v>1</v>
      </c>
    </row>
    <row r="197">
      <c r="A197" s="68" t="b">
        <v>1</v>
      </c>
      <c r="B197" s="393" t="s">
        <v>314</v>
      </c>
      <c r="C197" s="386" t="str">
        <f t="array" ref="C197">TEXTJOIN("", TRUE, IFERROR(INDEX('language&amp;DataTest'!A:J, MATCH(INDEX( PointerTest!C:C, MATCH(B197, PointerTest!A:A, 0), 0), 'language&amp;DataTest'!A:A, 0), MATCH(HOME!$A$25, 'language&amp;DataTest'!$A$1:$G$1, 0))),                      IFERROR(INDEX('language&amp;DataTest'!A:J, MATCH(INDEX( PointerTest!D:D, MATCH(B197, PointerTest!A:A, 0), 0), 'language&amp;DataTest'!A:A, 0), MATCH(HOME!$A$25, 'language&amp;DataTest'!$A$1:$G$1, 0))),                                          
IFERROR(INDEX('language&amp;DataTest'!A:J, MATCH(INDEX( PointerTest!E:E, MATCH(B197, PointerTest!A:A, 0), 0), 'language&amp;DataTest'!A:A, 0), MATCH(HOME!$A$25, 'language&amp;DataTest'!$A$1:$G$1, 0))))</f>
        <v>Meowth</v>
      </c>
      <c r="D197" s="124" t="str">
        <f t="shared" si="1"/>
        <v>Meowth</v>
      </c>
      <c r="E197" s="124" t="b">
        <f>IFERROR(__xludf.DUMMYFUNCTION("REGEXMATCH(SUBSTITUTE(SUBSTITUTE(SUBSTITUTE(C197:C1000, ""♂"", ""male""), ""♀"", ""female""), "" ex"", """"), TEXTJOIN(""\b|"", TRUE,SPLIT($M$2, "" "")) &amp; ""\b"")"),TRUE)</f>
        <v>1</v>
      </c>
    </row>
    <row r="198">
      <c r="A198" s="68" t="b">
        <v>1</v>
      </c>
      <c r="B198" s="393" t="s">
        <v>315</v>
      </c>
      <c r="C198" s="386" t="str">
        <f t="array" ref="C198">TEXTJOIN("", TRUE, IFERROR(INDEX('language&amp;DataTest'!A:J, MATCH(INDEX( PointerTest!C:C, MATCH(B198, PointerTest!A:A, 0), 0), 'language&amp;DataTest'!A:A, 0), MATCH(HOME!$A$25, 'language&amp;DataTest'!$A$1:$G$1, 0))),                      IFERROR(INDEX('language&amp;DataTest'!A:J, MATCH(INDEX( PointerTest!D:D, MATCH(B198, PointerTest!A:A, 0), 0), 'language&amp;DataTest'!A:A, 0), MATCH(HOME!$A$25, 'language&amp;DataTest'!$A$1:$G$1, 0))),                                          
IFERROR(INDEX('language&amp;DataTest'!A:J, MATCH(INDEX( PointerTest!E:E, MATCH(B198, PointerTest!A:A, 0), 0), 'language&amp;DataTest'!A:A, 0), MATCH(HOME!$A$25, 'language&amp;DataTest'!$A$1:$G$1, 0))))</f>
        <v>Persian</v>
      </c>
      <c r="D198" s="124" t="str">
        <f t="shared" si="1"/>
        <v>Persian</v>
      </c>
      <c r="E198" s="124" t="b">
        <f>IFERROR(__xludf.DUMMYFUNCTION("REGEXMATCH(SUBSTITUTE(SUBSTITUTE(SUBSTITUTE(C198:C1000, ""♂"", ""male""), ""♀"", ""female""), "" ex"", """"), TEXTJOIN(""\b|"", TRUE,SPLIT($M$2, "" "")) &amp; ""\b"")"),TRUE)</f>
        <v>1</v>
      </c>
    </row>
    <row r="199">
      <c r="A199" s="68" t="b">
        <v>1</v>
      </c>
      <c r="B199" s="395" t="s">
        <v>316</v>
      </c>
      <c r="C199" s="386" t="str">
        <f t="array" ref="C199">TEXTJOIN("", TRUE, IFERROR(INDEX('language&amp;DataTest'!A:J, MATCH(INDEX( PointerTest!C:C, MATCH(B199, PointerTest!A:A, 0), 0), 'language&amp;DataTest'!A:A, 0), MATCH(HOME!$A$25, 'language&amp;DataTest'!$A$1:$G$1, 0))),                      IFERROR(INDEX('language&amp;DataTest'!A:J, MATCH(INDEX( PointerTest!D:D, MATCH(B199, PointerTest!A:A, 0), 0), 'language&amp;DataTest'!A:A, 0), MATCH(HOME!$A$25, 'language&amp;DataTest'!$A$1:$G$1, 0))),                                          
IFERROR(INDEX('language&amp;DataTest'!A:J, MATCH(INDEX( PointerTest!E:E, MATCH(B199, PointerTest!A:A, 0), 0), 'language&amp;DataTest'!A:A, 0), MATCH(HOME!$A$25, 'language&amp;DataTest'!$A$1:$G$1, 0))))</f>
        <v>Farfetch'd</v>
      </c>
      <c r="D199" s="124" t="str">
        <f t="shared" si="1"/>
        <v>Farfetch'd</v>
      </c>
      <c r="E199" s="124" t="b">
        <f>IFERROR(__xludf.DUMMYFUNCTION("REGEXMATCH(SUBSTITUTE(SUBSTITUTE(SUBSTITUTE(C199:C1000, ""♂"", ""male""), ""♀"", ""female""), "" ex"", """"), TEXTJOIN(""\b|"", TRUE,SPLIT($M$2, "" "")) &amp; ""\b"")"),TRUE)</f>
        <v>1</v>
      </c>
    </row>
    <row r="200">
      <c r="A200" s="68" t="b">
        <v>1</v>
      </c>
      <c r="B200" s="395" t="s">
        <v>317</v>
      </c>
      <c r="C200" s="386" t="str">
        <f t="array" ref="C200">TEXTJOIN("", TRUE, IFERROR(INDEX('language&amp;DataTest'!A:J, MATCH(INDEX( PointerTest!C:C, MATCH(B200, PointerTest!A:A, 0), 0), 'language&amp;DataTest'!A:A, 0), MATCH(HOME!$A$25, 'language&amp;DataTest'!$A$1:$G$1, 0))),                      IFERROR(INDEX('language&amp;DataTest'!A:J, MATCH(INDEX( PointerTest!D:D, MATCH(B200, PointerTest!A:A, 0), 0), 'language&amp;DataTest'!A:A, 0), MATCH(HOME!$A$25, 'language&amp;DataTest'!$A$1:$G$1, 0))),                                          
IFERROR(INDEX('language&amp;DataTest'!A:J, MATCH(INDEX( PointerTest!E:E, MATCH(B200, PointerTest!A:A, 0), 0), 'language&amp;DataTest'!A:A, 0), MATCH(HOME!$A$25, 'language&amp;DataTest'!$A$1:$G$1, 0))))</f>
        <v>Doduo</v>
      </c>
      <c r="D200" s="124" t="str">
        <f t="shared" si="1"/>
        <v>Doduo</v>
      </c>
      <c r="E200" s="124" t="b">
        <f>IFERROR(__xludf.DUMMYFUNCTION("REGEXMATCH(SUBSTITUTE(SUBSTITUTE(SUBSTITUTE(C200:C1000, ""♂"", ""male""), ""♀"", ""female""), "" ex"", """"), TEXTJOIN(""\b|"", TRUE,SPLIT($M$2, "" "")) &amp; ""\b"")"),TRUE)</f>
        <v>1</v>
      </c>
    </row>
    <row r="201">
      <c r="A201" s="68" t="b">
        <v>1</v>
      </c>
      <c r="B201" s="395" t="s">
        <v>318</v>
      </c>
      <c r="C201" s="386" t="str">
        <f t="array" ref="C201">TEXTJOIN("", TRUE, IFERROR(INDEX('language&amp;DataTest'!A:J, MATCH(INDEX( PointerTest!C:C, MATCH(B201, PointerTest!A:A, 0), 0), 'language&amp;DataTest'!A:A, 0), MATCH(HOME!$A$25, 'language&amp;DataTest'!$A$1:$G$1, 0))),                      IFERROR(INDEX('language&amp;DataTest'!A:J, MATCH(INDEX( PointerTest!D:D, MATCH(B201, PointerTest!A:A, 0), 0), 'language&amp;DataTest'!A:A, 0), MATCH(HOME!$A$25, 'language&amp;DataTest'!$A$1:$G$1, 0))),                                          
IFERROR(INDEX('language&amp;DataTest'!A:J, MATCH(INDEX( PointerTest!E:E, MATCH(B201, PointerTest!A:A, 0), 0), 'language&amp;DataTest'!A:A, 0), MATCH(HOME!$A$25, 'language&amp;DataTest'!$A$1:$G$1, 0))))</f>
        <v>Dodrio</v>
      </c>
      <c r="D201" s="124" t="str">
        <f t="shared" si="1"/>
        <v>Dodrio</v>
      </c>
      <c r="E201" s="124" t="b">
        <f>IFERROR(__xludf.DUMMYFUNCTION("REGEXMATCH(SUBSTITUTE(SUBSTITUTE(SUBSTITUTE(C201:C1000, ""♂"", ""male""), ""♀"", ""female""), "" ex"", """"), TEXTJOIN(""\b|"", TRUE,SPLIT($M$2, "" "")) &amp; ""\b"")"),TRUE)</f>
        <v>1</v>
      </c>
    </row>
    <row r="202">
      <c r="A202" s="68" t="b">
        <v>1</v>
      </c>
      <c r="B202" s="386" t="s">
        <v>319</v>
      </c>
      <c r="C202" s="386" t="str">
        <f t="array" ref="C202">TEXTJOIN("", TRUE, IFERROR(INDEX('language&amp;DataTest'!A:J, MATCH(INDEX( PointerTest!C:C, MATCH(B202, PointerTest!A:A, 0), 0), 'language&amp;DataTest'!A:A, 0), MATCH(HOME!$A$25, 'language&amp;DataTest'!$A$1:$G$1, 0))),                      IFERROR(INDEX('language&amp;DataTest'!A:J, MATCH(INDEX( PointerTest!D:D, MATCH(B202, PointerTest!A:A, 0), 0), 'language&amp;DataTest'!A:A, 0), MATCH(HOME!$A$25, 'language&amp;DataTest'!$A$1:$G$1, 0))),                                          
IFERROR(INDEX('language&amp;DataTest'!A:J, MATCH(INDEX( PointerTest!E:E, MATCH(B202, PointerTest!A:A, 0), 0), 'language&amp;DataTest'!A:A, 0), MATCH(HOME!$A$25, 'language&amp;DataTest'!$A$1:$G$1, 0))))</f>
        <v>Lickitung</v>
      </c>
      <c r="D202" s="124" t="str">
        <f t="shared" si="1"/>
        <v>Lickitung</v>
      </c>
      <c r="E202" s="124" t="b">
        <f>IFERROR(__xludf.DUMMYFUNCTION("REGEXMATCH(SUBSTITUTE(SUBSTITUTE(SUBSTITUTE(C202:C1000, ""♂"", ""male""), ""♀"", ""female""), "" ex"", """"), TEXTJOIN(""\b|"", TRUE,SPLIT($M$2, "" "")) &amp; ""\b"")"),TRUE)</f>
        <v>1</v>
      </c>
    </row>
    <row r="203">
      <c r="A203" s="68" t="b">
        <v>1</v>
      </c>
      <c r="B203" s="390" t="s">
        <v>320</v>
      </c>
      <c r="C203" s="386" t="str">
        <f t="array" ref="C203">TEXTJOIN("", TRUE, IFERROR(INDEX('language&amp;DataTest'!A:J, MATCH(INDEX( PointerTest!C:C, MATCH(B203, PointerTest!A:A, 0), 0), 'language&amp;DataTest'!A:A, 0), MATCH(HOME!$A$25, 'language&amp;DataTest'!$A$1:$G$1, 0))),                      IFERROR(INDEX('language&amp;DataTest'!A:J, MATCH(INDEX( PointerTest!D:D, MATCH(B203, PointerTest!A:A, 0), 0), 'language&amp;DataTest'!A:A, 0), MATCH(HOME!$A$25, 'language&amp;DataTest'!$A$1:$G$1, 0))),                                          
IFERROR(INDEX('language&amp;DataTest'!A:J, MATCH(INDEX( PointerTest!E:E, MATCH(B203, PointerTest!A:A, 0), 0), 'language&amp;DataTest'!A:A, 0), MATCH(HOME!$A$25, 'language&amp;DataTest'!$A$1:$G$1, 0))))</f>
        <v>Chansey</v>
      </c>
      <c r="D203" s="124" t="str">
        <f t="shared" si="1"/>
        <v>Chansey</v>
      </c>
      <c r="E203" s="124" t="b">
        <f>IFERROR(__xludf.DUMMYFUNCTION("REGEXMATCH(SUBSTITUTE(SUBSTITUTE(SUBSTITUTE(C203:C1000, ""♂"", ""male""), ""♀"", ""female""), "" ex"", """"), TEXTJOIN(""\b|"", TRUE,SPLIT($M$2, "" "")) &amp; ""\b"")"),TRUE)</f>
        <v>1</v>
      </c>
    </row>
    <row r="204">
      <c r="A204" s="68" t="b">
        <v>1</v>
      </c>
      <c r="B204" s="393" t="s">
        <v>321</v>
      </c>
      <c r="C204" s="386" t="str">
        <f t="array" ref="C204">TEXTJOIN("", TRUE, IFERROR(INDEX('language&amp;DataTest'!A:J, MATCH(INDEX( PointerTest!C:C, MATCH(B204, PointerTest!A:A, 0), 0), 'language&amp;DataTest'!A:A, 0), MATCH(HOME!$A$25, 'language&amp;DataTest'!$A$1:$G$1, 0))),                      IFERROR(INDEX('language&amp;DataTest'!A:J, MATCH(INDEX( PointerTest!D:D, MATCH(B204, PointerTest!A:A, 0), 0), 'language&amp;DataTest'!A:A, 0), MATCH(HOME!$A$25, 'language&amp;DataTest'!$A$1:$G$1, 0))),                                          
IFERROR(INDEX('language&amp;DataTest'!A:J, MATCH(INDEX( PointerTest!E:E, MATCH(B204, PointerTest!A:A, 0), 0), 'language&amp;DataTest'!A:A, 0), MATCH(HOME!$A$25, 'language&amp;DataTest'!$A$1:$G$1, 0))))</f>
        <v>Kangaskhan</v>
      </c>
      <c r="D204" s="124" t="str">
        <f t="shared" si="1"/>
        <v>Kangaskhan</v>
      </c>
      <c r="E204" s="124" t="b">
        <f>IFERROR(__xludf.DUMMYFUNCTION("REGEXMATCH(SUBSTITUTE(SUBSTITUTE(SUBSTITUTE(C204:C1000, ""♂"", ""male""), ""♀"", ""female""), "" ex"", """"), TEXTJOIN(""\b|"", TRUE,SPLIT($M$2, "" "")) &amp; ""\b"")"),TRUE)</f>
        <v>1</v>
      </c>
    </row>
    <row r="205">
      <c r="A205" s="68" t="b">
        <v>1</v>
      </c>
      <c r="B205" s="393" t="s">
        <v>322</v>
      </c>
      <c r="C205" s="386" t="str">
        <f t="array" ref="C205">TEXTJOIN("", TRUE, IFERROR(INDEX('language&amp;DataTest'!A:J, MATCH(INDEX( PointerTest!C:C, MATCH(B205, PointerTest!A:A, 0), 0), 'language&amp;DataTest'!A:A, 0), MATCH(HOME!$A$25, 'language&amp;DataTest'!$A$1:$G$1, 0))),                      IFERROR(INDEX('language&amp;DataTest'!A:J, MATCH(INDEX( PointerTest!D:D, MATCH(B205, PointerTest!A:A, 0), 0), 'language&amp;DataTest'!A:A, 0), MATCH(HOME!$A$25, 'language&amp;DataTest'!$A$1:$G$1, 0))),                                          
IFERROR(INDEX('language&amp;DataTest'!A:J, MATCH(INDEX( PointerTest!E:E, MATCH(B205, PointerTest!A:A, 0), 0), 'language&amp;DataTest'!A:A, 0), MATCH(HOME!$A$25, 'language&amp;DataTest'!$A$1:$G$1, 0))))</f>
        <v>Tauros</v>
      </c>
      <c r="D205" s="124" t="str">
        <f t="shared" si="1"/>
        <v>Tauros</v>
      </c>
      <c r="E205" s="124" t="b">
        <f>IFERROR(__xludf.DUMMYFUNCTION("REGEXMATCH(SUBSTITUTE(SUBSTITUTE(SUBSTITUTE(C205:C1000, ""♂"", ""male""), ""♀"", ""female""), "" ex"", """"), TEXTJOIN(""\b|"", TRUE,SPLIT($M$2, "" "")) &amp; ""\b"")"),TRUE)</f>
        <v>1</v>
      </c>
    </row>
    <row r="206">
      <c r="A206" s="68" t="b">
        <v>1</v>
      </c>
      <c r="B206" s="386" t="s">
        <v>323</v>
      </c>
      <c r="C206" s="386" t="str">
        <f t="array" ref="C206">TEXTJOIN("", TRUE, IFERROR(INDEX('language&amp;DataTest'!A:J, MATCH(INDEX( PointerTest!C:C, MATCH(B206, PointerTest!A:A, 0), 0), 'language&amp;DataTest'!A:A, 0), MATCH(HOME!$A$25, 'language&amp;DataTest'!$A$1:$G$1, 0))),                      IFERROR(INDEX('language&amp;DataTest'!A:J, MATCH(INDEX( PointerTest!D:D, MATCH(B206, PointerTest!A:A, 0), 0), 'language&amp;DataTest'!A:A, 0), MATCH(HOME!$A$25, 'language&amp;DataTest'!$A$1:$G$1, 0))),                                          
IFERROR(INDEX('language&amp;DataTest'!A:J, MATCH(INDEX( PointerTest!E:E, MATCH(B206, PointerTest!A:A, 0), 0), 'language&amp;DataTest'!A:A, 0), MATCH(HOME!$A$25, 'language&amp;DataTest'!$A$1:$G$1, 0))))</f>
        <v>Ditto</v>
      </c>
      <c r="D206" s="124" t="str">
        <f t="shared" si="1"/>
        <v>Ditto</v>
      </c>
      <c r="E206" s="124" t="b">
        <f>IFERROR(__xludf.DUMMYFUNCTION("REGEXMATCH(SUBSTITUTE(SUBSTITUTE(SUBSTITUTE(C206:C1000, ""♂"", ""male""), ""♀"", ""female""), "" ex"", """"), TEXTJOIN(""\b|"", TRUE,SPLIT($M$2, "" "")) &amp; ""\b"")"),TRUE)</f>
        <v>1</v>
      </c>
    </row>
    <row r="207">
      <c r="A207" s="68" t="b">
        <v>1</v>
      </c>
      <c r="B207" s="393" t="s">
        <v>324</v>
      </c>
      <c r="C207" s="386" t="str">
        <f t="array" ref="C207">TEXTJOIN("", TRUE, IFERROR(INDEX('language&amp;DataTest'!A:J, MATCH(INDEX( PointerTest!C:C, MATCH(B207, PointerTest!A:A, 0), 0), 'language&amp;DataTest'!A:A, 0), MATCH(HOME!$A$25, 'language&amp;DataTest'!$A$1:$G$1, 0))),                      IFERROR(INDEX('language&amp;DataTest'!A:J, MATCH(INDEX( PointerTest!D:D, MATCH(B207, PointerTest!A:A, 0), 0), 'language&amp;DataTest'!A:A, 0), MATCH(HOME!$A$25, 'language&amp;DataTest'!$A$1:$G$1, 0))),                                          
IFERROR(INDEX('language&amp;DataTest'!A:J, MATCH(INDEX( PointerTest!E:E, MATCH(B207, PointerTest!A:A, 0), 0), 'language&amp;DataTest'!A:A, 0), MATCH(HOME!$A$25, 'language&amp;DataTest'!$A$1:$G$1, 0))))</f>
        <v>Eevee</v>
      </c>
      <c r="D207" s="124" t="str">
        <f t="shared" si="1"/>
        <v>Eevee</v>
      </c>
      <c r="E207" s="124" t="b">
        <f>IFERROR(__xludf.DUMMYFUNCTION("REGEXMATCH(SUBSTITUTE(SUBSTITUTE(SUBSTITUTE(C207:C1000, ""♂"", ""male""), ""♀"", ""female""), "" ex"", """"), TEXTJOIN(""\b|"", TRUE,SPLIT($M$2, "" "")) &amp; ""\b"")"),TRUE)</f>
        <v>1</v>
      </c>
    </row>
    <row r="208">
      <c r="A208" s="68" t="b">
        <v>1</v>
      </c>
      <c r="B208" s="386" t="s">
        <v>325</v>
      </c>
      <c r="C208" s="386" t="str">
        <f t="array" ref="C208">TEXTJOIN("", TRUE, IFERROR(INDEX('language&amp;DataTest'!A:J, MATCH(INDEX( PointerTest!C:C, MATCH(B208, PointerTest!A:A, 0), 0), 'language&amp;DataTest'!A:A, 0), MATCH(HOME!$A$25, 'language&amp;DataTest'!$A$1:$G$1, 0))),                      IFERROR(INDEX('language&amp;DataTest'!A:J, MATCH(INDEX( PointerTest!D:D, MATCH(B208, PointerTest!A:A, 0), 0), 'language&amp;DataTest'!A:A, 0), MATCH(HOME!$A$25, 'language&amp;DataTest'!$A$1:$G$1, 0))),                                          
IFERROR(INDEX('language&amp;DataTest'!A:J, MATCH(INDEX( PointerTest!E:E, MATCH(B208, PointerTest!A:A, 0), 0), 'language&amp;DataTest'!A:A, 0), MATCH(HOME!$A$25, 'language&amp;DataTest'!$A$1:$G$1, 0))))</f>
        <v>Eevee</v>
      </c>
      <c r="D208" s="124" t="str">
        <f t="shared" si="1"/>
        <v>Eevee</v>
      </c>
      <c r="E208" s="124" t="b">
        <f>IFERROR(__xludf.DUMMYFUNCTION("REGEXMATCH(SUBSTITUTE(SUBSTITUTE(SUBSTITUTE(C208:C1000, ""♂"", ""male""), ""♀"", ""female""), "" ex"", """"), TEXTJOIN(""\b|"", TRUE,SPLIT($M$2, "" "")) &amp; ""\b"")"),TRUE)</f>
        <v>1</v>
      </c>
    </row>
    <row r="209">
      <c r="A209" s="68" t="b">
        <v>1</v>
      </c>
      <c r="B209" s="390" t="s">
        <v>326</v>
      </c>
      <c r="C209" s="386" t="str">
        <f t="array" ref="C209">TEXTJOIN("", TRUE, IFERROR(INDEX('language&amp;DataTest'!A:J, MATCH(INDEX( PointerTest!C:C, MATCH(B209, PointerTest!A:A, 0), 0), 'language&amp;DataTest'!A:A, 0), MATCH(HOME!$A$25, 'language&amp;DataTest'!$A$1:$G$1, 0))),                      IFERROR(INDEX('language&amp;DataTest'!A:J, MATCH(INDEX( PointerTest!D:D, MATCH(B209, PointerTest!A:A, 0), 0), 'language&amp;DataTest'!A:A, 0), MATCH(HOME!$A$25, 'language&amp;DataTest'!$A$1:$G$1, 0))),                                          
IFERROR(INDEX('language&amp;DataTest'!A:J, MATCH(INDEX( PointerTest!E:E, MATCH(B209, PointerTest!A:A, 0), 0), 'language&amp;DataTest'!A:A, 0), MATCH(HOME!$A$25, 'language&amp;DataTest'!$A$1:$G$1, 0))))</f>
        <v>Eevee</v>
      </c>
      <c r="D209" s="124" t="str">
        <f t="shared" si="1"/>
        <v>Eevee</v>
      </c>
      <c r="E209" s="124" t="b">
        <f>IFERROR(__xludf.DUMMYFUNCTION("REGEXMATCH(SUBSTITUTE(SUBSTITUTE(SUBSTITUTE(C209:C1000, ""♂"", ""male""), ""♀"", ""female""), "" ex"", """"), TEXTJOIN(""\b|"", TRUE,SPLIT($M$2, "" "")) &amp; ""\b"")"),TRUE)</f>
        <v>1</v>
      </c>
    </row>
    <row r="210">
      <c r="A210" s="68" t="b">
        <v>1</v>
      </c>
      <c r="B210" s="386" t="s">
        <v>327</v>
      </c>
      <c r="C210" s="386" t="str">
        <f t="array" ref="C210">TEXTJOIN("", TRUE, IFERROR(INDEX('language&amp;DataTest'!A:J, MATCH(INDEX( PointerTest!C:C, MATCH(B210, PointerTest!A:A, 0), 0), 'language&amp;DataTest'!A:A, 0), MATCH(HOME!$A$25, 'language&amp;DataTest'!$A$1:$G$1, 0))),                      IFERROR(INDEX('language&amp;DataTest'!A:J, MATCH(INDEX( PointerTest!D:D, MATCH(B210, PointerTest!A:A, 0), 0), 'language&amp;DataTest'!A:A, 0), MATCH(HOME!$A$25, 'language&amp;DataTest'!$A$1:$G$1, 0))),                                          
IFERROR(INDEX('language&amp;DataTest'!A:J, MATCH(INDEX( PointerTest!E:E, MATCH(B210, PointerTest!A:A, 0), 0), 'language&amp;DataTest'!A:A, 0), MATCH(HOME!$A$25, 'language&amp;DataTest'!$A$1:$G$1, 0))))</f>
        <v>Porygon</v>
      </c>
      <c r="D210" s="124" t="str">
        <f t="shared" si="1"/>
        <v>Porygon</v>
      </c>
      <c r="E210" s="124" t="b">
        <f>IFERROR(__xludf.DUMMYFUNCTION("REGEXMATCH(SUBSTITUTE(SUBSTITUTE(SUBSTITUTE(C210:C1000, ""♂"", ""male""), ""♀"", ""female""), "" ex"", """"), TEXTJOIN(""\b|"", TRUE,SPLIT($M$2, "" "")) &amp; ""\b"")"),TRUE)</f>
        <v>1</v>
      </c>
    </row>
    <row r="211">
      <c r="A211" s="68" t="b">
        <v>1</v>
      </c>
      <c r="B211" s="386" t="s">
        <v>328</v>
      </c>
      <c r="C211" s="386" t="str">
        <f t="array" ref="C211">TEXTJOIN("", TRUE, IFERROR(INDEX('language&amp;DataTest'!A:J, MATCH(INDEX( PointerTest!C:C, MATCH(B211, PointerTest!A:A, 0), 0), 'language&amp;DataTest'!A:A, 0), MATCH(HOME!$A$25, 'language&amp;DataTest'!$A$1:$G$1, 0))),                      IFERROR(INDEX('language&amp;DataTest'!A:J, MATCH(INDEX( PointerTest!D:D, MATCH(B211, PointerTest!A:A, 0), 0), 'language&amp;DataTest'!A:A, 0), MATCH(HOME!$A$25, 'language&amp;DataTest'!$A$1:$G$1, 0))),                                          
IFERROR(INDEX('language&amp;DataTest'!A:J, MATCH(INDEX( PointerTest!E:E, MATCH(B211, PointerTest!A:A, 0), 0), 'language&amp;DataTest'!A:A, 0), MATCH(HOME!$A$25, 'language&amp;DataTest'!$A$1:$G$1, 0))))</f>
        <v>Aerodactyl</v>
      </c>
      <c r="D211" s="124" t="str">
        <f t="shared" si="1"/>
        <v>Aerodactyl</v>
      </c>
      <c r="E211" s="124" t="b">
        <f>IFERROR(__xludf.DUMMYFUNCTION("REGEXMATCH(SUBSTITUTE(SUBSTITUTE(SUBSTITUTE(C211:C1000, ""♂"", ""male""), ""♀"", ""female""), "" ex"", """"), TEXTJOIN(""\b|"", TRUE,SPLIT($M$2, "" "")) &amp; ""\b"")"),TRUE)</f>
        <v>1</v>
      </c>
    </row>
    <row r="212">
      <c r="A212" s="68" t="b">
        <v>1</v>
      </c>
      <c r="B212" s="390" t="s">
        <v>329</v>
      </c>
      <c r="C212" s="386" t="str">
        <f t="array" ref="C212">TEXTJOIN("", TRUE, IFERROR(INDEX('language&amp;DataTest'!A:J, MATCH(INDEX( PointerTest!C:C, MATCH(B212, PointerTest!A:A, 0), 0), 'language&amp;DataTest'!A:A, 0), MATCH(HOME!$A$25, 'language&amp;DataTest'!$A$1:$G$1, 0))),                      IFERROR(INDEX('language&amp;DataTest'!A:J, MATCH(INDEX( PointerTest!D:D, MATCH(B212, PointerTest!A:A, 0), 0), 'language&amp;DataTest'!A:A, 0), MATCH(HOME!$A$25, 'language&amp;DataTest'!$A$1:$G$1, 0))),                                          
IFERROR(INDEX('language&amp;DataTest'!A:J, MATCH(INDEX( PointerTest!E:E, MATCH(B212, PointerTest!A:A, 0), 0), 'language&amp;DataTest'!A:A, 0), MATCH(HOME!$A$25, 'language&amp;DataTest'!$A$1:$G$1, 0))))</f>
        <v>Snorlax</v>
      </c>
      <c r="D212" s="124" t="str">
        <f t="shared" si="1"/>
        <v>Snorlax</v>
      </c>
      <c r="E212" s="124" t="b">
        <f>IFERROR(__xludf.DUMMYFUNCTION("REGEXMATCH(SUBSTITUTE(SUBSTITUTE(SUBSTITUTE(C212:C1000, ""♂"", ""male""), ""♀"", ""female""), "" ex"", """"), TEXTJOIN(""\b|"", TRUE,SPLIT($M$2, "" "")) &amp; ""\b"")"),TRUE)</f>
        <v>1</v>
      </c>
    </row>
    <row r="213">
      <c r="A213" s="68" t="b">
        <v>1</v>
      </c>
      <c r="B213" s="395" t="s">
        <v>330</v>
      </c>
      <c r="C213" s="386" t="str">
        <f t="array" ref="C213">TEXTJOIN("", TRUE, IFERROR(INDEX('language&amp;DataTest'!A:J, MATCH(INDEX( PointerTest!C:C, MATCH(B213, PointerTest!A:A, 0), 0), 'language&amp;DataTest'!A:A, 0), MATCH(HOME!$A$25, 'language&amp;DataTest'!$A$1:$G$1, 0))),                      IFERROR(INDEX('language&amp;DataTest'!A:J, MATCH(INDEX( PointerTest!D:D, MATCH(B213, PointerTest!A:A, 0), 0), 'language&amp;DataTest'!A:A, 0), MATCH(HOME!$A$25, 'language&amp;DataTest'!$A$1:$G$1, 0))),                                          
IFERROR(INDEX('language&amp;DataTest'!A:J, MATCH(INDEX( PointerTest!E:E, MATCH(B213, PointerTest!A:A, 0), 0), 'language&amp;DataTest'!A:A, 0), MATCH(HOME!$A$25, 'language&amp;DataTest'!$A$1:$G$1, 0))))</f>
        <v>Minccino</v>
      </c>
      <c r="D213" s="124" t="str">
        <f t="shared" si="1"/>
        <v>Minccino</v>
      </c>
      <c r="E213" s="124" t="b">
        <f>IFERROR(__xludf.DUMMYFUNCTION("REGEXMATCH(SUBSTITUTE(SUBSTITUTE(SUBSTITUTE(C213:C1000, ""♂"", ""male""), ""♀"", ""female""), "" ex"", """"), TEXTJOIN(""\b|"", TRUE,SPLIT($M$2, "" "")) &amp; ""\b"")"),FALSE)</f>
        <v>0</v>
      </c>
    </row>
    <row r="214">
      <c r="A214" s="68" t="b">
        <v>1</v>
      </c>
      <c r="B214" s="395" t="s">
        <v>331</v>
      </c>
      <c r="C214" s="386" t="str">
        <f t="array" ref="C214">TEXTJOIN("", TRUE, IFERROR(INDEX('language&amp;DataTest'!A:J, MATCH(INDEX( PointerTest!C:C, MATCH(B214, PointerTest!A:A, 0), 0), 'language&amp;DataTest'!A:A, 0), MATCH(HOME!$A$25, 'language&amp;DataTest'!$A$1:$G$1, 0))),                      IFERROR(INDEX('language&amp;DataTest'!A:J, MATCH(INDEX( PointerTest!D:D, MATCH(B214, PointerTest!A:A, 0), 0), 'language&amp;DataTest'!A:A, 0), MATCH(HOME!$A$25, 'language&amp;DataTest'!$A$1:$G$1, 0))),                                          
IFERROR(INDEX('language&amp;DataTest'!A:J, MATCH(INDEX( PointerTest!E:E, MATCH(B214, PointerTest!A:A, 0), 0), 'language&amp;DataTest'!A:A, 0), MATCH(HOME!$A$25, 'language&amp;DataTest'!$A$1:$G$1, 0))))</f>
        <v>Cinccino</v>
      </c>
      <c r="D214" s="124" t="str">
        <f t="shared" si="1"/>
        <v>Cinccino</v>
      </c>
      <c r="E214" s="124" t="b">
        <f>IFERROR(__xludf.DUMMYFUNCTION("REGEXMATCH(SUBSTITUTE(SUBSTITUTE(SUBSTITUTE(C214:C1000, ""♂"", ""male""), ""♀"", ""female""), "" ex"", """"), TEXTJOIN(""\b|"", TRUE,SPLIT($M$2, "" "")) &amp; ""\b"")"),FALSE)</f>
        <v>0</v>
      </c>
    </row>
    <row r="215">
      <c r="A215" s="68" t="b">
        <v>1</v>
      </c>
      <c r="B215" s="395" t="s">
        <v>332</v>
      </c>
      <c r="C215" s="386" t="str">
        <f t="array" ref="C215">TEXTJOIN("", TRUE, IFERROR(INDEX('language&amp;DataTest'!A:J, MATCH(INDEX( PointerTest!C:C, MATCH(B215, PointerTest!A:A, 0), 0), 'language&amp;DataTest'!A:A, 0), MATCH(HOME!$A$25, 'language&amp;DataTest'!$A$1:$G$1, 0))),                      IFERROR(INDEX('language&amp;DataTest'!A:J, MATCH(INDEX( PointerTest!D:D, MATCH(B215, PointerTest!A:A, 0), 0), 'language&amp;DataTest'!A:A, 0), MATCH(HOME!$A$25, 'language&amp;DataTest'!$A$1:$G$1, 0))),                                          
IFERROR(INDEX('language&amp;DataTest'!A:J, MATCH(INDEX( PointerTest!E:E, MATCH(B215, PointerTest!A:A, 0), 0), 'language&amp;DataTest'!A:A, 0), MATCH(HOME!$A$25, 'language&amp;DataTest'!$A$1:$G$1, 0))))</f>
        <v>Wooloo</v>
      </c>
      <c r="D215" s="124" t="str">
        <f t="shared" si="1"/>
        <v>Wooloo</v>
      </c>
      <c r="E215" s="124" t="b">
        <f>IFERROR(__xludf.DUMMYFUNCTION("REGEXMATCH(SUBSTITUTE(SUBSTITUTE(SUBSTITUTE(C215:C1000, ""♂"", ""male""), ""♀"", ""female""), "" ex"", """"), TEXTJOIN(""\b|"", TRUE,SPLIT($M$2, "" "")) &amp; ""\b"")"),FALSE)</f>
        <v>0</v>
      </c>
    </row>
    <row r="216">
      <c r="A216" s="68" t="b">
        <v>1</v>
      </c>
      <c r="B216" s="395" t="s">
        <v>333</v>
      </c>
      <c r="C216" s="386" t="str">
        <f t="array" ref="C216">TEXTJOIN("", TRUE, IFERROR(INDEX('language&amp;DataTest'!A:J, MATCH(INDEX( PointerTest!C:C, MATCH(B216, PointerTest!A:A, 0), 0), 'language&amp;DataTest'!A:A, 0), MATCH(HOME!$A$25, 'language&amp;DataTest'!$A$1:$G$1, 0))),                      IFERROR(INDEX('language&amp;DataTest'!A:J, MATCH(INDEX( PointerTest!D:D, MATCH(B216, PointerTest!A:A, 0), 0), 'language&amp;DataTest'!A:A, 0), MATCH(HOME!$A$25, 'language&amp;DataTest'!$A$1:$G$1, 0))),                                          
IFERROR(INDEX('language&amp;DataTest'!A:J, MATCH(INDEX( PointerTest!E:E, MATCH(B216, PointerTest!A:A, 0), 0), 'language&amp;DataTest'!A:A, 0), MATCH(HOME!$A$25, 'language&amp;DataTest'!$A$1:$G$1, 0))))</f>
        <v>Dubwool</v>
      </c>
      <c r="D216" s="124" t="str">
        <f t="shared" si="1"/>
        <v>Dubwool</v>
      </c>
      <c r="E216" s="124" t="b">
        <f>IFERROR(__xludf.DUMMYFUNCTION("REGEXMATCH(SUBSTITUTE(SUBSTITUTE(SUBSTITUTE(C216:C1000, ""♂"", ""male""), ""♀"", ""female""), "" ex"", """"), TEXTJOIN(""\b|"", TRUE,SPLIT($M$2, "" "")) &amp; ""\b"")"),FALSE)</f>
        <v>0</v>
      </c>
    </row>
    <row r="217">
      <c r="A217" s="68" t="b">
        <v>1</v>
      </c>
      <c r="B217" s="390" t="s">
        <v>334</v>
      </c>
      <c r="C217" s="386" t="str">
        <f t="array" ref="C217">TEXTJOIN("", TRUE, IFERROR(INDEX('language&amp;DataTest'!A:J, MATCH(INDEX( PointerTest!C:C, MATCH(B217, PointerTest!A:A, 0), 0), 'language&amp;DataTest'!A:A, 0), MATCH(HOME!$A$25, 'language&amp;DataTest'!$A$1:$G$1, 0))),                      IFERROR(INDEX('language&amp;DataTest'!A:J, MATCH(INDEX( PointerTest!D:D, MATCH(B217, PointerTest!A:A, 0), 0), 'language&amp;DataTest'!A:A, 0), MATCH(HOME!$A$25, 'language&amp;DataTest'!$A$1:$G$1, 0))),                                          
IFERROR(INDEX('language&amp;DataTest'!A:J, MATCH(INDEX( PointerTest!E:E, MATCH(B217, PointerTest!A:A, 0), 0), 'language&amp;DataTest'!A:A, 0), MATCH(HOME!$A$25, 'language&amp;DataTest'!$A$1:$G$1, 0))))</f>
        <v>Helix Fossil</v>
      </c>
      <c r="D217" s="124" t="str">
        <f t="shared" si="1"/>
        <v>Helix Fossil</v>
      </c>
      <c r="E217" s="124" t="b">
        <f>IFERROR(__xludf.DUMMYFUNCTION("REGEXMATCH(SUBSTITUTE(SUBSTITUTE(SUBSTITUTE(C217:C1000, ""♂"", ""male""), ""♀"", ""female""), "" ex"", """"), TEXTJOIN(""\b|"", TRUE,SPLIT($M$2, "" "")) &amp; ""\b"")"),FALSE)</f>
        <v>0</v>
      </c>
    </row>
    <row r="218">
      <c r="A218" s="68" t="b">
        <v>1</v>
      </c>
      <c r="B218" s="393" t="s">
        <v>335</v>
      </c>
      <c r="C218" s="386" t="str">
        <f t="array" ref="C218">TEXTJOIN("", TRUE, IFERROR(INDEX('language&amp;DataTest'!A:J, MATCH(INDEX( PointerTest!C:C, MATCH(B218, PointerTest!A:A, 0), 0), 'language&amp;DataTest'!A:A, 0), MATCH(HOME!$A$25, 'language&amp;DataTest'!$A$1:$G$1, 0))),                      IFERROR(INDEX('language&amp;DataTest'!A:J, MATCH(INDEX( PointerTest!D:D, MATCH(B218, PointerTest!A:A, 0), 0), 'language&amp;DataTest'!A:A, 0), MATCH(HOME!$A$25, 'language&amp;DataTest'!$A$1:$G$1, 0))),                                          
IFERROR(INDEX('language&amp;DataTest'!A:J, MATCH(INDEX( PointerTest!E:E, MATCH(B218, PointerTest!A:A, 0), 0), 'language&amp;DataTest'!A:A, 0), MATCH(HOME!$A$25, 'language&amp;DataTest'!$A$1:$G$1, 0))))</f>
        <v>Dome Fossil</v>
      </c>
      <c r="D218" s="124" t="str">
        <f t="shared" si="1"/>
        <v>Dome Fossil</v>
      </c>
      <c r="E218" s="124" t="b">
        <f>IFERROR(__xludf.DUMMYFUNCTION("REGEXMATCH(SUBSTITUTE(SUBSTITUTE(SUBSTITUTE(C218:C1000, ""♂"", ""male""), ""♀"", ""female""), "" ex"", """"), TEXTJOIN(""\b|"", TRUE,SPLIT($M$2, "" "")) &amp; ""\b"")"),FALSE)</f>
        <v>0</v>
      </c>
    </row>
    <row r="219">
      <c r="A219" s="68" t="b">
        <v>1</v>
      </c>
      <c r="B219" s="386" t="s">
        <v>336</v>
      </c>
      <c r="C219" s="386" t="str">
        <f t="array" ref="C219">TEXTJOIN("", TRUE, IFERROR(INDEX('language&amp;DataTest'!A:J, MATCH(INDEX( PointerTest!C:C, MATCH(B219, PointerTest!A:A, 0), 0), 'language&amp;DataTest'!A:A, 0), MATCH(HOME!$A$25, 'language&amp;DataTest'!$A$1:$G$1, 0))),                      IFERROR(INDEX('language&amp;DataTest'!A:J, MATCH(INDEX( PointerTest!D:D, MATCH(B219, PointerTest!A:A, 0), 0), 'language&amp;DataTest'!A:A, 0), MATCH(HOME!$A$25, 'language&amp;DataTest'!$A$1:$G$1, 0))),                                          
IFERROR(INDEX('language&amp;DataTest'!A:J, MATCH(INDEX( PointerTest!E:E, MATCH(B219, PointerTest!A:A, 0), 0), 'language&amp;DataTest'!A:A, 0), MATCH(HOME!$A$25, 'language&amp;DataTest'!$A$1:$G$1, 0))))</f>
        <v>Old Amber</v>
      </c>
      <c r="D219" s="124" t="str">
        <f t="shared" si="1"/>
        <v>Old Amber</v>
      </c>
      <c r="E219" s="124" t="b">
        <f>IFERROR(__xludf.DUMMYFUNCTION("REGEXMATCH(SUBSTITUTE(SUBSTITUTE(SUBSTITUTE(C219:C1000, ""♂"", ""male""), ""♀"", ""female""), "" ex"", """"), TEXTJOIN(""\b|"", TRUE,SPLIT($M$2, "" "")) &amp; ""\b"")"),FALSE)</f>
        <v>0</v>
      </c>
    </row>
    <row r="220">
      <c r="A220" s="397" t="b">
        <v>0</v>
      </c>
      <c r="B220" s="393" t="s">
        <v>337</v>
      </c>
      <c r="C220" s="386" t="str">
        <f t="array" ref="C220">TEXTJOIN("", TRUE, IFERROR(INDEX('language&amp;DataTest'!A:J, MATCH(INDEX( PointerTest!C:C, MATCH(B220, PointerTest!A:A, 0), 0), 'language&amp;DataTest'!A:A, 0), MATCH(HOME!$A$25, 'language&amp;DataTest'!$A$1:$G$1, 0))),                      IFERROR(INDEX('language&amp;DataTest'!A:J, MATCH(INDEX( PointerTest!D:D, MATCH(B220, PointerTest!A:A, 0), 0), 'language&amp;DataTest'!A:A, 0), MATCH(HOME!$A$25, 'language&amp;DataTest'!$A$1:$G$1, 0))),                                          
IFERROR(INDEX('language&amp;DataTest'!A:J, MATCH(INDEX( PointerTest!E:E, MATCH(B220, PointerTest!A:A, 0), 0), 'language&amp;DataTest'!A:A, 0), MATCH(HOME!$A$25, 'language&amp;DataTest'!$A$1:$G$1, 0))))</f>
        <v>Erika</v>
      </c>
      <c r="D220" s="124" t="str">
        <f t="shared" si="1"/>
        <v>Erika</v>
      </c>
      <c r="E220" s="124" t="b">
        <f>IFERROR(__xludf.DUMMYFUNCTION("REGEXMATCH(SUBSTITUTE(SUBSTITUTE(SUBSTITUTE(C220:C1000, ""♂"", ""male""), ""♀"", ""female""), "" ex"", """"), TEXTJOIN(""\b|"", TRUE,SPLIT($M$2, "" "")) &amp; ""\b"")"),FALSE)</f>
        <v>0</v>
      </c>
    </row>
    <row r="221">
      <c r="A221" s="397" t="b">
        <v>0</v>
      </c>
      <c r="B221" s="390" t="s">
        <v>338</v>
      </c>
      <c r="C221" s="386" t="str">
        <f t="array" ref="C221">TEXTJOIN("", TRUE, IFERROR(INDEX('language&amp;DataTest'!A:J, MATCH(INDEX( PointerTest!C:C, MATCH(B221, PointerTest!A:A, 0), 0), 'language&amp;DataTest'!A:A, 0), MATCH(HOME!$A$25, 'language&amp;DataTest'!$A$1:$G$1, 0))),                      IFERROR(INDEX('language&amp;DataTest'!A:J, MATCH(INDEX( PointerTest!D:D, MATCH(B221, PointerTest!A:A, 0), 0), 'language&amp;DataTest'!A:A, 0), MATCH(HOME!$A$25, 'language&amp;DataTest'!$A$1:$G$1, 0))),                                          
IFERROR(INDEX('language&amp;DataTest'!A:J, MATCH(INDEX( PointerTest!E:E, MATCH(B221, PointerTest!A:A, 0), 0), 'language&amp;DataTest'!A:A, 0), MATCH(HOME!$A$25, 'language&amp;DataTest'!$A$1:$G$1, 0))))</f>
        <v>Misty</v>
      </c>
      <c r="D221" s="124" t="str">
        <f t="shared" si="1"/>
        <v>Misty</v>
      </c>
      <c r="E221" s="124" t="b">
        <f>IFERROR(__xludf.DUMMYFUNCTION("REGEXMATCH(SUBSTITUTE(SUBSTITUTE(SUBSTITUTE(C221:C1000, ""♂"", ""male""), ""♀"", ""female""), "" ex"", """"), TEXTJOIN(""\b|"", TRUE,SPLIT($M$2, "" "")) &amp; ""\b"")"),FALSE)</f>
        <v>0</v>
      </c>
    </row>
    <row r="222">
      <c r="A222" s="397" t="b">
        <v>0</v>
      </c>
      <c r="B222" s="393" t="s">
        <v>339</v>
      </c>
      <c r="C222" s="386" t="str">
        <f t="array" ref="C222">TEXTJOIN("", TRUE, IFERROR(INDEX('language&amp;DataTest'!A:J, MATCH(INDEX( PointerTest!C:C, MATCH(B222, PointerTest!A:A, 0), 0), 'language&amp;DataTest'!A:A, 0), MATCH(HOME!$A$25, 'language&amp;DataTest'!$A$1:$G$1, 0))),                      IFERROR(INDEX('language&amp;DataTest'!A:J, MATCH(INDEX( PointerTest!D:D, MATCH(B222, PointerTest!A:A, 0), 0), 'language&amp;DataTest'!A:A, 0), MATCH(HOME!$A$25, 'language&amp;DataTest'!$A$1:$G$1, 0))),                                          
IFERROR(INDEX('language&amp;DataTest'!A:J, MATCH(INDEX( PointerTest!E:E, MATCH(B222, PointerTest!A:A, 0), 0), 'language&amp;DataTest'!A:A, 0), MATCH(HOME!$A$25, 'language&amp;DataTest'!$A$1:$G$1, 0))))</f>
        <v>Blaine</v>
      </c>
      <c r="D222" s="124" t="str">
        <f t="shared" si="1"/>
        <v>Blaine</v>
      </c>
      <c r="E222" s="124" t="b">
        <f>IFERROR(__xludf.DUMMYFUNCTION("REGEXMATCH(SUBSTITUTE(SUBSTITUTE(SUBSTITUTE(C222:C1000, ""♂"", ""male""), ""♀"", ""female""), "" ex"", """"), TEXTJOIN(""\b|"", TRUE,SPLIT($M$2, "" "")) &amp; ""\b"")"),FALSE)</f>
        <v>0</v>
      </c>
    </row>
    <row r="223">
      <c r="A223" s="397" t="b">
        <v>0</v>
      </c>
      <c r="B223" s="386" t="s">
        <v>340</v>
      </c>
      <c r="C223" s="386" t="str">
        <f t="array" ref="C223">TEXTJOIN("", TRUE, IFERROR(INDEX('language&amp;DataTest'!A:J, MATCH(INDEX( PointerTest!C:C, MATCH(B223, PointerTest!A:A, 0), 0), 'language&amp;DataTest'!A:A, 0), MATCH(HOME!$A$25, 'language&amp;DataTest'!$A$1:$G$1, 0))),                      IFERROR(INDEX('language&amp;DataTest'!A:J, MATCH(INDEX( PointerTest!D:D, MATCH(B223, PointerTest!A:A, 0), 0), 'language&amp;DataTest'!A:A, 0), MATCH(HOME!$A$25, 'language&amp;DataTest'!$A$1:$G$1, 0))),                                          
IFERROR(INDEX('language&amp;DataTest'!A:J, MATCH(INDEX( PointerTest!E:E, MATCH(B223, PointerTest!A:A, 0), 0), 'language&amp;DataTest'!A:A, 0), MATCH(HOME!$A$25, 'language&amp;DataTest'!$A$1:$G$1, 0))))</f>
        <v>Koga</v>
      </c>
      <c r="D223" s="124" t="str">
        <f t="shared" si="1"/>
        <v>Koga</v>
      </c>
      <c r="E223" s="124" t="b">
        <f>IFERROR(__xludf.DUMMYFUNCTION("REGEXMATCH(SUBSTITUTE(SUBSTITUTE(SUBSTITUTE(C223:C1000, ""♂"", ""male""), ""♀"", ""female""), "" ex"", """"), TEXTJOIN(""\b|"", TRUE,SPLIT($M$2, "" "")) &amp; ""\b"")"),FALSE)</f>
        <v>0</v>
      </c>
    </row>
    <row r="224">
      <c r="A224" s="397" t="b">
        <v>0</v>
      </c>
      <c r="B224" s="386" t="s">
        <v>341</v>
      </c>
      <c r="C224" s="386" t="str">
        <f t="array" ref="C224">TEXTJOIN("", TRUE, IFERROR(INDEX('language&amp;DataTest'!A:J, MATCH(INDEX( PointerTest!C:C, MATCH(B224, PointerTest!A:A, 0), 0), 'language&amp;DataTest'!A:A, 0), MATCH(HOME!$A$25, 'language&amp;DataTest'!$A$1:$G$1, 0))),                      IFERROR(INDEX('language&amp;DataTest'!A:J, MATCH(INDEX( PointerTest!D:D, MATCH(B224, PointerTest!A:A, 0), 0), 'language&amp;DataTest'!A:A, 0), MATCH(HOME!$A$25, 'language&amp;DataTest'!$A$1:$G$1, 0))),                                          
IFERROR(INDEX('language&amp;DataTest'!A:J, MATCH(INDEX( PointerTest!E:E, MATCH(B224, PointerTest!A:A, 0), 0), 'language&amp;DataTest'!A:A, 0), MATCH(HOME!$A$25, 'language&amp;DataTest'!$A$1:$G$1, 0))))</f>
        <v>Giovanni</v>
      </c>
      <c r="D224" s="124" t="str">
        <f t="shared" si="1"/>
        <v>Giovanni</v>
      </c>
      <c r="E224" s="124" t="b">
        <f>IFERROR(__xludf.DUMMYFUNCTION("REGEXMATCH(SUBSTITUTE(SUBSTITUTE(SUBSTITUTE(C224:C1000, ""♂"", ""male""), ""♀"", ""female""), "" ex"", """"), TEXTJOIN(""\b|"", TRUE,SPLIT($M$2, "" "")) &amp; ""\b"")"),FALSE)</f>
        <v>0</v>
      </c>
    </row>
    <row r="225">
      <c r="A225" s="397" t="b">
        <v>0</v>
      </c>
      <c r="B225" s="390" t="s">
        <v>342</v>
      </c>
      <c r="C225" s="386" t="str">
        <f t="array" ref="C225">TEXTJOIN("", TRUE, IFERROR(INDEX('language&amp;DataTest'!A:J, MATCH(INDEX( PointerTest!C:C, MATCH(B225, PointerTest!A:A, 0), 0), 'language&amp;DataTest'!A:A, 0), MATCH(HOME!$A$25, 'language&amp;DataTest'!$A$1:$G$1, 0))),                      IFERROR(INDEX('language&amp;DataTest'!A:J, MATCH(INDEX( PointerTest!D:D, MATCH(B225, PointerTest!A:A, 0), 0), 'language&amp;DataTest'!A:A, 0), MATCH(HOME!$A$25, 'language&amp;DataTest'!$A$1:$G$1, 0))),                                          
IFERROR(INDEX('language&amp;DataTest'!A:J, MATCH(INDEX( PointerTest!E:E, MATCH(B225, PointerTest!A:A, 0), 0), 'language&amp;DataTest'!A:A, 0), MATCH(HOME!$A$25, 'language&amp;DataTest'!$A$1:$G$1, 0))))</f>
        <v>Brock</v>
      </c>
      <c r="D225" s="124" t="str">
        <f t="shared" si="1"/>
        <v>Brock</v>
      </c>
      <c r="E225" s="124" t="b">
        <f>IFERROR(__xludf.DUMMYFUNCTION("REGEXMATCH(SUBSTITUTE(SUBSTITUTE(SUBSTITUTE(C225:C1000, ""♂"", ""male""), ""♀"", ""female""), "" ex"", """"), TEXTJOIN(""\b|"", TRUE,SPLIT($M$2, "" "")) &amp; ""\b"")"),FALSE)</f>
        <v>0</v>
      </c>
    </row>
    <row r="226">
      <c r="A226" s="397" t="b">
        <v>0</v>
      </c>
      <c r="B226" s="393" t="s">
        <v>343</v>
      </c>
      <c r="C226" s="386" t="str">
        <f t="array" ref="C226">TEXTJOIN("", TRUE, IFERROR(INDEX('language&amp;DataTest'!A:J, MATCH(INDEX( PointerTest!C:C, MATCH(B226, PointerTest!A:A, 0), 0), 'language&amp;DataTest'!A:A, 0), MATCH(HOME!$A$25, 'language&amp;DataTest'!$A$1:$G$1, 0))),                      IFERROR(INDEX('language&amp;DataTest'!A:J, MATCH(INDEX( PointerTest!D:D, MATCH(B226, PointerTest!A:A, 0), 0), 'language&amp;DataTest'!A:A, 0), MATCH(HOME!$A$25, 'language&amp;DataTest'!$A$1:$G$1, 0))),                                          
IFERROR(INDEX('language&amp;DataTest'!A:J, MATCH(INDEX( PointerTest!E:E, MATCH(B226, PointerTest!A:A, 0), 0), 'language&amp;DataTest'!A:A, 0), MATCH(HOME!$A$25, 'language&amp;DataTest'!$A$1:$G$1, 0))))</f>
        <v>Sabrina</v>
      </c>
      <c r="D226" s="124" t="str">
        <f t="shared" si="1"/>
        <v>Sabrina</v>
      </c>
      <c r="E226" s="124" t="b">
        <f>IFERROR(__xludf.DUMMYFUNCTION("REGEXMATCH(SUBSTITUTE(SUBSTITUTE(SUBSTITUTE(C226:C1000, ""♂"", ""male""), ""♀"", ""female""), "" ex"", """"), TEXTJOIN(""\b|"", TRUE,SPLIT($M$2, "" "")) &amp; ""\b"")"),FALSE)</f>
        <v>0</v>
      </c>
    </row>
    <row r="227">
      <c r="A227" s="397" t="b">
        <v>0</v>
      </c>
      <c r="B227" s="390" t="s">
        <v>344</v>
      </c>
      <c r="C227" s="386" t="str">
        <f t="array" ref="C227">TEXTJOIN("", TRUE, IFERROR(INDEX('language&amp;DataTest'!A:J, MATCH(INDEX( PointerTest!C:C, MATCH(B227, PointerTest!A:A, 0), 0), 'language&amp;DataTest'!A:A, 0), MATCH(HOME!$A$25, 'language&amp;DataTest'!$A$1:$G$1, 0))),                      IFERROR(INDEX('language&amp;DataTest'!A:J, MATCH(INDEX( PointerTest!D:D, MATCH(B227, PointerTest!A:A, 0), 0), 'language&amp;DataTest'!A:A, 0), MATCH(HOME!$A$25, 'language&amp;DataTest'!$A$1:$G$1, 0))),                                          
IFERROR(INDEX('language&amp;DataTest'!A:J, MATCH(INDEX( PointerTest!E:E, MATCH(B227, PointerTest!A:A, 0), 0), 'language&amp;DataTest'!A:A, 0), MATCH(HOME!$A$25, 'language&amp;DataTest'!$A$1:$G$1, 0))))</f>
        <v>Lt. Surge</v>
      </c>
      <c r="D227" s="124" t="str">
        <f t="shared" si="1"/>
        <v>Lt. Surge</v>
      </c>
      <c r="E227" s="124" t="b">
        <f>IFERROR(__xludf.DUMMYFUNCTION("REGEXMATCH(SUBSTITUTE(SUBSTITUTE(SUBSTITUTE(C227:C1000, ""♂"", ""male""), ""♀"", ""female""), "" ex"", """"), TEXTJOIN(""\b|"", TRUE,SPLIT($M$2, "" "")) &amp; ""\b"")"),FALSE)</f>
        <v>0</v>
      </c>
    </row>
    <row r="228">
      <c r="A228" s="397" t="b">
        <v>0</v>
      </c>
      <c r="B228" s="386" t="s">
        <v>345</v>
      </c>
      <c r="C228" s="386" t="str">
        <f t="array" ref="C228">TEXTJOIN("", TRUE, IFERROR(INDEX('language&amp;DataTest'!A:J, MATCH(INDEX( PointerTest!C:C, MATCH(B228, PointerTest!A:A, 0), 0), 'language&amp;DataTest'!A:A, 0), MATCH(HOME!$A$25, 'language&amp;DataTest'!$A$1:$G$1, 0))),                      IFERROR(INDEX('language&amp;DataTest'!A:J, MATCH(INDEX( PointerTest!D:D, MATCH(B228, PointerTest!A:A, 0), 0), 'language&amp;DataTest'!A:A, 0), MATCH(HOME!$A$25, 'language&amp;DataTest'!$A$1:$G$1, 0))),                                          
IFERROR(INDEX('language&amp;DataTest'!A:J, MATCH(INDEX( PointerTest!E:E, MATCH(B228, PointerTest!A:A, 0), 0), 'language&amp;DataTest'!A:A, 0), MATCH(HOME!$A$25, 'language&amp;DataTest'!$A$1:$G$1, 0))))</f>
        <v>Bulbasaur</v>
      </c>
      <c r="D228" s="124" t="str">
        <f t="shared" si="1"/>
        <v>Bulbasaur</v>
      </c>
      <c r="E228" s="124" t="b">
        <f>IFERROR(__xludf.DUMMYFUNCTION("REGEXMATCH(SUBSTITUTE(SUBSTITUTE(SUBSTITUTE(C228:C1000, ""♂"", ""male""), ""♀"", ""female""), "" ex"", """"), TEXTJOIN(""\b|"", TRUE,SPLIT($M$2, "" "")) &amp; ""\b"")"),TRUE)</f>
        <v>1</v>
      </c>
    </row>
    <row r="229">
      <c r="A229" s="397" t="b">
        <v>0</v>
      </c>
      <c r="B229" s="393" t="s">
        <v>346</v>
      </c>
      <c r="C229" s="386" t="str">
        <f t="array" ref="C229">TEXTJOIN("", TRUE, IFERROR(INDEX('language&amp;DataTest'!A:J, MATCH(INDEX( PointerTest!C:C, MATCH(B229, PointerTest!A:A, 0), 0), 'language&amp;DataTest'!A:A, 0), MATCH(HOME!$A$25, 'language&amp;DataTest'!$A$1:$G$1, 0))),                      IFERROR(INDEX('language&amp;DataTest'!A:J, MATCH(INDEX( PointerTest!D:D, MATCH(B229, PointerTest!A:A, 0), 0), 'language&amp;DataTest'!A:A, 0), MATCH(HOME!$A$25, 'language&amp;DataTest'!$A$1:$G$1, 0))),                                          
IFERROR(INDEX('language&amp;DataTest'!A:J, MATCH(INDEX( PointerTest!E:E, MATCH(B229, PointerTest!A:A, 0), 0), 'language&amp;DataTest'!A:A, 0), MATCH(HOME!$A$25, 'language&amp;DataTest'!$A$1:$G$1, 0))))</f>
        <v>Gloom</v>
      </c>
      <c r="D229" s="124" t="str">
        <f t="shared" si="1"/>
        <v>Gloom</v>
      </c>
      <c r="E229" s="124" t="b">
        <f>IFERROR(__xludf.DUMMYFUNCTION("REGEXMATCH(SUBSTITUTE(SUBSTITUTE(SUBSTITUTE(C229:C1000, ""♂"", ""male""), ""♀"", ""female""), "" ex"", """"), TEXTJOIN(""\b|"", TRUE,SPLIT($M$2, "" "")) &amp; ""\b"")"),TRUE)</f>
        <v>1</v>
      </c>
    </row>
    <row r="230">
      <c r="A230" s="397" t="b">
        <v>0</v>
      </c>
      <c r="B230" s="393" t="s">
        <v>347</v>
      </c>
      <c r="C230" s="386" t="str">
        <f t="array" ref="C230">TEXTJOIN("", TRUE, IFERROR(INDEX('language&amp;DataTest'!A:J, MATCH(INDEX( PointerTest!C:C, MATCH(B230, PointerTest!A:A, 0), 0), 'language&amp;DataTest'!A:A, 0), MATCH(HOME!$A$25, 'language&amp;DataTest'!$A$1:$G$1, 0))),                      IFERROR(INDEX('language&amp;DataTest'!A:J, MATCH(INDEX( PointerTest!D:D, MATCH(B230, PointerTest!A:A, 0), 0), 'language&amp;DataTest'!A:A, 0), MATCH(HOME!$A$25, 'language&amp;DataTest'!$A$1:$G$1, 0))),                                          
IFERROR(INDEX('language&amp;DataTest'!A:J, MATCH(INDEX( PointerTest!E:E, MATCH(B230, PointerTest!A:A, 0), 0), 'language&amp;DataTest'!A:A, 0), MATCH(HOME!$A$25, 'language&amp;DataTest'!$A$1:$G$1, 0))))</f>
        <v>Pinsir</v>
      </c>
      <c r="D230" s="124" t="str">
        <f t="shared" si="1"/>
        <v>Pinsir</v>
      </c>
      <c r="E230" s="124" t="b">
        <f>IFERROR(__xludf.DUMMYFUNCTION("REGEXMATCH(SUBSTITUTE(SUBSTITUTE(SUBSTITUTE(C230:C1000, ""♂"", ""male""), ""♀"", ""female""), "" ex"", """"), TEXTJOIN(""\b|"", TRUE,SPLIT($M$2, "" "")) &amp; ""\b"")"),TRUE)</f>
        <v>1</v>
      </c>
    </row>
    <row r="231">
      <c r="A231" s="397" t="b">
        <v>0</v>
      </c>
      <c r="B231" s="393" t="s">
        <v>348</v>
      </c>
      <c r="C231" s="386" t="str">
        <f t="array" ref="C231">TEXTJOIN("", TRUE, IFERROR(INDEX('language&amp;DataTest'!A:J, MATCH(INDEX( PointerTest!C:C, MATCH(B231, PointerTest!A:A, 0), 0), 'language&amp;DataTest'!A:A, 0), MATCH(HOME!$A$25, 'language&amp;DataTest'!$A$1:$G$1, 0))),                      IFERROR(INDEX('language&amp;DataTest'!A:J, MATCH(INDEX( PointerTest!D:D, MATCH(B231, PointerTest!A:A, 0), 0), 'language&amp;DataTest'!A:A, 0), MATCH(HOME!$A$25, 'language&amp;DataTest'!$A$1:$G$1, 0))),                                          
IFERROR(INDEX('language&amp;DataTest'!A:J, MATCH(INDEX( PointerTest!E:E, MATCH(B231, PointerTest!A:A, 0), 0), 'language&amp;DataTest'!A:A, 0), MATCH(HOME!$A$25, 'language&amp;DataTest'!$A$1:$G$1, 0))))</f>
        <v>Charmander</v>
      </c>
      <c r="D231" s="124" t="str">
        <f t="shared" si="1"/>
        <v>Charmander</v>
      </c>
      <c r="E231" s="124" t="b">
        <f>IFERROR(__xludf.DUMMYFUNCTION("REGEXMATCH(SUBSTITUTE(SUBSTITUTE(SUBSTITUTE(C231:C1000, ""♂"", ""male""), ""♀"", ""female""), "" ex"", """"), TEXTJOIN(""\b|"", TRUE,SPLIT($M$2, "" "")) &amp; ""\b"")"),TRUE)</f>
        <v>1</v>
      </c>
    </row>
    <row r="232">
      <c r="A232" s="397" t="b">
        <v>0</v>
      </c>
      <c r="B232" s="393" t="s">
        <v>349</v>
      </c>
      <c r="C232" s="386" t="str">
        <f t="array" ref="C232">TEXTJOIN("", TRUE, IFERROR(INDEX('language&amp;DataTest'!A:J, MATCH(INDEX( PointerTest!C:C, MATCH(B232, PointerTest!A:A, 0), 0), 'language&amp;DataTest'!A:A, 0), MATCH(HOME!$A$25, 'language&amp;DataTest'!$A$1:$G$1, 0))),                      IFERROR(INDEX('language&amp;DataTest'!A:J, MATCH(INDEX( PointerTest!D:D, MATCH(B232, PointerTest!A:A, 0), 0), 'language&amp;DataTest'!A:A, 0), MATCH(HOME!$A$25, 'language&amp;DataTest'!$A$1:$G$1, 0))),                                          
IFERROR(INDEX('language&amp;DataTest'!A:J, MATCH(INDEX( PointerTest!E:E, MATCH(B232, PointerTest!A:A, 0), 0), 'language&amp;DataTest'!A:A, 0), MATCH(HOME!$A$25, 'language&amp;DataTest'!$A$1:$G$1, 0))))</f>
        <v>Rapidash</v>
      </c>
      <c r="D232" s="124" t="str">
        <f t="shared" si="1"/>
        <v>Rapidash</v>
      </c>
      <c r="E232" s="124" t="b">
        <f>IFERROR(__xludf.DUMMYFUNCTION("REGEXMATCH(SUBSTITUTE(SUBSTITUTE(SUBSTITUTE(C232:C1000, ""♂"", ""male""), ""♀"", ""female""), "" ex"", """"), TEXTJOIN(""\b|"", TRUE,SPLIT($M$2, "" "")) &amp; ""\b"")"),TRUE)</f>
        <v>1</v>
      </c>
    </row>
    <row r="233">
      <c r="A233" s="397" t="b">
        <v>0</v>
      </c>
      <c r="B233" s="390" t="s">
        <v>350</v>
      </c>
      <c r="C233" s="386" t="str">
        <f t="array" ref="C233">TEXTJOIN("", TRUE, IFERROR(INDEX('language&amp;DataTest'!A:J, MATCH(INDEX( PointerTest!C:C, MATCH(B233, PointerTest!A:A, 0), 0), 'language&amp;DataTest'!A:A, 0), MATCH(HOME!$A$25, 'language&amp;DataTest'!$A$1:$G$1, 0))),                      IFERROR(INDEX('language&amp;DataTest'!A:J, MATCH(INDEX( PointerTest!D:D, MATCH(B233, PointerTest!A:A, 0), 0), 'language&amp;DataTest'!A:A, 0), MATCH(HOME!$A$25, 'language&amp;DataTest'!$A$1:$G$1, 0))),                                          
IFERROR(INDEX('language&amp;DataTest'!A:J, MATCH(INDEX( PointerTest!E:E, MATCH(B233, PointerTest!A:A, 0), 0), 'language&amp;DataTest'!A:A, 0), MATCH(HOME!$A$25, 'language&amp;DataTest'!$A$1:$G$1, 0))))</f>
        <v>Squirtle</v>
      </c>
      <c r="D233" s="124" t="str">
        <f t="shared" si="1"/>
        <v>Squirtle</v>
      </c>
      <c r="E233" s="124" t="b">
        <f>IFERROR(__xludf.DUMMYFUNCTION("REGEXMATCH(SUBSTITUTE(SUBSTITUTE(SUBSTITUTE(C233:C1000, ""♂"", ""male""), ""♀"", ""female""), "" ex"", """"), TEXTJOIN(""\b|"", TRUE,SPLIT($M$2, "" "")) &amp; ""\b"")"),TRUE)</f>
        <v>1</v>
      </c>
    </row>
    <row r="234">
      <c r="A234" s="397" t="b">
        <v>0</v>
      </c>
      <c r="B234" s="390" t="s">
        <v>351</v>
      </c>
      <c r="C234" s="386" t="str">
        <f t="array" ref="C234">TEXTJOIN("", TRUE, IFERROR(INDEX('language&amp;DataTest'!A:J, MATCH(INDEX( PointerTest!C:C, MATCH(B234, PointerTest!A:A, 0), 0), 'language&amp;DataTest'!A:A, 0), MATCH(HOME!$A$25, 'language&amp;DataTest'!$A$1:$G$1, 0))),                      IFERROR(INDEX('language&amp;DataTest'!A:J, MATCH(INDEX( PointerTest!D:D, MATCH(B234, PointerTest!A:A, 0), 0), 'language&amp;DataTest'!A:A, 0), MATCH(HOME!$A$25, 'language&amp;DataTest'!$A$1:$G$1, 0))),                                          
IFERROR(INDEX('language&amp;DataTest'!A:J, MATCH(INDEX( PointerTest!E:E, MATCH(B234, PointerTest!A:A, 0), 0), 'language&amp;DataTest'!A:A, 0), MATCH(HOME!$A$25, 'language&amp;DataTest'!$A$1:$G$1, 0))))</f>
        <v>Gyarados</v>
      </c>
      <c r="D234" s="124" t="str">
        <f t="shared" si="1"/>
        <v>Gyarados</v>
      </c>
      <c r="E234" s="124" t="b">
        <f>IFERROR(__xludf.DUMMYFUNCTION("REGEXMATCH(SUBSTITUTE(SUBSTITUTE(SUBSTITUTE(C234:C1000, ""♂"", ""male""), ""♀"", ""female""), "" ex"", """"), TEXTJOIN(""\b|"", TRUE,SPLIT($M$2, "" "")) &amp; ""\b"")"),TRUE)</f>
        <v>1</v>
      </c>
    </row>
    <row r="235">
      <c r="A235" s="397" t="b">
        <v>0</v>
      </c>
      <c r="B235" s="393" t="s">
        <v>352</v>
      </c>
      <c r="C235" s="386" t="str">
        <f t="array" ref="C235">TEXTJOIN("", TRUE, IFERROR(INDEX('language&amp;DataTest'!A:J, MATCH(INDEX( PointerTest!C:C, MATCH(B235, PointerTest!A:A, 0), 0), 'language&amp;DataTest'!A:A, 0), MATCH(HOME!$A$25, 'language&amp;DataTest'!$A$1:$G$1, 0))),                      IFERROR(INDEX('language&amp;DataTest'!A:J, MATCH(INDEX( PointerTest!D:D, MATCH(B235, PointerTest!A:A, 0), 0), 'language&amp;DataTest'!A:A, 0), MATCH(HOME!$A$25, 'language&amp;DataTest'!$A$1:$G$1, 0))),                                          
IFERROR(INDEX('language&amp;DataTest'!A:J, MATCH(INDEX( PointerTest!E:E, MATCH(B235, PointerTest!A:A, 0), 0), 'language&amp;DataTest'!A:A, 0), MATCH(HOME!$A$25, 'language&amp;DataTest'!$A$1:$G$1, 0))))</f>
        <v>Lapras</v>
      </c>
      <c r="D235" s="124" t="str">
        <f t="shared" si="1"/>
        <v>Lapras</v>
      </c>
      <c r="E235" s="124" t="b">
        <f>IFERROR(__xludf.DUMMYFUNCTION("REGEXMATCH(SUBSTITUTE(SUBSTITUTE(SUBSTITUTE(C235:C1000, ""♂"", ""male""), ""♀"", ""female""), "" ex"", """"), TEXTJOIN(""\b|"", TRUE,SPLIT($M$2, "" "")) &amp; ""\b"")"),TRUE)</f>
        <v>1</v>
      </c>
    </row>
    <row r="236">
      <c r="A236" s="397" t="b">
        <v>0</v>
      </c>
      <c r="B236" s="390" t="s">
        <v>353</v>
      </c>
      <c r="C236" s="386" t="str">
        <f t="array" ref="C236">TEXTJOIN("", TRUE, IFERROR(INDEX('language&amp;DataTest'!A:J, MATCH(INDEX( PointerTest!C:C, MATCH(B236, PointerTest!A:A, 0), 0), 'language&amp;DataTest'!A:A, 0), MATCH(HOME!$A$25, 'language&amp;DataTest'!$A$1:$G$1, 0))),                      IFERROR(INDEX('language&amp;DataTest'!A:J, MATCH(INDEX( PointerTest!D:D, MATCH(B236, PointerTest!A:A, 0), 0), 'language&amp;DataTest'!A:A, 0), MATCH(HOME!$A$25, 'language&amp;DataTest'!$A$1:$G$1, 0))),                                          
IFERROR(INDEX('language&amp;DataTest'!A:J, MATCH(INDEX( PointerTest!E:E, MATCH(B236, PointerTest!A:A, 0), 0), 'language&amp;DataTest'!A:A, 0), MATCH(HOME!$A$25, 'language&amp;DataTest'!$A$1:$G$1, 0))))</f>
        <v>Electrode</v>
      </c>
      <c r="D236" s="124" t="str">
        <f t="shared" si="1"/>
        <v>Electrode</v>
      </c>
      <c r="E236" s="124" t="b">
        <f>IFERROR(__xludf.DUMMYFUNCTION("REGEXMATCH(SUBSTITUTE(SUBSTITUTE(SUBSTITUTE(C236:C1000, ""♂"", ""male""), ""♀"", ""female""), "" ex"", """"), TEXTJOIN(""\b|"", TRUE,SPLIT($M$2, "" "")) &amp; ""\b"")"),TRUE)</f>
        <v>1</v>
      </c>
    </row>
    <row r="237">
      <c r="A237" s="397" t="b">
        <v>0</v>
      </c>
      <c r="B237" s="393" t="s">
        <v>354</v>
      </c>
      <c r="C237" s="386" t="str">
        <f t="array" ref="C237">TEXTJOIN("", TRUE, IFERROR(INDEX('language&amp;DataTest'!A:J, MATCH(INDEX( PointerTest!C:C, MATCH(B237, PointerTest!A:A, 0), 0), 'language&amp;DataTest'!A:A, 0), MATCH(HOME!$A$25, 'language&amp;DataTest'!$A$1:$G$1, 0))),                      IFERROR(INDEX('language&amp;DataTest'!A:J, MATCH(INDEX( PointerTest!D:D, MATCH(B237, PointerTest!A:A, 0), 0), 'language&amp;DataTest'!A:A, 0), MATCH(HOME!$A$25, 'language&amp;DataTest'!$A$1:$G$1, 0))),                                          
IFERROR(INDEX('language&amp;DataTest'!A:J, MATCH(INDEX( PointerTest!E:E, MATCH(B237, PointerTest!A:A, 0), 0), 'language&amp;DataTest'!A:A, 0), MATCH(HOME!$A$25, 'language&amp;DataTest'!$A$1:$G$1, 0))))</f>
        <v>Alakazam</v>
      </c>
      <c r="D237" s="124" t="str">
        <f t="shared" si="1"/>
        <v>Alakazam</v>
      </c>
      <c r="E237" s="124" t="b">
        <f>IFERROR(__xludf.DUMMYFUNCTION("REGEXMATCH(SUBSTITUTE(SUBSTITUTE(SUBSTITUTE(C237:C1000, ""♂"", ""male""), ""♀"", ""female""), "" ex"", """"), TEXTJOIN(""\b|"", TRUE,SPLIT($M$2, "" "")) &amp; ""\b"")"),TRUE)</f>
        <v>1</v>
      </c>
    </row>
    <row r="238">
      <c r="A238" s="397" t="b">
        <v>0</v>
      </c>
      <c r="B238" s="393" t="s">
        <v>355</v>
      </c>
      <c r="C238" s="386" t="str">
        <f t="array" ref="C238">TEXTJOIN("", TRUE, IFERROR(INDEX('language&amp;DataTest'!A:J, MATCH(INDEX( PointerTest!C:C, MATCH(B238, PointerTest!A:A, 0), 0), 'language&amp;DataTest'!A:A, 0), MATCH(HOME!$A$25, 'language&amp;DataTest'!$A$1:$G$1, 0))),                      IFERROR(INDEX('language&amp;DataTest'!A:J, MATCH(INDEX( PointerTest!D:D, MATCH(B238, PointerTest!A:A, 0), 0), 'language&amp;DataTest'!A:A, 0), MATCH(HOME!$A$25, 'language&amp;DataTest'!$A$1:$G$1, 0))),                                          
IFERROR(INDEX('language&amp;DataTest'!A:J, MATCH(INDEX( PointerTest!E:E, MATCH(B238, PointerTest!A:A, 0), 0), 'language&amp;DataTest'!A:A, 0), MATCH(HOME!$A$25, 'language&amp;DataTest'!$A$1:$G$1, 0))))</f>
        <v>Slowpoke</v>
      </c>
      <c r="D238" s="124" t="str">
        <f t="shared" si="1"/>
        <v>Slowpoke</v>
      </c>
      <c r="E238" s="124" t="b">
        <f>IFERROR(__xludf.DUMMYFUNCTION("REGEXMATCH(SUBSTITUTE(SUBSTITUTE(SUBSTITUTE(C238:C1000, ""♂"", ""male""), ""♀"", ""female""), "" ex"", """"), TEXTJOIN(""\b|"", TRUE,SPLIT($M$2, "" "")) &amp; ""\b"")"),TRUE)</f>
        <v>1</v>
      </c>
    </row>
    <row r="239">
      <c r="A239" s="397" t="b">
        <v>0</v>
      </c>
      <c r="B239" s="390" t="s">
        <v>356</v>
      </c>
      <c r="C239" s="386" t="str">
        <f t="array" ref="C239">TEXTJOIN("", TRUE, IFERROR(INDEX('language&amp;DataTest'!A:J, MATCH(INDEX( PointerTest!C:C, MATCH(B239, PointerTest!A:A, 0), 0), 'language&amp;DataTest'!A:A, 0), MATCH(HOME!$A$25, 'language&amp;DataTest'!$A$1:$G$1, 0))),                      IFERROR(INDEX('language&amp;DataTest'!A:J, MATCH(INDEX( PointerTest!D:D, MATCH(B239, PointerTest!A:A, 0), 0), 'language&amp;DataTest'!A:A, 0), MATCH(HOME!$A$25, 'language&amp;DataTest'!$A$1:$G$1, 0))),                                          
IFERROR(INDEX('language&amp;DataTest'!A:J, MATCH(INDEX( PointerTest!E:E, MATCH(B239, PointerTest!A:A, 0), 0), 'language&amp;DataTest'!A:A, 0), MATCH(HOME!$A$25, 'language&amp;DataTest'!$A$1:$G$1, 0))))</f>
        <v>Diglett</v>
      </c>
      <c r="D239" s="124" t="str">
        <f t="shared" si="1"/>
        <v>Diglett</v>
      </c>
      <c r="E239" s="124" t="b">
        <f>IFERROR(__xludf.DUMMYFUNCTION("REGEXMATCH(SUBSTITUTE(SUBSTITUTE(SUBSTITUTE(C239:C1000, ""♂"", ""male""), ""♀"", ""female""), "" ex"", """"), TEXTJOIN(""\b|"", TRUE,SPLIT($M$2, "" "")) &amp; ""\b"")"),TRUE)</f>
        <v>1</v>
      </c>
    </row>
    <row r="240">
      <c r="A240" s="397" t="b">
        <v>0</v>
      </c>
      <c r="B240" s="386" t="s">
        <v>357</v>
      </c>
      <c r="C240" s="386" t="str">
        <f t="array" ref="C240">TEXTJOIN("", TRUE, IFERROR(INDEX('language&amp;DataTest'!A:J, MATCH(INDEX( PointerTest!C:C, MATCH(B240, PointerTest!A:A, 0), 0), 'language&amp;DataTest'!A:A, 0), MATCH(HOME!$A$25, 'language&amp;DataTest'!$A$1:$G$1, 0))),                      IFERROR(INDEX('language&amp;DataTest'!A:J, MATCH(INDEX( PointerTest!D:D, MATCH(B240, PointerTest!A:A, 0), 0), 'language&amp;DataTest'!A:A, 0), MATCH(HOME!$A$25, 'language&amp;DataTest'!$A$1:$G$1, 0))),                                          
IFERROR(INDEX('language&amp;DataTest'!A:J, MATCH(INDEX( PointerTest!E:E, MATCH(B240, PointerTest!A:A, 0), 0), 'language&amp;DataTest'!A:A, 0), MATCH(HOME!$A$25, 'language&amp;DataTest'!$A$1:$G$1, 0))))</f>
        <v>Cubone</v>
      </c>
      <c r="D240" s="124" t="str">
        <f t="shared" si="1"/>
        <v>Cubone</v>
      </c>
      <c r="E240" s="124" t="b">
        <f>IFERROR(__xludf.DUMMYFUNCTION("REGEXMATCH(SUBSTITUTE(SUBSTITUTE(SUBSTITUTE(C240:C1000, ""♂"", ""male""), ""♀"", ""female""), "" ex"", """"), TEXTJOIN(""\b|"", TRUE,SPLIT($M$2, "" "")) &amp; ""\b"")"),TRUE)</f>
        <v>1</v>
      </c>
    </row>
    <row r="241">
      <c r="A241" s="397" t="b">
        <v>0</v>
      </c>
      <c r="B241" s="390" t="s">
        <v>358</v>
      </c>
      <c r="C241" s="386" t="str">
        <f t="array" ref="C241">TEXTJOIN("", TRUE, IFERROR(INDEX('language&amp;DataTest'!A:J, MATCH(INDEX( PointerTest!C:C, MATCH(B241, PointerTest!A:A, 0), 0), 'language&amp;DataTest'!A:A, 0), MATCH(HOME!$A$25, 'language&amp;DataTest'!$A$1:$G$1, 0))),                      IFERROR(INDEX('language&amp;DataTest'!A:J, MATCH(INDEX( PointerTest!D:D, MATCH(B241, PointerTest!A:A, 0), 0), 'language&amp;DataTest'!A:A, 0), MATCH(HOME!$A$25, 'language&amp;DataTest'!$A$1:$G$1, 0))),                                          
IFERROR(INDEX('language&amp;DataTest'!A:J, MATCH(INDEX( PointerTest!E:E, MATCH(B241, PointerTest!A:A, 0), 0), 'language&amp;DataTest'!A:A, 0), MATCH(HOME!$A$25, 'language&amp;DataTest'!$A$1:$G$1, 0))))</f>
        <v>Nidoqueen</v>
      </c>
      <c r="D241" s="124" t="str">
        <f t="shared" si="1"/>
        <v>Nidoqueen</v>
      </c>
      <c r="E241" s="124" t="b">
        <f>IFERROR(__xludf.DUMMYFUNCTION("REGEXMATCH(SUBSTITUTE(SUBSTITUTE(SUBSTITUTE(C241:C1000, ""♂"", ""male""), ""♀"", ""female""), "" ex"", """"), TEXTJOIN(""\b|"", TRUE,SPLIT($M$2, "" "")) &amp; ""\b"")"),TRUE)</f>
        <v>1</v>
      </c>
    </row>
    <row r="242">
      <c r="A242" s="397" t="b">
        <v>0</v>
      </c>
      <c r="B242" s="390" t="s">
        <v>359</v>
      </c>
      <c r="C242" s="386" t="str">
        <f t="array" ref="C242">TEXTJOIN("", TRUE, IFERROR(INDEX('language&amp;DataTest'!A:J, MATCH(INDEX( PointerTest!C:C, MATCH(B242, PointerTest!A:A, 0), 0), 'language&amp;DataTest'!A:A, 0), MATCH(HOME!$A$25, 'language&amp;DataTest'!$A$1:$G$1, 0))),                      IFERROR(INDEX('language&amp;DataTest'!A:J, MATCH(INDEX( PointerTest!D:D, MATCH(B242, PointerTest!A:A, 0), 0), 'language&amp;DataTest'!A:A, 0), MATCH(HOME!$A$25, 'language&amp;DataTest'!$A$1:$G$1, 0))),                                          
IFERROR(INDEX('language&amp;DataTest'!A:J, MATCH(INDEX( PointerTest!E:E, MATCH(B242, PointerTest!A:A, 0), 0), 'language&amp;DataTest'!A:A, 0), MATCH(HOME!$A$25, 'language&amp;DataTest'!$A$1:$G$1, 0))))</f>
        <v>Nidoking</v>
      </c>
      <c r="D242" s="124" t="str">
        <f t="shared" si="1"/>
        <v>Nidoking</v>
      </c>
      <c r="E242" s="124" t="b">
        <f>IFERROR(__xludf.DUMMYFUNCTION("REGEXMATCH(SUBSTITUTE(SUBSTITUTE(SUBSTITUTE(C242:C1000, ""♂"", ""male""), ""♀"", ""female""), "" ex"", """"), TEXTJOIN(""\b|"", TRUE,SPLIT($M$2, "" "")) &amp; ""\b"")"),TRUE)</f>
        <v>1</v>
      </c>
    </row>
    <row r="243">
      <c r="A243" s="397" t="b">
        <v>0</v>
      </c>
      <c r="B243" s="386" t="s">
        <v>360</v>
      </c>
      <c r="C243" s="386" t="str">
        <f t="array" ref="C243">TEXTJOIN("", TRUE, IFERROR(INDEX('language&amp;DataTest'!A:J, MATCH(INDEX( PointerTest!C:C, MATCH(B243, PointerTest!A:A, 0), 0), 'language&amp;DataTest'!A:A, 0), MATCH(HOME!$A$25, 'language&amp;DataTest'!$A$1:$G$1, 0))),                      IFERROR(INDEX('language&amp;DataTest'!A:J, MATCH(INDEX( PointerTest!D:D, MATCH(B243, PointerTest!A:A, 0), 0), 'language&amp;DataTest'!A:A, 0), MATCH(HOME!$A$25, 'language&amp;DataTest'!$A$1:$G$1, 0))),                                          
IFERROR(INDEX('language&amp;DataTest'!A:J, MATCH(INDEX( PointerTest!E:E, MATCH(B243, PointerTest!A:A, 0), 0), 'language&amp;DataTest'!A:A, 0), MATCH(HOME!$A$25, 'language&amp;DataTest'!$A$1:$G$1, 0))))</f>
        <v>Golbat</v>
      </c>
      <c r="D243" s="124" t="str">
        <f t="shared" si="1"/>
        <v>Golbat</v>
      </c>
      <c r="E243" s="124" t="b">
        <f>IFERROR(__xludf.DUMMYFUNCTION("REGEXMATCH(SUBSTITUTE(SUBSTITUTE(SUBSTITUTE(C243:C1000, ""♂"", ""male""), ""♀"", ""female""), "" ex"", """"), TEXTJOIN(""\b|"", TRUE,SPLIT($M$2, "" "")) &amp; ""\b"")"),TRUE)</f>
        <v>1</v>
      </c>
    </row>
    <row r="244">
      <c r="A244" s="397" t="b">
        <v>0</v>
      </c>
      <c r="B244" s="386" t="s">
        <v>361</v>
      </c>
      <c r="C244" s="386" t="str">
        <f t="array" ref="C244">TEXTJOIN("", TRUE, IFERROR(INDEX('language&amp;DataTest'!A:J, MATCH(INDEX( PointerTest!C:C, MATCH(B244, PointerTest!A:A, 0), 0), 'language&amp;DataTest'!A:A, 0), MATCH(HOME!$A$25, 'language&amp;DataTest'!$A$1:$G$1, 0))),                      IFERROR(INDEX('language&amp;DataTest'!A:J, MATCH(INDEX( PointerTest!D:D, MATCH(B244, PointerTest!A:A, 0), 0), 'language&amp;DataTest'!A:A, 0), MATCH(HOME!$A$25, 'language&amp;DataTest'!$A$1:$G$1, 0))),                                          
IFERROR(INDEX('language&amp;DataTest'!A:J, MATCH(INDEX( PointerTest!E:E, MATCH(B244, PointerTest!A:A, 0), 0), 'language&amp;DataTest'!A:A, 0), MATCH(HOME!$A$25, 'language&amp;DataTest'!$A$1:$G$1, 0))))</f>
        <v>Weezing</v>
      </c>
      <c r="D244" s="124" t="str">
        <f t="shared" si="1"/>
        <v>Weezing</v>
      </c>
      <c r="E244" s="124" t="b">
        <f>IFERROR(__xludf.DUMMYFUNCTION("REGEXMATCH(SUBSTITUTE(SUBSTITUTE(SUBSTITUTE(C244:C1000, ""♂"", ""male""), ""♀"", ""female""), "" ex"", """"), TEXTJOIN(""\b|"", TRUE,SPLIT($M$2, "" "")) &amp; ""\b"")"),TRUE)</f>
        <v>1</v>
      </c>
    </row>
    <row r="245">
      <c r="A245" s="397" t="b">
        <v>0</v>
      </c>
      <c r="B245" s="386" t="s">
        <v>362</v>
      </c>
      <c r="C245" s="386" t="str">
        <f t="array" ref="C245">TEXTJOIN("", TRUE, IFERROR(INDEX('language&amp;DataTest'!A:J, MATCH(INDEX( PointerTest!C:C, MATCH(B245, PointerTest!A:A, 0), 0), 'language&amp;DataTest'!A:A, 0), MATCH(HOME!$A$25, 'language&amp;DataTest'!$A$1:$G$1, 0))),                      IFERROR(INDEX('language&amp;DataTest'!A:J, MATCH(INDEX( PointerTest!D:D, MATCH(B245, PointerTest!A:A, 0), 0), 'language&amp;DataTest'!A:A, 0), MATCH(HOME!$A$25, 'language&amp;DataTest'!$A$1:$G$1, 0))),                                          
IFERROR(INDEX('language&amp;DataTest'!A:J, MATCH(INDEX( PointerTest!E:E, MATCH(B245, PointerTest!A:A, 0), 0), 'language&amp;DataTest'!A:A, 0), MATCH(HOME!$A$25, 'language&amp;DataTest'!$A$1:$G$1, 0))))</f>
        <v>Dragonite</v>
      </c>
      <c r="D245" s="124" t="str">
        <f t="shared" si="1"/>
        <v>Dragonite</v>
      </c>
      <c r="E245" s="124" t="b">
        <f>IFERROR(__xludf.DUMMYFUNCTION("REGEXMATCH(SUBSTITUTE(SUBSTITUTE(SUBSTITUTE(C245:C1000, ""♂"", ""male""), ""♀"", ""female""), "" ex"", """"), TEXTJOIN(""\b|"", TRUE,SPLIT($M$2, "" "")) &amp; ""\b"")"),TRUE)</f>
        <v>1</v>
      </c>
    </row>
    <row r="246">
      <c r="A246" s="397" t="b">
        <v>0</v>
      </c>
      <c r="B246" s="386" t="s">
        <v>363</v>
      </c>
      <c r="C246" s="386" t="str">
        <f t="array" ref="C246">TEXTJOIN("", TRUE, IFERROR(INDEX('language&amp;DataTest'!A:J, MATCH(INDEX( PointerTest!C:C, MATCH(B246, PointerTest!A:A, 0), 0), 'language&amp;DataTest'!A:A, 0), MATCH(HOME!$A$25, 'language&amp;DataTest'!$A$1:$G$1, 0))),                      IFERROR(INDEX('language&amp;DataTest'!A:J, MATCH(INDEX( PointerTest!D:D, MATCH(B246, PointerTest!A:A, 0), 0), 'language&amp;DataTest'!A:A, 0), MATCH(HOME!$A$25, 'language&amp;DataTest'!$A$1:$G$1, 0))),                                          
IFERROR(INDEX('language&amp;DataTest'!A:J, MATCH(INDEX( PointerTest!E:E, MATCH(B246, PointerTest!A:A, 0), 0), 'language&amp;DataTest'!A:A, 0), MATCH(HOME!$A$25, 'language&amp;DataTest'!$A$1:$G$1, 0))))</f>
        <v>Pidgeot</v>
      </c>
      <c r="D246" s="124" t="str">
        <f t="shared" si="1"/>
        <v>Pidgeot</v>
      </c>
      <c r="E246" s="124" t="b">
        <f>IFERROR(__xludf.DUMMYFUNCTION("REGEXMATCH(SUBSTITUTE(SUBSTITUTE(SUBSTITUTE(C246:C1000, ""♂"", ""male""), ""♀"", ""female""), "" ex"", """"), TEXTJOIN(""\b|"", TRUE,SPLIT($M$2, "" "")) &amp; ""\b"")"),TRUE)</f>
        <v>1</v>
      </c>
    </row>
    <row r="247">
      <c r="A247" s="397" t="b">
        <v>0</v>
      </c>
      <c r="B247" s="393" t="s">
        <v>364</v>
      </c>
      <c r="C247" s="386" t="str">
        <f t="array" ref="C247">TEXTJOIN("", TRUE, IFERROR(INDEX('language&amp;DataTest'!A:J, MATCH(INDEX( PointerTest!C:C, MATCH(B247, PointerTest!A:A, 0), 0), 'language&amp;DataTest'!A:A, 0), MATCH(HOME!$A$25, 'language&amp;DataTest'!$A$1:$G$1, 0))),                      IFERROR(INDEX('language&amp;DataTest'!A:J, MATCH(INDEX( PointerTest!D:D, MATCH(B247, PointerTest!A:A, 0), 0), 'language&amp;DataTest'!A:A, 0), MATCH(HOME!$A$25, 'language&amp;DataTest'!$A$1:$G$1, 0))),                                          
IFERROR(INDEX('language&amp;DataTest'!A:J, MATCH(INDEX( PointerTest!E:E, MATCH(B247, PointerTest!A:A, 0), 0), 'language&amp;DataTest'!A:A, 0), MATCH(HOME!$A$25, 'language&amp;DataTest'!$A$1:$G$1, 0))))</f>
        <v>Meowth</v>
      </c>
      <c r="D247" s="124" t="str">
        <f t="shared" si="1"/>
        <v>Meowth</v>
      </c>
      <c r="E247" s="124" t="b">
        <f>IFERROR(__xludf.DUMMYFUNCTION("REGEXMATCH(SUBSTITUTE(SUBSTITUTE(SUBSTITUTE(C247:C1000, ""♂"", ""male""), ""♀"", ""female""), "" ex"", """"), TEXTJOIN(""\b|"", TRUE,SPLIT($M$2, "" "")) &amp; ""\b"")"),TRUE)</f>
        <v>1</v>
      </c>
    </row>
    <row r="248">
      <c r="A248" s="397" t="b">
        <v>0</v>
      </c>
      <c r="B248" s="386" t="s">
        <v>365</v>
      </c>
      <c r="C248" s="386" t="str">
        <f t="array" ref="C248">TEXTJOIN("", TRUE, IFERROR(INDEX('language&amp;DataTest'!A:J, MATCH(INDEX( PointerTest!C:C, MATCH(B248, PointerTest!A:A, 0), 0), 'language&amp;DataTest'!A:A, 0), MATCH(HOME!$A$25, 'language&amp;DataTest'!$A$1:$G$1, 0))),                      IFERROR(INDEX('language&amp;DataTest'!A:J, MATCH(INDEX( PointerTest!D:D, MATCH(B248, PointerTest!A:A, 0), 0), 'language&amp;DataTest'!A:A, 0), MATCH(HOME!$A$25, 'language&amp;DataTest'!$A$1:$G$1, 0))),                                          
IFERROR(INDEX('language&amp;DataTest'!A:J, MATCH(INDEX( PointerTest!E:E, MATCH(B248, PointerTest!A:A, 0), 0), 'language&amp;DataTest'!A:A, 0), MATCH(HOME!$A$25, 'language&amp;DataTest'!$A$1:$G$1, 0))))</f>
        <v>Ditto</v>
      </c>
      <c r="D248" s="124" t="str">
        <f t="shared" si="1"/>
        <v>Ditto</v>
      </c>
      <c r="E248" s="124" t="b">
        <f>IFERROR(__xludf.DUMMYFUNCTION("REGEXMATCH(SUBSTITUTE(SUBSTITUTE(SUBSTITUTE(C248:C1000, ""♂"", ""male""), ""♀"", ""female""), "" ex"", """"), TEXTJOIN(""\b|"", TRUE,SPLIT($M$2, "" "")) &amp; ""\b"")"),TRUE)</f>
        <v>1</v>
      </c>
    </row>
    <row r="249">
      <c r="A249" s="397" t="b">
        <v>0</v>
      </c>
      <c r="B249" s="390" t="s">
        <v>366</v>
      </c>
      <c r="C249" s="386" t="str">
        <f t="array" ref="C249">TEXTJOIN("", TRUE, IFERROR(INDEX('language&amp;DataTest'!A:J, MATCH(INDEX( PointerTest!C:C, MATCH(B249, PointerTest!A:A, 0), 0), 'language&amp;DataTest'!A:A, 0), MATCH(HOME!$A$25, 'language&amp;DataTest'!$A$1:$G$1, 0))),                      IFERROR(INDEX('language&amp;DataTest'!A:J, MATCH(INDEX( PointerTest!D:D, MATCH(B249, PointerTest!A:A, 0), 0), 'language&amp;DataTest'!A:A, 0), MATCH(HOME!$A$25, 'language&amp;DataTest'!$A$1:$G$1, 0))),                                          
IFERROR(INDEX('language&amp;DataTest'!A:J, MATCH(INDEX( PointerTest!E:E, MATCH(B249, PointerTest!A:A, 0), 0), 'language&amp;DataTest'!A:A, 0), MATCH(HOME!$A$25, 'language&amp;DataTest'!$A$1:$G$1, 0))))</f>
        <v>Eevee</v>
      </c>
      <c r="D249" s="124" t="str">
        <f t="shared" si="1"/>
        <v>Eevee</v>
      </c>
      <c r="E249" s="124" t="b">
        <f>IFERROR(__xludf.DUMMYFUNCTION("REGEXMATCH(SUBSTITUTE(SUBSTITUTE(SUBSTITUTE(C249:C1000, ""♂"", ""male""), ""♀"", ""female""), "" ex"", """"), TEXTJOIN(""\b|"", TRUE,SPLIT($M$2, "" "")) &amp; ""\b"")"),TRUE)</f>
        <v>1</v>
      </c>
    </row>
    <row r="250">
      <c r="A250" s="397" t="b">
        <v>0</v>
      </c>
      <c r="B250" s="386" t="s">
        <v>367</v>
      </c>
      <c r="C250" s="386" t="str">
        <f t="array" ref="C250">TEXTJOIN("", TRUE, IFERROR(INDEX('language&amp;DataTest'!A:J, MATCH(INDEX( PointerTest!C:C, MATCH(B250, PointerTest!A:A, 0), 0), 'language&amp;DataTest'!A:A, 0), MATCH(HOME!$A$25, 'language&amp;DataTest'!$A$1:$G$1, 0))),                      IFERROR(INDEX('language&amp;DataTest'!A:J, MATCH(INDEX( PointerTest!D:D, MATCH(B250, PointerTest!A:A, 0), 0), 'language&amp;DataTest'!A:A, 0), MATCH(HOME!$A$25, 'language&amp;DataTest'!$A$1:$G$1, 0))),                                          
IFERROR(INDEX('language&amp;DataTest'!A:J, MATCH(INDEX( PointerTest!E:E, MATCH(B250, PointerTest!A:A, 0), 0), 'language&amp;DataTest'!A:A, 0), MATCH(HOME!$A$25, 'language&amp;DataTest'!$A$1:$G$1, 0))))</f>
        <v>Porygon</v>
      </c>
      <c r="D250" s="124" t="str">
        <f t="shared" si="1"/>
        <v>Porygon</v>
      </c>
      <c r="E250" s="124" t="b">
        <f>IFERROR(__xludf.DUMMYFUNCTION("REGEXMATCH(SUBSTITUTE(SUBSTITUTE(SUBSTITUTE(C250:C1000, ""♂"", ""male""), ""♀"", ""female""), "" ex"", """"), TEXTJOIN(""\b|"", TRUE,SPLIT($M$2, "" "")) &amp; ""\b"")"),TRUE)</f>
        <v>1</v>
      </c>
    </row>
    <row r="251">
      <c r="A251" s="397" t="b">
        <v>0</v>
      </c>
      <c r="B251" s="390" t="s">
        <v>368</v>
      </c>
      <c r="C251" s="386" t="str">
        <f t="array" ref="C251">TEXTJOIN("", TRUE, IFERROR(INDEX('language&amp;DataTest'!A:J, MATCH(INDEX( PointerTest!C:C, MATCH(B251, PointerTest!A:A, 0), 0), 'language&amp;DataTest'!A:A, 0), MATCH(HOME!$A$25, 'language&amp;DataTest'!$A$1:$G$1, 0))),                      IFERROR(INDEX('language&amp;DataTest'!A:J, MATCH(INDEX( PointerTest!D:D, MATCH(B251, PointerTest!A:A, 0), 0), 'language&amp;DataTest'!A:A, 0), MATCH(HOME!$A$25, 'language&amp;DataTest'!$A$1:$G$1, 0))),                                          
IFERROR(INDEX('language&amp;DataTest'!A:J, MATCH(INDEX( PointerTest!E:E, MATCH(B251, PointerTest!A:A, 0), 0), 'language&amp;DataTest'!A:A, 0), MATCH(HOME!$A$25, 'language&amp;DataTest'!$A$1:$G$1, 0))))</f>
        <v>Snorlax</v>
      </c>
      <c r="D251" s="124" t="str">
        <f t="shared" si="1"/>
        <v>Snorlax</v>
      </c>
      <c r="E251" s="124" t="b">
        <f>IFERROR(__xludf.DUMMYFUNCTION("REGEXMATCH(SUBSTITUTE(SUBSTITUTE(SUBSTITUTE(C251:C1000, ""♂"", ""male""), ""♀"", ""female""), "" ex"", """"), TEXTJOIN(""\b|"", TRUE,SPLIT($M$2, "" "")) &amp; ""\b"")"),TRUE)</f>
        <v>1</v>
      </c>
    </row>
    <row r="252">
      <c r="A252" s="397" t="b">
        <v>0</v>
      </c>
      <c r="B252" s="386" t="s">
        <v>369</v>
      </c>
      <c r="C252" s="386" t="str">
        <f t="array" ref="C252">TEXTJOIN("", TRUE, IFERROR(INDEX('language&amp;DataTest'!A:J, MATCH(INDEX( PointerTest!C:C, MATCH(B252, PointerTest!A:A, 0), 0), 'language&amp;DataTest'!A:A, 0), MATCH(HOME!$A$25, 'language&amp;DataTest'!$A$1:$G$1, 0))),                      IFERROR(INDEX('language&amp;DataTest'!A:J, MATCH(INDEX( PointerTest!D:D, MATCH(B252, PointerTest!A:A, 0), 0), 'language&amp;DataTest'!A:A, 0), MATCH(HOME!$A$25, 'language&amp;DataTest'!$A$1:$G$1, 0))),                                          
IFERROR(INDEX('language&amp;DataTest'!A:J, MATCH(INDEX( PointerTest!E:E, MATCH(B252, PointerTest!A:A, 0), 0), 'language&amp;DataTest'!A:A, 0), MATCH(HOME!$A$25, 'language&amp;DataTest'!$A$1:$G$1, 0))))</f>
        <v>Venusaur ex</v>
      </c>
      <c r="D252" s="124" t="str">
        <f t="shared" si="1"/>
        <v>Venusaur</v>
      </c>
      <c r="E252" s="124" t="b">
        <f>IFERROR(__xludf.DUMMYFUNCTION("REGEXMATCH(SUBSTITUTE(SUBSTITUTE(SUBSTITUTE(C252:C1000, ""♂"", ""male""), ""♀"", ""female""), "" ex"", """"), TEXTJOIN(""\b|"", TRUE,SPLIT($M$2, "" "")) &amp; ""\b"")"),TRUE)</f>
        <v>1</v>
      </c>
    </row>
    <row r="253">
      <c r="A253" s="397" t="b">
        <v>0</v>
      </c>
      <c r="B253" s="393" t="s">
        <v>370</v>
      </c>
      <c r="C253" s="386" t="str">
        <f t="array" ref="C253">TEXTJOIN("", TRUE, IFERROR(INDEX('language&amp;DataTest'!A:J, MATCH(INDEX( PointerTest!C:C, MATCH(B253, PointerTest!A:A, 0), 0), 'language&amp;DataTest'!A:A, 0), MATCH(HOME!$A$25, 'language&amp;DataTest'!$A$1:$G$1, 0))),                      IFERROR(INDEX('language&amp;DataTest'!A:J, MATCH(INDEX( PointerTest!D:D, MATCH(B253, PointerTest!A:A, 0), 0), 'language&amp;DataTest'!A:A, 0), MATCH(HOME!$A$25, 'language&amp;DataTest'!$A$1:$G$1, 0))),                                          
IFERROR(INDEX('language&amp;DataTest'!A:J, MATCH(INDEX( PointerTest!E:E, MATCH(B253, PointerTest!A:A, 0), 0), 'language&amp;DataTest'!A:A, 0), MATCH(HOME!$A$25, 'language&amp;DataTest'!$A$1:$G$1, 0))))</f>
        <v>Exeggutor ex</v>
      </c>
      <c r="D253" s="124" t="str">
        <f t="shared" si="1"/>
        <v>Exeggutor</v>
      </c>
      <c r="E253" s="124" t="b">
        <f>IFERROR(__xludf.DUMMYFUNCTION("REGEXMATCH(SUBSTITUTE(SUBSTITUTE(SUBSTITUTE(C253:C1000, ""♂"", ""male""), ""♀"", ""female""), "" ex"", """"), TEXTJOIN(""\b|"", TRUE,SPLIT($M$2, "" "")) &amp; ""\b"")"),TRUE)</f>
        <v>1</v>
      </c>
    </row>
    <row r="254">
      <c r="A254" s="397" t="b">
        <v>0</v>
      </c>
      <c r="B254" s="393" t="s">
        <v>371</v>
      </c>
      <c r="C254" s="386" t="str">
        <f t="array" ref="C254">TEXTJOIN("", TRUE, IFERROR(INDEX('language&amp;DataTest'!A:J, MATCH(INDEX( PointerTest!C:C, MATCH(B254, PointerTest!A:A, 0), 0), 'language&amp;DataTest'!A:A, 0), MATCH(HOME!$A$25, 'language&amp;DataTest'!$A$1:$G$1, 0))),                      IFERROR(INDEX('language&amp;DataTest'!A:J, MATCH(INDEX( PointerTest!D:D, MATCH(B254, PointerTest!A:A, 0), 0), 'language&amp;DataTest'!A:A, 0), MATCH(HOME!$A$25, 'language&amp;DataTest'!$A$1:$G$1, 0))),                                          
IFERROR(INDEX('language&amp;DataTest'!A:J, MATCH(INDEX( PointerTest!E:E, MATCH(B254, PointerTest!A:A, 0), 0), 'language&amp;DataTest'!A:A, 0), MATCH(HOME!$A$25, 'language&amp;DataTest'!$A$1:$G$1, 0))))</f>
        <v>Charizard ex</v>
      </c>
      <c r="D254" s="124" t="str">
        <f t="shared" si="1"/>
        <v>Charizard</v>
      </c>
      <c r="E254" s="124" t="b">
        <f>IFERROR(__xludf.DUMMYFUNCTION("REGEXMATCH(SUBSTITUTE(SUBSTITUTE(SUBSTITUTE(C254:C1000, ""♂"", ""male""), ""♀"", ""female""), "" ex"", """"), TEXTJOIN(""\b|"", TRUE,SPLIT($M$2, "" "")) &amp; ""\b"")"),TRUE)</f>
        <v>1</v>
      </c>
    </row>
    <row r="255">
      <c r="A255" s="397" t="b">
        <v>0</v>
      </c>
      <c r="B255" s="390" t="s">
        <v>374</v>
      </c>
      <c r="C255" s="386" t="str">
        <f t="array" ref="C255">TEXTJOIN("", TRUE, IFERROR(INDEX('language&amp;DataTest'!A:J, MATCH(INDEX( PointerTest!C:C, MATCH(B255, PointerTest!A:A, 0), 0), 'language&amp;DataTest'!A:A, 0), MATCH(HOME!$A$25, 'language&amp;DataTest'!$A$1:$G$1, 0))),                      IFERROR(INDEX('language&amp;DataTest'!A:J, MATCH(INDEX( PointerTest!D:D, MATCH(B255, PointerTest!A:A, 0), 0), 'language&amp;DataTest'!A:A, 0), MATCH(HOME!$A$25, 'language&amp;DataTest'!$A$1:$G$1, 0))),                                          
IFERROR(INDEX('language&amp;DataTest'!A:J, MATCH(INDEX( PointerTest!E:E, MATCH(B255, PointerTest!A:A, 0), 0), 'language&amp;DataTest'!A:A, 0), MATCH(HOME!$A$25, 'language&amp;DataTest'!$A$1:$G$1, 0))))</f>
        <v>Arcanine ex</v>
      </c>
      <c r="D255" s="124" t="str">
        <f t="shared" si="1"/>
        <v>Arcanine</v>
      </c>
      <c r="E255" s="124" t="b">
        <f>IFERROR(__xludf.DUMMYFUNCTION("REGEXMATCH(SUBSTITUTE(SUBSTITUTE(SUBSTITUTE(C255:C1000, ""♂"", ""male""), ""♀"", ""female""), "" ex"", """"), TEXTJOIN(""\b|"", TRUE,SPLIT($M$2, "" "")) &amp; ""\b"")"),TRUE)</f>
        <v>1</v>
      </c>
    </row>
    <row r="256">
      <c r="A256" s="397" t="b">
        <v>0</v>
      </c>
      <c r="B256" s="393" t="s">
        <v>375</v>
      </c>
      <c r="C256" s="386" t="str">
        <f t="array" ref="C256">TEXTJOIN("", TRUE, IFERROR(INDEX('language&amp;DataTest'!A:J, MATCH(INDEX( PointerTest!C:C, MATCH(B256, PointerTest!A:A, 0), 0), 'language&amp;DataTest'!A:A, 0), MATCH(HOME!$A$25, 'language&amp;DataTest'!$A$1:$G$1, 0))),                      IFERROR(INDEX('language&amp;DataTest'!A:J, MATCH(INDEX( PointerTest!D:D, MATCH(B256, PointerTest!A:A, 0), 0), 'language&amp;DataTest'!A:A, 0), MATCH(HOME!$A$25, 'language&amp;DataTest'!$A$1:$G$1, 0))),                                          
IFERROR(INDEX('language&amp;DataTest'!A:J, MATCH(INDEX( PointerTest!E:E, MATCH(B256, PointerTest!A:A, 0), 0), 'language&amp;DataTest'!A:A, 0), MATCH(HOME!$A$25, 'language&amp;DataTest'!$A$1:$G$1, 0))))</f>
        <v>Moltres ex</v>
      </c>
      <c r="D256" s="124" t="str">
        <f t="shared" si="1"/>
        <v>Moltres</v>
      </c>
      <c r="E256" s="124" t="b">
        <f>IFERROR(__xludf.DUMMYFUNCTION("REGEXMATCH(SUBSTITUTE(SUBSTITUTE(SUBSTITUTE(C256:C1000, ""♂"", ""male""), ""♀"", ""female""), "" ex"", """"), TEXTJOIN(""\b|"", TRUE,SPLIT($M$2, "" "")) &amp; ""\b"")"),TRUE)</f>
        <v>1</v>
      </c>
    </row>
    <row r="257">
      <c r="A257" s="397" t="b">
        <v>0</v>
      </c>
      <c r="B257" s="390" t="s">
        <v>376</v>
      </c>
      <c r="C257" s="386" t="str">
        <f t="array" ref="C257">TEXTJOIN("", TRUE, IFERROR(INDEX('language&amp;DataTest'!A:J, MATCH(INDEX( PointerTest!C:C, MATCH(B257, PointerTest!A:A, 0), 0), 'language&amp;DataTest'!A:A, 0), MATCH(HOME!$A$25, 'language&amp;DataTest'!$A$1:$G$1, 0))),                      IFERROR(INDEX('language&amp;DataTest'!A:J, MATCH(INDEX( PointerTest!D:D, MATCH(B257, PointerTest!A:A, 0), 0), 'language&amp;DataTest'!A:A, 0), MATCH(HOME!$A$25, 'language&amp;DataTest'!$A$1:$G$1, 0))),                                          
IFERROR(INDEX('language&amp;DataTest'!A:J, MATCH(INDEX( PointerTest!E:E, MATCH(B257, PointerTest!A:A, 0), 0), 'language&amp;DataTest'!A:A, 0), MATCH(HOME!$A$25, 'language&amp;DataTest'!$A$1:$G$1, 0))))</f>
        <v>Blastoise ex</v>
      </c>
      <c r="D257" s="124" t="str">
        <f t="shared" si="1"/>
        <v>Blastoise</v>
      </c>
      <c r="E257" s="124" t="b">
        <f>IFERROR(__xludf.DUMMYFUNCTION("REGEXMATCH(SUBSTITUTE(SUBSTITUTE(SUBSTITUTE(C257:C1000, ""♂"", ""male""), ""♀"", ""female""), "" ex"", """"), TEXTJOIN(""\b|"", TRUE,SPLIT($M$2, "" "")) &amp; ""\b"")"),TRUE)</f>
        <v>1</v>
      </c>
    </row>
    <row r="258">
      <c r="A258" s="397" t="b">
        <v>0</v>
      </c>
      <c r="B258" s="393" t="s">
        <v>377</v>
      </c>
      <c r="C258" s="386" t="str">
        <f t="array" ref="C258">TEXTJOIN("", TRUE, IFERROR(INDEX('language&amp;DataTest'!A:J, MATCH(INDEX( PointerTest!C:C, MATCH(B258, PointerTest!A:A, 0), 0), 'language&amp;DataTest'!A:A, 0), MATCH(HOME!$A$25, 'language&amp;DataTest'!$A$1:$G$1, 0))),                      IFERROR(INDEX('language&amp;DataTest'!A:J, MATCH(INDEX( PointerTest!D:D, MATCH(B258, PointerTest!A:A, 0), 0), 'language&amp;DataTest'!A:A, 0), MATCH(HOME!$A$25, 'language&amp;DataTest'!$A$1:$G$1, 0))),                                          
IFERROR(INDEX('language&amp;DataTest'!A:J, MATCH(INDEX( PointerTest!E:E, MATCH(B258, PointerTest!A:A, 0), 0), 'language&amp;DataTest'!A:A, 0), MATCH(HOME!$A$25, 'language&amp;DataTest'!$A$1:$G$1, 0))))</f>
        <v>Starmie ex</v>
      </c>
      <c r="D258" s="124" t="str">
        <f t="shared" si="1"/>
        <v>Starmie</v>
      </c>
      <c r="E258" s="124" t="b">
        <f>IFERROR(__xludf.DUMMYFUNCTION("REGEXMATCH(SUBSTITUTE(SUBSTITUTE(SUBSTITUTE(C258:C1000, ""♂"", ""male""), ""♀"", ""female""), "" ex"", """"), TEXTJOIN(""\b|"", TRUE,SPLIT($M$2, "" "")) &amp; ""\b"")"),TRUE)</f>
        <v>1</v>
      </c>
    </row>
    <row r="259">
      <c r="A259" s="397" t="b">
        <v>0</v>
      </c>
      <c r="B259" s="386" t="s">
        <v>380</v>
      </c>
      <c r="C259" s="386" t="str">
        <f t="array" ref="C259">TEXTJOIN("", TRUE, IFERROR(INDEX('language&amp;DataTest'!A:J, MATCH(INDEX( PointerTest!C:C, MATCH(B259, PointerTest!A:A, 0), 0), 'language&amp;DataTest'!A:A, 0), MATCH(HOME!$A$25, 'language&amp;DataTest'!$A$1:$G$1, 0))),                      IFERROR(INDEX('language&amp;DataTest'!A:J, MATCH(INDEX( PointerTest!D:D, MATCH(B259, PointerTest!A:A, 0), 0), 'language&amp;DataTest'!A:A, 0), MATCH(HOME!$A$25, 'language&amp;DataTest'!$A$1:$G$1, 0))),                                          
IFERROR(INDEX('language&amp;DataTest'!A:J, MATCH(INDEX( PointerTest!E:E, MATCH(B259, PointerTest!A:A, 0), 0), 'language&amp;DataTest'!A:A, 0), MATCH(HOME!$A$25, 'language&amp;DataTest'!$A$1:$G$1, 0))))</f>
        <v>Articuno ex</v>
      </c>
      <c r="D259" s="124" t="str">
        <f t="shared" si="1"/>
        <v>Articuno</v>
      </c>
      <c r="E259" s="124" t="b">
        <f>IFERROR(__xludf.DUMMYFUNCTION("REGEXMATCH(SUBSTITUTE(SUBSTITUTE(SUBSTITUTE(C259:C1000, ""♂"", ""male""), ""♀"", ""female""), "" ex"", """"), TEXTJOIN(""\b|"", TRUE,SPLIT($M$2, "" "")) &amp; ""\b"")"),TRUE)</f>
        <v>1</v>
      </c>
    </row>
    <row r="260">
      <c r="A260" s="397" t="b">
        <v>0</v>
      </c>
      <c r="B260" s="390" t="s">
        <v>382</v>
      </c>
      <c r="C260" s="386" t="str">
        <f t="array" ref="C260">TEXTJOIN("", TRUE, IFERROR(INDEX('language&amp;DataTest'!A:J, MATCH(INDEX( PointerTest!C:C, MATCH(B260, PointerTest!A:A, 0), 0), 'language&amp;DataTest'!A:A, 0), MATCH(HOME!$A$25, 'language&amp;DataTest'!$A$1:$G$1, 0))),                      IFERROR(INDEX('language&amp;DataTest'!A:J, MATCH(INDEX( PointerTest!D:D, MATCH(B260, PointerTest!A:A, 0), 0), 'language&amp;DataTest'!A:A, 0), MATCH(HOME!$A$25, 'language&amp;DataTest'!$A$1:$G$1, 0))),                                          
IFERROR(INDEX('language&amp;DataTest'!A:J, MATCH(INDEX( PointerTest!E:E, MATCH(B260, PointerTest!A:A, 0), 0), 'language&amp;DataTest'!A:A, 0), MATCH(HOME!$A$25, 'language&amp;DataTest'!$A$1:$G$1, 0))))</f>
        <v>Pikachu ex</v>
      </c>
      <c r="D260" s="124" t="str">
        <f t="shared" si="1"/>
        <v>Pikachu</v>
      </c>
      <c r="E260" s="124" t="b">
        <f>IFERROR(__xludf.DUMMYFUNCTION("REGEXMATCH(SUBSTITUTE(SUBSTITUTE(SUBSTITUTE(C260:C1000, ""♂"", ""male""), ""♀"", ""female""), "" ex"", """"), TEXTJOIN(""\b|"", TRUE,SPLIT($M$2, "" "")) &amp; ""\b"")"),TRUE)</f>
        <v>1</v>
      </c>
    </row>
    <row r="261">
      <c r="A261" s="397" t="b">
        <v>0</v>
      </c>
      <c r="B261" s="390" t="s">
        <v>384</v>
      </c>
      <c r="C261" s="386" t="str">
        <f t="array" ref="C261">TEXTJOIN("", TRUE, IFERROR(INDEX('language&amp;DataTest'!A:J, MATCH(INDEX( PointerTest!C:C, MATCH(B261, PointerTest!A:A, 0), 0), 'language&amp;DataTest'!A:A, 0), MATCH(HOME!$A$25, 'language&amp;DataTest'!$A$1:$G$1, 0))),                      IFERROR(INDEX('language&amp;DataTest'!A:J, MATCH(INDEX( PointerTest!D:D, MATCH(B261, PointerTest!A:A, 0), 0), 'language&amp;DataTest'!A:A, 0), MATCH(HOME!$A$25, 'language&amp;DataTest'!$A$1:$G$1, 0))),                                          
IFERROR(INDEX('language&amp;DataTest'!A:J, MATCH(INDEX( PointerTest!E:E, MATCH(B261, PointerTest!A:A, 0), 0), 'language&amp;DataTest'!A:A, 0), MATCH(HOME!$A$25, 'language&amp;DataTest'!$A$1:$G$1, 0))))</f>
        <v>Zapdos ex</v>
      </c>
      <c r="D261" s="124" t="str">
        <f t="shared" si="1"/>
        <v>Zapdos</v>
      </c>
      <c r="E261" s="124" t="b">
        <f>IFERROR(__xludf.DUMMYFUNCTION("REGEXMATCH(SUBSTITUTE(SUBSTITUTE(SUBSTITUTE(C261:C1000, ""♂"", ""male""), ""♀"", ""female""), "" ex"", """"), TEXTJOIN(""\b|"", TRUE,SPLIT($M$2, "" "")) &amp; ""\b"")"),TRUE)</f>
        <v>1</v>
      </c>
    </row>
    <row r="262">
      <c r="A262" s="397" t="b">
        <v>0</v>
      </c>
      <c r="B262" s="386" t="s">
        <v>386</v>
      </c>
      <c r="C262" s="386" t="str">
        <f t="array" ref="C262">TEXTJOIN("", TRUE, IFERROR(INDEX('language&amp;DataTest'!A:J, MATCH(INDEX( PointerTest!C:C, MATCH(B262, PointerTest!A:A, 0), 0), 'language&amp;DataTest'!A:A, 0), MATCH(HOME!$A$25, 'language&amp;DataTest'!$A$1:$G$1, 0))),                      IFERROR(INDEX('language&amp;DataTest'!A:J, MATCH(INDEX( PointerTest!D:D, MATCH(B262, PointerTest!A:A, 0), 0), 'language&amp;DataTest'!A:A, 0), MATCH(HOME!$A$25, 'language&amp;DataTest'!$A$1:$G$1, 0))),                                          
IFERROR(INDEX('language&amp;DataTest'!A:J, MATCH(INDEX( PointerTest!E:E, MATCH(B262, PointerTest!A:A, 0), 0), 'language&amp;DataTest'!A:A, 0), MATCH(HOME!$A$25, 'language&amp;DataTest'!$A$1:$G$1, 0))))</f>
        <v>Gengar ex</v>
      </c>
      <c r="D262" s="124" t="str">
        <f t="shared" si="1"/>
        <v>Gengar</v>
      </c>
      <c r="E262" s="124" t="b">
        <f>IFERROR(__xludf.DUMMYFUNCTION("REGEXMATCH(SUBSTITUTE(SUBSTITUTE(SUBSTITUTE(C262:C1000, ""♂"", ""male""), ""♀"", ""female""), "" ex"", """"), TEXTJOIN(""\b|"", TRUE,SPLIT($M$2, "" "")) &amp; ""\b"")"),TRUE)</f>
        <v>1</v>
      </c>
    </row>
    <row r="263">
      <c r="A263" s="397" t="b">
        <v>0</v>
      </c>
      <c r="B263" s="386" t="s">
        <v>388</v>
      </c>
      <c r="C263" s="386" t="str">
        <f t="array" ref="C263">TEXTJOIN("", TRUE, IFERROR(INDEX('language&amp;DataTest'!A:J, MATCH(INDEX( PointerTest!C:C, MATCH(B263, PointerTest!A:A, 0), 0), 'language&amp;DataTest'!A:A, 0), MATCH(HOME!$A$25, 'language&amp;DataTest'!$A$1:$G$1, 0))),                      IFERROR(INDEX('language&amp;DataTest'!A:J, MATCH(INDEX( PointerTest!D:D, MATCH(B263, PointerTest!A:A, 0), 0), 'language&amp;DataTest'!A:A, 0), MATCH(HOME!$A$25, 'language&amp;DataTest'!$A$1:$G$1, 0))),                                          
IFERROR(INDEX('language&amp;DataTest'!A:J, MATCH(INDEX( PointerTest!E:E, MATCH(B263, PointerTest!A:A, 0), 0), 'language&amp;DataTest'!A:A, 0), MATCH(HOME!$A$25, 'language&amp;DataTest'!$A$1:$G$1, 0))))</f>
        <v>Mewtwo ex</v>
      </c>
      <c r="D263" s="124" t="str">
        <f t="shared" si="1"/>
        <v>Mewtwo</v>
      </c>
      <c r="E263" s="124" t="b">
        <f>IFERROR(__xludf.DUMMYFUNCTION("REGEXMATCH(SUBSTITUTE(SUBSTITUTE(SUBSTITUTE(C263:C1000, ""♂"", ""male""), ""♀"", ""female""), "" ex"", """"), TEXTJOIN(""\b|"", TRUE,SPLIT($M$2, "" "")) &amp; ""\b"")"),TRUE)</f>
        <v>1</v>
      </c>
    </row>
    <row r="264">
      <c r="A264" s="397" t="b">
        <v>0</v>
      </c>
      <c r="B264" s="393" t="s">
        <v>390</v>
      </c>
      <c r="C264" s="386" t="str">
        <f t="array" ref="C264">TEXTJOIN("", TRUE, IFERROR(INDEX('language&amp;DataTest'!A:J, MATCH(INDEX( PointerTest!C:C, MATCH(B264, PointerTest!A:A, 0), 0), 'language&amp;DataTest'!A:A, 0), MATCH(HOME!$A$25, 'language&amp;DataTest'!$A$1:$G$1, 0))),                      IFERROR(INDEX('language&amp;DataTest'!A:J, MATCH(INDEX( PointerTest!D:D, MATCH(B264, PointerTest!A:A, 0), 0), 'language&amp;DataTest'!A:A, 0), MATCH(HOME!$A$25, 'language&amp;DataTest'!$A$1:$G$1, 0))),                                          
IFERROR(INDEX('language&amp;DataTest'!A:J, MATCH(INDEX( PointerTest!E:E, MATCH(B264, PointerTest!A:A, 0), 0), 'language&amp;DataTest'!A:A, 0), MATCH(HOME!$A$25, 'language&amp;DataTest'!$A$1:$G$1, 0))))</f>
        <v>Machamp ex</v>
      </c>
      <c r="D264" s="124" t="str">
        <f t="shared" si="1"/>
        <v>Machamp</v>
      </c>
      <c r="E264" s="124" t="b">
        <f>IFERROR(__xludf.DUMMYFUNCTION("REGEXMATCH(SUBSTITUTE(SUBSTITUTE(SUBSTITUTE(C264:C1000, ""♂"", ""male""), ""♀"", ""female""), "" ex"", """"), TEXTJOIN(""\b|"", TRUE,SPLIT($M$2, "" "")) &amp; ""\b"")"),TRUE)</f>
        <v>1</v>
      </c>
    </row>
    <row r="265">
      <c r="A265" s="397" t="b">
        <v>0</v>
      </c>
      <c r="B265" s="386" t="s">
        <v>392</v>
      </c>
      <c r="C265" s="386" t="str">
        <f t="array" ref="C265">TEXTJOIN("", TRUE, IFERROR(INDEX('language&amp;DataTest'!A:J, MATCH(INDEX( PointerTest!C:C, MATCH(B265, PointerTest!A:A, 0), 0), 'language&amp;DataTest'!A:A, 0), MATCH(HOME!$A$25, 'language&amp;DataTest'!$A$1:$G$1, 0))),                      IFERROR(INDEX('language&amp;DataTest'!A:J, MATCH(INDEX( PointerTest!D:D, MATCH(B265, PointerTest!A:A, 0), 0), 'language&amp;DataTest'!A:A, 0), MATCH(HOME!$A$25, 'language&amp;DataTest'!$A$1:$G$1, 0))),                                          
IFERROR(INDEX('language&amp;DataTest'!A:J, MATCH(INDEX( PointerTest!E:E, MATCH(B265, PointerTest!A:A, 0), 0), 'language&amp;DataTest'!A:A, 0), MATCH(HOME!$A$25, 'language&amp;DataTest'!$A$1:$G$1, 0))))</f>
        <v>Marowak ex</v>
      </c>
      <c r="D265" s="124" t="str">
        <f t="shared" si="1"/>
        <v>Marowak</v>
      </c>
      <c r="E265" s="124" t="b">
        <f>IFERROR(__xludf.DUMMYFUNCTION("REGEXMATCH(SUBSTITUTE(SUBSTITUTE(SUBSTITUTE(C265:C1000, ""♂"", ""male""), ""♀"", ""female""), "" ex"", """"), TEXTJOIN(""\b|"", TRUE,SPLIT($M$2, "" "")) &amp; ""\b"")"),TRUE)</f>
        <v>1</v>
      </c>
    </row>
    <row r="266">
      <c r="A266" s="397" t="b">
        <v>0</v>
      </c>
      <c r="B266" s="390" t="s">
        <v>394</v>
      </c>
      <c r="C266" s="386" t="str">
        <f t="array" ref="C266">TEXTJOIN("", TRUE, IFERROR(INDEX('language&amp;DataTest'!A:J, MATCH(INDEX( PointerTest!C:C, MATCH(B266, PointerTest!A:A, 0), 0), 'language&amp;DataTest'!A:A, 0), MATCH(HOME!$A$25, 'language&amp;DataTest'!$A$1:$G$1, 0))),                      IFERROR(INDEX('language&amp;DataTest'!A:J, MATCH(INDEX( PointerTest!D:D, MATCH(B266, PointerTest!A:A, 0), 0), 'language&amp;DataTest'!A:A, 0), MATCH(HOME!$A$25, 'language&amp;DataTest'!$A$1:$G$1, 0))),                                          
IFERROR(INDEX('language&amp;DataTest'!A:J, MATCH(INDEX( PointerTest!E:E, MATCH(B266, PointerTest!A:A, 0), 0), 'language&amp;DataTest'!A:A, 0), MATCH(HOME!$A$25, 'language&amp;DataTest'!$A$1:$G$1, 0))))</f>
        <v>Wigglytuff ex</v>
      </c>
      <c r="D266" s="124" t="str">
        <f t="shared" si="1"/>
        <v>Wigglytuff</v>
      </c>
      <c r="E266" s="124" t="b">
        <f>IFERROR(__xludf.DUMMYFUNCTION("REGEXMATCH(SUBSTITUTE(SUBSTITUTE(SUBSTITUTE(C266:C1000, ""♂"", ""male""), ""♀"", ""female""), "" ex"", """"), TEXTJOIN(""\b|"", TRUE,SPLIT($M$2, "" "")) &amp; ""\b"")"),TRUE)</f>
        <v>1</v>
      </c>
    </row>
    <row r="267">
      <c r="A267" s="397" t="b">
        <v>1</v>
      </c>
      <c r="B267" s="393" t="s">
        <v>396</v>
      </c>
      <c r="C267" s="386" t="str">
        <f t="array" ref="C267">TEXTJOIN("", TRUE, IFERROR(INDEX('language&amp;DataTest'!A:J, MATCH(INDEX( PointerTest!C:C, MATCH(B267, PointerTest!A:A, 0), 0), 'language&amp;DataTest'!A:A, 0), MATCH(HOME!$A$25, 'language&amp;DataTest'!$A$1:$G$1, 0))),                      IFERROR(INDEX('language&amp;DataTest'!A:J, MATCH(INDEX( PointerTest!D:D, MATCH(B267, PointerTest!A:A, 0), 0), 'language&amp;DataTest'!A:A, 0), MATCH(HOME!$A$25, 'language&amp;DataTest'!$A$1:$G$1, 0))),                                          
IFERROR(INDEX('language&amp;DataTest'!A:J, MATCH(INDEX( PointerTest!E:E, MATCH(B267, PointerTest!A:A, 0), 0), 'language&amp;DataTest'!A:A, 0), MATCH(HOME!$A$25, 'language&amp;DataTest'!$A$1:$G$1, 0))))</f>
        <v>Erika</v>
      </c>
      <c r="D267" s="124" t="str">
        <f t="shared" si="1"/>
        <v>Erika</v>
      </c>
      <c r="E267" s="124" t="b">
        <f>IFERROR(__xludf.DUMMYFUNCTION("REGEXMATCH(SUBSTITUTE(SUBSTITUTE(SUBSTITUTE(C267:C1000, ""♂"", ""male""), ""♀"", ""female""), "" ex"", """"), TEXTJOIN(""\b|"", TRUE,SPLIT($M$2, "" "")) &amp; ""\b"")"),FALSE)</f>
        <v>0</v>
      </c>
    </row>
    <row r="268">
      <c r="A268" s="398" t="b">
        <v>1</v>
      </c>
      <c r="B268" s="390" t="s">
        <v>398</v>
      </c>
      <c r="C268" s="386" t="str">
        <f t="array" ref="C268">TEXTJOIN("", TRUE, IFERROR(INDEX('language&amp;DataTest'!A:J, MATCH(INDEX( PointerTest!C:C, MATCH(B268, PointerTest!A:A, 0), 0), 'language&amp;DataTest'!A:A, 0), MATCH(HOME!$A$25, 'language&amp;DataTest'!$A$1:$G$1, 0))),                      IFERROR(INDEX('language&amp;DataTest'!A:J, MATCH(INDEX( PointerTest!D:D, MATCH(B268, PointerTest!A:A, 0), 0), 'language&amp;DataTest'!A:A, 0), MATCH(HOME!$A$25, 'language&amp;DataTest'!$A$1:$G$1, 0))),                                          
IFERROR(INDEX('language&amp;DataTest'!A:J, MATCH(INDEX( PointerTest!E:E, MATCH(B268, PointerTest!A:A, 0), 0), 'language&amp;DataTest'!A:A, 0), MATCH(HOME!$A$25, 'language&amp;DataTest'!$A$1:$G$1, 0))))</f>
        <v>Misty</v>
      </c>
      <c r="D268" s="124" t="str">
        <f t="shared" si="1"/>
        <v>Misty</v>
      </c>
      <c r="E268" s="124" t="b">
        <f>IFERROR(__xludf.DUMMYFUNCTION("REGEXMATCH(SUBSTITUTE(SUBSTITUTE(SUBSTITUTE(C268:C1000, ""♂"", ""male""), ""♀"", ""female""), "" ex"", """"), TEXTJOIN(""\b|"", TRUE,SPLIT($M$2, "" "")) &amp; ""\b"")"),FALSE)</f>
        <v>0</v>
      </c>
    </row>
    <row r="269">
      <c r="A269" s="399" t="b">
        <v>1</v>
      </c>
      <c r="B269" s="393" t="s">
        <v>400</v>
      </c>
      <c r="C269" s="386" t="str">
        <f t="array" ref="C269">TEXTJOIN("", TRUE, IFERROR(INDEX('language&amp;DataTest'!A:J, MATCH(INDEX( PointerTest!C:C, MATCH(B269, PointerTest!A:A, 0), 0), 'language&amp;DataTest'!A:A, 0), MATCH(HOME!$A$25, 'language&amp;DataTest'!$A$1:$G$1, 0))),                      IFERROR(INDEX('language&amp;DataTest'!A:J, MATCH(INDEX( PointerTest!D:D, MATCH(B269, PointerTest!A:A, 0), 0), 'language&amp;DataTest'!A:A, 0), MATCH(HOME!$A$25, 'language&amp;DataTest'!$A$1:$G$1, 0))),                                          
IFERROR(INDEX('language&amp;DataTest'!A:J, MATCH(INDEX( PointerTest!E:E, MATCH(B269, PointerTest!A:A, 0), 0), 'language&amp;DataTest'!A:A, 0), MATCH(HOME!$A$25, 'language&amp;DataTest'!$A$1:$G$1, 0))))</f>
        <v>Blaine</v>
      </c>
      <c r="D269" s="124" t="str">
        <f t="shared" si="1"/>
        <v>Blaine</v>
      </c>
      <c r="E269" s="124" t="b">
        <f>IFERROR(__xludf.DUMMYFUNCTION("REGEXMATCH(SUBSTITUTE(SUBSTITUTE(SUBSTITUTE(C269:C1000, ""♂"", ""male""), ""♀"", ""female""), "" ex"", """"), TEXTJOIN(""\b|"", TRUE,SPLIT($M$2, "" "")) &amp; ""\b"")"),FALSE)</f>
        <v>0</v>
      </c>
    </row>
    <row r="270">
      <c r="A270" s="400" t="b">
        <v>1</v>
      </c>
      <c r="B270" s="386" t="s">
        <v>402</v>
      </c>
      <c r="C270" s="386" t="str">
        <f t="array" ref="C270">TEXTJOIN("", TRUE, IFERROR(INDEX('language&amp;DataTest'!A:J, MATCH(INDEX( PointerTest!C:C, MATCH(B270, PointerTest!A:A, 0), 0), 'language&amp;DataTest'!A:A, 0), MATCH(HOME!$A$25, 'language&amp;DataTest'!$A$1:$G$1, 0))),                      IFERROR(INDEX('language&amp;DataTest'!A:J, MATCH(INDEX( PointerTest!D:D, MATCH(B270, PointerTest!A:A, 0), 0), 'language&amp;DataTest'!A:A, 0), MATCH(HOME!$A$25, 'language&amp;DataTest'!$A$1:$G$1, 0))),                                          
IFERROR(INDEX('language&amp;DataTest'!A:J, MATCH(INDEX( PointerTest!E:E, MATCH(B270, PointerTest!A:A, 0), 0), 'language&amp;DataTest'!A:A, 0), MATCH(HOME!$A$25, 'language&amp;DataTest'!$A$1:$G$1, 0))))</f>
        <v>Koga</v>
      </c>
      <c r="D270" s="124" t="str">
        <f t="shared" si="1"/>
        <v>Koga</v>
      </c>
      <c r="E270" s="124" t="b">
        <f>IFERROR(__xludf.DUMMYFUNCTION("REGEXMATCH(SUBSTITUTE(SUBSTITUTE(SUBSTITUTE(C270:C1000, ""♂"", ""male""), ""♀"", ""female""), "" ex"", """"), TEXTJOIN(""\b|"", TRUE,SPLIT($M$2, "" "")) &amp; ""\b"")"),FALSE)</f>
        <v>0</v>
      </c>
    </row>
    <row r="271">
      <c r="A271" s="68" t="b">
        <v>1</v>
      </c>
      <c r="B271" s="386" t="s">
        <v>404</v>
      </c>
      <c r="C271" s="386" t="str">
        <f t="array" ref="C271">TEXTJOIN("", TRUE, IFERROR(INDEX('language&amp;DataTest'!A:J, MATCH(INDEX( PointerTest!C:C, MATCH(B271, PointerTest!A:A, 0), 0), 'language&amp;DataTest'!A:A, 0), MATCH(HOME!$A$25, 'language&amp;DataTest'!$A$1:$G$1, 0))),                      IFERROR(INDEX('language&amp;DataTest'!A:J, MATCH(INDEX( PointerTest!D:D, MATCH(B271, PointerTest!A:A, 0), 0), 'language&amp;DataTest'!A:A, 0), MATCH(HOME!$A$25, 'language&amp;DataTest'!$A$1:$G$1, 0))),                                          
IFERROR(INDEX('language&amp;DataTest'!A:J, MATCH(INDEX( PointerTest!E:E, MATCH(B271, PointerTest!A:A, 0), 0), 'language&amp;DataTest'!A:A, 0), MATCH(HOME!$A$25, 'language&amp;DataTest'!$A$1:$G$1, 0))))</f>
        <v>Giovanni</v>
      </c>
      <c r="D271" s="124" t="str">
        <f t="shared" si="1"/>
        <v>Giovanni</v>
      </c>
      <c r="E271" s="124" t="b">
        <f>IFERROR(__xludf.DUMMYFUNCTION("REGEXMATCH(SUBSTITUTE(SUBSTITUTE(SUBSTITUTE(C271:C1000, ""♂"", ""male""), ""♀"", ""female""), "" ex"", """"), TEXTJOIN(""\b|"", TRUE,SPLIT($M$2, "" "")) &amp; ""\b"")"),FALSE)</f>
        <v>0</v>
      </c>
    </row>
    <row r="272">
      <c r="A272" s="398" t="b">
        <v>1</v>
      </c>
      <c r="B272" s="390" t="s">
        <v>406</v>
      </c>
      <c r="C272" s="386" t="str">
        <f t="array" ref="C272">TEXTJOIN("", TRUE, IFERROR(INDEX('language&amp;DataTest'!A:J, MATCH(INDEX( PointerTest!C:C, MATCH(B272, PointerTest!A:A, 0), 0), 'language&amp;DataTest'!A:A, 0), MATCH(HOME!$A$25, 'language&amp;DataTest'!$A$1:$G$1, 0))),                      IFERROR(INDEX('language&amp;DataTest'!A:J, MATCH(INDEX( PointerTest!D:D, MATCH(B272, PointerTest!A:A, 0), 0), 'language&amp;DataTest'!A:A, 0), MATCH(HOME!$A$25, 'language&amp;DataTest'!$A$1:$G$1, 0))),                                          
IFERROR(INDEX('language&amp;DataTest'!A:J, MATCH(INDEX( PointerTest!E:E, MATCH(B272, PointerTest!A:A, 0), 0), 'language&amp;DataTest'!A:A, 0), MATCH(HOME!$A$25, 'language&amp;DataTest'!$A$1:$G$1, 0))))</f>
        <v>Brock</v>
      </c>
      <c r="D272" s="124" t="str">
        <f t="shared" si="1"/>
        <v>Brock</v>
      </c>
      <c r="E272" s="124" t="b">
        <f>IFERROR(__xludf.DUMMYFUNCTION("REGEXMATCH(SUBSTITUTE(SUBSTITUTE(SUBSTITUTE(C272:C1000, ""♂"", ""male""), ""♀"", ""female""), "" ex"", """"), TEXTJOIN(""\b|"", TRUE,SPLIT($M$2, "" "")) &amp; ""\b"")"),FALSE)</f>
        <v>0</v>
      </c>
    </row>
    <row r="273">
      <c r="A273" s="397" t="b">
        <v>1</v>
      </c>
      <c r="B273" s="393" t="s">
        <v>408</v>
      </c>
      <c r="C273" s="386" t="str">
        <f t="array" ref="C273">TEXTJOIN("", TRUE, IFERROR(INDEX('language&amp;DataTest'!A:J, MATCH(INDEX( PointerTest!C:C, MATCH(B273, PointerTest!A:A, 0), 0), 'language&amp;DataTest'!A:A, 0), MATCH(HOME!$A$25, 'language&amp;DataTest'!$A$1:$G$1, 0))),                      IFERROR(INDEX('language&amp;DataTest'!A:J, MATCH(INDEX( PointerTest!D:D, MATCH(B273, PointerTest!A:A, 0), 0), 'language&amp;DataTest'!A:A, 0), MATCH(HOME!$A$25, 'language&amp;DataTest'!$A$1:$G$1, 0))),                                          
IFERROR(INDEX('language&amp;DataTest'!A:J, MATCH(INDEX( PointerTest!E:E, MATCH(B273, PointerTest!A:A, 0), 0), 'language&amp;DataTest'!A:A, 0), MATCH(HOME!$A$25, 'language&amp;DataTest'!$A$1:$G$1, 0))))</f>
        <v>Sabrina</v>
      </c>
      <c r="D273" s="124" t="str">
        <f t="shared" si="1"/>
        <v>Sabrina</v>
      </c>
      <c r="E273" s="124" t="b">
        <f>IFERROR(__xludf.DUMMYFUNCTION("REGEXMATCH(SUBSTITUTE(SUBSTITUTE(SUBSTITUTE(C273:C1000, ""♂"", ""male""), ""♀"", ""female""), "" ex"", """"), TEXTJOIN(""\b|"", TRUE,SPLIT($M$2, "" "")) &amp; ""\b"")"),FALSE)</f>
        <v>0</v>
      </c>
    </row>
    <row r="274">
      <c r="A274" s="398" t="b">
        <v>1</v>
      </c>
      <c r="B274" s="390" t="s">
        <v>410</v>
      </c>
      <c r="C274" s="386" t="str">
        <f t="array" ref="C274">TEXTJOIN("", TRUE, IFERROR(INDEX('language&amp;DataTest'!A:J, MATCH(INDEX( PointerTest!C:C, MATCH(B274, PointerTest!A:A, 0), 0), 'language&amp;DataTest'!A:A, 0), MATCH(HOME!$A$25, 'language&amp;DataTest'!$A$1:$G$1, 0))),                      IFERROR(INDEX('language&amp;DataTest'!A:J, MATCH(INDEX( PointerTest!D:D, MATCH(B274, PointerTest!A:A, 0), 0), 'language&amp;DataTest'!A:A, 0), MATCH(HOME!$A$25, 'language&amp;DataTest'!$A$1:$G$1, 0))),                                          
IFERROR(INDEX('language&amp;DataTest'!A:J, MATCH(INDEX( PointerTest!E:E, MATCH(B274, PointerTest!A:A, 0), 0), 'language&amp;DataTest'!A:A, 0), MATCH(HOME!$A$25, 'language&amp;DataTest'!$A$1:$G$1, 0))))</f>
        <v>Lt. Surge</v>
      </c>
      <c r="D274" s="124" t="str">
        <f t="shared" si="1"/>
        <v>Lt. Surge</v>
      </c>
      <c r="E274" s="124" t="b">
        <f>IFERROR(__xludf.DUMMYFUNCTION("REGEXMATCH(SUBSTITUTE(SUBSTITUTE(SUBSTITUTE(C274:C1000, ""♂"", ""male""), ""♀"", ""female""), "" ex"", """"), TEXTJOIN(""\b|"", TRUE,SPLIT($M$2, "" "")) &amp; ""\b"")"),FALSE)</f>
        <v>0</v>
      </c>
    </row>
    <row r="275">
      <c r="A275" s="398" t="b">
        <v>1</v>
      </c>
      <c r="B275" s="393" t="s">
        <v>412</v>
      </c>
      <c r="C275" s="386" t="str">
        <f t="array" ref="C275">TEXTJOIN("", TRUE, IFERROR(INDEX('language&amp;DataTest'!A:J, MATCH(INDEX( PointerTest!C:C, MATCH(B275, PointerTest!A:A, 0), 0), 'language&amp;DataTest'!A:A, 0), MATCH(HOME!$A$25, 'language&amp;DataTest'!$A$1:$G$1, 0))),                      IFERROR(INDEX('language&amp;DataTest'!A:J, MATCH(INDEX( PointerTest!D:D, MATCH(B275, PointerTest!A:A, 0), 0), 'language&amp;DataTest'!A:A, 0), MATCH(HOME!$A$25, 'language&amp;DataTest'!$A$1:$G$1, 0))),                                          
IFERROR(INDEX('language&amp;DataTest'!A:J, MATCH(INDEX( PointerTest!E:E, MATCH(B275, PointerTest!A:A, 0), 0), 'language&amp;DataTest'!A:A, 0), MATCH(HOME!$A$25, 'language&amp;DataTest'!$A$1:$G$1, 0))))</f>
        <v>Moltres ex</v>
      </c>
      <c r="D275" s="124" t="str">
        <f t="shared" si="1"/>
        <v>Moltres</v>
      </c>
      <c r="E275" s="124" t="b">
        <f>IFERROR(__xludf.DUMMYFUNCTION("REGEXMATCH(SUBSTITUTE(SUBSTITUTE(SUBSTITUTE(C275:C1000, ""♂"", ""male""), ""♀"", ""female""), "" ex"", """"), TEXTJOIN(""\b|"", TRUE,SPLIT($M$2, "" "")) &amp; ""\b"")"),TRUE)</f>
        <v>1</v>
      </c>
    </row>
    <row r="276">
      <c r="A276" s="398" t="b">
        <v>1</v>
      </c>
      <c r="B276" s="386" t="s">
        <v>414</v>
      </c>
      <c r="C276" s="386" t="str">
        <f t="array" ref="C276">TEXTJOIN("", TRUE, IFERROR(INDEX('language&amp;DataTest'!A:J, MATCH(INDEX( PointerTest!C:C, MATCH(B276, PointerTest!A:A, 0), 0), 'language&amp;DataTest'!A:A, 0), MATCH(HOME!$A$25, 'language&amp;DataTest'!$A$1:$G$1, 0))),                      IFERROR(INDEX('language&amp;DataTest'!A:J, MATCH(INDEX( PointerTest!D:D, MATCH(B276, PointerTest!A:A, 0), 0), 'language&amp;DataTest'!A:A, 0), MATCH(HOME!$A$25, 'language&amp;DataTest'!$A$1:$G$1, 0))),                                          
IFERROR(INDEX('language&amp;DataTest'!A:J, MATCH(INDEX( PointerTest!E:E, MATCH(B276, PointerTest!A:A, 0), 0), 'language&amp;DataTest'!A:A, 0), MATCH(HOME!$A$25, 'language&amp;DataTest'!$A$1:$G$1, 0))))</f>
        <v>Articuno ex</v>
      </c>
      <c r="D276" s="124" t="str">
        <f t="shared" si="1"/>
        <v>Articuno</v>
      </c>
      <c r="E276" s="124" t="b">
        <f>IFERROR(__xludf.DUMMYFUNCTION("REGEXMATCH(SUBSTITUTE(SUBSTITUTE(SUBSTITUTE(C276:C1000, ""♂"", ""male""), ""♀"", ""female""), "" ex"", """"), TEXTJOIN(""\b|"", TRUE,SPLIT($M$2, "" "")) &amp; ""\b"")"),TRUE)</f>
        <v>1</v>
      </c>
    </row>
    <row r="277">
      <c r="A277" s="398" t="b">
        <v>1</v>
      </c>
      <c r="B277" s="390" t="s">
        <v>416</v>
      </c>
      <c r="C277" s="386" t="str">
        <f t="array" ref="C277">TEXTJOIN("", TRUE, IFERROR(INDEX('language&amp;DataTest'!A:J, MATCH(INDEX( PointerTest!C:C, MATCH(B277, PointerTest!A:A, 0), 0), 'language&amp;DataTest'!A:A, 0), MATCH(HOME!$A$25, 'language&amp;DataTest'!$A$1:$G$1, 0))),                      IFERROR(INDEX('language&amp;DataTest'!A:J, MATCH(INDEX( PointerTest!D:D, MATCH(B277, PointerTest!A:A, 0), 0), 'language&amp;DataTest'!A:A, 0), MATCH(HOME!$A$25, 'language&amp;DataTest'!$A$1:$G$1, 0))),                                          
IFERROR(INDEX('language&amp;DataTest'!A:J, MATCH(INDEX( PointerTest!E:E, MATCH(B277, PointerTest!A:A, 0), 0), 'language&amp;DataTest'!A:A, 0), MATCH(HOME!$A$25, 'language&amp;DataTest'!$A$1:$G$1, 0))))</f>
        <v>Zapdos ex</v>
      </c>
      <c r="D277" s="124" t="str">
        <f t="shared" si="1"/>
        <v>Zapdos</v>
      </c>
      <c r="E277" s="124" t="b">
        <f>IFERROR(__xludf.DUMMYFUNCTION("REGEXMATCH(SUBSTITUTE(SUBSTITUTE(SUBSTITUTE(C277:C1000, ""♂"", ""male""), ""♀"", ""female""), "" ex"", """"), TEXTJOIN(""\b|"", TRUE,SPLIT($M$2, "" "")) &amp; ""\b"")"),TRUE)</f>
        <v>1</v>
      </c>
    </row>
    <row r="278">
      <c r="A278" s="398" t="b">
        <v>1</v>
      </c>
      <c r="B278" s="386" t="s">
        <v>418</v>
      </c>
      <c r="C278" s="386" t="str">
        <f t="array" ref="C278">TEXTJOIN("", TRUE, IFERROR(INDEX('language&amp;DataTest'!A:J, MATCH(INDEX( PointerTest!C:C, MATCH(B278, PointerTest!A:A, 0), 0), 'language&amp;DataTest'!A:A, 0), MATCH(HOME!$A$25, 'language&amp;DataTest'!$A$1:$G$1, 0))),                      IFERROR(INDEX('language&amp;DataTest'!A:J, MATCH(INDEX( PointerTest!D:D, MATCH(B278, PointerTest!A:A, 0), 0), 'language&amp;DataTest'!A:A, 0), MATCH(HOME!$A$25, 'language&amp;DataTest'!$A$1:$G$1, 0))),                                          
IFERROR(INDEX('language&amp;DataTest'!A:J, MATCH(INDEX( PointerTest!E:E, MATCH(B278, PointerTest!A:A, 0), 0), 'language&amp;DataTest'!A:A, 0), MATCH(HOME!$A$25, 'language&amp;DataTest'!$A$1:$G$1, 0))))</f>
        <v>Gengar ex</v>
      </c>
      <c r="D278" s="124" t="str">
        <f t="shared" si="1"/>
        <v>Gengar</v>
      </c>
      <c r="E278" s="124" t="b">
        <f>IFERROR(__xludf.DUMMYFUNCTION("REGEXMATCH(SUBSTITUTE(SUBSTITUTE(SUBSTITUTE(C278:C1000, ""♂"", ""male""), ""♀"", ""female""), "" ex"", """"), TEXTJOIN(""\b|"", TRUE,SPLIT($M$2, "" "")) &amp; ""\b"")"),TRUE)</f>
        <v>1</v>
      </c>
    </row>
    <row r="279">
      <c r="A279" s="398" t="b">
        <v>1</v>
      </c>
      <c r="B279" s="393" t="s">
        <v>422</v>
      </c>
      <c r="C279" s="386" t="str">
        <f t="array" ref="C279">TEXTJOIN("", TRUE, IFERROR(INDEX('language&amp;DataTest'!A:J, MATCH(INDEX( PointerTest!C:C, MATCH(B279, PointerTest!A:A, 0), 0), 'language&amp;DataTest'!A:A, 0), MATCH(HOME!$A$25, 'language&amp;DataTest'!$A$1:$G$1, 0))),                      IFERROR(INDEX('language&amp;DataTest'!A:J, MATCH(INDEX( PointerTest!D:D, MATCH(B279, PointerTest!A:A, 0), 0), 'language&amp;DataTest'!A:A, 0), MATCH(HOME!$A$25, 'language&amp;DataTest'!$A$1:$G$1, 0))),                                          
IFERROR(INDEX('language&amp;DataTest'!A:J, MATCH(INDEX( PointerTest!E:E, MATCH(B279, PointerTest!A:A, 0), 0), 'language&amp;DataTest'!A:A, 0), MATCH(HOME!$A$25, 'language&amp;DataTest'!$A$1:$G$1, 0))))</f>
        <v>Machamp ex</v>
      </c>
      <c r="D279" s="124" t="str">
        <f t="shared" si="1"/>
        <v>Machamp</v>
      </c>
      <c r="E279" s="124" t="b">
        <f>IFERROR(__xludf.DUMMYFUNCTION("REGEXMATCH(SUBSTITUTE(SUBSTITUTE(SUBSTITUTE(C279:C1000, ""♂"", ""male""), ""♀"", ""female""), "" ex"", """"), TEXTJOIN(""\b|"", TRUE,SPLIT($M$2, "" "")) &amp; ""\b"")"),TRUE)</f>
        <v>1</v>
      </c>
    </row>
    <row r="280">
      <c r="A280" s="398" t="b">
        <v>1</v>
      </c>
      <c r="B280" s="390" t="s">
        <v>425</v>
      </c>
      <c r="C280" s="386" t="str">
        <f t="array" ref="C280">TEXTJOIN("", TRUE, IFERROR(INDEX('language&amp;DataTest'!A:J, MATCH(INDEX( PointerTest!C:C, MATCH(B280, PointerTest!A:A, 0), 0), 'language&amp;DataTest'!A:A, 0), MATCH(HOME!$A$25, 'language&amp;DataTest'!$A$1:$G$1, 0))),                      IFERROR(INDEX('language&amp;DataTest'!A:J, MATCH(INDEX( PointerTest!D:D, MATCH(B280, PointerTest!A:A, 0), 0), 'language&amp;DataTest'!A:A, 0), MATCH(HOME!$A$25, 'language&amp;DataTest'!$A$1:$G$1, 0))),                                          
IFERROR(INDEX('language&amp;DataTest'!A:J, MATCH(INDEX( PointerTest!E:E, MATCH(B280, PointerTest!A:A, 0), 0), 'language&amp;DataTest'!A:A, 0), MATCH(HOME!$A$25, 'language&amp;DataTest'!$A$1:$G$1, 0))))</f>
        <v>Wigglytuff ex</v>
      </c>
      <c r="D280" s="124" t="str">
        <f t="shared" si="1"/>
        <v>Wigglytuff</v>
      </c>
      <c r="E280" s="124" t="b">
        <f>IFERROR(__xludf.DUMMYFUNCTION("REGEXMATCH(SUBSTITUTE(SUBSTITUTE(SUBSTITUTE(C280:C1000, ""♂"", ""male""), ""♀"", ""female""), "" ex"", """"), TEXTJOIN(""\b|"", TRUE,SPLIT($M$2, "" "")) &amp; ""\b"")"),TRUE)</f>
        <v>1</v>
      </c>
    </row>
    <row r="281">
      <c r="A281" s="398" t="b">
        <v>1</v>
      </c>
      <c r="B281" s="393" t="s">
        <v>428</v>
      </c>
      <c r="C281" s="386" t="str">
        <f t="array" ref="C281">TEXTJOIN("", TRUE, IFERROR(INDEX('language&amp;DataTest'!A:J, MATCH(INDEX( PointerTest!C:C, MATCH(B281, PointerTest!A:A, 0), 0), 'language&amp;DataTest'!A:A, 0), MATCH(HOME!$A$25, 'language&amp;DataTest'!$A$1:$G$1, 0))),                      IFERROR(INDEX('language&amp;DataTest'!A:J, MATCH(INDEX( PointerTest!D:D, MATCH(B281, PointerTest!A:A, 0), 0), 'language&amp;DataTest'!A:A, 0), MATCH(HOME!$A$25, 'language&amp;DataTest'!$A$1:$G$1, 0))),                                          
IFERROR(INDEX('language&amp;DataTest'!A:J, MATCH(INDEX( PointerTest!E:E, MATCH(B281, PointerTest!A:A, 0), 0), 'language&amp;DataTest'!A:A, 0), MATCH(HOME!$A$25, 'language&amp;DataTest'!$A$1:$G$1, 0))))</f>
        <v>Charizard ex</v>
      </c>
      <c r="D281" s="124" t="str">
        <f t="shared" si="1"/>
        <v>Charizard</v>
      </c>
      <c r="E281" s="124" t="b">
        <f>IFERROR(__xludf.DUMMYFUNCTION("REGEXMATCH(SUBSTITUTE(SUBSTITUTE(SUBSTITUTE(C281:C1000, ""♂"", ""male""), ""♀"", ""female""), "" ex"", """"), TEXTJOIN(""\b|"", TRUE,SPLIT($M$2, "" "")) &amp; ""\b"")"),TRUE)</f>
        <v>1</v>
      </c>
    </row>
    <row r="282">
      <c r="A282" s="398" t="b">
        <v>1</v>
      </c>
      <c r="B282" s="390" t="s">
        <v>431</v>
      </c>
      <c r="C282" s="386" t="str">
        <f t="array" ref="C282">TEXTJOIN("", TRUE, IFERROR(INDEX('language&amp;DataTest'!A:J, MATCH(INDEX( PointerTest!C:C, MATCH(B282, PointerTest!A:A, 0), 0), 'language&amp;DataTest'!A:A, 0), MATCH(HOME!$A$25, 'language&amp;DataTest'!$A$1:$G$1, 0))),                      IFERROR(INDEX('language&amp;DataTest'!A:J, MATCH(INDEX( PointerTest!D:D, MATCH(B282, PointerTest!A:A, 0), 0), 'language&amp;DataTest'!A:A, 0), MATCH(HOME!$A$25, 'language&amp;DataTest'!$A$1:$G$1, 0))),                                          
IFERROR(INDEX('language&amp;DataTest'!A:J, MATCH(INDEX( PointerTest!E:E, MATCH(B282, PointerTest!A:A, 0), 0), 'language&amp;DataTest'!A:A, 0), MATCH(HOME!$A$25, 'language&amp;DataTest'!$A$1:$G$1, 0))))</f>
        <v>Pikachu ex</v>
      </c>
      <c r="D282" s="124" t="str">
        <f t="shared" si="1"/>
        <v>Pikachu</v>
      </c>
      <c r="E282" s="124" t="b">
        <f>IFERROR(__xludf.DUMMYFUNCTION("REGEXMATCH(SUBSTITUTE(SUBSTITUTE(SUBSTITUTE(C282:C1000, ""♂"", ""male""), ""♀"", ""female""), "" ex"", """"), TEXTJOIN(""\b|"", TRUE,SPLIT($M$2, "" "")) &amp; ""\b"")"),TRUE)</f>
        <v>1</v>
      </c>
    </row>
    <row r="283">
      <c r="A283" s="398" t="b">
        <v>1</v>
      </c>
      <c r="B283" s="386" t="s">
        <v>434</v>
      </c>
      <c r="C283" s="386" t="str">
        <f t="array" ref="C283">TEXTJOIN("", TRUE, IFERROR(INDEX('language&amp;DataTest'!A:J, MATCH(INDEX( PointerTest!C:C, MATCH(B283, PointerTest!A:A, 0), 0), 'language&amp;DataTest'!A:A, 0), MATCH(HOME!$A$25, 'language&amp;DataTest'!$A$1:$G$1, 0))),                      IFERROR(INDEX('language&amp;DataTest'!A:J, MATCH(INDEX( PointerTest!D:D, MATCH(B283, PointerTest!A:A, 0), 0), 'language&amp;DataTest'!A:A, 0), MATCH(HOME!$A$25, 'language&amp;DataTest'!$A$1:$G$1, 0))),                                          
IFERROR(INDEX('language&amp;DataTest'!A:J, MATCH(INDEX( PointerTest!E:E, MATCH(B283, PointerTest!A:A, 0), 0), 'language&amp;DataTest'!A:A, 0), MATCH(HOME!$A$25, 'language&amp;DataTest'!$A$1:$G$1, 0))))</f>
        <v>Mewtwo ex</v>
      </c>
      <c r="D283" s="124" t="str">
        <f t="shared" si="1"/>
        <v>Mewtwo</v>
      </c>
      <c r="E283" s="124" t="b">
        <f>IFERROR(__xludf.DUMMYFUNCTION("REGEXMATCH(SUBSTITUTE(SUBSTITUTE(SUBSTITUTE(C283:C1000, ""♂"", ""male""), ""♀"", ""female""), "" ex"", """"), TEXTJOIN(""\b|"", TRUE,SPLIT($M$2, "" "")) &amp; ""\b"")"),TRUE)</f>
        <v>1</v>
      </c>
    </row>
    <row r="284">
      <c r="A284" s="398" t="b">
        <v>1</v>
      </c>
      <c r="B284" s="130" t="s">
        <v>437</v>
      </c>
      <c r="C284" s="386" t="str">
        <f t="array" ref="C284">TEXTJOIN("", TRUE, IFERROR(INDEX('language&amp;DataTest'!A:J, MATCH(INDEX( PointerTest!C:C, MATCH(B284, PointerTest!A:A, 0), 0), 'language&amp;DataTest'!A:A, 0), MATCH(HOME!$A$25, 'language&amp;DataTest'!$A$1:$G$1, 0))),                      IFERROR(INDEX('language&amp;DataTest'!A:J, MATCH(INDEX( PointerTest!D:D, MATCH(B284, PointerTest!A:A, 0), 0), 'language&amp;DataTest'!A:A, 0), MATCH(HOME!$A$25, 'language&amp;DataTest'!$A$1:$G$1, 0))),                                          
IFERROR(INDEX('language&amp;DataTest'!A:J, MATCH(INDEX( PointerTest!E:E, MATCH(B284, PointerTest!A:A, 0), 0), 'language&amp;DataTest'!A:A, 0), MATCH(HOME!$A$25, 'language&amp;DataTest'!$A$1:$G$1, 0))))</f>
        <v>Mew</v>
      </c>
      <c r="D284" s="124" t="str">
        <f t="shared" si="1"/>
        <v>Mew</v>
      </c>
      <c r="E284" s="124" t="b">
        <f>IFERROR(__xludf.DUMMYFUNCTION("REGEXMATCH(SUBSTITUTE(SUBSTITUTE(SUBSTITUTE(C284:C1000, ""♂"", ""male""), ""♀"", ""female""), "" ex"", """"), TEXTJOIN(""\b|"", TRUE,SPLIT($M$2, "" "")) &amp; ""\b"")"),FALSE)</f>
        <v>0</v>
      </c>
    </row>
    <row r="285">
      <c r="A285" s="398" t="b">
        <v>1</v>
      </c>
      <c r="B285" s="395" t="s">
        <v>441</v>
      </c>
      <c r="C285" s="386" t="str">
        <f t="array" ref="C285">TEXTJOIN("", TRUE, IFERROR(INDEX('language&amp;DataTest'!A:J, MATCH(INDEX( PointerTest!C:C, MATCH(B285, PointerTest!A:A, 0), 0), 'language&amp;DataTest'!A:A, 0), MATCH(HOME!$A$25, 'language&amp;DataTest'!$A$1:$G$1, 0))),                      IFERROR(INDEX('language&amp;DataTest'!A:J, MATCH(INDEX( PointerTest!D:D, MATCH(B285, PointerTest!A:A, 0), 0), 'language&amp;DataTest'!A:A, 0), MATCH(HOME!$A$25, 'language&amp;DataTest'!$A$1:$G$1, 0))),                                          
IFERROR(INDEX('language&amp;DataTest'!A:J, MATCH(INDEX( PointerTest!E:E, MATCH(B285, PointerTest!A:A, 0), 0), 'language&amp;DataTest'!A:A, 0), MATCH(HOME!$A$25, 'language&amp;DataTest'!$A$1:$G$1, 0))))</f>
        <v>Charizard ex</v>
      </c>
      <c r="D285" s="124" t="str">
        <f t="shared" si="1"/>
        <v>Charizard</v>
      </c>
      <c r="E285" s="124" t="b">
        <f>IFERROR(__xludf.DUMMYFUNCTION("REGEXMATCH(SUBSTITUTE(SUBSTITUTE(SUBSTITUTE(C285:C1000, ""♂"", ""male""), ""♀"", ""female""), "" ex"", """"), TEXTJOIN(""\b|"", TRUE,SPLIT($M$2, "" "")) &amp; ""\b"")"),TRUE)</f>
        <v>1</v>
      </c>
    </row>
    <row r="286">
      <c r="A286" s="398" t="b">
        <v>1</v>
      </c>
      <c r="B286" s="395" t="s">
        <v>444</v>
      </c>
      <c r="C286" s="386" t="str">
        <f t="array" ref="C286">TEXTJOIN("", TRUE, IFERROR(INDEX('language&amp;DataTest'!A:J, MATCH(INDEX( PointerTest!C:C, MATCH(B286, PointerTest!A:A, 0), 0), 'language&amp;DataTest'!A:A, 0), MATCH(HOME!$A$25, 'language&amp;DataTest'!$A$1:$G$1, 0))),                      IFERROR(INDEX('language&amp;DataTest'!A:J, MATCH(INDEX( PointerTest!D:D, MATCH(B286, PointerTest!A:A, 0), 0), 'language&amp;DataTest'!A:A, 0), MATCH(HOME!$A$25, 'language&amp;DataTest'!$A$1:$G$1, 0))),                                          
IFERROR(INDEX('language&amp;DataTest'!A:J, MATCH(INDEX( PointerTest!E:E, MATCH(B286, PointerTest!A:A, 0), 0), 'language&amp;DataTest'!A:A, 0), MATCH(HOME!$A$25, 'language&amp;DataTest'!$A$1:$G$1, 0))))</f>
        <v>Pikachu ex</v>
      </c>
      <c r="D286" s="124" t="str">
        <f t="shared" si="1"/>
        <v>Pikachu</v>
      </c>
      <c r="E286" s="124" t="b">
        <f>IFERROR(__xludf.DUMMYFUNCTION("REGEXMATCH(SUBSTITUTE(SUBSTITUTE(SUBSTITUTE(C286:C1000, ""♂"", ""male""), ""♀"", ""female""), "" ex"", """"), TEXTJOIN(""\b|"", TRUE,SPLIT($M$2, "" "")) &amp; ""\b"")"),TRUE)</f>
        <v>1</v>
      </c>
    </row>
    <row r="287">
      <c r="A287" s="398" t="b">
        <v>1</v>
      </c>
      <c r="B287" s="395" t="s">
        <v>447</v>
      </c>
      <c r="C287" s="386" t="str">
        <f t="array" ref="C287">TEXTJOIN("", TRUE, IFERROR(INDEX('language&amp;DataTest'!A:J, MATCH(INDEX( PointerTest!C:C, MATCH(B287, PointerTest!A:A, 0), 0), 'language&amp;DataTest'!A:A, 0), MATCH(HOME!$A$25, 'language&amp;DataTest'!$A$1:$G$1, 0))),                      IFERROR(INDEX('language&amp;DataTest'!A:J, MATCH(INDEX( PointerTest!D:D, MATCH(B287, PointerTest!A:A, 0), 0), 'language&amp;DataTest'!A:A, 0), MATCH(HOME!$A$25, 'language&amp;DataTest'!$A$1:$G$1, 0))),                                          
IFERROR(INDEX('language&amp;DataTest'!A:J, MATCH(INDEX( PointerTest!E:E, MATCH(B287, PointerTest!A:A, 0), 0), 'language&amp;DataTest'!A:A, 0), MATCH(HOME!$A$25, 'language&amp;DataTest'!$A$1:$G$1, 0))))</f>
        <v>Mewtwo ex</v>
      </c>
      <c r="D287" s="124" t="str">
        <f t="shared" si="1"/>
        <v>Mewtwo</v>
      </c>
      <c r="E287" s="124" t="b">
        <f>IFERROR(__xludf.DUMMYFUNCTION("REGEXMATCH(SUBSTITUTE(SUBSTITUTE(SUBSTITUTE(C287:C1000, ""♂"", ""male""), ""♀"", ""female""), "" ex"", """"), TEXTJOIN(""\b|"", TRUE,SPLIT($M$2, "" "")) &amp; ""\b"")"),TRUE)</f>
        <v>1</v>
      </c>
    </row>
  </sheetData>
  <mergeCells count="3">
    <mergeCell ref="M2:S11"/>
    <mergeCell ref="M14:S27"/>
    <mergeCell ref="M30:S40"/>
  </mergeCells>
  <conditionalFormatting sqref="E1:E1000">
    <cfRule type="cellIs" dxfId="1" priority="1" operator="equal">
      <formula>"TRUE"</formula>
    </cfRule>
  </conditionalFormatting>
  <conditionalFormatting sqref="E1:E1000">
    <cfRule type="cellIs" dxfId="24" priority="2" operator="equal">
      <formula>"FALSE"</formula>
    </cfRule>
  </conditionalFormatting>
  <drawing r:id="rId1"/>
</worksheet>
</file>