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ra\iCloudDrive\Documents\Universidad\TFM\Conversaciones\"/>
    </mc:Choice>
  </mc:AlternateContent>
  <xr:revisionPtr revIDLastSave="0" documentId="13_ncr:1_{F7F06CB1-39E2-4ED4-8726-A647372371AE}" xr6:coauthVersionLast="47" xr6:coauthVersionMax="47" xr10:uidLastSave="{00000000-0000-0000-0000-000000000000}"/>
  <bookViews>
    <workbookView xWindow="-110" yWindow="-110" windowWidth="25820" windowHeight="16220" firstSheet="3" activeTab="6" xr2:uid="{A151326A-6527-491F-88BB-F5700043450E}"/>
  </bookViews>
  <sheets>
    <sheet name="Interannotator" sheetId="5" r:id="rId1"/>
    <sheet name="Semantic" sheetId="6" r:id="rId2"/>
    <sheet name="Memorable" sheetId="1" r:id="rId3"/>
    <sheet name="1 week" sheetId="2" r:id="rId4"/>
    <sheet name="2 months" sheetId="3" r:id="rId5"/>
    <sheet name="1 year" sheetId="4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D14" i="6"/>
  <c r="E14" i="6"/>
  <c r="B14" i="6"/>
  <c r="E13" i="4"/>
  <c r="D13" i="4"/>
  <c r="C13" i="4"/>
  <c r="B13" i="4"/>
  <c r="E12" i="4"/>
  <c r="D12" i="4"/>
  <c r="C12" i="4"/>
  <c r="B12" i="4"/>
  <c r="E13" i="3"/>
  <c r="D13" i="3"/>
  <c r="C13" i="3"/>
  <c r="B13" i="3"/>
  <c r="E12" i="3"/>
  <c r="D12" i="3"/>
  <c r="C12" i="3"/>
  <c r="B12" i="3"/>
  <c r="E13" i="2"/>
  <c r="D13" i="2"/>
  <c r="C13" i="2"/>
  <c r="B13" i="2"/>
  <c r="E12" i="2"/>
  <c r="D12" i="2"/>
  <c r="C12" i="2"/>
  <c r="B12" i="2"/>
  <c r="B13" i="6"/>
  <c r="C13" i="6"/>
  <c r="D13" i="6"/>
  <c r="E13" i="6"/>
  <c r="C5" i="1"/>
  <c r="C4" i="1"/>
  <c r="C3" i="1"/>
  <c r="D9" i="1"/>
  <c r="D8" i="1"/>
  <c r="C11" i="4"/>
  <c r="D11" i="4"/>
  <c r="E11" i="3"/>
  <c r="D11" i="3"/>
  <c r="C11" i="3"/>
  <c r="B11" i="3"/>
  <c r="E11" i="2"/>
  <c r="D11" i="2"/>
  <c r="C11" i="2"/>
  <c r="B11" i="2"/>
  <c r="B11" i="1"/>
  <c r="E11" i="1"/>
  <c r="D11" i="1"/>
  <c r="C11" i="1"/>
  <c r="B10" i="1"/>
  <c r="E4" i="4"/>
  <c r="C5" i="4"/>
  <c r="D5" i="4"/>
  <c r="E5" i="4"/>
  <c r="B5" i="4"/>
  <c r="E5" i="3"/>
  <c r="D5" i="3"/>
  <c r="C5" i="3"/>
  <c r="B5" i="3"/>
  <c r="E5" i="2"/>
  <c r="D5" i="2"/>
  <c r="C5" i="2"/>
  <c r="B5" i="2"/>
  <c r="E5" i="1"/>
  <c r="D5" i="1"/>
  <c r="B5" i="1"/>
  <c r="D4" i="4"/>
  <c r="C4" i="4"/>
  <c r="B4" i="4"/>
  <c r="E4" i="3"/>
  <c r="D4" i="3"/>
  <c r="C4" i="3"/>
  <c r="B4" i="3"/>
  <c r="E4" i="2"/>
  <c r="C4" i="2"/>
  <c r="D4" i="2"/>
  <c r="B4" i="2"/>
  <c r="E4" i="1"/>
  <c r="D4" i="1"/>
  <c r="B4" i="1"/>
  <c r="E3" i="4"/>
  <c r="D3" i="4"/>
  <c r="C3" i="4"/>
  <c r="B3" i="4"/>
  <c r="E3" i="3"/>
  <c r="D3" i="3"/>
  <c r="C3" i="3"/>
  <c r="E2" i="3"/>
  <c r="B3" i="3"/>
  <c r="E3" i="2"/>
  <c r="D3" i="2"/>
  <c r="C3" i="2"/>
  <c r="B3" i="2"/>
  <c r="E3" i="1"/>
  <c r="D3" i="1"/>
  <c r="B3" i="1"/>
  <c r="D2" i="4"/>
  <c r="E2" i="4"/>
  <c r="C2" i="4"/>
  <c r="C2" i="3"/>
  <c r="E2" i="2"/>
  <c r="D2" i="2"/>
  <c r="C2" i="2"/>
  <c r="B2" i="2"/>
  <c r="E2" i="1"/>
  <c r="D2" i="1"/>
  <c r="C2" i="1"/>
  <c r="B2" i="1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E7" i="6"/>
  <c r="B8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0" i="4"/>
  <c r="D10" i="4"/>
  <c r="C10" i="4"/>
  <c r="B10" i="4"/>
  <c r="E10" i="3"/>
  <c r="D10" i="3"/>
  <c r="C10" i="3"/>
  <c r="B10" i="3"/>
  <c r="E10" i="2"/>
  <c r="D10" i="2"/>
  <c r="C10" i="2"/>
  <c r="B10" i="2"/>
  <c r="E10" i="1"/>
  <c r="D10" i="1"/>
  <c r="C10" i="1"/>
  <c r="E9" i="4"/>
  <c r="C9" i="4"/>
  <c r="E9" i="3"/>
  <c r="D9" i="3"/>
  <c r="C9" i="3"/>
  <c r="B9" i="3"/>
  <c r="E9" i="2"/>
  <c r="D9" i="2"/>
  <c r="C9" i="2"/>
  <c r="B9" i="2"/>
  <c r="E9" i="1"/>
  <c r="C9" i="1"/>
  <c r="B9" i="1"/>
  <c r="E8" i="4"/>
  <c r="D8" i="4"/>
  <c r="C8" i="4"/>
  <c r="E8" i="3"/>
  <c r="D8" i="3"/>
  <c r="C8" i="3"/>
  <c r="B8" i="3"/>
  <c r="E8" i="2"/>
  <c r="D8" i="2"/>
  <c r="C8" i="2"/>
  <c r="B8" i="2"/>
  <c r="E8" i="1"/>
  <c r="C8" i="1"/>
  <c r="B8" i="1"/>
  <c r="E7" i="4"/>
  <c r="D7" i="4"/>
  <c r="C7" i="4"/>
  <c r="E7" i="3"/>
  <c r="D7" i="3"/>
  <c r="C7" i="3"/>
  <c r="B7" i="3"/>
  <c r="E7" i="2"/>
  <c r="C7" i="2"/>
  <c r="D7" i="2"/>
  <c r="B7" i="2"/>
  <c r="E7" i="1"/>
  <c r="D7" i="1"/>
  <c r="C7" i="1"/>
  <c r="B7" i="1"/>
  <c r="E6" i="4"/>
  <c r="C6" i="4"/>
  <c r="B6" i="4"/>
  <c r="E6" i="3"/>
  <c r="D6" i="3"/>
  <c r="C6" i="3"/>
  <c r="B6" i="3"/>
  <c r="B6" i="2"/>
  <c r="C6" i="2"/>
  <c r="D6" i="2"/>
  <c r="E6" i="2"/>
  <c r="E6" i="1"/>
  <c r="D6" i="1"/>
  <c r="C6" i="1"/>
  <c r="B6" i="1"/>
  <c r="D13" i="1" l="1"/>
  <c r="D14" i="1" s="1"/>
  <c r="E13" i="1"/>
  <c r="E14" i="1" s="1"/>
  <c r="B13" i="1"/>
  <c r="B14" i="1" s="1"/>
  <c r="C13" i="1"/>
  <c r="C14" i="1" s="1"/>
  <c r="D12" i="1"/>
  <c r="E12" i="1"/>
  <c r="B12" i="1"/>
  <c r="C12" i="1"/>
  <c r="E12" i="6"/>
  <c r="D12" i="6"/>
  <c r="B12" i="6"/>
  <c r="C12" i="6"/>
</calcChain>
</file>

<file path=xl/sharedStrings.xml><?xml version="1.0" encoding="utf-8"?>
<sst xmlns="http://schemas.openxmlformats.org/spreadsheetml/2006/main" count="288" uniqueCount="213">
  <si>
    <t>Conversation1</t>
  </si>
  <si>
    <t>Conversation2</t>
  </si>
  <si>
    <t>Conversation3</t>
  </si>
  <si>
    <t>Conversation4</t>
  </si>
  <si>
    <t>Conversation5</t>
  </si>
  <si>
    <t>Conversation6</t>
  </si>
  <si>
    <t>Conversation7</t>
  </si>
  <si>
    <t>Conversation8</t>
  </si>
  <si>
    <t>Conversation9</t>
  </si>
  <si>
    <t>Conversation10</t>
  </si>
  <si>
    <t>Gemma 7b</t>
  </si>
  <si>
    <t>Mistral 7b</t>
  </si>
  <si>
    <t>Llama2 13b</t>
  </si>
  <si>
    <t>GPT4</t>
  </si>
  <si>
    <t>Conversation1_1</t>
  </si>
  <si>
    <t>Conversation1_2</t>
  </si>
  <si>
    <t>Conversation1_3</t>
  </si>
  <si>
    <t>Conversation1_4</t>
  </si>
  <si>
    <t>Conversation1_5</t>
  </si>
  <si>
    <t>Conversation1_6</t>
  </si>
  <si>
    <t>Conversation1_7</t>
  </si>
  <si>
    <t>Conversation1_8</t>
  </si>
  <si>
    <t>Conversation1_9</t>
  </si>
  <si>
    <t>Conversation1_10</t>
  </si>
  <si>
    <t>Conversation1_11</t>
  </si>
  <si>
    <t>Conversation1_12</t>
  </si>
  <si>
    <t>Conversation1_13</t>
  </si>
  <si>
    <t>Conversation1_14</t>
  </si>
  <si>
    <t>Conversation1_15</t>
  </si>
  <si>
    <t>Conversation1_16</t>
  </si>
  <si>
    <t>Conversation2_19</t>
  </si>
  <si>
    <t>Conversation2_1</t>
  </si>
  <si>
    <t>Conversation2_2</t>
  </si>
  <si>
    <t>Conversation2_3</t>
  </si>
  <si>
    <t>Conversation2_4</t>
  </si>
  <si>
    <t>Conversation2_5</t>
  </si>
  <si>
    <t>Conversation2_6</t>
  </si>
  <si>
    <t>Conversation2_7</t>
  </si>
  <si>
    <t>Conversation2_8</t>
  </si>
  <si>
    <t>Conversation2_9</t>
  </si>
  <si>
    <t>Conversation2_10</t>
  </si>
  <si>
    <t>Conversation2_11</t>
  </si>
  <si>
    <t>Conversation2_12</t>
  </si>
  <si>
    <t>Conversation2_13</t>
  </si>
  <si>
    <t>Conversation2_14</t>
  </si>
  <si>
    <t>Conversation2_15</t>
  </si>
  <si>
    <t>Conversation2_16</t>
  </si>
  <si>
    <t>Conversation2_17</t>
  </si>
  <si>
    <t>Conversation2_18</t>
  </si>
  <si>
    <t>Conversation3_1</t>
  </si>
  <si>
    <t>Conversation3_2</t>
  </si>
  <si>
    <t>Conversation3_3</t>
  </si>
  <si>
    <t>Conversation3_4</t>
  </si>
  <si>
    <t>Conversation3_5</t>
  </si>
  <si>
    <t>Conversation3_6</t>
  </si>
  <si>
    <t>Conversation3_7</t>
  </si>
  <si>
    <t>Conversation3_8</t>
  </si>
  <si>
    <t>Conversation3_9</t>
  </si>
  <si>
    <t>Conversation3_10</t>
  </si>
  <si>
    <t>Conversation3_11</t>
  </si>
  <si>
    <t>Conversation3_12</t>
  </si>
  <si>
    <t>Conversation3_13</t>
  </si>
  <si>
    <t>Conversation3_14</t>
  </si>
  <si>
    <t>Conversation3_15</t>
  </si>
  <si>
    <t>Conversation3_16</t>
  </si>
  <si>
    <t>Conversation3_17</t>
  </si>
  <si>
    <t>Conversation3_18</t>
  </si>
  <si>
    <t>Conversation3_19</t>
  </si>
  <si>
    <t>Conversation4_1</t>
  </si>
  <si>
    <t>Conversation4_2</t>
  </si>
  <si>
    <t>Conversation4_3</t>
  </si>
  <si>
    <t>Conversation4_4</t>
  </si>
  <si>
    <t>Conversation4_5</t>
  </si>
  <si>
    <t>Conversation4_6</t>
  </si>
  <si>
    <t>Conversation4_7</t>
  </si>
  <si>
    <t>Conversation4_8</t>
  </si>
  <si>
    <t>Conversation4_9</t>
  </si>
  <si>
    <t>Conversation4_10</t>
  </si>
  <si>
    <t>Conversation4_11</t>
  </si>
  <si>
    <t>Conversation4_12</t>
  </si>
  <si>
    <t>Conversation4_13</t>
  </si>
  <si>
    <t>Conversation4_14</t>
  </si>
  <si>
    <t>Conversation4_15</t>
  </si>
  <si>
    <t>Conversation4_16</t>
  </si>
  <si>
    <t>Conversation4_17</t>
  </si>
  <si>
    <t>Conversation4_18</t>
  </si>
  <si>
    <t>Alfredo</t>
  </si>
  <si>
    <t>Sergio</t>
  </si>
  <si>
    <t>Maria</t>
  </si>
  <si>
    <t>Conversation5_1</t>
  </si>
  <si>
    <t>Conversation5_2</t>
  </si>
  <si>
    <t>Conversation5_3</t>
  </si>
  <si>
    <t>Conversation5_4</t>
  </si>
  <si>
    <t>Conversation5_5</t>
  </si>
  <si>
    <t>Conversation5_6</t>
  </si>
  <si>
    <t>Conversation5_7</t>
  </si>
  <si>
    <t>Conversation5_8</t>
  </si>
  <si>
    <t>Conversation5_9</t>
  </si>
  <si>
    <t>Conversation5_10</t>
  </si>
  <si>
    <t>Conversation5_11</t>
  </si>
  <si>
    <t>Conversation5_12</t>
  </si>
  <si>
    <t>Conversation5_13</t>
  </si>
  <si>
    <t>Conversation5_14</t>
  </si>
  <si>
    <t>Conversation5_15</t>
  </si>
  <si>
    <t>Conversation5_16</t>
  </si>
  <si>
    <t>Conversation5_17</t>
  </si>
  <si>
    <t>Conversation5_18</t>
  </si>
  <si>
    <t>Conversation5_19</t>
  </si>
  <si>
    <t>Conversation6_1</t>
  </si>
  <si>
    <t>Conversation6_2</t>
  </si>
  <si>
    <t>Conversation6_3</t>
  </si>
  <si>
    <t>Conversation6_4</t>
  </si>
  <si>
    <t>Conversation6_5</t>
  </si>
  <si>
    <t>Conversation6_6</t>
  </si>
  <si>
    <t>Conversation6_7</t>
  </si>
  <si>
    <t>Conversation6_8</t>
  </si>
  <si>
    <t>Conversation6_9</t>
  </si>
  <si>
    <t>Conversation6_10</t>
  </si>
  <si>
    <t>Conversation6_11</t>
  </si>
  <si>
    <t>Conversation6_12</t>
  </si>
  <si>
    <t>Conversation6_13</t>
  </si>
  <si>
    <t>Conversation6_14</t>
  </si>
  <si>
    <t>Conversation6_15</t>
  </si>
  <si>
    <t>Conversation6_16</t>
  </si>
  <si>
    <t>Conversation6_17</t>
  </si>
  <si>
    <t>Conversation6_18</t>
  </si>
  <si>
    <t>Conversation6_19</t>
  </si>
  <si>
    <t>Conversation7_1</t>
  </si>
  <si>
    <t>Conversation7_2</t>
  </si>
  <si>
    <t>Conversation7_3</t>
  </si>
  <si>
    <t>Conversation7_4</t>
  </si>
  <si>
    <t>Conversation7_5</t>
  </si>
  <si>
    <t>Conversation7_6</t>
  </si>
  <si>
    <t>Conversation7_7</t>
  </si>
  <si>
    <t>Conversation7_8</t>
  </si>
  <si>
    <t>Conversation7_9</t>
  </si>
  <si>
    <t>Conversation7_10</t>
  </si>
  <si>
    <t>Conversation7_11</t>
  </si>
  <si>
    <t>Conversation7_12</t>
  </si>
  <si>
    <t>Conversation7_13</t>
  </si>
  <si>
    <t>Conversation7_14</t>
  </si>
  <si>
    <t>Conversation7_15</t>
  </si>
  <si>
    <t>Conversation7_16</t>
  </si>
  <si>
    <t>Conversation7_17</t>
  </si>
  <si>
    <t>Conversation7_18</t>
  </si>
  <si>
    <t>Conversation7_19</t>
  </si>
  <si>
    <t>Conversation8_1</t>
  </si>
  <si>
    <t>Conversation8_2</t>
  </si>
  <si>
    <t>Conversation8_3</t>
  </si>
  <si>
    <t>Conversation8_4</t>
  </si>
  <si>
    <t>Conversation8_5</t>
  </si>
  <si>
    <t>Conversation8_6</t>
  </si>
  <si>
    <t>Conversation8_7</t>
  </si>
  <si>
    <t>Conversation8_8</t>
  </si>
  <si>
    <t>Conversation8_9</t>
  </si>
  <si>
    <t>Conversation8_10</t>
  </si>
  <si>
    <t>Conversation8_11</t>
  </si>
  <si>
    <t>Conversation8_12</t>
  </si>
  <si>
    <t>Conversation8_13</t>
  </si>
  <si>
    <t>Conversation8_14</t>
  </si>
  <si>
    <t>Conversation8_15</t>
  </si>
  <si>
    <t>Conversation8_16</t>
  </si>
  <si>
    <t>Conversation8_17</t>
  </si>
  <si>
    <t>Conversation8_18</t>
  </si>
  <si>
    <t>Conversation9_18</t>
  </si>
  <si>
    <t>Conversation9_1</t>
  </si>
  <si>
    <t>Conversation9_2</t>
  </si>
  <si>
    <t>Conversation9_3</t>
  </si>
  <si>
    <t>Conversation9_4</t>
  </si>
  <si>
    <t>Conversation9_5</t>
  </si>
  <si>
    <t>Conversation9_6</t>
  </si>
  <si>
    <t>Conversation9_7</t>
  </si>
  <si>
    <t>Conversation9_8</t>
  </si>
  <si>
    <t>Conversation9_9</t>
  </si>
  <si>
    <t>Conversation9_10</t>
  </si>
  <si>
    <t>Conversation9_11</t>
  </si>
  <si>
    <t>Conversation9_12</t>
  </si>
  <si>
    <t>Conversation9_13</t>
  </si>
  <si>
    <t>Conversation9_14</t>
  </si>
  <si>
    <t>Conversation9_15</t>
  </si>
  <si>
    <t>Conversation9_16</t>
  </si>
  <si>
    <t>Conversation9_17</t>
  </si>
  <si>
    <t>Conversation10_1</t>
  </si>
  <si>
    <t>Conversation10_2</t>
  </si>
  <si>
    <t>Conversation10_3</t>
  </si>
  <si>
    <t>Conversation10_4</t>
  </si>
  <si>
    <t>Conversation10_5</t>
  </si>
  <si>
    <t>Conversation10_6</t>
  </si>
  <si>
    <t>Conversation10_7</t>
  </si>
  <si>
    <t>Conversation10_8</t>
  </si>
  <si>
    <t>Conversation10_9</t>
  </si>
  <si>
    <t>Conversation10_10</t>
  </si>
  <si>
    <t>Conversation10_11</t>
  </si>
  <si>
    <t>Conversation10_12</t>
  </si>
  <si>
    <t>Conversation10_13</t>
  </si>
  <si>
    <t>Conversation10_14</t>
  </si>
  <si>
    <t>Conversation10_15</t>
  </si>
  <si>
    <t>Conversation10_16</t>
  </si>
  <si>
    <t>Conversation10_17</t>
  </si>
  <si>
    <t>Conversation10_18</t>
  </si>
  <si>
    <t>Conversation10_19</t>
  </si>
  <si>
    <t>Ponderation</t>
  </si>
  <si>
    <t>Human Ground Truth</t>
  </si>
  <si>
    <t>LLM Ground Truth</t>
  </si>
  <si>
    <t>AVERAGE</t>
  </si>
  <si>
    <t>alpha</t>
  </si>
  <si>
    <t>beta</t>
  </si>
  <si>
    <t>STD DEVIATION</t>
  </si>
  <si>
    <t>1 Hour</t>
  </si>
  <si>
    <t>1 Week</t>
  </si>
  <si>
    <t>2 Months</t>
  </si>
  <si>
    <t>1 Year</t>
  </si>
  <si>
    <t>CONFIDENCIA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</si>
</sst>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00A2"/>
      <color rgb="FF8C52FF"/>
      <color rgb="FF823E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Semantic!$A$12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Semantic!$B$14:$E$14</c:f>
                <c:numCache>
                  <c:formatCode>General</c:formatCode>
                  <c:ptCount val="4"/>
                  <c:pt idx="0">
                    <c:v>2.1906246412595618E-2</c:v>
                  </c:pt>
                  <c:pt idx="1">
                    <c:v>2.6974137077291654E-2</c:v>
                  </c:pt>
                  <c:pt idx="2">
                    <c:v>3.3335151642964814E-2</c:v>
                  </c:pt>
                  <c:pt idx="3">
                    <c:v>2.3812656026024802E-2</c:v>
                  </c:pt>
                </c:numCache>
              </c:numRef>
            </c:plus>
            <c:minus>
              <c:numRef>
                <c:f>Semantic!$B$14:$E$14</c:f>
                <c:numCache>
                  <c:formatCode>General</c:formatCode>
                  <c:ptCount val="4"/>
                  <c:pt idx="0">
                    <c:v>2.1906246412595618E-2</c:v>
                  </c:pt>
                  <c:pt idx="1">
                    <c:v>2.6974137077291654E-2</c:v>
                  </c:pt>
                  <c:pt idx="2">
                    <c:v>3.3335151642964814E-2</c:v>
                  </c:pt>
                  <c:pt idx="3">
                    <c:v>2.3812656026024802E-2</c:v>
                  </c:pt>
                </c:numCache>
              </c:numRef>
            </c:minus>
            <c:spPr>
              <a:noFill/>
              <a:ln w="22225" cap="flat" cmpd="sng" algn="ctr">
                <a:solidFill>
                  <a:srgbClr val="3600A2"/>
                </a:solidFill>
                <a:round/>
              </a:ln>
              <a:effectLst/>
            </c:spPr>
          </c:errBars>
          <c:cat>
            <c:strRef>
              <c:f>Semantic!$B$1:$E$1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Semantic!$B$12:$E$12</c:f>
              <c:numCache>
                <c:formatCode>General</c:formatCode>
                <c:ptCount val="4"/>
                <c:pt idx="0">
                  <c:v>0.85106000000000004</c:v>
                </c:pt>
                <c:pt idx="1">
                  <c:v>0.86150799999999994</c:v>
                </c:pt>
                <c:pt idx="2">
                  <c:v>0.85924700000000009</c:v>
                </c:pt>
                <c:pt idx="3">
                  <c:v>0.8744869999999999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5-43CD-89DA-2ED9787CD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  <c:max val="0.9"/>
          <c:min val="0.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Semantic!$A$12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cat>
            <c:strRef>
              <c:f>Semantic!$B$1:$E$1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Semantic!$B$12:$E$12</c:f>
              <c:numCache>
                <c:formatCode>General</c:formatCode>
                <c:ptCount val="4"/>
                <c:pt idx="0">
                  <c:v>0.85106000000000004</c:v>
                </c:pt>
                <c:pt idx="1">
                  <c:v>0.86150799999999994</c:v>
                </c:pt>
                <c:pt idx="2">
                  <c:v>0.85924700000000009</c:v>
                </c:pt>
                <c:pt idx="3">
                  <c:v>0.8744869999999999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D28-9F7F-F6DE9769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Memorable!$A$12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Memorable!$B$14:$E$14</c:f>
                <c:numCache>
                  <c:formatCode>General</c:formatCode>
                  <c:ptCount val="4"/>
                  <c:pt idx="0">
                    <c:v>0.15209163852621249</c:v>
                  </c:pt>
                  <c:pt idx="1">
                    <c:v>8.45031470786822E-2</c:v>
                  </c:pt>
                  <c:pt idx="2">
                    <c:v>8.0706148030164876E-2</c:v>
                  </c:pt>
                  <c:pt idx="3">
                    <c:v>7.3887957043325361E-2</c:v>
                  </c:pt>
                </c:numCache>
              </c:numRef>
            </c:plus>
            <c:minus>
              <c:numRef>
                <c:f>Memorable!$B$14:$E$14</c:f>
                <c:numCache>
                  <c:formatCode>General</c:formatCode>
                  <c:ptCount val="4"/>
                  <c:pt idx="0">
                    <c:v>0.15209163852621249</c:v>
                  </c:pt>
                  <c:pt idx="1">
                    <c:v>8.45031470786822E-2</c:v>
                  </c:pt>
                  <c:pt idx="2">
                    <c:v>8.0706148030164876E-2</c:v>
                  </c:pt>
                  <c:pt idx="3">
                    <c:v>7.3887957043325361E-2</c:v>
                  </c:pt>
                </c:numCache>
              </c:numRef>
            </c:minus>
            <c:spPr>
              <a:noFill/>
              <a:ln w="22225" cap="flat" cmpd="sng" algn="ctr">
                <a:solidFill>
                  <a:srgbClr val="3600A2"/>
                </a:solidFill>
                <a:round/>
              </a:ln>
              <a:effectLst/>
            </c:spPr>
          </c:errBars>
          <c:cat>
            <c:strRef>
              <c:f>Memorable!$B$1:$E$1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Memorable!$B$12:$E$12</c:f>
              <c:numCache>
                <c:formatCode>General</c:formatCode>
                <c:ptCount val="4"/>
                <c:pt idx="0">
                  <c:v>0.59745238095238107</c:v>
                </c:pt>
                <c:pt idx="1">
                  <c:v>0.68111904761904762</c:v>
                </c:pt>
                <c:pt idx="2">
                  <c:v>0.75540476190476191</c:v>
                </c:pt>
                <c:pt idx="3">
                  <c:v>0.74654761904761902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A-48FF-80EE-F5B73B85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Memorable!$A$12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cat>
            <c:strRef>
              <c:f>Memorable!$B$1:$E$1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Memorable!$B$12:$E$12</c:f>
              <c:numCache>
                <c:formatCode>General</c:formatCode>
                <c:ptCount val="4"/>
                <c:pt idx="0">
                  <c:v>0.59745238095238107</c:v>
                </c:pt>
                <c:pt idx="1">
                  <c:v>0.68111904761904762</c:v>
                </c:pt>
                <c:pt idx="2">
                  <c:v>0.75540476190476191</c:v>
                </c:pt>
                <c:pt idx="3">
                  <c:v>0.74654761904761902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4-425F-9671-4CB3FBD8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Gemma 7b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1 Hour</c:v>
                </c:pt>
                <c:pt idx="1">
                  <c:v>1 Week</c:v>
                </c:pt>
                <c:pt idx="2">
                  <c:v>2 Months</c:v>
                </c:pt>
                <c:pt idx="3">
                  <c:v>1 Year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0.59745238095238107</c:v>
                </c:pt>
                <c:pt idx="1">
                  <c:v>0.52375000000000005</c:v>
                </c:pt>
                <c:pt idx="2">
                  <c:v>0.42166666666666669</c:v>
                </c:pt>
                <c:pt idx="3">
                  <c:v>0.18666666666666665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B-4DEE-A3F3-2C557FC5497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Mistral 7b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1 Hour</c:v>
                </c:pt>
                <c:pt idx="1">
                  <c:v>1 Week</c:v>
                </c:pt>
                <c:pt idx="2">
                  <c:v>2 Months</c:v>
                </c:pt>
                <c:pt idx="3">
                  <c:v>1 Year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0.68111904761904762</c:v>
                </c:pt>
                <c:pt idx="1">
                  <c:v>0.4325</c:v>
                </c:pt>
                <c:pt idx="2">
                  <c:v>0.45466666666666666</c:v>
                </c:pt>
                <c:pt idx="3">
                  <c:v>0.47666666666666674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B-4DEE-A3F3-2C557FC5497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Llama2 13b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1 Hour</c:v>
                </c:pt>
                <c:pt idx="1">
                  <c:v>1 Week</c:v>
                </c:pt>
                <c:pt idx="2">
                  <c:v>2 Months</c:v>
                </c:pt>
                <c:pt idx="3">
                  <c:v>1 Year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0.75540476190476191</c:v>
                </c:pt>
                <c:pt idx="1">
                  <c:v>0.58291666666666653</c:v>
                </c:pt>
                <c:pt idx="2">
                  <c:v>0.41799999999999998</c:v>
                </c:pt>
                <c:pt idx="3">
                  <c:v>0.32083333333333341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B-4DEE-A3F3-2C557FC5497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GPT4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1 Hour</c:v>
                </c:pt>
                <c:pt idx="1">
                  <c:v>1 Week</c:v>
                </c:pt>
                <c:pt idx="2">
                  <c:v>2 Months</c:v>
                </c:pt>
                <c:pt idx="3">
                  <c:v>1 Year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0.74654761904761902</c:v>
                </c:pt>
                <c:pt idx="1">
                  <c:v>0.5419166666666666</c:v>
                </c:pt>
                <c:pt idx="2">
                  <c:v>0.57833333333333337</c:v>
                </c:pt>
                <c:pt idx="3">
                  <c:v>0.40833333333333333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B-4DEE-A3F3-2C557FC5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37728"/>
        <c:axId val="190041088"/>
      </c:lineChart>
      <c:catAx>
        <c:axId val="19003772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088"/>
        <c:crosses val="autoZero"/>
        <c:auto val="0"/>
        <c:lblAlgn val="ctr"/>
        <c:lblOffset val="100"/>
        <c:tickMarkSkip val="1"/>
        <c:noMultiLvlLbl val="0"/>
      </c:catAx>
      <c:valAx>
        <c:axId val="190041088"/>
        <c:scaling>
          <c:orientation val="minMax"/>
          <c:max val="0.8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</xdr:colOff>
      <xdr:row>1</xdr:row>
      <xdr:rowOff>13661</xdr:rowOff>
    </xdr:from>
    <xdr:to>
      <xdr:col>17</xdr:col>
      <xdr:colOff>324519</xdr:colOff>
      <xdr:row>15</xdr:row>
      <xdr:rowOff>181033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6F8A9-471D-F745-69A4-6B72D60F7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11653</xdr:colOff>
      <xdr:row>16</xdr:row>
      <xdr:rowOff>180596</xdr:rowOff>
    </xdr:from>
    <xdr:to>
      <xdr:col>17</xdr:col>
      <xdr:colOff>313947</xdr:colOff>
      <xdr:row>31</xdr:row>
      <xdr:rowOff>161545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EB13D4-9F0E-4523-9880-BA27DF480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12700</xdr:rowOff>
    </xdr:from>
    <xdr:to>
      <xdr:col>16</xdr:col>
      <xdr:colOff>329675</xdr:colOff>
      <xdr:row>16</xdr:row>
      <xdr:rowOff>27730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2781-4F0A-46FC-8162-E4145038C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17</xdr:row>
      <xdr:rowOff>0</xdr:rowOff>
    </xdr:from>
    <xdr:to>
      <xdr:col>16</xdr:col>
      <xdr:colOff>336025</xdr:colOff>
      <xdr:row>32</xdr:row>
      <xdr:rowOff>15030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9CC4E8-1658-4C50-A630-279DD5C40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555624</xdr:colOff>
      <xdr:row>10</xdr:row>
      <xdr:rowOff>47624</xdr:rowOff>
    </xdr:from>
    <xdr:to>
      <xdr:col>17</xdr:col>
      <xdr:colOff>203199</xdr:colOff>
      <xdr:row>27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095BD-C769-8AA0-5CCA-52BCB86F7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1696-A663-4E3C-A9F6-D15AD9ADFED9}">
  <dimension ref="A1:D185"/>
  <sheetViews>
    <sheetView workbookViewId="0">
      <selection activeCell="H85" sqref="H85"/>
    </sheetView>
  </sheetViews>
  <sheetFormatPr defaultRowHeight="14.5" x14ac:dyDescent="0.35"/>
  <cols>
    <col min="1" max="1" width="17.08984375" customWidth="1"/>
  </cols>
  <sheetData>
    <row r="1" spans="1:4" x14ac:dyDescent="0.35">
      <c r="B1" t="s">
        <v>86</v>
      </c>
      <c r="C1" t="s">
        <v>87</v>
      </c>
      <c r="D1" t="s">
        <v>88</v>
      </c>
    </row>
    <row r="2" spans="1:4" x14ac:dyDescent="0.35">
      <c r="A2" t="s">
        <v>14</v>
      </c>
      <c r="B2">
        <v>1</v>
      </c>
      <c r="C2">
        <v>1</v>
      </c>
      <c r="D2">
        <v>1</v>
      </c>
    </row>
    <row r="3" spans="1:4" x14ac:dyDescent="0.35">
      <c r="A3" t="s">
        <v>15</v>
      </c>
      <c r="B3">
        <v>0</v>
      </c>
      <c r="C3">
        <v>0</v>
      </c>
      <c r="D3">
        <v>0</v>
      </c>
    </row>
    <row r="4" spans="1:4" x14ac:dyDescent="0.35">
      <c r="A4" t="s">
        <v>16</v>
      </c>
      <c r="B4">
        <v>1</v>
      </c>
      <c r="C4">
        <v>1</v>
      </c>
      <c r="D4">
        <v>1</v>
      </c>
    </row>
    <row r="5" spans="1:4" x14ac:dyDescent="0.35">
      <c r="A5" t="s">
        <v>17</v>
      </c>
      <c r="B5">
        <v>0</v>
      </c>
      <c r="C5">
        <v>0</v>
      </c>
      <c r="D5">
        <v>0</v>
      </c>
    </row>
    <row r="6" spans="1:4" x14ac:dyDescent="0.35">
      <c r="A6" t="s">
        <v>18</v>
      </c>
      <c r="B6">
        <v>0</v>
      </c>
      <c r="C6">
        <v>0</v>
      </c>
      <c r="D6">
        <v>0</v>
      </c>
    </row>
    <row r="7" spans="1:4" x14ac:dyDescent="0.35">
      <c r="A7" t="s">
        <v>19</v>
      </c>
      <c r="B7">
        <v>0</v>
      </c>
      <c r="C7">
        <v>0</v>
      </c>
      <c r="D7">
        <v>0</v>
      </c>
    </row>
    <row r="8" spans="1:4" x14ac:dyDescent="0.35">
      <c r="A8" t="s">
        <v>20</v>
      </c>
      <c r="B8">
        <v>1</v>
      </c>
      <c r="C8">
        <v>1</v>
      </c>
      <c r="D8">
        <v>0</v>
      </c>
    </row>
    <row r="9" spans="1:4" x14ac:dyDescent="0.35">
      <c r="A9" t="s">
        <v>21</v>
      </c>
      <c r="B9">
        <v>1</v>
      </c>
      <c r="C9">
        <v>1</v>
      </c>
      <c r="D9">
        <v>1</v>
      </c>
    </row>
    <row r="10" spans="1:4" x14ac:dyDescent="0.35">
      <c r="A10" t="s">
        <v>22</v>
      </c>
      <c r="B10">
        <v>0</v>
      </c>
      <c r="C10">
        <v>0</v>
      </c>
      <c r="D10">
        <v>0</v>
      </c>
    </row>
    <row r="11" spans="1:4" x14ac:dyDescent="0.35">
      <c r="A11" t="s">
        <v>23</v>
      </c>
      <c r="B11">
        <v>0</v>
      </c>
      <c r="C11">
        <v>0</v>
      </c>
      <c r="D11">
        <v>0</v>
      </c>
    </row>
    <row r="12" spans="1:4" x14ac:dyDescent="0.35">
      <c r="A12" t="s">
        <v>24</v>
      </c>
      <c r="B12">
        <v>0</v>
      </c>
      <c r="C12">
        <v>0</v>
      </c>
      <c r="D12">
        <v>0</v>
      </c>
    </row>
    <row r="13" spans="1:4" x14ac:dyDescent="0.35">
      <c r="A13" t="s">
        <v>25</v>
      </c>
      <c r="B13">
        <v>1</v>
      </c>
      <c r="C13">
        <v>1</v>
      </c>
      <c r="D13">
        <v>0</v>
      </c>
    </row>
    <row r="14" spans="1:4" x14ac:dyDescent="0.35">
      <c r="A14" t="s">
        <v>26</v>
      </c>
      <c r="B14">
        <v>0</v>
      </c>
      <c r="C14">
        <v>0</v>
      </c>
      <c r="D14">
        <v>0</v>
      </c>
    </row>
    <row r="15" spans="1:4" x14ac:dyDescent="0.35">
      <c r="A15" t="s">
        <v>27</v>
      </c>
      <c r="B15">
        <v>0</v>
      </c>
      <c r="C15">
        <v>0</v>
      </c>
      <c r="D15">
        <v>0</v>
      </c>
    </row>
    <row r="16" spans="1:4" x14ac:dyDescent="0.35">
      <c r="A16" t="s">
        <v>28</v>
      </c>
      <c r="B16">
        <v>1</v>
      </c>
      <c r="C16">
        <v>1</v>
      </c>
      <c r="D16">
        <v>1</v>
      </c>
    </row>
    <row r="17" spans="1:4" x14ac:dyDescent="0.35">
      <c r="A17" t="s">
        <v>29</v>
      </c>
      <c r="B17">
        <v>0</v>
      </c>
      <c r="C17">
        <v>0</v>
      </c>
      <c r="D17">
        <v>0</v>
      </c>
    </row>
    <row r="18" spans="1:4" x14ac:dyDescent="0.35">
      <c r="A18" t="s">
        <v>31</v>
      </c>
      <c r="B18">
        <v>0</v>
      </c>
      <c r="C18">
        <v>0</v>
      </c>
      <c r="D18">
        <v>0</v>
      </c>
    </row>
    <row r="19" spans="1:4" x14ac:dyDescent="0.35">
      <c r="A19" t="s">
        <v>32</v>
      </c>
      <c r="B19">
        <v>2</v>
      </c>
      <c r="C19">
        <v>1</v>
      </c>
      <c r="D19">
        <v>2</v>
      </c>
    </row>
    <row r="20" spans="1:4" x14ac:dyDescent="0.35">
      <c r="A20" t="s">
        <v>33</v>
      </c>
      <c r="B20">
        <v>1</v>
      </c>
      <c r="C20">
        <v>1</v>
      </c>
      <c r="D20">
        <v>1</v>
      </c>
    </row>
    <row r="21" spans="1:4" x14ac:dyDescent="0.35">
      <c r="A21" t="s">
        <v>34</v>
      </c>
      <c r="B21">
        <v>0</v>
      </c>
      <c r="C21">
        <v>0</v>
      </c>
      <c r="D21">
        <v>0</v>
      </c>
    </row>
    <row r="22" spans="1:4" x14ac:dyDescent="0.35">
      <c r="A22" t="s">
        <v>35</v>
      </c>
      <c r="B22">
        <v>0</v>
      </c>
      <c r="C22">
        <v>0</v>
      </c>
      <c r="D22">
        <v>0</v>
      </c>
    </row>
    <row r="23" spans="1:4" x14ac:dyDescent="0.35">
      <c r="A23" t="s">
        <v>36</v>
      </c>
      <c r="B23">
        <v>0</v>
      </c>
      <c r="C23">
        <v>0</v>
      </c>
      <c r="D23">
        <v>0</v>
      </c>
    </row>
    <row r="24" spans="1:4" x14ac:dyDescent="0.35">
      <c r="A24" t="s">
        <v>37</v>
      </c>
      <c r="B24">
        <v>0</v>
      </c>
      <c r="C24">
        <v>0</v>
      </c>
      <c r="D24">
        <v>0</v>
      </c>
    </row>
    <row r="25" spans="1:4" x14ac:dyDescent="0.35">
      <c r="A25" t="s">
        <v>38</v>
      </c>
      <c r="B25">
        <v>1</v>
      </c>
      <c r="C25">
        <v>1</v>
      </c>
      <c r="D25">
        <v>1</v>
      </c>
    </row>
    <row r="26" spans="1:4" x14ac:dyDescent="0.35">
      <c r="A26" t="s">
        <v>39</v>
      </c>
      <c r="B26">
        <v>0</v>
      </c>
      <c r="C26">
        <v>0</v>
      </c>
      <c r="D26">
        <v>0</v>
      </c>
    </row>
    <row r="27" spans="1:4" x14ac:dyDescent="0.35">
      <c r="A27" t="s">
        <v>40</v>
      </c>
      <c r="B27">
        <v>2</v>
      </c>
      <c r="C27">
        <v>2</v>
      </c>
      <c r="D27">
        <v>2</v>
      </c>
    </row>
    <row r="28" spans="1:4" x14ac:dyDescent="0.35">
      <c r="A28" t="s">
        <v>41</v>
      </c>
      <c r="B28">
        <v>1</v>
      </c>
      <c r="C28">
        <v>1</v>
      </c>
      <c r="D28">
        <v>1</v>
      </c>
    </row>
    <row r="29" spans="1:4" x14ac:dyDescent="0.35">
      <c r="A29" t="s">
        <v>42</v>
      </c>
      <c r="B29">
        <v>0</v>
      </c>
      <c r="C29">
        <v>1</v>
      </c>
      <c r="D29">
        <v>1</v>
      </c>
    </row>
    <row r="30" spans="1:4" x14ac:dyDescent="0.35">
      <c r="A30" t="s">
        <v>43</v>
      </c>
      <c r="B30">
        <v>1</v>
      </c>
      <c r="C30">
        <v>1</v>
      </c>
      <c r="D30">
        <v>1</v>
      </c>
    </row>
    <row r="31" spans="1:4" x14ac:dyDescent="0.35">
      <c r="A31" t="s">
        <v>44</v>
      </c>
      <c r="B31">
        <v>0</v>
      </c>
      <c r="C31">
        <v>0</v>
      </c>
      <c r="D31">
        <v>0</v>
      </c>
    </row>
    <row r="32" spans="1:4" x14ac:dyDescent="0.35">
      <c r="A32" t="s">
        <v>45</v>
      </c>
      <c r="B32">
        <v>1</v>
      </c>
      <c r="C32">
        <v>1</v>
      </c>
      <c r="D32">
        <v>1</v>
      </c>
    </row>
    <row r="33" spans="1:4" x14ac:dyDescent="0.35">
      <c r="A33" t="s">
        <v>46</v>
      </c>
      <c r="B33">
        <v>0</v>
      </c>
      <c r="C33">
        <v>0</v>
      </c>
      <c r="D33">
        <v>0</v>
      </c>
    </row>
    <row r="34" spans="1:4" x14ac:dyDescent="0.35">
      <c r="A34" t="s">
        <v>47</v>
      </c>
      <c r="B34">
        <v>0</v>
      </c>
      <c r="C34">
        <v>0</v>
      </c>
      <c r="D34">
        <v>0</v>
      </c>
    </row>
    <row r="35" spans="1:4" x14ac:dyDescent="0.35">
      <c r="A35" t="s">
        <v>48</v>
      </c>
      <c r="B35">
        <v>0</v>
      </c>
      <c r="C35">
        <v>0</v>
      </c>
      <c r="D35">
        <v>0</v>
      </c>
    </row>
    <row r="36" spans="1:4" x14ac:dyDescent="0.35">
      <c r="A36" t="s">
        <v>30</v>
      </c>
      <c r="B36">
        <v>0</v>
      </c>
      <c r="C36">
        <v>0</v>
      </c>
      <c r="D36">
        <v>0</v>
      </c>
    </row>
    <row r="37" spans="1:4" x14ac:dyDescent="0.35">
      <c r="A37" t="s">
        <v>49</v>
      </c>
      <c r="B37">
        <v>0</v>
      </c>
      <c r="C37">
        <v>0</v>
      </c>
      <c r="D37">
        <v>0</v>
      </c>
    </row>
    <row r="38" spans="1:4" x14ac:dyDescent="0.35">
      <c r="A38" t="s">
        <v>50</v>
      </c>
      <c r="B38">
        <v>2</v>
      </c>
      <c r="C38">
        <v>1</v>
      </c>
      <c r="D38">
        <v>1</v>
      </c>
    </row>
    <row r="39" spans="1:4" x14ac:dyDescent="0.35">
      <c r="A39" t="s">
        <v>51</v>
      </c>
      <c r="B39">
        <v>0</v>
      </c>
      <c r="C39">
        <v>0</v>
      </c>
      <c r="D39">
        <v>0</v>
      </c>
    </row>
    <row r="40" spans="1:4" x14ac:dyDescent="0.35">
      <c r="A40" t="s">
        <v>52</v>
      </c>
      <c r="B40">
        <v>0</v>
      </c>
      <c r="C40">
        <v>0</v>
      </c>
      <c r="D40">
        <v>0</v>
      </c>
    </row>
    <row r="41" spans="1:4" x14ac:dyDescent="0.35">
      <c r="A41" t="s">
        <v>53</v>
      </c>
      <c r="B41">
        <v>0</v>
      </c>
      <c r="C41">
        <v>0</v>
      </c>
      <c r="D41">
        <v>0</v>
      </c>
    </row>
    <row r="42" spans="1:4" x14ac:dyDescent="0.35">
      <c r="A42" t="s">
        <v>54</v>
      </c>
      <c r="B42">
        <v>1</v>
      </c>
      <c r="C42">
        <v>1</v>
      </c>
      <c r="D42">
        <v>1</v>
      </c>
    </row>
    <row r="43" spans="1:4" x14ac:dyDescent="0.35">
      <c r="A43" t="s">
        <v>55</v>
      </c>
      <c r="B43">
        <v>0</v>
      </c>
      <c r="C43">
        <v>0</v>
      </c>
      <c r="D43">
        <v>0</v>
      </c>
    </row>
    <row r="44" spans="1:4" x14ac:dyDescent="0.35">
      <c r="A44" t="s">
        <v>56</v>
      </c>
      <c r="B44">
        <v>1</v>
      </c>
      <c r="C44">
        <v>0</v>
      </c>
      <c r="D44">
        <v>1</v>
      </c>
    </row>
    <row r="45" spans="1:4" x14ac:dyDescent="0.35">
      <c r="A45" t="s">
        <v>57</v>
      </c>
      <c r="B45">
        <v>0</v>
      </c>
      <c r="C45">
        <v>0</v>
      </c>
      <c r="D45">
        <v>0</v>
      </c>
    </row>
    <row r="46" spans="1:4" x14ac:dyDescent="0.35">
      <c r="A46" t="s">
        <v>58</v>
      </c>
      <c r="B46">
        <v>0</v>
      </c>
      <c r="C46">
        <v>0</v>
      </c>
      <c r="D46">
        <v>0</v>
      </c>
    </row>
    <row r="47" spans="1:4" x14ac:dyDescent="0.35">
      <c r="A47" t="s">
        <v>59</v>
      </c>
      <c r="B47">
        <v>2</v>
      </c>
      <c r="C47">
        <v>1</v>
      </c>
      <c r="D47">
        <v>1</v>
      </c>
    </row>
    <row r="48" spans="1:4" x14ac:dyDescent="0.35">
      <c r="A48" t="s">
        <v>60</v>
      </c>
      <c r="B48">
        <v>0</v>
      </c>
      <c r="C48">
        <v>0</v>
      </c>
      <c r="D48">
        <v>0</v>
      </c>
    </row>
    <row r="49" spans="1:4" x14ac:dyDescent="0.35">
      <c r="A49" t="s">
        <v>61</v>
      </c>
      <c r="B49">
        <v>1</v>
      </c>
      <c r="C49">
        <v>1</v>
      </c>
      <c r="D49">
        <v>1</v>
      </c>
    </row>
    <row r="50" spans="1:4" x14ac:dyDescent="0.35">
      <c r="A50" t="s">
        <v>62</v>
      </c>
      <c r="B50">
        <v>1</v>
      </c>
      <c r="C50">
        <v>1</v>
      </c>
      <c r="D50">
        <v>1</v>
      </c>
    </row>
    <row r="51" spans="1:4" x14ac:dyDescent="0.35">
      <c r="A51" t="s">
        <v>63</v>
      </c>
      <c r="B51">
        <v>0</v>
      </c>
      <c r="C51">
        <v>0</v>
      </c>
      <c r="D51">
        <v>0</v>
      </c>
    </row>
    <row r="52" spans="1:4" x14ac:dyDescent="0.35">
      <c r="A52" t="s">
        <v>64</v>
      </c>
      <c r="B52">
        <v>1</v>
      </c>
      <c r="C52">
        <v>1</v>
      </c>
      <c r="D52">
        <v>1</v>
      </c>
    </row>
    <row r="53" spans="1:4" x14ac:dyDescent="0.35">
      <c r="A53" t="s">
        <v>65</v>
      </c>
      <c r="B53">
        <v>1</v>
      </c>
      <c r="C53">
        <v>1</v>
      </c>
      <c r="D53">
        <v>1</v>
      </c>
    </row>
    <row r="54" spans="1:4" x14ac:dyDescent="0.35">
      <c r="A54" t="s">
        <v>66</v>
      </c>
      <c r="B54">
        <v>0</v>
      </c>
      <c r="C54">
        <v>0</v>
      </c>
      <c r="D54">
        <v>0</v>
      </c>
    </row>
    <row r="55" spans="1:4" x14ac:dyDescent="0.35">
      <c r="A55" t="s">
        <v>67</v>
      </c>
      <c r="B55">
        <v>0</v>
      </c>
      <c r="C55">
        <v>0</v>
      </c>
      <c r="D55">
        <v>0</v>
      </c>
    </row>
    <row r="56" spans="1:4" x14ac:dyDescent="0.35">
      <c r="A56" t="s">
        <v>68</v>
      </c>
      <c r="B56">
        <v>0</v>
      </c>
      <c r="C56">
        <v>0</v>
      </c>
      <c r="D56">
        <v>0</v>
      </c>
    </row>
    <row r="57" spans="1:4" x14ac:dyDescent="0.35">
      <c r="A57" t="s">
        <v>69</v>
      </c>
      <c r="B57">
        <v>1</v>
      </c>
      <c r="C57">
        <v>1</v>
      </c>
      <c r="D57">
        <v>1</v>
      </c>
    </row>
    <row r="58" spans="1:4" x14ac:dyDescent="0.35">
      <c r="A58" t="s">
        <v>70</v>
      </c>
      <c r="B58">
        <v>2</v>
      </c>
      <c r="C58">
        <v>2</v>
      </c>
      <c r="D58">
        <v>2</v>
      </c>
    </row>
    <row r="59" spans="1:4" x14ac:dyDescent="0.35">
      <c r="A59" t="s">
        <v>71</v>
      </c>
      <c r="B59">
        <v>0</v>
      </c>
      <c r="C59">
        <v>0</v>
      </c>
      <c r="D59">
        <v>0</v>
      </c>
    </row>
    <row r="60" spans="1:4" x14ac:dyDescent="0.35">
      <c r="A60" t="s">
        <v>72</v>
      </c>
      <c r="B60">
        <v>0</v>
      </c>
      <c r="C60">
        <v>1</v>
      </c>
      <c r="D60">
        <v>0</v>
      </c>
    </row>
    <row r="61" spans="1:4" x14ac:dyDescent="0.35">
      <c r="A61" t="s">
        <v>73</v>
      </c>
      <c r="B61">
        <v>0</v>
      </c>
      <c r="C61">
        <v>0</v>
      </c>
      <c r="D61">
        <v>0</v>
      </c>
    </row>
    <row r="62" spans="1:4" x14ac:dyDescent="0.35">
      <c r="A62" t="s">
        <v>74</v>
      </c>
      <c r="B62">
        <v>0</v>
      </c>
      <c r="C62">
        <v>0</v>
      </c>
      <c r="D62">
        <v>0</v>
      </c>
    </row>
    <row r="63" spans="1:4" x14ac:dyDescent="0.35">
      <c r="A63" t="s">
        <v>75</v>
      </c>
      <c r="B63">
        <v>0</v>
      </c>
      <c r="C63">
        <v>0</v>
      </c>
      <c r="D63">
        <v>0</v>
      </c>
    </row>
    <row r="64" spans="1:4" x14ac:dyDescent="0.35">
      <c r="A64" t="s">
        <v>76</v>
      </c>
      <c r="B64">
        <v>0</v>
      </c>
      <c r="C64">
        <v>0</v>
      </c>
      <c r="D64">
        <v>0</v>
      </c>
    </row>
    <row r="65" spans="1:4" x14ac:dyDescent="0.35">
      <c r="A65" t="s">
        <v>77</v>
      </c>
      <c r="B65">
        <v>1</v>
      </c>
      <c r="C65">
        <v>1</v>
      </c>
      <c r="D65">
        <v>1</v>
      </c>
    </row>
    <row r="66" spans="1:4" x14ac:dyDescent="0.35">
      <c r="A66" t="s">
        <v>78</v>
      </c>
      <c r="B66">
        <v>0</v>
      </c>
      <c r="C66">
        <v>1</v>
      </c>
      <c r="D66">
        <v>0</v>
      </c>
    </row>
    <row r="67" spans="1:4" x14ac:dyDescent="0.35">
      <c r="A67" t="s">
        <v>79</v>
      </c>
      <c r="B67">
        <v>0</v>
      </c>
      <c r="C67">
        <v>1</v>
      </c>
      <c r="D67">
        <v>0</v>
      </c>
    </row>
    <row r="68" spans="1:4" x14ac:dyDescent="0.35">
      <c r="A68" t="s">
        <v>80</v>
      </c>
      <c r="B68">
        <v>0</v>
      </c>
      <c r="C68">
        <v>0</v>
      </c>
      <c r="D68">
        <v>0</v>
      </c>
    </row>
    <row r="69" spans="1:4" x14ac:dyDescent="0.35">
      <c r="A69" t="s">
        <v>81</v>
      </c>
      <c r="B69">
        <v>0</v>
      </c>
      <c r="C69">
        <v>0</v>
      </c>
      <c r="D69">
        <v>0</v>
      </c>
    </row>
    <row r="70" spans="1:4" x14ac:dyDescent="0.35">
      <c r="A70" t="s">
        <v>82</v>
      </c>
      <c r="B70">
        <v>1</v>
      </c>
      <c r="C70">
        <v>1</v>
      </c>
      <c r="D70">
        <v>1</v>
      </c>
    </row>
    <row r="71" spans="1:4" x14ac:dyDescent="0.35">
      <c r="A71" t="s">
        <v>83</v>
      </c>
      <c r="B71">
        <v>0</v>
      </c>
      <c r="C71">
        <v>0</v>
      </c>
      <c r="D71">
        <v>0</v>
      </c>
    </row>
    <row r="72" spans="1:4" x14ac:dyDescent="0.35">
      <c r="A72" t="s">
        <v>84</v>
      </c>
      <c r="B72">
        <v>0</v>
      </c>
      <c r="C72">
        <v>0</v>
      </c>
      <c r="D72">
        <v>0</v>
      </c>
    </row>
    <row r="73" spans="1:4" x14ac:dyDescent="0.35">
      <c r="A73" t="s">
        <v>85</v>
      </c>
      <c r="B73">
        <v>0</v>
      </c>
      <c r="C73">
        <v>0</v>
      </c>
      <c r="D73">
        <v>0</v>
      </c>
    </row>
    <row r="74" spans="1:4" x14ac:dyDescent="0.35">
      <c r="A74" t="s">
        <v>89</v>
      </c>
      <c r="B74">
        <v>0</v>
      </c>
      <c r="C74">
        <v>0</v>
      </c>
      <c r="D74">
        <v>0</v>
      </c>
    </row>
    <row r="75" spans="1:4" x14ac:dyDescent="0.35">
      <c r="A75" t="s">
        <v>90</v>
      </c>
      <c r="B75">
        <v>0</v>
      </c>
      <c r="C75">
        <v>0</v>
      </c>
      <c r="D75">
        <v>0</v>
      </c>
    </row>
    <row r="76" spans="1:4" x14ac:dyDescent="0.35">
      <c r="A76" t="s">
        <v>91</v>
      </c>
      <c r="B76">
        <v>0</v>
      </c>
      <c r="C76">
        <v>1</v>
      </c>
      <c r="D76">
        <v>1</v>
      </c>
    </row>
    <row r="77" spans="1:4" x14ac:dyDescent="0.35">
      <c r="A77" t="s">
        <v>92</v>
      </c>
      <c r="B77">
        <v>0</v>
      </c>
      <c r="C77">
        <v>0</v>
      </c>
      <c r="D77">
        <v>0</v>
      </c>
    </row>
    <row r="78" spans="1:4" x14ac:dyDescent="0.35">
      <c r="A78" t="s">
        <v>93</v>
      </c>
      <c r="B78">
        <v>1</v>
      </c>
      <c r="C78">
        <v>1</v>
      </c>
      <c r="D78">
        <v>1</v>
      </c>
    </row>
    <row r="79" spans="1:4" x14ac:dyDescent="0.35">
      <c r="A79" t="s">
        <v>94</v>
      </c>
      <c r="B79">
        <v>0</v>
      </c>
      <c r="C79">
        <v>0</v>
      </c>
      <c r="D79">
        <v>0</v>
      </c>
    </row>
    <row r="80" spans="1:4" x14ac:dyDescent="0.35">
      <c r="A80" t="s">
        <v>95</v>
      </c>
      <c r="B80">
        <v>1</v>
      </c>
      <c r="C80">
        <v>1</v>
      </c>
      <c r="D80">
        <v>1</v>
      </c>
    </row>
    <row r="81" spans="1:4" x14ac:dyDescent="0.35">
      <c r="A81" t="s">
        <v>96</v>
      </c>
      <c r="B81">
        <v>2</v>
      </c>
      <c r="C81">
        <v>2</v>
      </c>
      <c r="D81">
        <v>2</v>
      </c>
    </row>
    <row r="82" spans="1:4" x14ac:dyDescent="0.35">
      <c r="A82" t="s">
        <v>97</v>
      </c>
      <c r="B82">
        <v>0</v>
      </c>
      <c r="C82">
        <v>0</v>
      </c>
      <c r="D82">
        <v>0</v>
      </c>
    </row>
    <row r="83" spans="1:4" x14ac:dyDescent="0.35">
      <c r="A83" t="s">
        <v>98</v>
      </c>
      <c r="B83">
        <v>1</v>
      </c>
      <c r="C83">
        <v>1</v>
      </c>
      <c r="D83">
        <v>0</v>
      </c>
    </row>
    <row r="84" spans="1:4" x14ac:dyDescent="0.35">
      <c r="A84" t="s">
        <v>99</v>
      </c>
      <c r="B84">
        <v>0</v>
      </c>
      <c r="C84">
        <v>0</v>
      </c>
      <c r="D84">
        <v>0</v>
      </c>
    </row>
    <row r="85" spans="1:4" x14ac:dyDescent="0.35">
      <c r="A85" t="s">
        <v>100</v>
      </c>
      <c r="B85">
        <v>1</v>
      </c>
      <c r="C85">
        <v>0</v>
      </c>
      <c r="D85">
        <v>1</v>
      </c>
    </row>
    <row r="86" spans="1:4" x14ac:dyDescent="0.35">
      <c r="A86" t="s">
        <v>101</v>
      </c>
      <c r="B86">
        <v>1</v>
      </c>
      <c r="C86">
        <v>1</v>
      </c>
      <c r="D86">
        <v>1</v>
      </c>
    </row>
    <row r="87" spans="1:4" x14ac:dyDescent="0.35">
      <c r="A87" t="s">
        <v>102</v>
      </c>
      <c r="B87">
        <v>0</v>
      </c>
      <c r="C87">
        <v>0</v>
      </c>
      <c r="D87">
        <v>0</v>
      </c>
    </row>
    <row r="88" spans="1:4" x14ac:dyDescent="0.35">
      <c r="A88" t="s">
        <v>103</v>
      </c>
      <c r="B88">
        <v>1</v>
      </c>
      <c r="C88">
        <v>1</v>
      </c>
      <c r="D88">
        <v>0</v>
      </c>
    </row>
    <row r="89" spans="1:4" x14ac:dyDescent="0.35">
      <c r="A89" t="s">
        <v>104</v>
      </c>
      <c r="B89">
        <v>0</v>
      </c>
      <c r="C89">
        <v>0</v>
      </c>
      <c r="D89">
        <v>0</v>
      </c>
    </row>
    <row r="90" spans="1:4" x14ac:dyDescent="0.35">
      <c r="A90" t="s">
        <v>105</v>
      </c>
      <c r="B90">
        <v>1</v>
      </c>
      <c r="C90">
        <v>1</v>
      </c>
      <c r="D90">
        <v>1</v>
      </c>
    </row>
    <row r="91" spans="1:4" x14ac:dyDescent="0.35">
      <c r="A91" t="s">
        <v>106</v>
      </c>
      <c r="B91">
        <v>0</v>
      </c>
      <c r="C91">
        <v>0</v>
      </c>
      <c r="D91">
        <v>0</v>
      </c>
    </row>
    <row r="92" spans="1:4" x14ac:dyDescent="0.35">
      <c r="A92" t="s">
        <v>107</v>
      </c>
      <c r="B92">
        <v>0</v>
      </c>
      <c r="C92">
        <v>0</v>
      </c>
      <c r="D92">
        <v>0</v>
      </c>
    </row>
    <row r="93" spans="1:4" x14ac:dyDescent="0.35">
      <c r="A93" t="s">
        <v>108</v>
      </c>
      <c r="B93">
        <v>0</v>
      </c>
      <c r="C93">
        <v>0</v>
      </c>
      <c r="D93">
        <v>0</v>
      </c>
    </row>
    <row r="94" spans="1:4" x14ac:dyDescent="0.35">
      <c r="A94" t="s">
        <v>109</v>
      </c>
      <c r="B94">
        <v>1</v>
      </c>
      <c r="C94">
        <v>1</v>
      </c>
      <c r="D94">
        <v>1</v>
      </c>
    </row>
    <row r="95" spans="1:4" x14ac:dyDescent="0.35">
      <c r="A95" t="s">
        <v>110</v>
      </c>
      <c r="B95">
        <v>1</v>
      </c>
      <c r="C95">
        <v>1</v>
      </c>
      <c r="D95">
        <v>1</v>
      </c>
    </row>
    <row r="96" spans="1:4" x14ac:dyDescent="0.35">
      <c r="A96" t="s">
        <v>111</v>
      </c>
      <c r="B96">
        <v>0</v>
      </c>
      <c r="C96">
        <v>0</v>
      </c>
      <c r="D96">
        <v>0</v>
      </c>
    </row>
    <row r="97" spans="1:4" x14ac:dyDescent="0.35">
      <c r="A97" t="s">
        <v>112</v>
      </c>
      <c r="B97">
        <v>0</v>
      </c>
      <c r="C97">
        <v>0</v>
      </c>
      <c r="D97">
        <v>0</v>
      </c>
    </row>
    <row r="98" spans="1:4" x14ac:dyDescent="0.35">
      <c r="A98" t="s">
        <v>113</v>
      </c>
      <c r="B98">
        <v>0</v>
      </c>
      <c r="C98">
        <v>0</v>
      </c>
      <c r="D98">
        <v>0</v>
      </c>
    </row>
    <row r="99" spans="1:4" x14ac:dyDescent="0.35">
      <c r="A99" t="s">
        <v>114</v>
      </c>
      <c r="B99">
        <v>1</v>
      </c>
      <c r="C99">
        <v>1</v>
      </c>
      <c r="D99">
        <v>1</v>
      </c>
    </row>
    <row r="100" spans="1:4" x14ac:dyDescent="0.35">
      <c r="A100" t="s">
        <v>115</v>
      </c>
      <c r="B100">
        <v>0</v>
      </c>
      <c r="C100">
        <v>0</v>
      </c>
      <c r="D100">
        <v>0</v>
      </c>
    </row>
    <row r="101" spans="1:4" x14ac:dyDescent="0.35">
      <c r="A101" t="s">
        <v>116</v>
      </c>
      <c r="B101">
        <v>2</v>
      </c>
      <c r="C101">
        <v>2</v>
      </c>
      <c r="D101">
        <v>1</v>
      </c>
    </row>
    <row r="102" spans="1:4" x14ac:dyDescent="0.35">
      <c r="A102" t="s">
        <v>117</v>
      </c>
      <c r="B102">
        <v>0</v>
      </c>
      <c r="C102">
        <v>0</v>
      </c>
      <c r="D102">
        <v>0</v>
      </c>
    </row>
    <row r="103" spans="1:4" x14ac:dyDescent="0.35">
      <c r="A103" t="s">
        <v>118</v>
      </c>
      <c r="B103">
        <v>0</v>
      </c>
      <c r="C103">
        <v>0</v>
      </c>
      <c r="D103">
        <v>0</v>
      </c>
    </row>
    <row r="104" spans="1:4" x14ac:dyDescent="0.35">
      <c r="A104" t="s">
        <v>119</v>
      </c>
      <c r="B104">
        <v>1</v>
      </c>
      <c r="C104">
        <v>1</v>
      </c>
      <c r="D104">
        <v>1</v>
      </c>
    </row>
    <row r="105" spans="1:4" x14ac:dyDescent="0.35">
      <c r="A105" t="s">
        <v>120</v>
      </c>
      <c r="B105">
        <v>0</v>
      </c>
      <c r="C105">
        <v>0</v>
      </c>
      <c r="D105">
        <v>0</v>
      </c>
    </row>
    <row r="106" spans="1:4" x14ac:dyDescent="0.35">
      <c r="A106" t="s">
        <v>121</v>
      </c>
      <c r="B106">
        <v>0</v>
      </c>
      <c r="C106">
        <v>0</v>
      </c>
      <c r="D106">
        <v>0</v>
      </c>
    </row>
    <row r="107" spans="1:4" x14ac:dyDescent="0.35">
      <c r="A107" t="s">
        <v>122</v>
      </c>
      <c r="B107">
        <v>0</v>
      </c>
      <c r="C107">
        <v>0</v>
      </c>
      <c r="D107">
        <v>0</v>
      </c>
    </row>
    <row r="108" spans="1:4" x14ac:dyDescent="0.35">
      <c r="A108" t="s">
        <v>123</v>
      </c>
      <c r="B108">
        <v>2</v>
      </c>
      <c r="C108">
        <v>2</v>
      </c>
      <c r="D108">
        <v>2</v>
      </c>
    </row>
    <row r="109" spans="1:4" x14ac:dyDescent="0.35">
      <c r="A109" t="s">
        <v>124</v>
      </c>
      <c r="B109">
        <v>0</v>
      </c>
      <c r="C109">
        <v>0</v>
      </c>
      <c r="D109">
        <v>0</v>
      </c>
    </row>
    <row r="110" spans="1:4" x14ac:dyDescent="0.35">
      <c r="A110" t="s">
        <v>125</v>
      </c>
      <c r="B110">
        <v>1</v>
      </c>
      <c r="C110">
        <v>1</v>
      </c>
      <c r="D110">
        <v>1</v>
      </c>
    </row>
    <row r="111" spans="1:4" x14ac:dyDescent="0.35">
      <c r="A111" t="s">
        <v>126</v>
      </c>
      <c r="B111">
        <v>0</v>
      </c>
      <c r="C111">
        <v>0</v>
      </c>
      <c r="D111">
        <v>0</v>
      </c>
    </row>
    <row r="112" spans="1:4" x14ac:dyDescent="0.35">
      <c r="A112" t="s">
        <v>127</v>
      </c>
      <c r="B112">
        <v>1</v>
      </c>
      <c r="C112">
        <v>0</v>
      </c>
      <c r="D112">
        <v>0</v>
      </c>
    </row>
    <row r="113" spans="1:4" x14ac:dyDescent="0.35">
      <c r="A113" t="s">
        <v>128</v>
      </c>
      <c r="B113">
        <v>0</v>
      </c>
      <c r="C113">
        <v>0</v>
      </c>
      <c r="D113">
        <v>0</v>
      </c>
    </row>
    <row r="114" spans="1:4" x14ac:dyDescent="0.35">
      <c r="A114" t="s">
        <v>129</v>
      </c>
      <c r="B114">
        <v>0</v>
      </c>
      <c r="C114">
        <v>0</v>
      </c>
      <c r="D114">
        <v>0</v>
      </c>
    </row>
    <row r="115" spans="1:4" x14ac:dyDescent="0.35">
      <c r="A115" t="s">
        <v>130</v>
      </c>
      <c r="B115">
        <v>0</v>
      </c>
      <c r="C115">
        <v>0</v>
      </c>
      <c r="D115">
        <v>0</v>
      </c>
    </row>
    <row r="116" spans="1:4" x14ac:dyDescent="0.35">
      <c r="A116" t="s">
        <v>131</v>
      </c>
      <c r="B116">
        <v>1</v>
      </c>
      <c r="C116">
        <v>1</v>
      </c>
      <c r="D116">
        <v>1</v>
      </c>
    </row>
    <row r="117" spans="1:4" x14ac:dyDescent="0.35">
      <c r="A117" t="s">
        <v>132</v>
      </c>
      <c r="B117">
        <v>0</v>
      </c>
      <c r="C117">
        <v>0</v>
      </c>
      <c r="D117">
        <v>0</v>
      </c>
    </row>
    <row r="118" spans="1:4" x14ac:dyDescent="0.35">
      <c r="A118" t="s">
        <v>133</v>
      </c>
      <c r="B118">
        <v>1</v>
      </c>
      <c r="C118">
        <v>1</v>
      </c>
      <c r="D118">
        <v>0</v>
      </c>
    </row>
    <row r="119" spans="1:4" x14ac:dyDescent="0.35">
      <c r="A119" t="s">
        <v>134</v>
      </c>
      <c r="B119">
        <v>0</v>
      </c>
      <c r="C119">
        <v>0</v>
      </c>
      <c r="D119">
        <v>0</v>
      </c>
    </row>
    <row r="120" spans="1:4" x14ac:dyDescent="0.35">
      <c r="A120" t="s">
        <v>135</v>
      </c>
      <c r="B120">
        <v>1</v>
      </c>
      <c r="C120">
        <v>1</v>
      </c>
      <c r="D120">
        <v>1</v>
      </c>
    </row>
    <row r="121" spans="1:4" x14ac:dyDescent="0.35">
      <c r="A121" t="s">
        <v>136</v>
      </c>
      <c r="B121">
        <v>0</v>
      </c>
      <c r="C121">
        <v>0</v>
      </c>
      <c r="D121">
        <v>0</v>
      </c>
    </row>
    <row r="122" spans="1:4" x14ac:dyDescent="0.35">
      <c r="A122" t="s">
        <v>137</v>
      </c>
      <c r="B122">
        <v>1</v>
      </c>
      <c r="C122">
        <v>1</v>
      </c>
      <c r="D122">
        <v>1</v>
      </c>
    </row>
    <row r="123" spans="1:4" x14ac:dyDescent="0.35">
      <c r="A123" t="s">
        <v>138</v>
      </c>
      <c r="B123">
        <v>1</v>
      </c>
      <c r="C123">
        <v>1</v>
      </c>
      <c r="D123">
        <v>1</v>
      </c>
    </row>
    <row r="124" spans="1:4" x14ac:dyDescent="0.35">
      <c r="A124" t="s">
        <v>139</v>
      </c>
      <c r="B124">
        <v>0</v>
      </c>
      <c r="C124">
        <v>0</v>
      </c>
      <c r="D124">
        <v>0</v>
      </c>
    </row>
    <row r="125" spans="1:4" x14ac:dyDescent="0.35">
      <c r="A125" t="s">
        <v>140</v>
      </c>
      <c r="B125">
        <v>1</v>
      </c>
      <c r="C125">
        <v>0</v>
      </c>
      <c r="D125">
        <v>1</v>
      </c>
    </row>
    <row r="126" spans="1:4" x14ac:dyDescent="0.35">
      <c r="A126" t="s">
        <v>141</v>
      </c>
      <c r="B126">
        <v>0</v>
      </c>
      <c r="C126">
        <v>0</v>
      </c>
      <c r="D126">
        <v>0</v>
      </c>
    </row>
    <row r="127" spans="1:4" x14ac:dyDescent="0.35">
      <c r="A127" t="s">
        <v>142</v>
      </c>
      <c r="B127">
        <v>1</v>
      </c>
      <c r="C127">
        <v>1</v>
      </c>
      <c r="D127">
        <v>0</v>
      </c>
    </row>
    <row r="128" spans="1:4" x14ac:dyDescent="0.35">
      <c r="A128" t="s">
        <v>143</v>
      </c>
      <c r="B128">
        <v>0</v>
      </c>
      <c r="C128">
        <v>0</v>
      </c>
      <c r="D128">
        <v>0</v>
      </c>
    </row>
    <row r="129" spans="1:4" x14ac:dyDescent="0.35">
      <c r="A129" t="s">
        <v>144</v>
      </c>
      <c r="B129">
        <v>0</v>
      </c>
      <c r="C129">
        <v>0</v>
      </c>
      <c r="D129">
        <v>0</v>
      </c>
    </row>
    <row r="130" spans="1:4" x14ac:dyDescent="0.35">
      <c r="A130" t="s">
        <v>145</v>
      </c>
      <c r="B130">
        <v>0</v>
      </c>
      <c r="C130">
        <v>0</v>
      </c>
      <c r="D130">
        <v>0</v>
      </c>
    </row>
    <row r="131" spans="1:4" x14ac:dyDescent="0.35">
      <c r="A131" t="s">
        <v>146</v>
      </c>
      <c r="B131">
        <v>0</v>
      </c>
      <c r="C131">
        <v>0</v>
      </c>
      <c r="D131">
        <v>0</v>
      </c>
    </row>
    <row r="132" spans="1:4" x14ac:dyDescent="0.35">
      <c r="A132" t="s">
        <v>147</v>
      </c>
      <c r="B132">
        <v>0</v>
      </c>
      <c r="C132">
        <v>0</v>
      </c>
      <c r="D132">
        <v>0</v>
      </c>
    </row>
    <row r="133" spans="1:4" x14ac:dyDescent="0.35">
      <c r="A133" t="s">
        <v>148</v>
      </c>
      <c r="B133">
        <v>0</v>
      </c>
      <c r="C133">
        <v>0</v>
      </c>
      <c r="D133">
        <v>0</v>
      </c>
    </row>
    <row r="134" spans="1:4" x14ac:dyDescent="0.35">
      <c r="A134" t="s">
        <v>149</v>
      </c>
      <c r="B134">
        <v>0</v>
      </c>
      <c r="C134">
        <v>0</v>
      </c>
      <c r="D134">
        <v>0</v>
      </c>
    </row>
    <row r="135" spans="1:4" x14ac:dyDescent="0.35">
      <c r="A135" t="s">
        <v>150</v>
      </c>
      <c r="B135">
        <v>0</v>
      </c>
      <c r="C135">
        <v>0</v>
      </c>
      <c r="D135">
        <v>0</v>
      </c>
    </row>
    <row r="136" spans="1:4" x14ac:dyDescent="0.35">
      <c r="A136" t="s">
        <v>151</v>
      </c>
      <c r="B136">
        <v>1</v>
      </c>
      <c r="C136">
        <v>1</v>
      </c>
      <c r="D136">
        <v>1</v>
      </c>
    </row>
    <row r="137" spans="1:4" x14ac:dyDescent="0.35">
      <c r="A137" t="s">
        <v>152</v>
      </c>
      <c r="B137">
        <v>0</v>
      </c>
      <c r="C137">
        <v>0</v>
      </c>
      <c r="D137">
        <v>0</v>
      </c>
    </row>
    <row r="138" spans="1:4" x14ac:dyDescent="0.35">
      <c r="A138" t="s">
        <v>153</v>
      </c>
      <c r="B138">
        <v>1</v>
      </c>
      <c r="C138">
        <v>1</v>
      </c>
      <c r="D138">
        <v>1</v>
      </c>
    </row>
    <row r="139" spans="1:4" x14ac:dyDescent="0.35">
      <c r="A139" t="s">
        <v>154</v>
      </c>
      <c r="B139">
        <v>1</v>
      </c>
      <c r="C139">
        <v>1</v>
      </c>
      <c r="D139">
        <v>1</v>
      </c>
    </row>
    <row r="140" spans="1:4" x14ac:dyDescent="0.35">
      <c r="A140" t="s">
        <v>155</v>
      </c>
      <c r="B140">
        <v>0</v>
      </c>
      <c r="C140">
        <v>0</v>
      </c>
      <c r="D140">
        <v>0</v>
      </c>
    </row>
    <row r="141" spans="1:4" x14ac:dyDescent="0.35">
      <c r="A141" t="s">
        <v>156</v>
      </c>
      <c r="B141">
        <v>1</v>
      </c>
      <c r="C141">
        <v>1</v>
      </c>
      <c r="D141">
        <v>0</v>
      </c>
    </row>
    <row r="142" spans="1:4" x14ac:dyDescent="0.35">
      <c r="A142" t="s">
        <v>157</v>
      </c>
      <c r="B142">
        <v>1</v>
      </c>
      <c r="C142">
        <v>0</v>
      </c>
      <c r="D142">
        <v>0</v>
      </c>
    </row>
    <row r="143" spans="1:4" x14ac:dyDescent="0.35">
      <c r="A143" t="s">
        <v>158</v>
      </c>
      <c r="B143">
        <v>0</v>
      </c>
      <c r="C143">
        <v>0</v>
      </c>
      <c r="D143">
        <v>0</v>
      </c>
    </row>
    <row r="144" spans="1:4" x14ac:dyDescent="0.35">
      <c r="A144" t="s">
        <v>159</v>
      </c>
      <c r="B144">
        <v>1</v>
      </c>
      <c r="C144">
        <v>1</v>
      </c>
      <c r="D144">
        <v>0</v>
      </c>
    </row>
    <row r="145" spans="1:4" x14ac:dyDescent="0.35">
      <c r="A145" t="s">
        <v>160</v>
      </c>
      <c r="B145">
        <v>1</v>
      </c>
      <c r="C145">
        <v>1</v>
      </c>
      <c r="D145">
        <v>0</v>
      </c>
    </row>
    <row r="146" spans="1:4" x14ac:dyDescent="0.35">
      <c r="A146" t="s">
        <v>161</v>
      </c>
      <c r="B146">
        <v>0</v>
      </c>
      <c r="C146">
        <v>0</v>
      </c>
      <c r="D146">
        <v>0</v>
      </c>
    </row>
    <row r="147" spans="1:4" x14ac:dyDescent="0.35">
      <c r="A147" t="s">
        <v>162</v>
      </c>
      <c r="B147">
        <v>1</v>
      </c>
      <c r="C147">
        <v>1</v>
      </c>
      <c r="D147">
        <v>1</v>
      </c>
    </row>
    <row r="148" spans="1:4" x14ac:dyDescent="0.35">
      <c r="A148" t="s">
        <v>163</v>
      </c>
      <c r="B148">
        <v>0</v>
      </c>
      <c r="C148">
        <v>0</v>
      </c>
      <c r="D148">
        <v>0</v>
      </c>
    </row>
    <row r="149" spans="1:4" x14ac:dyDescent="0.35">
      <c r="A149" t="s">
        <v>165</v>
      </c>
      <c r="B149">
        <v>0</v>
      </c>
      <c r="C149">
        <v>0</v>
      </c>
      <c r="D149">
        <v>0</v>
      </c>
    </row>
    <row r="150" spans="1:4" x14ac:dyDescent="0.35">
      <c r="A150" t="s">
        <v>166</v>
      </c>
      <c r="B150">
        <v>1</v>
      </c>
      <c r="C150">
        <v>0</v>
      </c>
      <c r="D150">
        <v>0</v>
      </c>
    </row>
    <row r="151" spans="1:4" x14ac:dyDescent="0.35">
      <c r="A151" t="s">
        <v>167</v>
      </c>
      <c r="B151">
        <v>0</v>
      </c>
      <c r="C151">
        <v>0</v>
      </c>
      <c r="D151">
        <v>0</v>
      </c>
    </row>
    <row r="152" spans="1:4" x14ac:dyDescent="0.35">
      <c r="A152" t="s">
        <v>168</v>
      </c>
      <c r="B152">
        <v>1</v>
      </c>
      <c r="C152">
        <v>1</v>
      </c>
      <c r="D152">
        <v>1</v>
      </c>
    </row>
    <row r="153" spans="1:4" x14ac:dyDescent="0.35">
      <c r="A153" t="s">
        <v>169</v>
      </c>
      <c r="B153">
        <v>1</v>
      </c>
      <c r="C153">
        <v>1</v>
      </c>
      <c r="D153">
        <v>1</v>
      </c>
    </row>
    <row r="154" spans="1:4" x14ac:dyDescent="0.35">
      <c r="A154" t="s">
        <v>170</v>
      </c>
      <c r="B154">
        <v>1</v>
      </c>
      <c r="C154">
        <v>1</v>
      </c>
      <c r="D154">
        <v>0</v>
      </c>
    </row>
    <row r="155" spans="1:4" x14ac:dyDescent="0.35">
      <c r="A155" t="s">
        <v>171</v>
      </c>
      <c r="B155">
        <v>0</v>
      </c>
      <c r="C155">
        <v>0</v>
      </c>
      <c r="D155">
        <v>0</v>
      </c>
    </row>
    <row r="156" spans="1:4" x14ac:dyDescent="0.35">
      <c r="A156" t="s">
        <v>172</v>
      </c>
      <c r="B156">
        <v>1</v>
      </c>
      <c r="C156">
        <v>1</v>
      </c>
      <c r="D156">
        <v>1</v>
      </c>
    </row>
    <row r="157" spans="1:4" x14ac:dyDescent="0.35">
      <c r="A157" t="s">
        <v>173</v>
      </c>
      <c r="B157">
        <v>0</v>
      </c>
      <c r="C157">
        <v>0</v>
      </c>
      <c r="D157">
        <v>0</v>
      </c>
    </row>
    <row r="158" spans="1:4" x14ac:dyDescent="0.35">
      <c r="A158" t="s">
        <v>174</v>
      </c>
      <c r="B158">
        <v>0</v>
      </c>
      <c r="C158">
        <v>0</v>
      </c>
      <c r="D158">
        <v>0</v>
      </c>
    </row>
    <row r="159" spans="1:4" x14ac:dyDescent="0.35">
      <c r="A159" t="s">
        <v>175</v>
      </c>
      <c r="B159">
        <v>0</v>
      </c>
      <c r="C159">
        <v>0</v>
      </c>
      <c r="D159">
        <v>0</v>
      </c>
    </row>
    <row r="160" spans="1:4" x14ac:dyDescent="0.35">
      <c r="A160" t="s">
        <v>176</v>
      </c>
      <c r="B160">
        <v>1</v>
      </c>
      <c r="C160">
        <v>0</v>
      </c>
      <c r="D160">
        <v>0</v>
      </c>
    </row>
    <row r="161" spans="1:4" x14ac:dyDescent="0.35">
      <c r="A161" t="s">
        <v>177</v>
      </c>
      <c r="B161">
        <v>1</v>
      </c>
      <c r="C161">
        <v>1</v>
      </c>
      <c r="D161">
        <v>0</v>
      </c>
    </row>
    <row r="162" spans="1:4" x14ac:dyDescent="0.35">
      <c r="A162" t="s">
        <v>178</v>
      </c>
      <c r="B162">
        <v>0</v>
      </c>
      <c r="C162">
        <v>0</v>
      </c>
      <c r="D162">
        <v>0</v>
      </c>
    </row>
    <row r="163" spans="1:4" x14ac:dyDescent="0.35">
      <c r="A163" t="s">
        <v>179</v>
      </c>
      <c r="B163">
        <v>0</v>
      </c>
      <c r="C163">
        <v>0</v>
      </c>
      <c r="D163">
        <v>0</v>
      </c>
    </row>
    <row r="164" spans="1:4" x14ac:dyDescent="0.35">
      <c r="A164" t="s">
        <v>180</v>
      </c>
      <c r="B164">
        <v>0</v>
      </c>
      <c r="C164">
        <v>0</v>
      </c>
      <c r="D164">
        <v>0</v>
      </c>
    </row>
    <row r="165" spans="1:4" x14ac:dyDescent="0.35">
      <c r="A165" t="s">
        <v>181</v>
      </c>
      <c r="B165">
        <v>0</v>
      </c>
      <c r="C165">
        <v>0</v>
      </c>
      <c r="D165">
        <v>0</v>
      </c>
    </row>
    <row r="166" spans="1:4" x14ac:dyDescent="0.35">
      <c r="A166" t="s">
        <v>164</v>
      </c>
      <c r="B166">
        <v>0</v>
      </c>
      <c r="C166">
        <v>0</v>
      </c>
      <c r="D166">
        <v>0</v>
      </c>
    </row>
    <row r="167" spans="1:4" x14ac:dyDescent="0.35">
      <c r="A167" t="s">
        <v>182</v>
      </c>
      <c r="B167">
        <v>0</v>
      </c>
      <c r="C167">
        <v>0</v>
      </c>
      <c r="D167">
        <v>0</v>
      </c>
    </row>
    <row r="168" spans="1:4" x14ac:dyDescent="0.35">
      <c r="A168" t="s">
        <v>183</v>
      </c>
      <c r="B168">
        <v>1</v>
      </c>
      <c r="C168">
        <v>2</v>
      </c>
      <c r="D168">
        <v>2</v>
      </c>
    </row>
    <row r="169" spans="1:4" x14ac:dyDescent="0.35">
      <c r="A169" t="s">
        <v>184</v>
      </c>
      <c r="B169">
        <v>0</v>
      </c>
      <c r="C169">
        <v>0</v>
      </c>
      <c r="D169">
        <v>0</v>
      </c>
    </row>
    <row r="170" spans="1:4" x14ac:dyDescent="0.35">
      <c r="A170" t="s">
        <v>185</v>
      </c>
      <c r="B170">
        <v>1</v>
      </c>
      <c r="C170">
        <v>1</v>
      </c>
      <c r="D170">
        <v>1</v>
      </c>
    </row>
    <row r="171" spans="1:4" x14ac:dyDescent="0.35">
      <c r="A171" t="s">
        <v>186</v>
      </c>
      <c r="B171">
        <v>0</v>
      </c>
      <c r="C171">
        <v>0</v>
      </c>
      <c r="D171">
        <v>0</v>
      </c>
    </row>
    <row r="172" spans="1:4" x14ac:dyDescent="0.35">
      <c r="A172" t="s">
        <v>187</v>
      </c>
      <c r="B172">
        <v>1</v>
      </c>
      <c r="C172">
        <v>1</v>
      </c>
      <c r="D172">
        <v>0</v>
      </c>
    </row>
    <row r="173" spans="1:4" x14ac:dyDescent="0.35">
      <c r="A173" t="s">
        <v>188</v>
      </c>
      <c r="B173">
        <v>0</v>
      </c>
      <c r="C173">
        <v>0</v>
      </c>
      <c r="D173">
        <v>0</v>
      </c>
    </row>
    <row r="174" spans="1:4" x14ac:dyDescent="0.35">
      <c r="A174" t="s">
        <v>189</v>
      </c>
      <c r="B174">
        <v>1</v>
      </c>
      <c r="C174">
        <v>1</v>
      </c>
      <c r="D174">
        <v>1</v>
      </c>
    </row>
    <row r="175" spans="1:4" x14ac:dyDescent="0.35">
      <c r="A175" t="s">
        <v>190</v>
      </c>
      <c r="B175">
        <v>1</v>
      </c>
      <c r="C175">
        <v>1</v>
      </c>
      <c r="D175">
        <v>1</v>
      </c>
    </row>
    <row r="176" spans="1:4" x14ac:dyDescent="0.35">
      <c r="A176" t="s">
        <v>191</v>
      </c>
      <c r="B176">
        <v>0</v>
      </c>
      <c r="C176">
        <v>0</v>
      </c>
      <c r="D176">
        <v>0</v>
      </c>
    </row>
    <row r="177" spans="1:4" x14ac:dyDescent="0.35">
      <c r="A177" t="s">
        <v>192</v>
      </c>
      <c r="B177">
        <v>1</v>
      </c>
      <c r="C177">
        <v>1</v>
      </c>
      <c r="D177">
        <v>1</v>
      </c>
    </row>
    <row r="178" spans="1:4" x14ac:dyDescent="0.35">
      <c r="A178" t="s">
        <v>193</v>
      </c>
      <c r="B178">
        <v>0</v>
      </c>
      <c r="C178">
        <v>0</v>
      </c>
      <c r="D178">
        <v>0</v>
      </c>
    </row>
    <row r="179" spans="1:4" x14ac:dyDescent="0.35">
      <c r="A179" t="s">
        <v>194</v>
      </c>
      <c r="B179">
        <v>0</v>
      </c>
      <c r="C179">
        <v>0</v>
      </c>
      <c r="D179">
        <v>0</v>
      </c>
    </row>
    <row r="180" spans="1:4" x14ac:dyDescent="0.35">
      <c r="A180" t="s">
        <v>195</v>
      </c>
      <c r="B180">
        <v>0</v>
      </c>
      <c r="C180">
        <v>0</v>
      </c>
      <c r="D180">
        <v>0</v>
      </c>
    </row>
    <row r="181" spans="1:4" x14ac:dyDescent="0.35">
      <c r="A181" t="s">
        <v>196</v>
      </c>
      <c r="B181">
        <v>1</v>
      </c>
      <c r="C181">
        <v>1</v>
      </c>
      <c r="D181">
        <v>0</v>
      </c>
    </row>
    <row r="182" spans="1:4" x14ac:dyDescent="0.35">
      <c r="A182" t="s">
        <v>197</v>
      </c>
      <c r="B182">
        <v>0</v>
      </c>
      <c r="C182">
        <v>0</v>
      </c>
      <c r="D182">
        <v>0</v>
      </c>
    </row>
    <row r="183" spans="1:4" x14ac:dyDescent="0.35">
      <c r="A183" t="s">
        <v>198</v>
      </c>
      <c r="B183">
        <v>1</v>
      </c>
      <c r="C183">
        <v>1</v>
      </c>
      <c r="D183">
        <v>0</v>
      </c>
    </row>
    <row r="184" spans="1:4" x14ac:dyDescent="0.35">
      <c r="A184" t="s">
        <v>199</v>
      </c>
      <c r="B184">
        <v>1</v>
      </c>
      <c r="C184">
        <v>1</v>
      </c>
      <c r="D184">
        <v>1</v>
      </c>
    </row>
    <row r="185" spans="1:4" x14ac:dyDescent="0.35">
      <c r="A185" t="s">
        <v>200</v>
      </c>
      <c r="B185">
        <v>0</v>
      </c>
      <c r="C185">
        <v>0</v>
      </c>
      <c r="D18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2118-0FA3-4609-B2E3-98FA9D50999F}">
  <dimension ref="A1:H14"/>
  <sheetViews>
    <sheetView topLeftCell="H1" zoomScale="102" workbookViewId="0">
      <selection activeCell="S8" sqref="S8"/>
    </sheetView>
  </sheetViews>
  <sheetFormatPr defaultRowHeight="14.5" x14ac:dyDescent="0.35"/>
  <cols>
    <col min="1" max="1" width="13.6328125" customWidth="1"/>
    <col min="2" max="2" width="11.26953125" customWidth="1"/>
    <col min="3" max="4" width="10.90625" customWidth="1"/>
    <col min="5" max="5" width="11.08984375" customWidth="1"/>
    <col min="7" max="7" width="11.5429687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 t="s">
        <v>201</v>
      </c>
    </row>
    <row r="2" spans="1:8" x14ac:dyDescent="0.35">
      <c r="A2" t="s">
        <v>0</v>
      </c>
      <c r="B2">
        <f>0.8687*G2 + 0.7864*G3</f>
        <v>0.84401000000000004</v>
      </c>
      <c r="C2">
        <f>0.8426*G2 + 0.7995*G3</f>
        <v>0.82967000000000002</v>
      </c>
      <c r="D2">
        <f>0.8431*G2 + 0.7981*G3</f>
        <v>0.8296</v>
      </c>
      <c r="E2">
        <f>0.8427*G2 + 0.8134*G3</f>
        <v>0.83390999999999993</v>
      </c>
      <c r="G2">
        <v>0.7</v>
      </c>
      <c r="H2" t="s">
        <v>202</v>
      </c>
    </row>
    <row r="3" spans="1:8" x14ac:dyDescent="0.35">
      <c r="A3" t="s">
        <v>1</v>
      </c>
      <c r="B3">
        <f>0.8586*G2 + 0.8559*G3</f>
        <v>0.85779000000000005</v>
      </c>
      <c r="C3">
        <f>0.8624*G2 + 0.8405*G3</f>
        <v>0.85582999999999998</v>
      </c>
      <c r="D3">
        <f>0.8986*G2 + 0.8657*G3</f>
        <v>0.88872999999999991</v>
      </c>
      <c r="E3">
        <f>0.894*G2 + 0.8548*G3</f>
        <v>0.88224000000000002</v>
      </c>
      <c r="G3">
        <v>0.3</v>
      </c>
      <c r="H3" t="s">
        <v>203</v>
      </c>
    </row>
    <row r="4" spans="1:8" x14ac:dyDescent="0.35">
      <c r="A4" t="s">
        <v>2</v>
      </c>
      <c r="B4">
        <f>0.8473*G2 + 0.8182*G3</f>
        <v>0.83857000000000004</v>
      </c>
      <c r="C4">
        <f>0.8285*G2 + 0.8596*G3</f>
        <v>0.83782999999999996</v>
      </c>
      <c r="D4">
        <f>0.8839*G2 + 0.8839*G3</f>
        <v>0.88390000000000002</v>
      </c>
      <c r="E4">
        <f>0.8373*G2 + 0.7986*G3</f>
        <v>0.82569000000000004</v>
      </c>
    </row>
    <row r="5" spans="1:8" x14ac:dyDescent="0.35">
      <c r="A5" t="s">
        <v>3</v>
      </c>
      <c r="B5">
        <f>0.905*G2 + 0.8663*G3</f>
        <v>0.89338999999999991</v>
      </c>
      <c r="C5">
        <f>0.9043*G2 + 0.8376*G3</f>
        <v>0.88429000000000002</v>
      </c>
      <c r="D5">
        <f>0.8834*G2 + 0.8414*G3</f>
        <v>0.87079999999999991</v>
      </c>
      <c r="E5">
        <f>0.9026*G2 + 0.838*G3</f>
        <v>0.88321999999999989</v>
      </c>
    </row>
    <row r="6" spans="1:8" x14ac:dyDescent="0.35">
      <c r="A6" t="s">
        <v>4</v>
      </c>
      <c r="B6">
        <f>0.8404*G2 + 0.8357*G3</f>
        <v>0.83899000000000001</v>
      </c>
      <c r="C6">
        <f>0.8397*G2 + 0.7784*G3</f>
        <v>0.82130999999999987</v>
      </c>
      <c r="D6">
        <f>0.8356*G2 + 0.8183*G3</f>
        <v>0.83040999999999998</v>
      </c>
      <c r="E6">
        <f>0.8569*G2 + 0.8048*G3</f>
        <v>0.84126999999999996</v>
      </c>
    </row>
    <row r="7" spans="1:8" x14ac:dyDescent="0.35">
      <c r="A7" t="s">
        <v>5</v>
      </c>
      <c r="B7">
        <f>0.9226*G2 + 0.9099*G3</f>
        <v>0.91879</v>
      </c>
      <c r="C7">
        <f>0.9251*G2 + 0.941*G3</f>
        <v>0.92986999999999997</v>
      </c>
      <c r="D7">
        <f>0.9221*G2 + 0.9154*G3</f>
        <v>0.92008999999999996</v>
      </c>
      <c r="E7">
        <f>0.9393*G2 + 0.8821*G3</f>
        <v>0.92213999999999996</v>
      </c>
    </row>
    <row r="8" spans="1:8" x14ac:dyDescent="0.35">
      <c r="A8" t="s">
        <v>6</v>
      </c>
      <c r="B8">
        <f>0.8247*G2 + 0.7746*G3</f>
        <v>0.80966999999999989</v>
      </c>
      <c r="C8">
        <f>0.8229*G2 + 0.7526*G3</f>
        <v>0.80180999999999991</v>
      </c>
      <c r="D8">
        <f>0.7654*G2 + 0.7368*G3</f>
        <v>0.75681999999999994</v>
      </c>
      <c r="E8">
        <f>0.868*G2 + 0.7929*G3</f>
        <v>0.84546999999999994</v>
      </c>
    </row>
    <row r="9" spans="1:8" x14ac:dyDescent="0.35">
      <c r="A9" t="s">
        <v>7</v>
      </c>
      <c r="B9">
        <f>0.8669*G2 + 0.7998*G3</f>
        <v>0.84677000000000002</v>
      </c>
      <c r="C9">
        <f>0.8936*G2 + 0.8162*G3</f>
        <v>0.87037999999999993</v>
      </c>
      <c r="D9">
        <f>0.9308*G2 + 0.8976*G3</f>
        <v>0.92083999999999988</v>
      </c>
      <c r="E9">
        <f>0.9269*G2 + 0.8749*G3</f>
        <v>0.91129999999999989</v>
      </c>
    </row>
    <row r="10" spans="1:8" x14ac:dyDescent="0.35">
      <c r="A10" t="s">
        <v>8</v>
      </c>
      <c r="B10">
        <f>0.8463*G2 + 0.8187*G3</f>
        <v>0.83801999999999999</v>
      </c>
      <c r="C10">
        <f>0.898*G2 + 0.8376*G3</f>
        <v>0.87988</v>
      </c>
      <c r="D10">
        <f>0.8607*G2 + 0.8248*G3</f>
        <v>0.84992999999999996</v>
      </c>
      <c r="E10">
        <f>0.9149*G2 + 0.846*G3</f>
        <v>0.89422999999999986</v>
      </c>
    </row>
    <row r="11" spans="1:8" x14ac:dyDescent="0.35">
      <c r="A11" t="s">
        <v>9</v>
      </c>
      <c r="B11">
        <f>0.8324*G2 + 0.8064*G3</f>
        <v>0.8246</v>
      </c>
      <c r="C11">
        <f>0.9097*G2 + 0.8914*G3</f>
        <v>0.90420999999999996</v>
      </c>
      <c r="D11">
        <f>0.8607*G2 + 0.7962*G3</f>
        <v>0.84134999999999993</v>
      </c>
      <c r="E11">
        <f>0.921*G2 + 0.869*G3</f>
        <v>0.90539999999999998</v>
      </c>
    </row>
    <row r="12" spans="1:8" x14ac:dyDescent="0.35">
      <c r="A12" t="s">
        <v>204</v>
      </c>
      <c r="B12">
        <f>AVERAGE(B2:B11)</f>
        <v>0.85106000000000004</v>
      </c>
      <c r="C12">
        <f t="shared" ref="C12:E12" si="0">AVERAGE(C2:C11)</f>
        <v>0.86150799999999994</v>
      </c>
      <c r="D12">
        <f t="shared" si="0"/>
        <v>0.85924700000000009</v>
      </c>
      <c r="E12">
        <f t="shared" si="0"/>
        <v>0.8744869999999999</v>
      </c>
    </row>
    <row r="13" spans="1:8" x14ac:dyDescent="0.35">
      <c r="A13" t="s">
        <v>207</v>
      </c>
      <c r="B13">
        <f>_xlfn.STDEV.P(B2:B11)</f>
        <v>3.0622820902065834E-2</v>
      </c>
      <c r="C13">
        <f t="shared" ref="C13:E13" si="1">_xlfn.STDEV.P(C2:C11)</f>
        <v>3.7707243548156653E-2</v>
      </c>
      <c r="D13">
        <f t="shared" si="1"/>
        <v>4.6599328761260064E-2</v>
      </c>
      <c r="E13">
        <f t="shared" si="1"/>
        <v>3.3287797779366524E-2</v>
      </c>
    </row>
    <row r="14" spans="1:8" x14ac:dyDescent="0.35">
      <c r="A14" t="s">
        <v>212</v>
      </c>
      <c r="B14">
        <f>_xlfn.CONFIDENCE.T(0.05, B13, 10)</f>
        <v>2.1906246412595618E-2</v>
      </c>
      <c r="C14">
        <f t="shared" ref="C14:E14" si="2">_xlfn.CONFIDENCE.T(0.05, C13, 10)</f>
        <v>2.6974137077291654E-2</v>
      </c>
      <c r="D14">
        <f t="shared" si="2"/>
        <v>3.3335151642964814E-2</v>
      </c>
      <c r="E14">
        <f t="shared" si="2"/>
        <v>2.3812656026024802E-2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0F3B-6399-4DCD-AD9A-1E470A0A3722}">
  <dimension ref="A1:H14"/>
  <sheetViews>
    <sheetView workbookViewId="0">
      <selection activeCell="T9" sqref="T9"/>
    </sheetView>
  </sheetViews>
  <sheetFormatPr defaultRowHeight="14.5" x14ac:dyDescent="0.35"/>
  <cols>
    <col min="1" max="1" width="13.6328125" customWidth="1"/>
    <col min="2" max="2" width="11.6328125" customWidth="1"/>
    <col min="3" max="3" width="10.90625" customWidth="1"/>
    <col min="4" max="4" width="11.6328125" customWidth="1"/>
    <col min="5" max="5" width="10.26953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0.02</v>
      </c>
      <c r="H1" t="s">
        <v>205</v>
      </c>
    </row>
    <row r="2" spans="1:8" x14ac:dyDescent="0.35">
      <c r="A2" t="s">
        <v>0</v>
      </c>
      <c r="B2">
        <f>(1 + 0.7 + 1)/3 - G1*ABS(6-3) - G2*2</f>
        <v>0.78</v>
      </c>
      <c r="C2">
        <f>(1 + 0.8 + 1)/3 - G1*ABS(9-3) - G2*4</f>
        <v>0.69333333333333325</v>
      </c>
      <c r="D2">
        <f>(1 + 0.8 + 1)/3 - G1*ABS(5-3) - G2*1</f>
        <v>0.86333333333333317</v>
      </c>
      <c r="E2">
        <f>(1 + 0.8 + 1)/3 - G1*ABS(10-3) - G2*4</f>
        <v>0.67333333333333323</v>
      </c>
      <c r="G2">
        <v>0.03</v>
      </c>
      <c r="H2" t="s">
        <v>206</v>
      </c>
    </row>
    <row r="3" spans="1:8" x14ac:dyDescent="0.35">
      <c r="A3" t="s">
        <v>1</v>
      </c>
      <c r="B3">
        <f>(1 + 1 + 0 + 0 + 0.8 + 0 + 1)/7 - G1*ABS(7-7) - G2*3</f>
        <v>0.45285714285714285</v>
      </c>
      <c r="C3">
        <f>(1 + 1 + 0 + 0 + 0.7 + 0.8 + 1)/7 - G1*ABS(6-7) - G2*2</f>
        <v>0.56285714285714294</v>
      </c>
      <c r="D3">
        <f>(1 + 1 + 1 + 0.5 + 0.7 + 1 + 1)/7 - G1*ABS(11-7) - G2*4</f>
        <v>0.68571428571428583</v>
      </c>
      <c r="E3">
        <f>(1 + 1 + 1 + 0.7 + 1 + 1 + 1)/7 - G1*ABS(11-7) - G2*4</f>
        <v>0.75714285714285723</v>
      </c>
    </row>
    <row r="4" spans="1:8" x14ac:dyDescent="0.35">
      <c r="A4" t="s">
        <v>2</v>
      </c>
      <c r="B4">
        <f>(1 + 1 + 1 + 0.7 + 1 + 1)/6 - G1*ABS(7-6) - G2*2</f>
        <v>0.87000000000000011</v>
      </c>
      <c r="C4">
        <f>(1 + 0 + 1 + 1 + 1 + 1)/6 - G1*ABS(4-6) - G2*1</f>
        <v>0.76333333333333331</v>
      </c>
      <c r="D4">
        <f>(1 + 0.7 + 1 + 0.7 + 0.4 + 1)/6 - G1*ABS(5-6) - G2*0</f>
        <v>0.78000000000000014</v>
      </c>
      <c r="E4">
        <f>(1 + 1 + 1 + 1 + 1 + 1)/6 - G1*ABS(8-6) - G2*1</f>
        <v>0.92999999999999994</v>
      </c>
    </row>
    <row r="5" spans="1:8" x14ac:dyDescent="0.35">
      <c r="A5" t="s">
        <v>3</v>
      </c>
      <c r="B5">
        <f>(1 + 0.7 + 1 + 1)/4 - G1*ABS(6-4) - G2*2</f>
        <v>0.82499999999999996</v>
      </c>
      <c r="C5">
        <f>(1 + 1 + 1 + 0.6)/4 - G1*ABS(6-4) - G2*3</f>
        <v>0.77</v>
      </c>
      <c r="D5">
        <f>(1+1+1+1)/4-G1*ABS(5-4)-G2*1</f>
        <v>0.95</v>
      </c>
      <c r="E5">
        <f>(1 + 1 + 1 + 0.7)/4 - G1*ABS(13-4) - G2*6</f>
        <v>0.56500000000000017</v>
      </c>
    </row>
    <row r="6" spans="1:8" x14ac:dyDescent="0.35">
      <c r="A6" t="s">
        <v>4</v>
      </c>
      <c r="B6">
        <f>(0 + 1 + 1)/3 - G1*ABS(5-3) - G2*1</f>
        <v>0.59666666666666657</v>
      </c>
      <c r="C6">
        <f>(0 + 1 + 1)/3 - G1*ABS(7-3) - G2*4</f>
        <v>0.46666666666666667</v>
      </c>
      <c r="D6">
        <f>(0.7 + 0.6 + 1)/3 - G1*ABS(4-3) - G2*1</f>
        <v>0.71666666666666656</v>
      </c>
      <c r="E6">
        <f>(1 + 1 + 1)/3 - G1*ABS(8-3) - G2*4</f>
        <v>0.78</v>
      </c>
    </row>
    <row r="7" spans="1:8" x14ac:dyDescent="0.35">
      <c r="A7" t="s">
        <v>5</v>
      </c>
      <c r="B7">
        <f>(0.5 + 1 + 0.8 + 1)/4 - G1*ABS(4-4) - G2*1</f>
        <v>0.79499999999999993</v>
      </c>
      <c r="C7">
        <f>(0.5 + 1 + 1 + 1)/4 - G1*ABS(3-4) - G2*0</f>
        <v>0.85499999999999998</v>
      </c>
      <c r="D7">
        <f>(0.5 + 1 + 0.8 + 1)/4 - G1*ABS(4-4) - G2*0</f>
        <v>0.82499999999999996</v>
      </c>
      <c r="E7">
        <f>(0.5 + 1 + 1 + 1)/4 - G1*ABS(4-4) - G2*1</f>
        <v>0.84499999999999997</v>
      </c>
    </row>
    <row r="8" spans="1:8" x14ac:dyDescent="0.35">
      <c r="A8" t="s">
        <v>6</v>
      </c>
      <c r="B8">
        <f>(0.5 + 0.7 + 1 + 0)/4 - G1*ABS(6-4) - G2*3</f>
        <v>0.42000000000000004</v>
      </c>
      <c r="C8">
        <f>(1 + 0.7 + 1 + 0)/4 - G1*ABS(6-4) - G2*3</f>
        <v>0.54500000000000004</v>
      </c>
      <c r="D8">
        <f>(1 + 0.7 + 1 + 0)/4 - G1*ABS(5-4) - G2*3</f>
        <v>0.56500000000000006</v>
      </c>
      <c r="E8">
        <f>(1 + 0.7 + 1 + 1)/4 - G1*ABS(10-4) - G2*5</f>
        <v>0.65500000000000003</v>
      </c>
    </row>
    <row r="9" spans="1:8" x14ac:dyDescent="0.35">
      <c r="A9" t="s">
        <v>7</v>
      </c>
      <c r="B9">
        <f>(1 + 0 + 1 + 0 + 0 + 0)/6 - G1*ABS(7-6) - G2*5</f>
        <v>0.1633333333333333</v>
      </c>
      <c r="C9">
        <f>(1 + 0.8 + 1 + 1 + 1 + 0.7)/6 - G1*ABS(8-6) - G2*3</f>
        <v>0.78666666666666663</v>
      </c>
      <c r="D9">
        <f>(0 + 1 + 1 + 1 + 1 + 1)/6 - G1*ABS(7-6) - G2*1</f>
        <v>0.78333333333333333</v>
      </c>
      <c r="E9">
        <f>(1 + 1 + 1 + 1 + 1 + 1)/6 - G1*ABS(9-6) - G2*3</f>
        <v>0.85</v>
      </c>
    </row>
    <row r="10" spans="1:8" x14ac:dyDescent="0.35">
      <c r="A10" t="s">
        <v>8</v>
      </c>
      <c r="B10">
        <f>(0 + 1 + 0.5 + 1)/4 - G1*ABS(8-4) - G2*2</f>
        <v>0.48500000000000004</v>
      </c>
      <c r="C10">
        <f>(0.6 + 1 + 0.5 + 1)/4 - G1*ABS(8-4) - G2*2</f>
        <v>0.63500000000000001</v>
      </c>
      <c r="D10">
        <f>(1 + 1 + 0.8 + 0.5)/4 - G1*ABS(4-4) - G2*1</f>
        <v>0.79499999999999993</v>
      </c>
      <c r="E10">
        <f>(1 + 1 + 1 + 1)/4 - G1*ABS(14-4) - G2*4</f>
        <v>0.68</v>
      </c>
    </row>
    <row r="11" spans="1:8" x14ac:dyDescent="0.35">
      <c r="A11" t="s">
        <v>9</v>
      </c>
      <c r="B11">
        <f>(1 +0 + 0 + 1 + 1 + 1)/6 - G1*ABS(7-6) - G2*2</f>
        <v>0.58666666666666667</v>
      </c>
      <c r="C11">
        <f>(1 +1 + 0 + 1 + 1 + 1)/6 - G1*ABS(8-6) - G2*2</f>
        <v>0.73333333333333339</v>
      </c>
      <c r="D11">
        <f>(1 +1 + 0 + 0.5 + 1 + 1)/6 - G1*ABS(8-6) - G2*4</f>
        <v>0.59</v>
      </c>
      <c r="E11">
        <f>(1 + 1 + 1 + 1 + 1 + 1)/6 - G1*ABS(12-6) - G2*5</f>
        <v>0.73</v>
      </c>
    </row>
    <row r="12" spans="1:8" x14ac:dyDescent="0.35">
      <c r="A12" t="s">
        <v>204</v>
      </c>
      <c r="B12">
        <f>AVERAGE(B2:B11)</f>
        <v>0.59745238095238107</v>
      </c>
      <c r="C12">
        <f t="shared" ref="C12:E12" si="0">AVERAGE(C2:C11)</f>
        <v>0.68111904761904762</v>
      </c>
      <c r="D12">
        <f t="shared" si="0"/>
        <v>0.75540476190476191</v>
      </c>
      <c r="E12">
        <f t="shared" si="0"/>
        <v>0.74654761904761902</v>
      </c>
    </row>
    <row r="13" spans="1:8" x14ac:dyDescent="0.35">
      <c r="A13" t="s">
        <v>207</v>
      </c>
      <c r="B13">
        <f>_xlfn.STDEV.P(B2:B11)</f>
        <v>0.21260945027131592</v>
      </c>
      <c r="C13">
        <f t="shared" ref="C13:E13" si="1">_xlfn.STDEV.P(C2:C11)</f>
        <v>0.11812725420469694</v>
      </c>
      <c r="D13">
        <f t="shared" si="1"/>
        <v>0.11281941553448072</v>
      </c>
      <c r="E13">
        <f t="shared" si="1"/>
        <v>0.10328824175264947</v>
      </c>
    </row>
    <row r="14" spans="1:8" x14ac:dyDescent="0.35">
      <c r="A14" t="s">
        <v>212</v>
      </c>
      <c r="B14">
        <f>_xlfn.CONFIDENCE.T(0.05, B13, 10)</f>
        <v>0.15209163852621249</v>
      </c>
      <c r="C14">
        <f t="shared" ref="C14:E14" si="2">_xlfn.CONFIDENCE.T(0.05, C13, 10)</f>
        <v>8.45031470786822E-2</v>
      </c>
      <c r="D14">
        <f t="shared" si="2"/>
        <v>8.0706148030164876E-2</v>
      </c>
      <c r="E14">
        <f t="shared" si="2"/>
        <v>7.3887957043325361E-2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CCA4-8A71-4AF5-8FBE-248D053487BF}">
  <dimension ref="A1:H13"/>
  <sheetViews>
    <sheetView workbookViewId="0">
      <selection activeCell="B12" sqref="B12:E12"/>
    </sheetView>
  </sheetViews>
  <sheetFormatPr defaultRowHeight="14.5" x14ac:dyDescent="0.35"/>
  <cols>
    <col min="1" max="1" width="14" customWidth="1"/>
    <col min="2" max="2" width="10.7265625" customWidth="1"/>
    <col min="3" max="3" width="9.90625" customWidth="1"/>
    <col min="4" max="4" width="10.7265625" customWidth="1"/>
    <col min="5" max="5" width="10.36328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0.05</v>
      </c>
      <c r="H1" t="s">
        <v>205</v>
      </c>
    </row>
    <row r="2" spans="1:8" x14ac:dyDescent="0.35">
      <c r="A2" t="s">
        <v>0</v>
      </c>
      <c r="B2">
        <f>(1 + 1 + 0 + 1)/4 - G1*ABS(6-4) - G2*2</f>
        <v>0.65</v>
      </c>
      <c r="C2">
        <f>(1 + 1 + 0.4 + 1)/4 - G1*ABS(9-4) - G2*3</f>
        <v>0.6</v>
      </c>
      <c r="D2">
        <f>(1 + 1 + 0.6 + 1)/4 - 0.05*ABS(5-4) -G2*1</f>
        <v>0.85</v>
      </c>
      <c r="E2">
        <f>(1 + 0.5 + 0.5 + 0.3)/3 - G1*ABS(8-4) - G2*6</f>
        <v>0.56666666666666665</v>
      </c>
      <c r="G2">
        <v>0</v>
      </c>
      <c r="H2" t="s">
        <v>206</v>
      </c>
    </row>
    <row r="3" spans="1:8" x14ac:dyDescent="0.35">
      <c r="A3" t="s">
        <v>1</v>
      </c>
      <c r="B3">
        <f>(1 + 1 + 0.5 + 1 + 0 + 0 + 1 + 0)/8 - G1*ABS(5-8) - G2*1</f>
        <v>0.41249999999999998</v>
      </c>
      <c r="C3">
        <f>(1 + 1 + 0.5 + 0.5 + 0 + 1 + 1 + 0)/8 - G1*ABS(4-8) - G2*0</f>
        <v>0.42499999999999999</v>
      </c>
      <c r="D3">
        <f>(1 + 0.8 + 0 + 0.7 + 0 + 1 + 1 + 1)/8 - G1*ABS(9-8) - G2*3</f>
        <v>0.63749999999999996</v>
      </c>
      <c r="E3">
        <f>(1 + 1 + 0.5 + 1 + 0 + 1 + 1 +1)/8 - G1*ABS(9-8) - G2*4</f>
        <v>0.76249999999999996</v>
      </c>
    </row>
    <row r="4" spans="1:8" x14ac:dyDescent="0.35">
      <c r="A4" t="s">
        <v>2</v>
      </c>
      <c r="B4">
        <f>(1 + 0 + 1 + 0 + 1)/5 - G1*ABS(4-5) - G2*2</f>
        <v>0.54999999999999993</v>
      </c>
      <c r="C4">
        <f>(1 + 0 + 1 + 0 + 0)/5 - G1*ABS(3-5) - G2*1</f>
        <v>0.30000000000000004</v>
      </c>
      <c r="D4">
        <f>(1 + 0 + 1 + 0 + 1)/5 - G1*ABS(4-5) - G2*0</f>
        <v>0.54999999999999993</v>
      </c>
      <c r="E4">
        <f>(1 + 0.7 + 1 + 0 + 1)/5 - G1*ABS(6-5) - G2*2</f>
        <v>0.69</v>
      </c>
    </row>
    <row r="5" spans="1:8" x14ac:dyDescent="0.35">
      <c r="A5" t="s">
        <v>3</v>
      </c>
      <c r="B5">
        <f>(0.5 + 1)/2 - G1*ABS(4-2) - G2*2</f>
        <v>0.65</v>
      </c>
      <c r="C5">
        <f>(0.3 + 0.7)/2 - G1*ABS(4-2) - G2*2</f>
        <v>0.4</v>
      </c>
      <c r="D5">
        <f>(0.3 + 0.8)/2 - G1*ABS(4-2) - G2*1</f>
        <v>0.45000000000000007</v>
      </c>
      <c r="E5">
        <f>(0.7 + 0.8)/2 - G1*ABS(10-2) - G2*6</f>
        <v>0.35</v>
      </c>
    </row>
    <row r="6" spans="1:8" x14ac:dyDescent="0.35">
      <c r="A6" t="s">
        <v>4</v>
      </c>
      <c r="B6">
        <f>(0 + 1 + 1 + 0 + 1)/5 - G1*ABS(4-5) - G2*1</f>
        <v>0.54999999999999993</v>
      </c>
      <c r="C6">
        <f>(0 + 1 + 0.5 + 0 + 0)/5 - G1*ABS(6-5) - G2*4</f>
        <v>0.25</v>
      </c>
      <c r="D6">
        <f>(1 + 1 + 0 + 0 + 1)/5 - G1*ABS(4-5) - G2*1</f>
        <v>0.54999999999999993</v>
      </c>
      <c r="E6">
        <f>(1 + 1 + 1 + 0 + 1)/5 - G1*ABS(8-5) -G2*5</f>
        <v>0.65</v>
      </c>
    </row>
    <row r="7" spans="1:8" x14ac:dyDescent="0.35">
      <c r="A7" t="s">
        <v>5</v>
      </c>
      <c r="B7">
        <f>(0 + 0 + 1 + 0.5)/4 - G1*ABS(4-4) - G2*1</f>
        <v>0.375</v>
      </c>
      <c r="C7">
        <f>(0 + 0.7 + 1 + 0.3)/4 - G1*ABS(3-4) - G2*0</f>
        <v>0.45</v>
      </c>
      <c r="D7">
        <f>(0 + 0.7 + 1 + 1)/4 - G1*ABS(3-4) - G2*0</f>
        <v>0.625</v>
      </c>
      <c r="E7">
        <f>(0 + 1 + 1 + 1)/4 - G1*ABS(6-4) - G2*1</f>
        <v>0.65</v>
      </c>
    </row>
    <row r="8" spans="1:8" x14ac:dyDescent="0.35">
      <c r="A8" t="s">
        <v>6</v>
      </c>
      <c r="B8">
        <f>(1 + 1 + 0)/3 - G1*ABS(5-3) - G2*3</f>
        <v>0.56666666666666665</v>
      </c>
      <c r="C8">
        <f>(1 + 1 + 0)/3 - G1*ABS(5-3) - G2*3</f>
        <v>0.56666666666666665</v>
      </c>
      <c r="D8">
        <f>(0.5 + 1 + 0)/3 - G1*ABS(4-3) - G2*2</f>
        <v>0.45</v>
      </c>
      <c r="E8">
        <f>(1 + 1 + 0)/3 - G1*ABS(8-3) - G2*6</f>
        <v>0.41666666666666663</v>
      </c>
    </row>
    <row r="9" spans="1:8" x14ac:dyDescent="0.35">
      <c r="A9" t="s">
        <v>7</v>
      </c>
      <c r="B9">
        <f>(0 + 1 + 1 + 0 + 0 + 1)/6 - G1*ABS(5-6) - G2*2</f>
        <v>0.45</v>
      </c>
      <c r="C9">
        <f>(0 + 1 + 1 + 0 + 0.5 + 1)/6 - G1*ABS(6-6) - G2*3</f>
        <v>0.58333333333333337</v>
      </c>
      <c r="D9">
        <f>(0 + 1 + 1 + 1 + 0.5 + 0)/6 - G1*ABS(6-6) - G2*2</f>
        <v>0.58333333333333337</v>
      </c>
      <c r="E9">
        <f>(0 + 1 + 1 + 1 + 0.5 + 1)/6 - G1*ABS(7-6) - G2*2</f>
        <v>0.7</v>
      </c>
    </row>
    <row r="10" spans="1:8" x14ac:dyDescent="0.35">
      <c r="A10" t="s">
        <v>8</v>
      </c>
      <c r="B10">
        <f>(1 + 1 + 1 + 0)/4 - G1*ABS(6-4) - G2*3</f>
        <v>0.65</v>
      </c>
      <c r="C10">
        <f>(1 + 1 + 0 + 0)/4 - G1*ABS(6-4) - G2*3</f>
        <v>0.4</v>
      </c>
      <c r="D10">
        <f>(1 + 1 + 0.3 + 0.5)/4 - G1*ABS(6-4) - G2*1</f>
        <v>0.6</v>
      </c>
      <c r="E10">
        <f>(1 + 1 + 0 + 1)/4 - G1*ABS(12-4) - G2*5</f>
        <v>0.35</v>
      </c>
    </row>
    <row r="11" spans="1:8" x14ac:dyDescent="0.35">
      <c r="A11" t="s">
        <v>9</v>
      </c>
      <c r="B11">
        <f>(0.8 + 0 + 0.5)/3 - G1*ABS(4-3) - G2*2</f>
        <v>0.38333333333333336</v>
      </c>
      <c r="C11">
        <f>(0.8 + 0 + 0.7)/3 - G1*ABS(6-3) - G2*3</f>
        <v>0.35</v>
      </c>
      <c r="D11">
        <f>(0.8 + 0.6 + 0.8)/3 - G1*ABS(7-3) - G2*4</f>
        <v>0.53333333333333344</v>
      </c>
      <c r="E11">
        <f>(0.8 + 0.6 + 0.5)/3 - G1*ABS(10-3) - G2*7</f>
        <v>0.28333333333333327</v>
      </c>
    </row>
    <row r="12" spans="1:8" x14ac:dyDescent="0.35">
      <c r="A12" t="s">
        <v>204</v>
      </c>
      <c r="B12">
        <f>AVERAGE(B2:B11)</f>
        <v>0.52375000000000005</v>
      </c>
      <c r="C12">
        <f t="shared" ref="C12:E12" si="0">AVERAGE(C2:C11)</f>
        <v>0.4325</v>
      </c>
      <c r="D12">
        <f t="shared" si="0"/>
        <v>0.58291666666666653</v>
      </c>
      <c r="E12">
        <f t="shared" si="0"/>
        <v>0.5419166666666666</v>
      </c>
    </row>
    <row r="13" spans="1:8" x14ac:dyDescent="0.35">
      <c r="A13" t="s">
        <v>207</v>
      </c>
      <c r="B13">
        <f>_xlfn.STDEV.P(B2:B11)</f>
        <v>0.10521225240225332</v>
      </c>
      <c r="C13">
        <f t="shared" ref="C13:E13" si="1">_xlfn.STDEV.P(C2:C11)</f>
        <v>0.1135567650511799</v>
      </c>
      <c r="D13">
        <f t="shared" si="1"/>
        <v>0.10785873605992485</v>
      </c>
      <c r="E13">
        <f t="shared" si="1"/>
        <v>0.16606309460228927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1596-6CA0-4656-A2B4-87A3DAE8F530}">
  <dimension ref="A1:H13"/>
  <sheetViews>
    <sheetView workbookViewId="0">
      <selection activeCell="B12" sqref="B12:E12"/>
    </sheetView>
  </sheetViews>
  <sheetFormatPr defaultRowHeight="14.5" x14ac:dyDescent="0.35"/>
  <cols>
    <col min="1" max="1" width="13.08984375" customWidth="1"/>
    <col min="2" max="2" width="10.90625" customWidth="1"/>
    <col min="3" max="3" width="10" customWidth="1"/>
    <col min="4" max="4" width="10.7265625" customWidth="1"/>
    <col min="5" max="5" width="10.36328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0.05</v>
      </c>
      <c r="H1" t="s">
        <v>205</v>
      </c>
    </row>
    <row r="2" spans="1:8" x14ac:dyDescent="0.35">
      <c r="A2" t="s">
        <v>0</v>
      </c>
      <c r="B2">
        <v>0</v>
      </c>
      <c r="C2">
        <f>(1 + 0.4 + 0 + 0)/4 - G1*ABS(7-4) - G2*5</f>
        <v>0.19999999999999996</v>
      </c>
      <c r="D2">
        <v>0</v>
      </c>
      <c r="E2">
        <f>(1 + 0.8 + 1 + 0.5)/4 - G1*ABS(8-4) - 3*G2</f>
        <v>0.625</v>
      </c>
      <c r="G2">
        <v>0</v>
      </c>
      <c r="H2" t="s">
        <v>206</v>
      </c>
    </row>
    <row r="3" spans="1:8" x14ac:dyDescent="0.35">
      <c r="A3" t="s">
        <v>1</v>
      </c>
      <c r="B3">
        <f>(0.8 + 0)/2 - G1*ABS(4-2) - G2*1</f>
        <v>0.30000000000000004</v>
      </c>
      <c r="C3">
        <f>(0.5 + 0)/2 - G1*ABS(3-2) - G2*2</f>
        <v>0.2</v>
      </c>
      <c r="D3">
        <f>(0.9 + 0.5)/2 - G1*ABS(8-2) - G2*4</f>
        <v>0.39999999999999991</v>
      </c>
      <c r="E3">
        <f>(0.75 + 0)/2 - G1*ABS(8-2) - G2*5</f>
        <v>7.4999999999999956E-2</v>
      </c>
    </row>
    <row r="4" spans="1:8" x14ac:dyDescent="0.35">
      <c r="A4" t="s">
        <v>2</v>
      </c>
      <c r="B4">
        <f>(0.5 + 0.5 + 0)/3 - G1*ABS(2-3) - G2*0</f>
        <v>0.28333333333333333</v>
      </c>
      <c r="C4">
        <f>(1 + 1 + 0)/3 - G1*ABS(2-3) - G2*0</f>
        <v>0.61666666666666659</v>
      </c>
      <c r="D4">
        <f>(1 + 1 + 0)/3 - G1*ABS(2-3) - G2*1</f>
        <v>0.61666666666666659</v>
      </c>
      <c r="E4">
        <f>(0.5 + 1 + 1)/3 - G1*ABS(5-3) - G2*1</f>
        <v>0.73333333333333339</v>
      </c>
    </row>
    <row r="5" spans="1:8" x14ac:dyDescent="0.35">
      <c r="A5" t="s">
        <v>3</v>
      </c>
      <c r="B5">
        <f>(0 + 0.5 + 1)/3 - G1*ABS(3-3) - G2*1</f>
        <v>0.5</v>
      </c>
      <c r="C5">
        <f>(0 + 1 + 0.4)/3 - G1*ABS(4-3) - G2*1</f>
        <v>0.41666666666666663</v>
      </c>
      <c r="D5">
        <f>(1 + 0.5 + 0.5)/3 - G1*ABS(3-3) - G2*0</f>
        <v>0.66666666666666663</v>
      </c>
      <c r="E5">
        <f>(0.5 + 1 + 0.5)/3 - G1*ABS(7-3) - G2*4</f>
        <v>0.46666666666666662</v>
      </c>
    </row>
    <row r="6" spans="1:8" x14ac:dyDescent="0.35">
      <c r="A6" t="s">
        <v>4</v>
      </c>
      <c r="B6">
        <f>(1 + 0 + 1)/3 - G1*ABS(3-3) - G2*1</f>
        <v>0.66666666666666663</v>
      </c>
      <c r="C6">
        <f>(1 + 1 + 0)/3 - G1*ABS(4-3) - G2*2</f>
        <v>0.61666666666666659</v>
      </c>
      <c r="D6">
        <f>(1 + 1 + 1)/3 - G1*ABS(3-3) - G2*1</f>
        <v>1</v>
      </c>
      <c r="E6">
        <f>(1 + 1 + 1)/3 - G1*ABS(6-3) - G2*4</f>
        <v>0.85</v>
      </c>
    </row>
    <row r="7" spans="1:8" x14ac:dyDescent="0.35">
      <c r="A7" t="s">
        <v>5</v>
      </c>
      <c r="B7">
        <f>(0 + 0 + 1 + 0 + 0)/5 - G1*ABS(2-5) - G2*1</f>
        <v>4.9999999999999989E-2</v>
      </c>
      <c r="C7">
        <f>(1 + 0.4 + 1 + 0 + 0)/5 - G1*ABS(2-5) - G2*0</f>
        <v>0.32999999999999996</v>
      </c>
      <c r="D7">
        <f>(1 + 0.4 + 1 + 0 + 0)/5 - G1*ABS(2-5) - G2*1</f>
        <v>0.32999999999999996</v>
      </c>
      <c r="E7">
        <f>(1 + 1 + 1 + 0 + 1)/5 - G1*ABS(4-5) - G2*0</f>
        <v>0.75</v>
      </c>
    </row>
    <row r="8" spans="1:8" x14ac:dyDescent="0.35">
      <c r="A8" t="s">
        <v>6</v>
      </c>
      <c r="B8">
        <f>(1 + 0 + 0)/3 - G1*ABS(3-3) - G2*2</f>
        <v>0.33333333333333331</v>
      </c>
      <c r="C8">
        <f>(0.8 + 0 + 0)/3 - G1*ABS(4-3) - G2*3</f>
        <v>0.21666666666666667</v>
      </c>
      <c r="D8">
        <f>(0 + 0 + 0.5)/3 - G1*ABS(3-3) - G2*2</f>
        <v>0.16666666666666666</v>
      </c>
      <c r="E8">
        <f>(1 + 0 + 1)/3 - G1*ABS(7-3) - G2*7</f>
        <v>0.46666666666666662</v>
      </c>
    </row>
    <row r="9" spans="1:8" x14ac:dyDescent="0.35">
      <c r="A9" t="s">
        <v>7</v>
      </c>
      <c r="B9">
        <f>(1 + 1 + 0)/3 - G1*ABS(2-3) - G2*0</f>
        <v>0.61666666666666659</v>
      </c>
      <c r="C9">
        <f>(1 + 1 + 0.5)/3 - G1*ABS(4-3) - G2*2</f>
        <v>0.78333333333333333</v>
      </c>
      <c r="D9">
        <f>(0 + 0 + 0.5)/3 - G1*ABS(4-3) - G2*3</f>
        <v>0.11666666666666665</v>
      </c>
      <c r="E9">
        <f>(1 + 1 + 1)/3 - G1*ABS(4-3) - G2*1</f>
        <v>0.95</v>
      </c>
    </row>
    <row r="10" spans="1:8" x14ac:dyDescent="0.35">
      <c r="A10" t="s">
        <v>8</v>
      </c>
      <c r="B10">
        <f>(1 + 0.7)/2 - G1*ABS(3-2) - G2*1</f>
        <v>0.79999999999999993</v>
      </c>
      <c r="C10">
        <f>(1 + 0)/2 - G1*ABS(4-2) - G2*3</f>
        <v>0.4</v>
      </c>
      <c r="D10">
        <f>(1 + 0)/2 - G1*ABS(2-2) - G2*1</f>
        <v>0.5</v>
      </c>
      <c r="E10">
        <f>(1 + 0.7)/2 - G1*ABS(9-2) - G2*5</f>
        <v>0.49999999999999994</v>
      </c>
    </row>
    <row r="11" spans="1:8" x14ac:dyDescent="0.35">
      <c r="A11" t="s">
        <v>9</v>
      </c>
      <c r="B11">
        <f>(0 + 1 + 1)/3 - G1*ABS(3-3) - G2*1</f>
        <v>0.66666666666666663</v>
      </c>
      <c r="C11">
        <f>(1 + 0.6 + 1)/3 - G1*ABS(5-3) - G2*2</f>
        <v>0.76666666666666672</v>
      </c>
      <c r="D11">
        <f>(1 + 0 + 0.6)/3 - G1*ABS(6-3) - G2*4</f>
        <v>0.3833333333333333</v>
      </c>
      <c r="E11">
        <f>(0 + 1 + 1)/3 - G1*ABS(9-3) - G2*6</f>
        <v>0.36666666666666659</v>
      </c>
    </row>
    <row r="12" spans="1:8" x14ac:dyDescent="0.35">
      <c r="A12" t="s">
        <v>204</v>
      </c>
      <c r="B12">
        <f>AVERAGE(B2:B11)</f>
        <v>0.42166666666666669</v>
      </c>
      <c r="C12">
        <f t="shared" ref="C12:E12" si="0">AVERAGE(C2:C11)</f>
        <v>0.45466666666666666</v>
      </c>
      <c r="D12">
        <f t="shared" si="0"/>
        <v>0.41799999999999998</v>
      </c>
      <c r="E12">
        <f t="shared" si="0"/>
        <v>0.57833333333333337</v>
      </c>
    </row>
    <row r="13" spans="1:8" x14ac:dyDescent="0.35">
      <c r="A13" t="s">
        <v>207</v>
      </c>
      <c r="B13">
        <f>_xlfn.STDEV.P(B2:B11)</f>
        <v>0.25788132498840965</v>
      </c>
      <c r="C13">
        <f t="shared" ref="C13:E13" si="1">_xlfn.STDEV.P(C2:C11)</f>
        <v>0.21544888540491958</v>
      </c>
      <c r="D13">
        <f t="shared" si="1"/>
        <v>0.28012774863543155</v>
      </c>
      <c r="E13">
        <f t="shared" si="1"/>
        <v>0.24430172601382374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C897-B3EE-49A6-99C6-EC9CEEFB99A3}">
  <dimension ref="A1:H13"/>
  <sheetViews>
    <sheetView topLeftCell="K1" workbookViewId="0">
      <selection activeCell="B12" sqref="B12:E12"/>
    </sheetView>
  </sheetViews>
  <sheetFormatPr defaultRowHeight="14.5" x14ac:dyDescent="0.35"/>
  <cols>
    <col min="1" max="1" width="13" customWidth="1"/>
    <col min="2" max="2" width="11.453125" customWidth="1"/>
    <col min="3" max="3" width="10.453125" customWidth="1"/>
    <col min="4" max="4" width="10.54296875" customWidth="1"/>
    <col min="5" max="5" width="10.453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0.05</v>
      </c>
      <c r="H1" t="s">
        <v>205</v>
      </c>
    </row>
    <row r="2" spans="1:8" x14ac:dyDescent="0.35">
      <c r="A2" t="s">
        <v>0</v>
      </c>
      <c r="B2">
        <v>0</v>
      </c>
      <c r="C2">
        <f>(1 + 0)/2 - G1*ABS(5-2) - G2*4</f>
        <v>0.35</v>
      </c>
      <c r="D2">
        <f>(0 + 0.8)/2 - G1*ABS(1-2) - G2*0</f>
        <v>0.35000000000000003</v>
      </c>
      <c r="E2">
        <f>(1 + 0)/2 - G1*ABS(5-2) - G2*4</f>
        <v>0.35</v>
      </c>
      <c r="G2">
        <v>0</v>
      </c>
      <c r="H2" t="s">
        <v>206</v>
      </c>
    </row>
    <row r="3" spans="1:8" x14ac:dyDescent="0.35">
      <c r="A3" t="s">
        <v>1</v>
      </c>
      <c r="B3">
        <f>(1 + 0 + 0 + 0)/4 - G1*ABS(2-4) - G2*1</f>
        <v>0.15</v>
      </c>
      <c r="C3">
        <f>(1 + 0 + 0 + 1)/4 - G1*ABS(2-4) - G2*0</f>
        <v>0.4</v>
      </c>
      <c r="D3">
        <f>(1 + 0.3 + 0 + 0)/4 - G1*ABS(4-4) - G2*2</f>
        <v>0.32500000000000001</v>
      </c>
      <c r="E3">
        <f>(1 + 0 + 0 + 0)/4 - G1*ABS(2-4) - G2*1</f>
        <v>0.15</v>
      </c>
    </row>
    <row r="4" spans="1:8" x14ac:dyDescent="0.35">
      <c r="A4" t="s">
        <v>2</v>
      </c>
      <c r="B4">
        <f>(0.5 + 0 + 0)/3 - G1*ABS(1-3) - G2*0</f>
        <v>6.6666666666666652E-2</v>
      </c>
      <c r="C4">
        <f>(1 + 1 + 0)/3 - G1*ABS(2-3) - G2*0</f>
        <v>0.61666666666666659</v>
      </c>
      <c r="D4">
        <f>(1 + 0 + 0)/3 - G1*ABS(2-3) - G2*1</f>
        <v>0.28333333333333333</v>
      </c>
      <c r="E4">
        <f>(0 + 0.5 + 0)/3 - G1*ABS(2-3)  - G2*1</f>
        <v>0.11666666666666665</v>
      </c>
    </row>
    <row r="5" spans="1:8" x14ac:dyDescent="0.35">
      <c r="A5" t="s">
        <v>3</v>
      </c>
      <c r="B5">
        <f>(0 + 0.5)/2 - G1*ABS(1-2) - G2*0</f>
        <v>0.2</v>
      </c>
      <c r="C5">
        <f>(0 + 0.5)/2 - G1*ABS(2-2) - G2*1</f>
        <v>0.25</v>
      </c>
      <c r="D5">
        <f>(1 + 0)/2 - G1*ABS(2-2) - G2*1</f>
        <v>0.5</v>
      </c>
      <c r="E5">
        <f>(1 + 0.9)/2 - G1*ABS(5-2) - G2*1</f>
        <v>0.79999999999999993</v>
      </c>
    </row>
    <row r="6" spans="1:8" x14ac:dyDescent="0.35">
      <c r="A6" t="s">
        <v>4</v>
      </c>
      <c r="B6">
        <f>(1 + 1)/2 - G1*ABS(2-2) - G2*0</f>
        <v>1</v>
      </c>
      <c r="C6">
        <f>(1 + 0)/2 - G1*ABS(3-2) - G2*2</f>
        <v>0.45</v>
      </c>
      <c r="D6">
        <v>0</v>
      </c>
      <c r="E6">
        <f>(1 + 0)/2 - G1*ABS(4-2) - G2*3</f>
        <v>0.4</v>
      </c>
    </row>
    <row r="7" spans="1:8" x14ac:dyDescent="0.35">
      <c r="A7" t="s">
        <v>5</v>
      </c>
      <c r="B7">
        <v>0</v>
      </c>
      <c r="C7">
        <f>(1 + 0 + 0.6)/3 - G1*ABS(2-3) - G2*1</f>
        <v>0.48333333333333334</v>
      </c>
      <c r="D7">
        <f>(0 + 1 + 0)/3 - G1*ABS(1-3) - G2*0</f>
        <v>0.23333333333333331</v>
      </c>
      <c r="E7">
        <f>(0 + 0.7 + 1)/3 - G1*ABS(2-3) - G2*0</f>
        <v>0.51666666666666661</v>
      </c>
    </row>
    <row r="8" spans="1:8" x14ac:dyDescent="0.35">
      <c r="A8" t="s">
        <v>6</v>
      </c>
      <c r="B8">
        <v>0</v>
      </c>
      <c r="C8">
        <f>(1 + 0 + 1)/3 - G1*ABS(3-3) - G2*1</f>
        <v>0.66666666666666663</v>
      </c>
      <c r="D8">
        <f>(1 + 0 + 1)/3 - G1*ABS(2-3) - G2*0</f>
        <v>0.61666666666666659</v>
      </c>
      <c r="E8">
        <f>(1 + 0.5 + 1)/3 - G1*ABS(5-3) - G2*1</f>
        <v>0.73333333333333339</v>
      </c>
    </row>
    <row r="9" spans="1:8" x14ac:dyDescent="0.35">
      <c r="A9" t="s">
        <v>7</v>
      </c>
      <c r="B9">
        <v>0</v>
      </c>
      <c r="C9">
        <f>(1 + 1 + 1)/3 - G1*ABS(2-3) - G2*0</f>
        <v>0.95</v>
      </c>
      <c r="D9">
        <v>0</v>
      </c>
      <c r="E9">
        <f>(1 + 1 + 0)/3 - G1*ABS(2-3) - G2*0</f>
        <v>0.61666666666666659</v>
      </c>
    </row>
    <row r="10" spans="1:8" x14ac:dyDescent="0.35">
      <c r="A10" t="s">
        <v>8</v>
      </c>
      <c r="B10">
        <f>(1 + 0)/2 - G1*ABS(1-2) - G2*0</f>
        <v>0.45</v>
      </c>
      <c r="C10">
        <f>(1 + 0)/2 - G1*ABS(3-2) - G2*1</f>
        <v>0.45</v>
      </c>
      <c r="D10">
        <f>(1 + 0)/2 - G1*ABS(1-2) - G2*0</f>
        <v>0.45</v>
      </c>
      <c r="E10">
        <f>(1 + 0)/2 - G1*ABS(4-2) - G2*1</f>
        <v>0.4</v>
      </c>
    </row>
    <row r="11" spans="1:8" x14ac:dyDescent="0.35">
      <c r="A11" t="s">
        <v>9</v>
      </c>
      <c r="B11">
        <v>0</v>
      </c>
      <c r="C11">
        <f>(0 + 0.5)/2 - G1*ABS(4-2) - G2*3</f>
        <v>0.15</v>
      </c>
      <c r="D11">
        <f>(1 + 0)/2 - G1*ABS(3-2) - G2*2</f>
        <v>0.45</v>
      </c>
      <c r="E11">
        <v>0</v>
      </c>
    </row>
    <row r="12" spans="1:8" x14ac:dyDescent="0.35">
      <c r="A12" t="s">
        <v>204</v>
      </c>
      <c r="B12">
        <f>AVERAGE(B2:B11)</f>
        <v>0.18666666666666665</v>
      </c>
      <c r="C12">
        <f t="shared" ref="C12:E12" si="0">AVERAGE(C2:C11)</f>
        <v>0.47666666666666674</v>
      </c>
      <c r="D12">
        <f t="shared" si="0"/>
        <v>0.32083333333333341</v>
      </c>
      <c r="E12">
        <f t="shared" si="0"/>
        <v>0.40833333333333333</v>
      </c>
    </row>
    <row r="13" spans="1:8" x14ac:dyDescent="0.35">
      <c r="A13" t="s">
        <v>207</v>
      </c>
      <c r="B13">
        <f>_xlfn.STDEV.P(B2:B11)</f>
        <v>0.30347981810987035</v>
      </c>
      <c r="C13">
        <f t="shared" ref="C13:E13" si="1">_xlfn.STDEV.P(C2:C11)</f>
        <v>0.21476084890459476</v>
      </c>
      <c r="D13">
        <f t="shared" si="1"/>
        <v>0.19203768438049384</v>
      </c>
      <c r="E13">
        <f t="shared" si="1"/>
        <v>0.25223996511258884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A2CC-7851-40A1-9DA1-DFB43AE333DF}">
  <dimension ref="A1:E5"/>
  <sheetViews>
    <sheetView tabSelected="1" workbookViewId="0">
      <selection activeCell="Z18" sqref="Z18"/>
    </sheetView>
  </sheetViews>
  <sheetFormatPr defaultRowHeight="14.5" x14ac:dyDescent="0.35"/>
  <sheetData>
    <row r="1" spans="1:5" x14ac:dyDescent="0.35"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t="s">
        <v>208</v>
      </c>
      <c r="B2">
        <v>0.59745238095238107</v>
      </c>
      <c r="C2">
        <v>0.68111904761904762</v>
      </c>
      <c r="D2">
        <v>0.75540476190476191</v>
      </c>
      <c r="E2">
        <v>0.74654761904761902</v>
      </c>
    </row>
    <row r="3" spans="1:5" x14ac:dyDescent="0.35">
      <c r="A3" t="s">
        <v>209</v>
      </c>
      <c r="B3">
        <v>0.52375000000000005</v>
      </c>
      <c r="C3">
        <v>0.4325</v>
      </c>
      <c r="D3">
        <v>0.58291666666666653</v>
      </c>
      <c r="E3">
        <v>0.5419166666666666</v>
      </c>
    </row>
    <row r="4" spans="1:5" x14ac:dyDescent="0.35">
      <c r="A4" t="s">
        <v>210</v>
      </c>
      <c r="B4">
        <v>0.42166666666666669</v>
      </c>
      <c r="C4">
        <v>0.45466666666666666</v>
      </c>
      <c r="D4">
        <v>0.41799999999999998</v>
      </c>
      <c r="E4">
        <v>0.57833333333333337</v>
      </c>
    </row>
    <row r="5" spans="1:5" x14ac:dyDescent="0.35">
      <c r="A5" t="s">
        <v>211</v>
      </c>
      <c r="B5">
        <v>0.18666666666666665</v>
      </c>
      <c r="C5">
        <v>0.47666666666666674</v>
      </c>
      <c r="D5">
        <v>0.32083333333333341</v>
      </c>
      <c r="E5">
        <v>0.40833333333333333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Interannotator</vt:lpstr>
      <vt:lpstr>Semantic</vt:lpstr>
      <vt:lpstr>Memorable</vt:lpstr>
      <vt:lpstr>1 week</vt:lpstr>
      <vt:lpstr>2 months</vt:lpstr>
      <vt:lpstr>1 year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Garrachon Ruiz</dc:creator>
  <cp:lastModifiedBy>Alfredo Garrachon Ruiz</cp:lastModifiedBy>
  <dcterms:created xsi:type="dcterms:W3CDTF">2024-03-07T01:55:36Z</dcterms:created>
  <dcterms:modified xsi:type="dcterms:W3CDTF">2024-05-07T00:25:58Z</dcterms:modified>
</cp:coreProperties>
</file>