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namedSheetViews/namedSheetView1.xml" ContentType="application/vnd.ms-excel.namedsheetviews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drawings/drawing1.xml" ContentType="application/vnd.openxmlformats-officedocument.drawing+xml"/>
  <Override PartName="/xl/tables/table3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smc-my.sharepoint-mil.us/personal/garrett_t_barton_usmc_mil/Documents/Backups/XO/Master Tracker Bundle/Sanitized/"/>
    </mc:Choice>
  </mc:AlternateContent>
  <xr:revisionPtr revIDLastSave="309" documentId="8_{E35377AF-F6AB-4BEF-8D09-A1A1F94312BD}" xr6:coauthVersionLast="47" xr6:coauthVersionMax="47" xr10:uidLastSave="{7FCC05DF-F753-43A4-9C6C-442B5251AD86}"/>
  <bookViews>
    <workbookView xWindow="-120" yWindow="90" windowWidth="29040" windowHeight="15510" firstSheet="5" activeTab="10" xr2:uid="{00000000-000D-0000-FFFF-FFFF00000000}"/>
  </bookViews>
  <sheets>
    <sheet name="Change Tracker" sheetId="22" r:id="rId1"/>
    <sheet name="Billets" sheetId="6" r:id="rId2"/>
    <sheet name="Summaries" sheetId="20" r:id="rId3"/>
    <sheet name="Bn Level Brief Info" sheetId="54" r:id="rId4"/>
    <sheet name="Awards" sheetId="70" r:id="rId5"/>
    <sheet name="Inbound" sheetId="31" r:id="rId6"/>
    <sheet name="Outbound" sheetId="32" r:id="rId7"/>
    <sheet name="Med Appts" sheetId="63" r:id="rId8"/>
    <sheet name="PERSTAT" sheetId="46" r:id="rId9"/>
    <sheet name="Duty Status" sheetId="43" r:id="rId10"/>
    <sheet name="Recall Roster" sheetId="8" r:id="rId11"/>
    <sheet name="Whole Marine" sheetId="21" r:id="rId12"/>
    <sheet name="Hitlist" sheetId="7" r:id="rId13"/>
    <sheet name="Event_Roster_Example" sheetId="80" r:id="rId14"/>
    <sheet name="Resident PME" sheetId="34" r:id="rId15"/>
  </sheets>
  <definedNames>
    <definedName name="_xlnm._FilterDatabase" localSheetId="1" hidden="1">Billets!$A$1:$F$30</definedName>
    <definedName name="_xlnm._FilterDatabase" localSheetId="12" hidden="1">Hitlist!$A$2:$A$3</definedName>
    <definedName name="_xlnm._FilterDatabase" localSheetId="8" hidden="1">PERSTAT!$H$2:$S$81</definedName>
    <definedName name="JR_PAGE_ANCHOR_0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20" l="1"/>
  <c r="B24" i="20" a="1"/>
  <c r="B24" i="20" s="1"/>
  <c r="B25" i="20"/>
  <c r="S82" i="8"/>
  <c r="AG5" i="20" a="1"/>
  <c r="AG5" i="20" s="1"/>
  <c r="AF5" i="20" a="1"/>
  <c r="AF5" i="20" s="1"/>
  <c r="A3" i="63"/>
  <c r="A4" i="63"/>
  <c r="G4" i="63" s="1"/>
  <c r="A5" i="63"/>
  <c r="G5" i="63" s="1"/>
  <c r="A6" i="63"/>
  <c r="G6" i="63" s="1"/>
  <c r="A7" i="63"/>
  <c r="G7" i="63" s="1"/>
  <c r="A8" i="63"/>
  <c r="G8" i="63" s="1"/>
  <c r="A9" i="63"/>
  <c r="G9" i="63" s="1"/>
  <c r="A10" i="63"/>
  <c r="G10" i="63" s="1"/>
  <c r="A11" i="63"/>
  <c r="G11" i="63" s="1"/>
  <c r="A12" i="63"/>
  <c r="G12" i="63" s="1"/>
  <c r="A1" i="43"/>
  <c r="F12" i="43"/>
  <c r="F11" i="43"/>
  <c r="F10" i="43"/>
  <c r="F8" i="43"/>
  <c r="F5" i="43"/>
  <c r="T4" i="8"/>
  <c r="U4" i="8"/>
  <c r="V4" i="8"/>
  <c r="W4" i="8" s="1"/>
  <c r="V19" i="8"/>
  <c r="V21" i="8"/>
  <c r="V22" i="8"/>
  <c r="W22" i="8" s="1"/>
  <c r="V23" i="8"/>
  <c r="W23" i="8" s="1"/>
  <c r="G12" i="7"/>
  <c r="G63" i="7"/>
  <c r="C81" i="21"/>
  <c r="E3" i="34"/>
  <c r="E4" i="34"/>
  <c r="E5" i="34"/>
  <c r="E6" i="34"/>
  <c r="E7" i="34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40" i="34"/>
  <c r="E41" i="34"/>
  <c r="E42" i="34"/>
  <c r="E43" i="34"/>
  <c r="E44" i="34"/>
  <c r="E45" i="34"/>
  <c r="E46" i="34"/>
  <c r="E47" i="34"/>
  <c r="E48" i="34"/>
  <c r="E49" i="34"/>
  <c r="E50" i="34"/>
  <c r="E51" i="34"/>
  <c r="E52" i="34"/>
  <c r="E53" i="34"/>
  <c r="E54" i="34"/>
  <c r="E55" i="34"/>
  <c r="E56" i="34"/>
  <c r="E57" i="34"/>
  <c r="E58" i="34"/>
  <c r="E59" i="34"/>
  <c r="E60" i="34"/>
  <c r="E61" i="34"/>
  <c r="E62" i="34"/>
  <c r="E63" i="34"/>
  <c r="E64" i="34"/>
  <c r="E65" i="34"/>
  <c r="E66" i="34"/>
  <c r="E67" i="34"/>
  <c r="E68" i="34"/>
  <c r="E69" i="34"/>
  <c r="E70" i="34"/>
  <c r="E71" i="34"/>
  <c r="E72" i="34"/>
  <c r="E73" i="34"/>
  <c r="E74" i="34"/>
  <c r="E75" i="34"/>
  <c r="E76" i="34"/>
  <c r="E77" i="34"/>
  <c r="E78" i="34"/>
  <c r="E79" i="34"/>
  <c r="E80" i="34"/>
  <c r="E81" i="34"/>
  <c r="N4" i="80" a="1"/>
  <c r="N4" i="80" s="1"/>
  <c r="AB68" i="20"/>
  <c r="P4" i="80" a="1"/>
  <c r="P4" i="80" s="1"/>
  <c r="O4" i="80" a="1"/>
  <c r="O4" i="80" s="1"/>
  <c r="C1" i="80"/>
  <c r="K17" i="20"/>
  <c r="K29" i="20"/>
  <c r="L27" i="20"/>
  <c r="A30" i="80"/>
  <c r="A64" i="80"/>
  <c r="E74" i="7"/>
  <c r="V74" i="7"/>
  <c r="G74" i="7"/>
  <c r="C29" i="21"/>
  <c r="E29" i="21" s="1" a="1"/>
  <c r="E29" i="21" s="1"/>
  <c r="C69" i="21"/>
  <c r="E69" i="21" s="1" a="1"/>
  <c r="E69" i="21" s="1"/>
  <c r="AD5" i="20" a="1"/>
  <c r="AD5" i="20" s="1"/>
  <c r="L4" i="31"/>
  <c r="L8" i="31"/>
  <c r="L9" i="31"/>
  <c r="K4" i="31"/>
  <c r="K8" i="31"/>
  <c r="K9" i="31"/>
  <c r="J2" i="31"/>
  <c r="J3" i="31"/>
  <c r="K3" i="31" s="1"/>
  <c r="L3" i="31" s="1"/>
  <c r="J4" i="31"/>
  <c r="J5" i="31"/>
  <c r="K5" i="31" s="1"/>
  <c r="L5" i="31" s="1"/>
  <c r="J6" i="31"/>
  <c r="K6" i="31" s="1"/>
  <c r="L6" i="31" s="1"/>
  <c r="J7" i="31"/>
  <c r="K7" i="31" s="1"/>
  <c r="L7" i="31" s="1"/>
  <c r="J8" i="31"/>
  <c r="J9" i="31"/>
  <c r="V64" i="8"/>
  <c r="V19" i="7"/>
  <c r="V28" i="8"/>
  <c r="E61" i="7"/>
  <c r="V61" i="7"/>
  <c r="G61" i="7"/>
  <c r="S37" i="8"/>
  <c r="D23" i="7"/>
  <c r="E31" i="7"/>
  <c r="E23" i="7"/>
  <c r="V31" i="7"/>
  <c r="V23" i="7"/>
  <c r="G23" i="7"/>
  <c r="G31" i="7"/>
  <c r="M81" i="34"/>
  <c r="M73" i="34"/>
  <c r="M72" i="34"/>
  <c r="M70" i="34"/>
  <c r="M68" i="34"/>
  <c r="M67" i="34"/>
  <c r="M60" i="34"/>
  <c r="M58" i="34"/>
  <c r="M53" i="34"/>
  <c r="M48" i="34"/>
  <c r="M45" i="34"/>
  <c r="M42" i="34"/>
  <c r="M37" i="34"/>
  <c r="M34" i="34"/>
  <c r="M32" i="34"/>
  <c r="M30" i="34"/>
  <c r="M27" i="34"/>
  <c r="M22" i="34"/>
  <c r="M15" i="34"/>
  <c r="M12" i="34"/>
  <c r="A69" i="34"/>
  <c r="A23" i="34"/>
  <c r="A46" i="34"/>
  <c r="B3" i="34"/>
  <c r="J3" i="34" s="1" a="1"/>
  <c r="J3" i="34" s="1"/>
  <c r="B4" i="34"/>
  <c r="J4" i="34" s="1" a="1"/>
  <c r="J4" i="34" s="1"/>
  <c r="B5" i="34"/>
  <c r="J5" i="34" s="1" a="1"/>
  <c r="J5" i="34" s="1"/>
  <c r="B67" i="34"/>
  <c r="J67" i="34" s="1" a="1"/>
  <c r="J67" i="34" s="1"/>
  <c r="B22" i="34"/>
  <c r="J22" i="34" s="1" a="1"/>
  <c r="J22" i="34" s="1"/>
  <c r="B8" i="34"/>
  <c r="J8" i="34" s="1" a="1"/>
  <c r="J8" i="34" s="1"/>
  <c r="B39" i="34"/>
  <c r="J39" i="34" s="1" a="1"/>
  <c r="J39" i="34" s="1"/>
  <c r="B10" i="34"/>
  <c r="J10" i="34" s="1" a="1"/>
  <c r="J10" i="34" s="1"/>
  <c r="B11" i="34"/>
  <c r="J11" i="34" s="1" a="1"/>
  <c r="J11" i="34" s="1"/>
  <c r="B40" i="34"/>
  <c r="J40" i="34" s="1" a="1"/>
  <c r="J40" i="34" s="1"/>
  <c r="B12" i="34"/>
  <c r="J12" i="34" s="1" a="1"/>
  <c r="J12" i="34" s="1"/>
  <c r="B13" i="34"/>
  <c r="J13" i="34" s="1" a="1"/>
  <c r="J13" i="34" s="1"/>
  <c r="B41" i="34"/>
  <c r="J41" i="34" s="1" a="1"/>
  <c r="J41" i="34" s="1"/>
  <c r="B78" i="34"/>
  <c r="J78" i="34" s="1" a="1"/>
  <c r="J78" i="34" s="1"/>
  <c r="B69" i="34"/>
  <c r="J69" i="34" s="1" a="1"/>
  <c r="J69" i="34" s="1"/>
  <c r="B6" i="34"/>
  <c r="J6" i="34" s="1" a="1"/>
  <c r="J6" i="34" s="1"/>
  <c r="B23" i="34"/>
  <c r="J23" i="34" s="1" a="1"/>
  <c r="J23" i="34" s="1"/>
  <c r="B20" i="34"/>
  <c r="J20" i="34" s="1" a="1"/>
  <c r="J20" i="34" s="1"/>
  <c r="B44" i="34"/>
  <c r="J44" i="34" s="1" a="1"/>
  <c r="J44" i="34" s="1"/>
  <c r="B45" i="34"/>
  <c r="J45" i="34" s="1" a="1"/>
  <c r="J45" i="34" s="1"/>
  <c r="B24" i="34"/>
  <c r="J24" i="34" s="1" a="1"/>
  <c r="J24" i="34" s="1"/>
  <c r="B25" i="34"/>
  <c r="J25" i="34" s="1" a="1"/>
  <c r="J25" i="34" s="1"/>
  <c r="B26" i="34"/>
  <c r="J26" i="34" s="1" a="1"/>
  <c r="J26" i="34" s="1"/>
  <c r="B27" i="34"/>
  <c r="J27" i="34" s="1" a="1"/>
  <c r="J27" i="34" s="1"/>
  <c r="B28" i="34"/>
  <c r="J28" i="34" s="1" a="1"/>
  <c r="J28" i="34" s="1"/>
  <c r="B30" i="34"/>
  <c r="J30" i="34" s="1" a="1"/>
  <c r="J30" i="34" s="1"/>
  <c r="B46" i="34"/>
  <c r="J46" i="34" s="1" a="1"/>
  <c r="J46" i="34" s="1"/>
  <c r="B32" i="34"/>
  <c r="J32" i="34" s="1" a="1"/>
  <c r="J32" i="34" s="1"/>
  <c r="B71" i="34"/>
  <c r="J71" i="34" s="1" a="1"/>
  <c r="J71" i="34" s="1"/>
  <c r="B34" i="34"/>
  <c r="J34" i="34" s="1" a="1"/>
  <c r="J34" i="34" s="1"/>
  <c r="B35" i="34"/>
  <c r="J35" i="34" s="1" a="1"/>
  <c r="J35" i="34" s="1"/>
  <c r="B47" i="34"/>
  <c r="J47" i="34" s="1" a="1"/>
  <c r="J47" i="34" s="1"/>
  <c r="B37" i="34"/>
  <c r="J37" i="34" s="1" a="1"/>
  <c r="J37" i="34" s="1"/>
  <c r="B79" i="34"/>
  <c r="J79" i="34" s="1" a="1"/>
  <c r="J79" i="34" s="1"/>
  <c r="B80" i="34"/>
  <c r="J80" i="34" s="1" a="1"/>
  <c r="J80" i="34" s="1"/>
  <c r="B7" i="34"/>
  <c r="J7" i="34" s="1" a="1"/>
  <c r="J7" i="34" s="1"/>
  <c r="B52" i="34"/>
  <c r="J52" i="34" s="1" a="1"/>
  <c r="J52" i="34" s="1"/>
  <c r="B42" i="34"/>
  <c r="J42" i="34" s="1" a="1"/>
  <c r="J42" i="34" s="1"/>
  <c r="B43" i="34"/>
  <c r="J43" i="34" s="1" a="1"/>
  <c r="J43" i="34" s="1"/>
  <c r="B9" i="34"/>
  <c r="J9" i="34" s="1" a="1"/>
  <c r="J9" i="34" s="1"/>
  <c r="B54" i="34"/>
  <c r="J54" i="34" s="1" a="1"/>
  <c r="J54" i="34" s="1"/>
  <c r="B48" i="34"/>
  <c r="J48" i="34" s="1" a="1"/>
  <c r="J48" i="34" s="1"/>
  <c r="B49" i="34"/>
  <c r="J49" i="34" s="1" a="1"/>
  <c r="J49" i="34" s="1"/>
  <c r="B50" i="34"/>
  <c r="J50" i="34" s="1" a="1"/>
  <c r="J50" i="34" s="1"/>
  <c r="B51" i="34"/>
  <c r="J51" i="34" s="1" a="1"/>
  <c r="J51" i="34" s="1"/>
  <c r="B14" i="34"/>
  <c r="J14" i="34" s="1" a="1"/>
  <c r="J14" i="34" s="1"/>
  <c r="B53" i="34"/>
  <c r="J53" i="34" s="1" a="1"/>
  <c r="J53" i="34" s="1"/>
  <c r="B81" i="34"/>
  <c r="J81" i="34" s="1" a="1"/>
  <c r="J81" i="34" s="1"/>
  <c r="B29" i="34"/>
  <c r="J29" i="34" s="1" a="1"/>
  <c r="J29" i="34" s="1"/>
  <c r="B55" i="34"/>
  <c r="J55" i="34" s="1" a="1"/>
  <c r="J55" i="34" s="1"/>
  <c r="B15" i="34"/>
  <c r="J15" i="34" s="1" a="1"/>
  <c r="J15" i="34" s="1"/>
  <c r="B58" i="34"/>
  <c r="J58" i="34" s="1" a="1"/>
  <c r="J58" i="34" s="1"/>
  <c r="B60" i="34"/>
  <c r="J60" i="34" s="1" a="1"/>
  <c r="J60" i="34" s="1"/>
  <c r="B61" i="34"/>
  <c r="J61" i="34" s="1" a="1"/>
  <c r="J61" i="34" s="1"/>
  <c r="B62" i="34"/>
  <c r="J62" i="34" s="1" a="1"/>
  <c r="J62" i="34" s="1"/>
  <c r="B63" i="34"/>
  <c r="J63" i="34" s="1" a="1"/>
  <c r="J63" i="34" s="1"/>
  <c r="B64" i="34"/>
  <c r="J64" i="34" s="1" a="1"/>
  <c r="J64" i="34" s="1"/>
  <c r="B56" i="34"/>
  <c r="J56" i="34" s="1" a="1"/>
  <c r="J56" i="34" s="1"/>
  <c r="B31" i="34"/>
  <c r="J31" i="34" s="1" a="1"/>
  <c r="J31" i="34" s="1"/>
  <c r="B68" i="34"/>
  <c r="J68" i="34" s="1" a="1"/>
  <c r="J68" i="34" s="1"/>
  <c r="B72" i="34"/>
  <c r="J72" i="34" s="1" a="1"/>
  <c r="J72" i="34" s="1"/>
  <c r="B70" i="34"/>
  <c r="J70" i="34" s="1" a="1"/>
  <c r="J70" i="34" s="1"/>
  <c r="B16" i="34"/>
  <c r="J16" i="34" s="1" a="1"/>
  <c r="J16" i="34" s="1"/>
  <c r="B73" i="34"/>
  <c r="J73" i="34" s="1" a="1"/>
  <c r="J73" i="34" s="1"/>
  <c r="B74" i="34"/>
  <c r="J74" i="34" s="1" a="1"/>
  <c r="J74" i="34" s="1"/>
  <c r="B75" i="34"/>
  <c r="J75" i="34" s="1" a="1"/>
  <c r="J75" i="34" s="1"/>
  <c r="B76" i="34"/>
  <c r="J76" i="34" s="1" a="1"/>
  <c r="J76" i="34" s="1"/>
  <c r="B77" i="34"/>
  <c r="J77" i="34" s="1" a="1"/>
  <c r="J77" i="34" s="1"/>
  <c r="B33" i="34"/>
  <c r="J33" i="34" s="1" a="1"/>
  <c r="J33" i="34" s="1"/>
  <c r="B36" i="34"/>
  <c r="J36" i="34" s="1" a="1"/>
  <c r="J36" i="34" s="1"/>
  <c r="B17" i="34"/>
  <c r="J17" i="34" s="1" a="1"/>
  <c r="J17" i="34" s="1"/>
  <c r="B57" i="34"/>
  <c r="J57" i="34" s="1" a="1"/>
  <c r="J57" i="34" s="1"/>
  <c r="B18" i="34"/>
  <c r="J18" i="34" s="1" a="1"/>
  <c r="J18" i="34" s="1"/>
  <c r="B38" i="34"/>
  <c r="J38" i="34" s="1" a="1"/>
  <c r="J38" i="34" s="1"/>
  <c r="B59" i="34"/>
  <c r="J59" i="34" s="1" a="1"/>
  <c r="J59" i="34" s="1"/>
  <c r="B65" i="34"/>
  <c r="J65" i="34" s="1" a="1"/>
  <c r="J65" i="34" s="1"/>
  <c r="B66" i="34"/>
  <c r="D66" i="34" s="1"/>
  <c r="B19" i="34"/>
  <c r="J19" i="34" s="1" a="1"/>
  <c r="J19" i="34" s="1"/>
  <c r="B21" i="34"/>
  <c r="J21" i="34" s="1" a="1"/>
  <c r="J21" i="34" s="1"/>
  <c r="V66" i="8"/>
  <c r="I77" i="20" a="1"/>
  <c r="I77" i="20" s="1"/>
  <c r="J77" i="20" s="1"/>
  <c r="AG3" i="20"/>
  <c r="AF3" i="20"/>
  <c r="AE3" i="20"/>
  <c r="AD3" i="20"/>
  <c r="AC3" i="20"/>
  <c r="AE5" i="20" a="1"/>
  <c r="AE5" i="20" s="1"/>
  <c r="V1" i="46"/>
  <c r="A29" i="21"/>
  <c r="B31" i="20"/>
  <c r="V68" i="8"/>
  <c r="D13" i="46"/>
  <c r="D43" i="20"/>
  <c r="D39" i="20"/>
  <c r="D37" i="20"/>
  <c r="D29" i="7"/>
  <c r="A29" i="7"/>
  <c r="V29" i="7"/>
  <c r="E29" i="7"/>
  <c r="B29" i="7"/>
  <c r="G29" i="7"/>
  <c r="P76" i="20" a="1"/>
  <c r="P76" i="20" s="1"/>
  <c r="P75" i="20" s="1"/>
  <c r="D77" i="7"/>
  <c r="L77" i="20" a="1"/>
  <c r="L77" i="20" s="1"/>
  <c r="M76" i="20" s="1"/>
  <c r="V62" i="8"/>
  <c r="S20" i="8"/>
  <c r="V41" i="8"/>
  <c r="AB62" i="20"/>
  <c r="E5" i="7"/>
  <c r="V5" i="7"/>
  <c r="G5" i="7"/>
  <c r="B32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8" i="20"/>
  <c r="F249" i="20"/>
  <c r="F250" i="20"/>
  <c r="F251" i="20"/>
  <c r="F252" i="20"/>
  <c r="F253" i="20"/>
  <c r="F254" i="20"/>
  <c r="F255" i="20"/>
  <c r="F256" i="20"/>
  <c r="F257" i="20"/>
  <c r="F258" i="20"/>
  <c r="F259" i="20"/>
  <c r="F260" i="20"/>
  <c r="F261" i="20"/>
  <c r="F262" i="20"/>
  <c r="F263" i="20"/>
  <c r="F264" i="20"/>
  <c r="F265" i="20"/>
  <c r="F266" i="20"/>
  <c r="F267" i="20"/>
  <c r="F268" i="20"/>
  <c r="F269" i="20"/>
  <c r="F270" i="20"/>
  <c r="F271" i="20"/>
  <c r="F272" i="20"/>
  <c r="F273" i="20"/>
  <c r="F274" i="20"/>
  <c r="F275" i="20"/>
  <c r="F276" i="20"/>
  <c r="F277" i="20"/>
  <c r="F278" i="20"/>
  <c r="F279" i="20"/>
  <c r="F280" i="20"/>
  <c r="F281" i="20"/>
  <c r="F282" i="20"/>
  <c r="F283" i="20"/>
  <c r="F284" i="20"/>
  <c r="F285" i="20"/>
  <c r="F286" i="20"/>
  <c r="F287" i="20"/>
  <c r="F288" i="20"/>
  <c r="F289" i="20"/>
  <c r="F290" i="20"/>
  <c r="F291" i="20"/>
  <c r="F292" i="20"/>
  <c r="F293" i="20"/>
  <c r="F294" i="20"/>
  <c r="F295" i="20"/>
  <c r="F296" i="20"/>
  <c r="F297" i="20"/>
  <c r="F298" i="20"/>
  <c r="F299" i="20"/>
  <c r="F300" i="20"/>
  <c r="F301" i="20"/>
  <c r="F302" i="20"/>
  <c r="F303" i="20"/>
  <c r="F304" i="20"/>
  <c r="F305" i="20"/>
  <c r="F306" i="20"/>
  <c r="F307" i="20"/>
  <c r="F308" i="20"/>
  <c r="F309" i="20"/>
  <c r="F310" i="20"/>
  <c r="F311" i="20"/>
  <c r="F312" i="20"/>
  <c r="F313" i="20"/>
  <c r="F314" i="20"/>
  <c r="F315" i="20"/>
  <c r="F316" i="20"/>
  <c r="F317" i="20"/>
  <c r="F318" i="20"/>
  <c r="F319" i="20"/>
  <c r="F320" i="20"/>
  <c r="F321" i="20"/>
  <c r="F322" i="20"/>
  <c r="F323" i="20"/>
  <c r="F324" i="20"/>
  <c r="F325" i="20"/>
  <c r="F326" i="20"/>
  <c r="F327" i="20"/>
  <c r="F328" i="20"/>
  <c r="F329" i="20"/>
  <c r="F330" i="20"/>
  <c r="F331" i="20"/>
  <c r="F332" i="20"/>
  <c r="F333" i="20"/>
  <c r="F334" i="20"/>
  <c r="F335" i="20"/>
  <c r="F336" i="20"/>
  <c r="F337" i="20"/>
  <c r="F338" i="20"/>
  <c r="F339" i="20"/>
  <c r="F340" i="20"/>
  <c r="F341" i="20"/>
  <c r="F342" i="20"/>
  <c r="F343" i="20"/>
  <c r="F344" i="20"/>
  <c r="F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225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D267" i="20"/>
  <c r="D268" i="20"/>
  <c r="D269" i="20"/>
  <c r="D270" i="20"/>
  <c r="D271" i="20"/>
  <c r="D272" i="20"/>
  <c r="D273" i="20"/>
  <c r="D274" i="20"/>
  <c r="D275" i="20"/>
  <c r="D276" i="20"/>
  <c r="D277" i="20"/>
  <c r="D278" i="20"/>
  <c r="D279" i="20"/>
  <c r="D280" i="20"/>
  <c r="D281" i="20"/>
  <c r="D282" i="20"/>
  <c r="D283" i="20"/>
  <c r="D284" i="20"/>
  <c r="D285" i="20"/>
  <c r="D286" i="20"/>
  <c r="D287" i="20"/>
  <c r="D288" i="20"/>
  <c r="D289" i="20"/>
  <c r="D290" i="20"/>
  <c r="D291" i="20"/>
  <c r="D292" i="20"/>
  <c r="D293" i="20"/>
  <c r="D294" i="20"/>
  <c r="D295" i="20"/>
  <c r="D296" i="20"/>
  <c r="D297" i="20"/>
  <c r="D298" i="20"/>
  <c r="D299" i="20"/>
  <c r="D300" i="20"/>
  <c r="D301" i="20"/>
  <c r="D302" i="20"/>
  <c r="D303" i="20"/>
  <c r="D304" i="20"/>
  <c r="D305" i="20"/>
  <c r="D306" i="20"/>
  <c r="D307" i="20"/>
  <c r="D308" i="20"/>
  <c r="D309" i="20"/>
  <c r="D310" i="20"/>
  <c r="D311" i="20"/>
  <c r="D312" i="20"/>
  <c r="D313" i="20"/>
  <c r="D314" i="20"/>
  <c r="D315" i="20"/>
  <c r="D316" i="20"/>
  <c r="D317" i="20"/>
  <c r="D318" i="20"/>
  <c r="D319" i="20"/>
  <c r="D320" i="20"/>
  <c r="D321" i="20"/>
  <c r="D322" i="20"/>
  <c r="D323" i="20"/>
  <c r="D324" i="20"/>
  <c r="D325" i="20"/>
  <c r="D326" i="20"/>
  <c r="D327" i="20"/>
  <c r="D328" i="20"/>
  <c r="D329" i="20"/>
  <c r="D330" i="20"/>
  <c r="D331" i="20"/>
  <c r="D332" i="20"/>
  <c r="D333" i="20"/>
  <c r="D334" i="20"/>
  <c r="D335" i="20"/>
  <c r="D336" i="20"/>
  <c r="D337" i="20"/>
  <c r="D338" i="20"/>
  <c r="D339" i="20"/>
  <c r="D340" i="20"/>
  <c r="D341" i="20"/>
  <c r="D342" i="20"/>
  <c r="AB63" i="20"/>
  <c r="AB61" i="20"/>
  <c r="AB58" i="20"/>
  <c r="AB57" i="20"/>
  <c r="AB55" i="20"/>
  <c r="AB54" i="20"/>
  <c r="E69" i="7"/>
  <c r="V69" i="7"/>
  <c r="G69" i="7"/>
  <c r="J22" i="20"/>
  <c r="L22" i="20" s="1"/>
  <c r="V46" i="8"/>
  <c r="U22" i="8"/>
  <c r="U23" i="8"/>
  <c r="U42" i="8"/>
  <c r="T22" i="8"/>
  <c r="T23" i="8"/>
  <c r="T42" i="8"/>
  <c r="S22" i="8"/>
  <c r="S23" i="8"/>
  <c r="S42" i="8"/>
  <c r="E77" i="7"/>
  <c r="V77" i="7"/>
  <c r="G77" i="7"/>
  <c r="V63" i="7"/>
  <c r="E63" i="7"/>
  <c r="B18" i="20"/>
  <c r="G70" i="7"/>
  <c r="V33" i="8"/>
  <c r="V12" i="8"/>
  <c r="V32" i="8"/>
  <c r="V49" i="8"/>
  <c r="V51" i="8"/>
  <c r="V56" i="8"/>
  <c r="V59" i="8"/>
  <c r="V63" i="8"/>
  <c r="V65" i="8"/>
  <c r="V69" i="8"/>
  <c r="V79" i="8"/>
  <c r="V7" i="8"/>
  <c r="V24" i="8"/>
  <c r="V29" i="8"/>
  <c r="V30" i="8"/>
  <c r="V31" i="8"/>
  <c r="V34" i="8"/>
  <c r="V55" i="8"/>
  <c r="V61" i="8"/>
  <c r="V71" i="8"/>
  <c r="V74" i="8"/>
  <c r="V77" i="8"/>
  <c r="V3" i="8"/>
  <c r="V8" i="8"/>
  <c r="V9" i="8"/>
  <c r="V13" i="8"/>
  <c r="V14" i="8"/>
  <c r="V15" i="8"/>
  <c r="V16" i="8"/>
  <c r="V26" i="8"/>
  <c r="V48" i="8"/>
  <c r="V53" i="8"/>
  <c r="V54" i="8"/>
  <c r="V67" i="8"/>
  <c r="V72" i="8"/>
  <c r="V81" i="8"/>
  <c r="V6" i="8"/>
  <c r="V27" i="8"/>
  <c r="V36" i="8"/>
  <c r="V76" i="8"/>
  <c r="V18" i="8"/>
  <c r="V40" i="8"/>
  <c r="V44" i="8"/>
  <c r="V45" i="8"/>
  <c r="V47" i="8"/>
  <c r="V60" i="8"/>
  <c r="V73" i="8"/>
  <c r="V5" i="8"/>
  <c r="V17" i="8"/>
  <c r="V25" i="8"/>
  <c r="V35" i="8"/>
  <c r="V43" i="8"/>
  <c r="V52" i="8"/>
  <c r="V70" i="8"/>
  <c r="V75" i="8"/>
  <c r="V78" i="8"/>
  <c r="V10" i="8"/>
  <c r="V58" i="8"/>
  <c r="V80" i="8"/>
  <c r="V11" i="8"/>
  <c r="H54" i="46"/>
  <c r="H3" i="46"/>
  <c r="H4" i="46"/>
  <c r="H5" i="46"/>
  <c r="H6" i="46"/>
  <c r="H7" i="46"/>
  <c r="H8" i="46"/>
  <c r="H9" i="46"/>
  <c r="H10" i="46"/>
  <c r="H11" i="46"/>
  <c r="H12" i="46"/>
  <c r="H13" i="46"/>
  <c r="H14" i="46"/>
  <c r="H15" i="46"/>
  <c r="H16" i="46"/>
  <c r="H17" i="46"/>
  <c r="H18" i="46"/>
  <c r="H19" i="46"/>
  <c r="H20" i="46"/>
  <c r="H21" i="46"/>
  <c r="H22" i="46"/>
  <c r="H23" i="46"/>
  <c r="H24" i="46"/>
  <c r="H25" i="46"/>
  <c r="H26" i="46"/>
  <c r="H27" i="46"/>
  <c r="H28" i="46"/>
  <c r="H29" i="46"/>
  <c r="H30" i="46"/>
  <c r="H31" i="46"/>
  <c r="H32" i="46"/>
  <c r="H33" i="46"/>
  <c r="H34" i="46"/>
  <c r="H35" i="46"/>
  <c r="H36" i="46"/>
  <c r="H37" i="46"/>
  <c r="H38" i="46"/>
  <c r="H39" i="46"/>
  <c r="H40" i="46"/>
  <c r="H41" i="46"/>
  <c r="H42" i="46"/>
  <c r="H43" i="46"/>
  <c r="H44" i="46"/>
  <c r="H45" i="46"/>
  <c r="H46" i="46"/>
  <c r="H47" i="46"/>
  <c r="H48" i="46"/>
  <c r="H49" i="46"/>
  <c r="H50" i="46"/>
  <c r="H51" i="46"/>
  <c r="H52" i="46"/>
  <c r="H53" i="46"/>
  <c r="H55" i="46"/>
  <c r="H56" i="46"/>
  <c r="H57" i="46"/>
  <c r="H58" i="46"/>
  <c r="H59" i="46"/>
  <c r="H60" i="46"/>
  <c r="H61" i="46"/>
  <c r="H62" i="46"/>
  <c r="H63" i="46"/>
  <c r="H64" i="46"/>
  <c r="H65" i="46"/>
  <c r="H66" i="46"/>
  <c r="H67" i="46"/>
  <c r="H68" i="46"/>
  <c r="H69" i="46"/>
  <c r="H70" i="46"/>
  <c r="H71" i="46"/>
  <c r="H72" i="46"/>
  <c r="H73" i="46"/>
  <c r="H74" i="46"/>
  <c r="H75" i="46"/>
  <c r="H76" i="46"/>
  <c r="H77" i="46"/>
  <c r="H78" i="46"/>
  <c r="H79" i="46"/>
  <c r="H80" i="46"/>
  <c r="H81" i="46"/>
  <c r="E11" i="7"/>
  <c r="V11" i="7"/>
  <c r="G11" i="7"/>
  <c r="V48" i="7"/>
  <c r="A62" i="21"/>
  <c r="E18" i="7"/>
  <c r="V18" i="7"/>
  <c r="G18" i="7"/>
  <c r="V46" i="7"/>
  <c r="E46" i="7"/>
  <c r="G46" i="7"/>
  <c r="E62" i="7"/>
  <c r="V62" i="7"/>
  <c r="G62" i="7"/>
  <c r="V36" i="7"/>
  <c r="V49" i="7"/>
  <c r="E49" i="7"/>
  <c r="G49" i="7"/>
  <c r="G4" i="7"/>
  <c r="J26" i="20"/>
  <c r="L26" i="20" s="1"/>
  <c r="J25" i="20"/>
  <c r="L25" i="20" s="1"/>
  <c r="E79" i="7"/>
  <c r="V79" i="7"/>
  <c r="G79" i="7"/>
  <c r="E60" i="7"/>
  <c r="V60" i="7"/>
  <c r="G60" i="7"/>
  <c r="E70" i="7"/>
  <c r="V70" i="7"/>
  <c r="J20" i="20"/>
  <c r="L20" i="20" s="1"/>
  <c r="V42" i="7"/>
  <c r="E42" i="7"/>
  <c r="K28" i="20"/>
  <c r="L16" i="20"/>
  <c r="L18" i="20"/>
  <c r="L15" i="20"/>
  <c r="A81" i="21"/>
  <c r="E22" i="7"/>
  <c r="V22" i="7"/>
  <c r="G22" i="7"/>
  <c r="G48" i="7"/>
  <c r="G35" i="7"/>
  <c r="K5" i="54"/>
  <c r="F90" i="20"/>
  <c r="F88" i="20"/>
  <c r="F89" i="20"/>
  <c r="J5" i="54"/>
  <c r="P1" i="43"/>
  <c r="J1" i="43"/>
  <c r="V35" i="7"/>
  <c r="E48" i="7"/>
  <c r="E35" i="7"/>
  <c r="V58" i="7"/>
  <c r="E58" i="7"/>
  <c r="G58" i="7"/>
  <c r="E25" i="7"/>
  <c r="J29" i="20"/>
  <c r="E32" i="7"/>
  <c r="V32" i="7"/>
  <c r="G32" i="7"/>
  <c r="E6" i="7"/>
  <c r="V6" i="7"/>
  <c r="G6" i="7"/>
  <c r="V67" i="7"/>
  <c r="E67" i="7"/>
  <c r="G67" i="7"/>
  <c r="E12" i="7"/>
  <c r="V12" i="7"/>
  <c r="AB5" i="54"/>
  <c r="AA5" i="54"/>
  <c r="Z5" i="54"/>
  <c r="O5" i="54"/>
  <c r="G5" i="54"/>
  <c r="B5" i="54"/>
  <c r="C5" i="54"/>
  <c r="G42" i="7"/>
  <c r="G17" i="7"/>
  <c r="E17" i="7"/>
  <c r="V17" i="7"/>
  <c r="V40" i="7"/>
  <c r="E40" i="7"/>
  <c r="E51" i="7"/>
  <c r="E3" i="7"/>
  <c r="V51" i="7"/>
  <c r="V3" i="7"/>
  <c r="E59" i="7"/>
  <c r="V59" i="7"/>
  <c r="G59" i="7"/>
  <c r="E75" i="46"/>
  <c r="E76" i="46"/>
  <c r="E77" i="46"/>
  <c r="E78" i="46"/>
  <c r="E79" i="46"/>
  <c r="E80" i="46"/>
  <c r="E81" i="46"/>
  <c r="E82" i="46"/>
  <c r="E83" i="46"/>
  <c r="E84" i="46"/>
  <c r="E85" i="46"/>
  <c r="E86" i="46"/>
  <c r="E74" i="46"/>
  <c r="G3" i="7"/>
  <c r="G51" i="7"/>
  <c r="E73" i="7"/>
  <c r="V73" i="7"/>
  <c r="G73" i="7"/>
  <c r="B90" i="8" a="1"/>
  <c r="B90" i="8" s="1"/>
  <c r="G40" i="7"/>
  <c r="G20" i="7"/>
  <c r="E47" i="7"/>
  <c r="E20" i="7"/>
  <c r="V47" i="7"/>
  <c r="V20" i="7"/>
  <c r="G47" i="7"/>
  <c r="E44" i="7"/>
  <c r="V44" i="7"/>
  <c r="G44" i="7"/>
  <c r="G30" i="7"/>
  <c r="E30" i="7"/>
  <c r="V30" i="7"/>
  <c r="V56" i="7"/>
  <c r="E56" i="7"/>
  <c r="G56" i="7"/>
  <c r="V66" i="7"/>
  <c r="E66" i="7"/>
  <c r="G66" i="7"/>
  <c r="E36" i="7"/>
  <c r="J15" i="20"/>
  <c r="J17" i="20"/>
  <c r="J18" i="20"/>
  <c r="J19" i="20"/>
  <c r="L19" i="20" s="1"/>
  <c r="J21" i="20"/>
  <c r="L21" i="20" s="1"/>
  <c r="D1" i="46"/>
  <c r="B1" i="46" s="1"/>
  <c r="E1" i="46"/>
  <c r="J28" i="20"/>
  <c r="J27" i="20"/>
  <c r="J24" i="20"/>
  <c r="L24" i="20" s="1"/>
  <c r="J23" i="20"/>
  <c r="L23" i="20" s="1"/>
  <c r="E28" i="7"/>
  <c r="E53" i="7"/>
  <c r="E54" i="7"/>
  <c r="E4" i="7"/>
  <c r="E55" i="7"/>
  <c r="E57" i="7"/>
  <c r="E80" i="7"/>
  <c r="E33" i="7"/>
  <c r="E34" i="7"/>
  <c r="E7" i="7"/>
  <c r="E64" i="7"/>
  <c r="E65" i="7"/>
  <c r="E8" i="7"/>
  <c r="E9" i="7"/>
  <c r="E37" i="7"/>
  <c r="E10" i="7"/>
  <c r="E68" i="7"/>
  <c r="E38" i="7"/>
  <c r="E13" i="7"/>
  <c r="E14" i="7"/>
  <c r="E15" i="7"/>
  <c r="E16" i="7"/>
  <c r="E39" i="7"/>
  <c r="E71" i="7"/>
  <c r="E41" i="7"/>
  <c r="E72" i="7"/>
  <c r="E19" i="7"/>
  <c r="E43" i="7"/>
  <c r="E45" i="7"/>
  <c r="E75" i="7"/>
  <c r="E21" i="7"/>
  <c r="E76" i="7"/>
  <c r="E50" i="7"/>
  <c r="E52" i="7"/>
  <c r="E78" i="7"/>
  <c r="E24" i="7"/>
  <c r="E26" i="7"/>
  <c r="E27" i="7"/>
  <c r="E81" i="7"/>
  <c r="G81" i="7"/>
  <c r="G28" i="7"/>
  <c r="G53" i="7"/>
  <c r="G54" i="7"/>
  <c r="G57" i="7"/>
  <c r="G80" i="7"/>
  <c r="G33" i="7"/>
  <c r="G34" i="7"/>
  <c r="G36" i="7"/>
  <c r="G7" i="7"/>
  <c r="G65" i="7"/>
  <c r="G8" i="7"/>
  <c r="G9" i="7"/>
  <c r="G37" i="7"/>
  <c r="G10" i="7"/>
  <c r="G68" i="7"/>
  <c r="G38" i="7"/>
  <c r="G13" i="7"/>
  <c r="G14" i="7"/>
  <c r="G15" i="7"/>
  <c r="G16" i="7"/>
  <c r="G39" i="7"/>
  <c r="G71" i="7"/>
  <c r="G72" i="7"/>
  <c r="G19" i="7"/>
  <c r="G43" i="7"/>
  <c r="G45" i="7"/>
  <c r="G75" i="7"/>
  <c r="G21" i="7"/>
  <c r="G76" i="7"/>
  <c r="G50" i="7"/>
  <c r="G52" i="7"/>
  <c r="G24" i="7"/>
  <c r="G25" i="7"/>
  <c r="G26" i="7"/>
  <c r="C8" i="46"/>
  <c r="C7" i="46"/>
  <c r="C9" i="46"/>
  <c r="A37" i="80"/>
  <c r="AB162" i="8" a="1"/>
  <c r="AB162" i="8" s="1"/>
  <c r="B81" i="21"/>
  <c r="V68" i="7"/>
  <c r="V54" i="7"/>
  <c r="D34" i="46" a="1"/>
  <c r="D34" i="46" s="1"/>
  <c r="D33" i="46" a="1"/>
  <c r="D33" i="46" s="1"/>
  <c r="D32" i="46" a="1"/>
  <c r="D32" i="46" s="1"/>
  <c r="D31" i="46" a="1"/>
  <c r="D31" i="46" s="1"/>
  <c r="D30" i="46" a="1"/>
  <c r="D30" i="46" s="1"/>
  <c r="V38" i="7"/>
  <c r="V45" i="7"/>
  <c r="D26" i="46"/>
  <c r="B49" i="46"/>
  <c r="B38" i="46"/>
  <c r="D10" i="46"/>
  <c r="D6" i="46"/>
  <c r="H5" i="54" s="1"/>
  <c r="E60" i="46"/>
  <c r="E61" i="46"/>
  <c r="E62" i="46"/>
  <c r="E63" i="46"/>
  <c r="E64" i="46"/>
  <c r="E65" i="46"/>
  <c r="E66" i="46"/>
  <c r="E67" i="46"/>
  <c r="E68" i="46"/>
  <c r="E69" i="46"/>
  <c r="E70" i="46"/>
  <c r="E71" i="46"/>
  <c r="E59" i="46"/>
  <c r="B64" i="46"/>
  <c r="B65" i="46"/>
  <c r="B66" i="46"/>
  <c r="B67" i="46"/>
  <c r="B68" i="46"/>
  <c r="B69" i="46"/>
  <c r="B70" i="46"/>
  <c r="B71" i="46"/>
  <c r="B63" i="46"/>
  <c r="B59" i="46"/>
  <c r="B60" i="46"/>
  <c r="B61" i="46"/>
  <c r="B62" i="46"/>
  <c r="E52" i="46"/>
  <c r="E53" i="46"/>
  <c r="E54" i="46"/>
  <c r="E51" i="46"/>
  <c r="B52" i="46"/>
  <c r="B53" i="46"/>
  <c r="B54" i="46"/>
  <c r="B51" i="46"/>
  <c r="E39" i="46"/>
  <c r="E40" i="46"/>
  <c r="E41" i="46"/>
  <c r="E42" i="46"/>
  <c r="E43" i="46"/>
  <c r="E44" i="46"/>
  <c r="E45" i="46"/>
  <c r="E46" i="46"/>
  <c r="E38" i="46"/>
  <c r="B46" i="46"/>
  <c r="B45" i="46"/>
  <c r="B44" i="46"/>
  <c r="B43" i="46"/>
  <c r="B42" i="46"/>
  <c r="B41" i="46"/>
  <c r="B40" i="46"/>
  <c r="B39" i="46"/>
  <c r="V81" i="7"/>
  <c r="V28" i="7"/>
  <c r="V53" i="7"/>
  <c r="V4" i="7"/>
  <c r="V55" i="7"/>
  <c r="V57" i="7"/>
  <c r="V80" i="7"/>
  <c r="V33" i="7"/>
  <c r="V34" i="7"/>
  <c r="V7" i="7"/>
  <c r="V64" i="7"/>
  <c r="V65" i="7"/>
  <c r="V8" i="7"/>
  <c r="V9" i="7"/>
  <c r="V37" i="7"/>
  <c r="V10" i="7"/>
  <c r="V13" i="7"/>
  <c r="V14" i="7"/>
  <c r="V15" i="7"/>
  <c r="V16" i="7"/>
  <c r="V39" i="7"/>
  <c r="V71" i="7"/>
  <c r="V41" i="7"/>
  <c r="V72" i="7"/>
  <c r="V43" i="7"/>
  <c r="V75" i="7"/>
  <c r="V21" i="7"/>
  <c r="V76" i="7"/>
  <c r="V50" i="7"/>
  <c r="V52" i="7"/>
  <c r="V78" i="7"/>
  <c r="V25" i="7"/>
  <c r="V26" i="7"/>
  <c r="V27" i="7"/>
  <c r="J33" i="22"/>
  <c r="J34" i="22"/>
  <c r="B21" i="20"/>
  <c r="B20" i="20"/>
  <c r="J2" i="22"/>
  <c r="J1" i="22"/>
  <c r="B19" i="20"/>
  <c r="G70" i="34" l="1" a="1"/>
  <c r="G70" i="34" s="1"/>
  <c r="H69" i="21" a="1"/>
  <c r="H69" i="21" s="1"/>
  <c r="G69" i="21" a="1"/>
  <c r="G69" i="21" s="1"/>
  <c r="D74" i="34"/>
  <c r="D37" i="34"/>
  <c r="G81" i="34" a="1"/>
  <c r="G81" i="34" s="1"/>
  <c r="D70" i="34"/>
  <c r="D58" i="34"/>
  <c r="D71" i="34"/>
  <c r="G50" i="34" a="1"/>
  <c r="G50" i="34" s="1"/>
  <c r="G71" i="34" a="1"/>
  <c r="G71" i="34" s="1"/>
  <c r="L17" i="20"/>
  <c r="D79" i="34"/>
  <c r="D25" i="34"/>
  <c r="G13" i="34" a="1"/>
  <c r="G13" i="34" s="1"/>
  <c r="D69" i="34"/>
  <c r="D7" i="34"/>
  <c r="G53" i="34" a="1"/>
  <c r="G53" i="34" s="1"/>
  <c r="G7" i="34" a="1"/>
  <c r="G7" i="34" s="1"/>
  <c r="D77" i="34"/>
  <c r="D78" i="34"/>
  <c r="G28" i="34" a="1"/>
  <c r="G28" i="34" s="1"/>
  <c r="D41" i="34"/>
  <c r="G33" i="34" a="1"/>
  <c r="G33" i="34" s="1"/>
  <c r="G26" i="34" a="1"/>
  <c r="G26" i="34" s="1"/>
  <c r="D13" i="34"/>
  <c r="G77" i="34" a="1"/>
  <c r="G77" i="34" s="1"/>
  <c r="G25" i="34" a="1"/>
  <c r="G25" i="34" s="1"/>
  <c r="D81" i="34"/>
  <c r="D5" i="34"/>
  <c r="G76" i="34" a="1"/>
  <c r="G76" i="34" s="1"/>
  <c r="G69" i="34" a="1"/>
  <c r="G69" i="34" s="1"/>
  <c r="D53" i="34"/>
  <c r="G75" i="34" a="1"/>
  <c r="G75" i="34" s="1"/>
  <c r="G78" i="34" a="1"/>
  <c r="G78" i="34" s="1"/>
  <c r="D50" i="34"/>
  <c r="G51" i="34" a="1"/>
  <c r="G51" i="34" s="1"/>
  <c r="D51" i="34"/>
  <c r="D75" i="34"/>
  <c r="D52" i="34"/>
  <c r="G43" i="34" a="1"/>
  <c r="G43" i="34" s="1"/>
  <c r="G41" i="34" a="1"/>
  <c r="G41" i="34" s="1"/>
  <c r="D8" i="34"/>
  <c r="G52" i="34" a="1"/>
  <c r="G52" i="34" s="1"/>
  <c r="D67" i="34"/>
  <c r="G67" i="34" a="1"/>
  <c r="G67" i="34" s="1"/>
  <c r="G79" i="34" a="1"/>
  <c r="G79" i="34" s="1"/>
  <c r="G5" i="34" a="1"/>
  <c r="G5" i="34" s="1"/>
  <c r="D56" i="34"/>
  <c r="D4" i="34"/>
  <c r="G56" i="34" a="1"/>
  <c r="G56" i="34" s="1"/>
  <c r="G37" i="34" a="1"/>
  <c r="G37" i="34" s="1"/>
  <c r="G3" i="34" a="1"/>
  <c r="G3" i="34" s="1"/>
  <c r="D63" i="34"/>
  <c r="D3" i="34"/>
  <c r="G63" i="34" a="1"/>
  <c r="G63" i="34" s="1"/>
  <c r="D62" i="34"/>
  <c r="D28" i="34"/>
  <c r="G62" i="34" a="1"/>
  <c r="G62" i="34" s="1"/>
  <c r="D26" i="34"/>
  <c r="D16" i="34"/>
  <c r="D48" i="34"/>
  <c r="G16" i="34" a="1"/>
  <c r="G16" i="34" s="1"/>
  <c r="G48" i="34" a="1"/>
  <c r="G48" i="34" s="1"/>
  <c r="G72" i="34" a="1"/>
  <c r="G72" i="34" s="1"/>
  <c r="D60" i="34"/>
  <c r="D35" i="34"/>
  <c r="D40" i="34"/>
  <c r="D15" i="34"/>
  <c r="D32" i="34"/>
  <c r="G40" i="34" a="1"/>
  <c r="G40" i="34" s="1"/>
  <c r="G60" i="34" a="1"/>
  <c r="G60" i="34" s="1"/>
  <c r="G35" i="34" a="1"/>
  <c r="G35" i="34" s="1"/>
  <c r="F69" i="21" a="1"/>
  <c r="F69" i="21" s="1"/>
  <c r="A72" i="34"/>
  <c r="L28" i="20"/>
  <c r="G23" i="34" a="1"/>
  <c r="G23" i="34" s="1"/>
  <c r="D14" i="34"/>
  <c r="D10" i="34"/>
  <c r="G58" i="34" a="1"/>
  <c r="G58" i="34" s="1"/>
  <c r="D38" i="34"/>
  <c r="G19" i="34" a="1"/>
  <c r="G19" i="34" s="1"/>
  <c r="G55" i="34" a="1"/>
  <c r="G55" i="34" s="1"/>
  <c r="G10" i="34" a="1"/>
  <c r="G10" i="34" s="1"/>
  <c r="D44" i="34"/>
  <c r="B12" i="46"/>
  <c r="G38" i="34" a="1"/>
  <c r="G38" i="34" s="1"/>
  <c r="G8" i="34" a="1"/>
  <c r="G8" i="34" s="1"/>
  <c r="D80" i="34"/>
  <c r="D23" i="34"/>
  <c r="G27" i="34" a="1"/>
  <c r="G27" i="34" s="1"/>
  <c r="S64" i="8"/>
  <c r="D33" i="34"/>
  <c r="B29" i="21"/>
  <c r="V50" i="8"/>
  <c r="W50" i="8" s="1"/>
  <c r="V39" i="8"/>
  <c r="W39" i="8" s="1"/>
  <c r="V57" i="8"/>
  <c r="W57" i="8" s="1"/>
  <c r="V38" i="8"/>
  <c r="W38" i="8" s="1"/>
  <c r="V20" i="8"/>
  <c r="V37" i="8"/>
  <c r="W37" i="8" s="1"/>
  <c r="V42" i="8"/>
  <c r="W42" i="8" s="1"/>
  <c r="B75" i="21"/>
  <c r="B31" i="21"/>
  <c r="B23" i="21"/>
  <c r="B61" i="21"/>
  <c r="A77" i="80"/>
  <c r="A22" i="80"/>
  <c r="A76" i="80"/>
  <c r="A45" i="80"/>
  <c r="A20" i="80"/>
  <c r="A73" i="80"/>
  <c r="A41" i="80"/>
  <c r="A17" i="80"/>
  <c r="A15" i="80"/>
  <c r="A14" i="80"/>
  <c r="A11" i="80"/>
  <c r="A39" i="80"/>
  <c r="A67" i="80"/>
  <c r="A38" i="80"/>
  <c r="A57" i="80"/>
  <c r="A56" i="80"/>
  <c r="A55" i="80"/>
  <c r="A29" i="80"/>
  <c r="A70" i="80"/>
  <c r="A58" i="80"/>
  <c r="A43" i="80"/>
  <c r="A42" i="80"/>
  <c r="A44" i="80"/>
  <c r="A40" i="80"/>
  <c r="A52" i="80"/>
  <c r="A23" i="80"/>
  <c r="A10" i="80"/>
  <c r="A75" i="80"/>
  <c r="T62" i="8"/>
  <c r="D61" i="7"/>
  <c r="D74" i="7"/>
  <c r="G18" i="34" a="1"/>
  <c r="G18" i="34" s="1"/>
  <c r="G73" i="34" a="1"/>
  <c r="G73" i="34" s="1"/>
  <c r="G15" i="34" a="1"/>
  <c r="G15" i="34" s="1"/>
  <c r="D20" i="34"/>
  <c r="G21" i="34" a="1"/>
  <c r="G21" i="34" s="1"/>
  <c r="G80" i="34" a="1"/>
  <c r="G80" i="34" s="1"/>
  <c r="G45" i="34" a="1"/>
  <c r="G45" i="34" s="1"/>
  <c r="G4" i="34" a="1"/>
  <c r="G4" i="34" s="1"/>
  <c r="D72" i="34"/>
  <c r="G68" i="34" a="1"/>
  <c r="G68" i="34" s="1"/>
  <c r="G14" i="34" a="1"/>
  <c r="G14" i="34" s="1"/>
  <c r="D46" i="34"/>
  <c r="D64" i="34"/>
  <c r="G65" i="34" a="1"/>
  <c r="G65" i="34" s="1"/>
  <c r="D17" i="34"/>
  <c r="D9" i="34"/>
  <c r="G17" i="34" a="1"/>
  <c r="G17" i="34" s="1"/>
  <c r="G64" i="34" a="1"/>
  <c r="G64" i="34" s="1"/>
  <c r="G49" i="34" a="1"/>
  <c r="G49" i="34" s="1"/>
  <c r="G46" i="34" a="1"/>
  <c r="G46" i="34" s="1"/>
  <c r="D65" i="34"/>
  <c r="D43" i="34"/>
  <c r="D27" i="34"/>
  <c r="D31" i="7"/>
  <c r="G54" i="34" a="1"/>
  <c r="G54" i="34" s="1"/>
  <c r="D76" i="34"/>
  <c r="D39" i="34"/>
  <c r="S24" i="20"/>
  <c r="A82" i="80"/>
  <c r="A8" i="43"/>
  <c r="D31" i="34"/>
  <c r="D29" i="34"/>
  <c r="D42" i="34"/>
  <c r="D30" i="34"/>
  <c r="D6" i="34"/>
  <c r="D22" i="34"/>
  <c r="W64" i="8"/>
  <c r="G24" i="34" a="1"/>
  <c r="G24" i="34" s="1"/>
  <c r="G11" i="34" a="1"/>
  <c r="G11" i="34" s="1"/>
  <c r="U64" i="8"/>
  <c r="G47" i="34" a="1"/>
  <c r="G47" i="34" s="1"/>
  <c r="T64" i="8"/>
  <c r="G74" i="34" a="1"/>
  <c r="G74" i="34" s="1"/>
  <c r="G61" i="34" a="1"/>
  <c r="G61" i="34" s="1"/>
  <c r="G34" i="34" a="1"/>
  <c r="G34" i="34" s="1"/>
  <c r="A81" i="80"/>
  <c r="D73" i="34"/>
  <c r="D61" i="34"/>
  <c r="D49" i="34"/>
  <c r="D47" i="34"/>
  <c r="D24" i="34"/>
  <c r="D12" i="34"/>
  <c r="A18" i="21"/>
  <c r="G30" i="34" a="1"/>
  <c r="G30" i="34" s="1"/>
  <c r="U37" i="8"/>
  <c r="G57" i="34" a="1"/>
  <c r="G57" i="34" s="1"/>
  <c r="G42" i="34" a="1"/>
  <c r="G42" i="34" s="1"/>
  <c r="D59" i="34"/>
  <c r="D57" i="34"/>
  <c r="D54" i="34"/>
  <c r="D34" i="34"/>
  <c r="D45" i="34"/>
  <c r="D11" i="34"/>
  <c r="T37" i="8"/>
  <c r="G59" i="34" a="1"/>
  <c r="G59" i="34" s="1"/>
  <c r="D21" i="34"/>
  <c r="G36" i="34" a="1"/>
  <c r="G36" i="34" s="1"/>
  <c r="G12" i="34" a="1"/>
  <c r="G12" i="34" s="1"/>
  <c r="D19" i="34"/>
  <c r="D18" i="34"/>
  <c r="D36" i="34"/>
  <c r="D68" i="34"/>
  <c r="D55" i="34"/>
  <c r="A74" i="7"/>
  <c r="B77" i="7"/>
  <c r="C78" i="21"/>
  <c r="B63" i="7"/>
  <c r="C63" i="21"/>
  <c r="K2" i="31"/>
  <c r="L2" i="31" s="1"/>
  <c r="A49" i="7"/>
  <c r="A46" i="7"/>
  <c r="S62" i="8"/>
  <c r="G6" i="34" a="1"/>
  <c r="G6" i="34" s="1"/>
  <c r="G22" i="34" a="1"/>
  <c r="G22" i="34" s="1"/>
  <c r="A12" i="21"/>
  <c r="U20" i="8"/>
  <c r="G31" i="34" a="1"/>
  <c r="G31" i="34" s="1"/>
  <c r="G29" i="34" a="1"/>
  <c r="G29" i="34" s="1"/>
  <c r="G9" i="34" a="1"/>
  <c r="G9" i="34" s="1"/>
  <c r="G32" i="34" a="1"/>
  <c r="G32" i="34" s="1"/>
  <c r="G20" i="34" a="1"/>
  <c r="G20" i="34" s="1"/>
  <c r="G39" i="34" a="1"/>
  <c r="G39" i="34" s="1"/>
  <c r="W62" i="8"/>
  <c r="U62" i="8"/>
  <c r="D69" i="7"/>
  <c r="W28" i="8"/>
  <c r="U28" i="8"/>
  <c r="T28" i="8"/>
  <c r="S28" i="8"/>
  <c r="A56" i="34"/>
  <c r="A52" i="34"/>
  <c r="A32" i="34"/>
  <c r="A65" i="34"/>
  <c r="A33" i="34"/>
  <c r="A76" i="34"/>
  <c r="A75" i="34"/>
  <c r="A74" i="34"/>
  <c r="A64" i="34"/>
  <c r="A63" i="34"/>
  <c r="A62" i="34"/>
  <c r="A58" i="34"/>
  <c r="A15" i="34"/>
  <c r="A50" i="34"/>
  <c r="A49" i="34"/>
  <c r="A42" i="34"/>
  <c r="A80" i="34"/>
  <c r="A37" i="34"/>
  <c r="A35" i="34"/>
  <c r="A34" i="34"/>
  <c r="A78" i="34"/>
  <c r="A13" i="34"/>
  <c r="A40" i="34"/>
  <c r="A39" i="34"/>
  <c r="A8" i="34"/>
  <c r="A22" i="34"/>
  <c r="A67" i="34"/>
  <c r="A51" i="34"/>
  <c r="A12" i="34"/>
  <c r="A3" i="34"/>
  <c r="A70" i="34"/>
  <c r="A31" i="34"/>
  <c r="A68" i="34"/>
  <c r="A77" i="34"/>
  <c r="A36" i="34"/>
  <c r="A29" i="34"/>
  <c r="A53" i="34"/>
  <c r="A20" i="34"/>
  <c r="A21" i="34"/>
  <c r="A19" i="34"/>
  <c r="A38" i="34"/>
  <c r="A18" i="34"/>
  <c r="A9" i="34"/>
  <c r="A57" i="34"/>
  <c r="A73" i="34"/>
  <c r="E28" i="20" a="1"/>
  <c r="E28" i="20" s="1"/>
  <c r="F80" i="34" a="1"/>
  <c r="F80" i="34" s="1"/>
  <c r="F3" i="34" a="1"/>
  <c r="F3" i="34" s="1"/>
  <c r="D79" i="7"/>
  <c r="D78" i="7"/>
  <c r="D5" i="7"/>
  <c r="A24" i="34"/>
  <c r="F21" i="34" a="1"/>
  <c r="F21" i="34" s="1"/>
  <c r="F19" i="34" a="1"/>
  <c r="F19" i="34" s="1"/>
  <c r="F66" i="34" a="1"/>
  <c r="F66" i="34" s="1"/>
  <c r="F65" i="34" a="1"/>
  <c r="F65" i="34" s="1"/>
  <c r="F59" i="34" a="1"/>
  <c r="F59" i="34" s="1"/>
  <c r="F38" i="34" a="1"/>
  <c r="F38" i="34" s="1"/>
  <c r="F18" i="34" a="1"/>
  <c r="F18" i="34" s="1"/>
  <c r="F57" i="34" a="1"/>
  <c r="F57" i="34" s="1"/>
  <c r="F17" i="34" a="1"/>
  <c r="F17" i="34" s="1"/>
  <c r="F36" i="34" a="1"/>
  <c r="F36" i="34" s="1"/>
  <c r="F33" i="34" a="1"/>
  <c r="F33" i="34" s="1"/>
  <c r="F77" i="34" a="1"/>
  <c r="F77" i="34" s="1"/>
  <c r="F76" i="34" a="1"/>
  <c r="F76" i="34" s="1"/>
  <c r="F75" i="34" a="1"/>
  <c r="F75" i="34" s="1"/>
  <c r="F74" i="34" a="1"/>
  <c r="F74" i="34" s="1"/>
  <c r="F73" i="34" a="1"/>
  <c r="F73" i="34" s="1"/>
  <c r="F16" i="34" a="1"/>
  <c r="F16" i="34" s="1"/>
  <c r="F70" i="34" a="1"/>
  <c r="F70" i="34" s="1"/>
  <c r="F72" i="34" a="1"/>
  <c r="F72" i="34" s="1"/>
  <c r="F68" i="34" a="1"/>
  <c r="F68" i="34" s="1"/>
  <c r="F31" i="34" a="1"/>
  <c r="F31" i="34" s="1"/>
  <c r="F56" i="34" a="1"/>
  <c r="F56" i="34" s="1"/>
  <c r="F64" i="34" a="1"/>
  <c r="F64" i="34" s="1"/>
  <c r="F63" i="34" a="1"/>
  <c r="F63" i="34" s="1"/>
  <c r="F62" i="34" a="1"/>
  <c r="F62" i="34" s="1"/>
  <c r="F61" i="34" a="1"/>
  <c r="F61" i="34" s="1"/>
  <c r="F60" i="34" a="1"/>
  <c r="F60" i="34" s="1"/>
  <c r="F58" i="34" a="1"/>
  <c r="F58" i="34" s="1"/>
  <c r="F15" i="34" a="1"/>
  <c r="F15" i="34" s="1"/>
  <c r="F55" i="34" a="1"/>
  <c r="F55" i="34" s="1"/>
  <c r="F29" i="34" a="1"/>
  <c r="F29" i="34" s="1"/>
  <c r="F81" i="34" a="1"/>
  <c r="F81" i="34" s="1"/>
  <c r="F53" i="34" a="1"/>
  <c r="F53" i="34" s="1"/>
  <c r="F14" i="34" a="1"/>
  <c r="F14" i="34" s="1"/>
  <c r="F51" i="34" a="1"/>
  <c r="F51" i="34" s="1"/>
  <c r="F50" i="34" a="1"/>
  <c r="F50" i="34" s="1"/>
  <c r="F49" i="34" a="1"/>
  <c r="F49" i="34" s="1"/>
  <c r="F48" i="34" a="1"/>
  <c r="F48" i="34" s="1"/>
  <c r="F54" i="34" a="1"/>
  <c r="F54" i="34" s="1"/>
  <c r="F9" i="34" a="1"/>
  <c r="F9" i="34" s="1"/>
  <c r="F43" i="34" a="1"/>
  <c r="F43" i="34" s="1"/>
  <c r="F42" i="34" a="1"/>
  <c r="F42" i="34" s="1"/>
  <c r="F52" i="34" a="1"/>
  <c r="F52" i="34" s="1"/>
  <c r="F7" i="34" a="1"/>
  <c r="F7" i="34" s="1"/>
  <c r="F37" i="34" a="1"/>
  <c r="F37" i="34" s="1"/>
  <c r="F47" i="34" a="1"/>
  <c r="F47" i="34" s="1"/>
  <c r="F35" i="34" a="1"/>
  <c r="F35" i="34" s="1"/>
  <c r="F34" i="34" a="1"/>
  <c r="F34" i="34" s="1"/>
  <c r="F71" i="34" a="1"/>
  <c r="F71" i="34" s="1"/>
  <c r="F32" i="34" a="1"/>
  <c r="F32" i="34" s="1"/>
  <c r="F46" i="34" a="1"/>
  <c r="F46" i="34" s="1"/>
  <c r="F30" i="34" a="1"/>
  <c r="F30" i="34" s="1"/>
  <c r="F28" i="34" a="1"/>
  <c r="F28" i="34" s="1"/>
  <c r="F27" i="34" a="1"/>
  <c r="F27" i="34" s="1"/>
  <c r="F26" i="34" a="1"/>
  <c r="F26" i="34" s="1"/>
  <c r="F25" i="34" a="1"/>
  <c r="F25" i="34" s="1"/>
  <c r="F24" i="34" a="1"/>
  <c r="F24" i="34" s="1"/>
  <c r="F45" i="34" a="1"/>
  <c r="F45" i="34" s="1"/>
  <c r="F44" i="34" a="1"/>
  <c r="F44" i="34" s="1"/>
  <c r="F20" i="34" a="1"/>
  <c r="F20" i="34" s="1"/>
  <c r="F23" i="34" a="1"/>
  <c r="F23" i="34" s="1"/>
  <c r="F6" i="34" a="1"/>
  <c r="F6" i="34" s="1"/>
  <c r="F69" i="34" a="1"/>
  <c r="F69" i="34" s="1"/>
  <c r="F78" i="34" a="1"/>
  <c r="F78" i="34" s="1"/>
  <c r="F41" i="34" a="1"/>
  <c r="F41" i="34" s="1"/>
  <c r="F13" i="34" a="1"/>
  <c r="F13" i="34" s="1"/>
  <c r="F12" i="34" a="1"/>
  <c r="F12" i="34" s="1"/>
  <c r="F40" i="34" a="1"/>
  <c r="F40" i="34" s="1"/>
  <c r="F11" i="34" a="1"/>
  <c r="F11" i="34" s="1"/>
  <c r="F10" i="34" a="1"/>
  <c r="F10" i="34" s="1"/>
  <c r="F39" i="34" a="1"/>
  <c r="F39" i="34" s="1"/>
  <c r="F8" i="34" a="1"/>
  <c r="F8" i="34" s="1"/>
  <c r="F22" i="34" a="1"/>
  <c r="F22" i="34" s="1"/>
  <c r="F67" i="34" a="1"/>
  <c r="F67" i="34" s="1"/>
  <c r="F5" i="34" a="1"/>
  <c r="F5" i="34" s="1"/>
  <c r="F4" i="34" a="1"/>
  <c r="F4" i="34" s="1"/>
  <c r="H29" i="21" a="1"/>
  <c r="H29" i="21" s="1"/>
  <c r="G29" i="21" a="1"/>
  <c r="G29" i="21" s="1"/>
  <c r="F29" i="21" a="1"/>
  <c r="F29" i="21" s="1"/>
  <c r="A79" i="34"/>
  <c r="A71" i="34"/>
  <c r="K5" i="43"/>
  <c r="A30" i="34"/>
  <c r="K6" i="43"/>
  <c r="I4" i="32"/>
  <c r="A25" i="34"/>
  <c r="A3" i="21"/>
  <c r="A10" i="34"/>
  <c r="K3" i="43"/>
  <c r="A7" i="43"/>
  <c r="I8" i="32"/>
  <c r="K4" i="43"/>
  <c r="A46" i="21"/>
  <c r="F93" i="20"/>
  <c r="S23" i="20"/>
  <c r="W19" i="8"/>
  <c r="U19" i="8"/>
  <c r="T19" i="8"/>
  <c r="S19" i="8"/>
  <c r="J78" i="20"/>
  <c r="J79" i="20"/>
  <c r="J80" i="20"/>
  <c r="J81" i="20"/>
  <c r="J82" i="20"/>
  <c r="J83" i="20"/>
  <c r="J84" i="20"/>
  <c r="J85" i="20"/>
  <c r="A20" i="21"/>
  <c r="A47" i="7"/>
  <c r="A47" i="21"/>
  <c r="W20" i="8"/>
  <c r="T20" i="8"/>
  <c r="D38" i="20"/>
  <c r="C14" i="46"/>
  <c r="S25" i="20"/>
  <c r="W21" i="8"/>
  <c r="U21" i="8"/>
  <c r="T21" i="8"/>
  <c r="S21" i="8"/>
  <c r="I9" i="32"/>
  <c r="I3" i="32"/>
  <c r="B5" i="21"/>
  <c r="AB35" i="20"/>
  <c r="U11" i="8"/>
  <c r="W11" i="8"/>
  <c r="U50" i="8"/>
  <c r="U80" i="8"/>
  <c r="W80" i="8"/>
  <c r="U58" i="8"/>
  <c r="W58" i="8"/>
  <c r="U10" i="8"/>
  <c r="W10" i="8"/>
  <c r="U78" i="8"/>
  <c r="W78" i="8"/>
  <c r="U75" i="8"/>
  <c r="W75" i="8"/>
  <c r="U70" i="8"/>
  <c r="W70" i="8"/>
  <c r="U66" i="8"/>
  <c r="W66" i="8"/>
  <c r="U52" i="8"/>
  <c r="W52" i="8"/>
  <c r="U43" i="8"/>
  <c r="W43" i="8"/>
  <c r="U35" i="8"/>
  <c r="W35" i="8"/>
  <c r="U25" i="8"/>
  <c r="W25" i="8"/>
  <c r="U17" i="8"/>
  <c r="W17" i="8"/>
  <c r="U5" i="8"/>
  <c r="W5" i="8"/>
  <c r="U73" i="8"/>
  <c r="W73" i="8"/>
  <c r="U60" i="8"/>
  <c r="W60" i="8"/>
  <c r="U47" i="8"/>
  <c r="W47" i="8"/>
  <c r="U45" i="8"/>
  <c r="W45" i="8"/>
  <c r="U44" i="8"/>
  <c r="W44" i="8"/>
  <c r="U40" i="8"/>
  <c r="W40" i="8"/>
  <c r="U18" i="8"/>
  <c r="W18" i="8"/>
  <c r="U76" i="8"/>
  <c r="W76" i="8"/>
  <c r="U39" i="8"/>
  <c r="U36" i="8"/>
  <c r="W36" i="8"/>
  <c r="U27" i="8"/>
  <c r="W27" i="8"/>
  <c r="U6" i="8"/>
  <c r="W6" i="8"/>
  <c r="U81" i="8"/>
  <c r="W81" i="8"/>
  <c r="U72" i="8"/>
  <c r="W72" i="8"/>
  <c r="U67" i="8"/>
  <c r="W67" i="8"/>
  <c r="U57" i="8"/>
  <c r="U54" i="8"/>
  <c r="W54" i="8"/>
  <c r="U53" i="8"/>
  <c r="W53" i="8"/>
  <c r="U48" i="8"/>
  <c r="W48" i="8"/>
  <c r="U38" i="8"/>
  <c r="U26" i="8"/>
  <c r="W26" i="8"/>
  <c r="U16" i="8"/>
  <c r="W16" i="8"/>
  <c r="U15" i="8"/>
  <c r="W15" i="8"/>
  <c r="U14" i="8"/>
  <c r="W14" i="8"/>
  <c r="U13" i="8"/>
  <c r="W13" i="8"/>
  <c r="U9" i="8"/>
  <c r="W9" i="8"/>
  <c r="U8" i="8"/>
  <c r="W8" i="8"/>
  <c r="U3" i="8"/>
  <c r="W3" i="8"/>
  <c r="C48" i="21"/>
  <c r="U77" i="8"/>
  <c r="W77" i="8"/>
  <c r="U74" i="8"/>
  <c r="W74" i="8"/>
  <c r="U71" i="8"/>
  <c r="W71" i="8"/>
  <c r="U61" i="8"/>
  <c r="W61" i="8"/>
  <c r="U55" i="8"/>
  <c r="W55" i="8"/>
  <c r="U41" i="8"/>
  <c r="W41" i="8"/>
  <c r="U34" i="8"/>
  <c r="W34" i="8"/>
  <c r="U31" i="8"/>
  <c r="U30" i="8"/>
  <c r="W30" i="8"/>
  <c r="U29" i="8"/>
  <c r="W29" i="8"/>
  <c r="U24" i="8"/>
  <c r="W24" i="8"/>
  <c r="U7" i="8"/>
  <c r="W7" i="8"/>
  <c r="U79" i="8"/>
  <c r="W79" i="8"/>
  <c r="U69" i="8"/>
  <c r="W69" i="8"/>
  <c r="U68" i="8"/>
  <c r="W68" i="8"/>
  <c r="U65" i="8"/>
  <c r="W65" i="8"/>
  <c r="U63" i="8"/>
  <c r="W63" i="8"/>
  <c r="U59" i="8"/>
  <c r="W59" i="8"/>
  <c r="U56" i="8"/>
  <c r="W56" i="8"/>
  <c r="U51" i="8"/>
  <c r="W51" i="8"/>
  <c r="U49" i="8"/>
  <c r="W49" i="8"/>
  <c r="U46" i="8"/>
  <c r="W46" i="8"/>
  <c r="U32" i="8"/>
  <c r="W32" i="8"/>
  <c r="U12" i="8"/>
  <c r="W12" i="8"/>
  <c r="U33" i="8"/>
  <c r="W33" i="8"/>
  <c r="T11" i="8"/>
  <c r="S11" i="8"/>
  <c r="T50" i="8"/>
  <c r="S50" i="8"/>
  <c r="D46" i="7"/>
  <c r="D18" i="7"/>
  <c r="T80" i="8"/>
  <c r="S80" i="8"/>
  <c r="D11" i="7"/>
  <c r="T58" i="8"/>
  <c r="S58" i="8"/>
  <c r="D3" i="7"/>
  <c r="T10" i="8"/>
  <c r="S10" i="8"/>
  <c r="T78" i="8"/>
  <c r="S78" i="8"/>
  <c r="T75" i="8"/>
  <c r="S75" i="8"/>
  <c r="T70" i="8"/>
  <c r="S70" i="8"/>
  <c r="T66" i="8"/>
  <c r="S66" i="8"/>
  <c r="T52" i="8"/>
  <c r="S52" i="8"/>
  <c r="T43" i="8"/>
  <c r="S43" i="8"/>
  <c r="T35" i="8"/>
  <c r="S35" i="8"/>
  <c r="D59" i="7"/>
  <c r="T25" i="8"/>
  <c r="S25" i="8"/>
  <c r="T17" i="8"/>
  <c r="S17" i="8"/>
  <c r="T5" i="8"/>
  <c r="S5" i="8"/>
  <c r="T73" i="8"/>
  <c r="S73" i="8"/>
  <c r="T60" i="8"/>
  <c r="S60" i="8"/>
  <c r="D64" i="7"/>
  <c r="T47" i="8"/>
  <c r="S47" i="8"/>
  <c r="T45" i="8"/>
  <c r="S45" i="8"/>
  <c r="T44" i="8"/>
  <c r="S44" i="8"/>
  <c r="T40" i="8"/>
  <c r="S40" i="8"/>
  <c r="T18" i="8"/>
  <c r="S18" i="8"/>
  <c r="T76" i="8"/>
  <c r="S76" i="8"/>
  <c r="T39" i="8"/>
  <c r="S39" i="8"/>
  <c r="T36" i="8"/>
  <c r="S36" i="8"/>
  <c r="T27" i="8"/>
  <c r="S27" i="8"/>
  <c r="T6" i="8"/>
  <c r="S6" i="8"/>
  <c r="D76" i="7"/>
  <c r="D75" i="7"/>
  <c r="D73" i="7"/>
  <c r="D72" i="7"/>
  <c r="T81" i="8"/>
  <c r="S81" i="8"/>
  <c r="D71" i="7"/>
  <c r="T72" i="8"/>
  <c r="S72" i="8"/>
  <c r="D70" i="7"/>
  <c r="T67" i="8"/>
  <c r="S67" i="8"/>
  <c r="D68" i="7"/>
  <c r="T57" i="8"/>
  <c r="S57" i="8"/>
  <c r="D67" i="7"/>
  <c r="T54" i="8"/>
  <c r="S54" i="8"/>
  <c r="D66" i="7"/>
  <c r="T53" i="8"/>
  <c r="S53" i="8"/>
  <c r="D65" i="7"/>
  <c r="T48" i="8"/>
  <c r="S48" i="8"/>
  <c r="D62" i="7"/>
  <c r="T38" i="8"/>
  <c r="S38" i="8"/>
  <c r="D60" i="7"/>
  <c r="T26" i="8"/>
  <c r="S26" i="8"/>
  <c r="D58" i="7"/>
  <c r="T16" i="8"/>
  <c r="S16" i="8"/>
  <c r="T15" i="8"/>
  <c r="S15" i="8"/>
  <c r="D56" i="7"/>
  <c r="T14" i="8"/>
  <c r="S14" i="8"/>
  <c r="D55" i="7"/>
  <c r="T13" i="8"/>
  <c r="S13" i="8"/>
  <c r="D54" i="7"/>
  <c r="T9" i="8"/>
  <c r="S9" i="8"/>
  <c r="D53" i="7"/>
  <c r="T8" i="8"/>
  <c r="S8" i="8"/>
  <c r="T3" i="8"/>
  <c r="S3" i="8"/>
  <c r="D52" i="7"/>
  <c r="D51" i="7"/>
  <c r="D50" i="7"/>
  <c r="D49" i="7"/>
  <c r="D48" i="7"/>
  <c r="D47" i="7"/>
  <c r="D45" i="7"/>
  <c r="D44" i="7"/>
  <c r="D43" i="7"/>
  <c r="D42" i="7"/>
  <c r="D41" i="7"/>
  <c r="T77" i="8"/>
  <c r="S77" i="8"/>
  <c r="D40" i="7"/>
  <c r="T74" i="8"/>
  <c r="S74" i="8"/>
  <c r="D39" i="7"/>
  <c r="T71" i="8"/>
  <c r="S71" i="8"/>
  <c r="D38" i="7"/>
  <c r="T61" i="8"/>
  <c r="S61" i="8"/>
  <c r="D37" i="7"/>
  <c r="T55" i="8"/>
  <c r="S55" i="8"/>
  <c r="D36" i="7"/>
  <c r="T41" i="8"/>
  <c r="S41" i="8"/>
  <c r="D35" i="7"/>
  <c r="T34" i="8"/>
  <c r="S34" i="8"/>
  <c r="D34" i="7"/>
  <c r="T31" i="8"/>
  <c r="S31" i="8"/>
  <c r="D33" i="7"/>
  <c r="T30" i="8"/>
  <c r="S30" i="8"/>
  <c r="D32" i="7"/>
  <c r="T29" i="8"/>
  <c r="S29" i="8"/>
  <c r="D30" i="7"/>
  <c r="T24" i="8"/>
  <c r="S24" i="8"/>
  <c r="D28" i="7"/>
  <c r="T7" i="8"/>
  <c r="S7" i="8"/>
  <c r="D27" i="7"/>
  <c r="D26" i="7"/>
  <c r="D25" i="7"/>
  <c r="D24" i="7"/>
  <c r="D22" i="7"/>
  <c r="D21" i="7"/>
  <c r="D20" i="7"/>
  <c r="D19" i="7"/>
  <c r="D17" i="7"/>
  <c r="T79" i="8"/>
  <c r="S79" i="8"/>
  <c r="D16" i="7"/>
  <c r="T69" i="8"/>
  <c r="S69" i="8"/>
  <c r="D15" i="7"/>
  <c r="T68" i="8"/>
  <c r="S68" i="8"/>
  <c r="D14" i="7"/>
  <c r="T65" i="8"/>
  <c r="S65" i="8"/>
  <c r="D13" i="7"/>
  <c r="T63" i="8"/>
  <c r="S63" i="8"/>
  <c r="D12" i="7"/>
  <c r="T59" i="8"/>
  <c r="S59" i="8"/>
  <c r="D10" i="7"/>
  <c r="T56" i="8"/>
  <c r="S56" i="8"/>
  <c r="D9" i="7"/>
  <c r="T51" i="8"/>
  <c r="S51" i="8"/>
  <c r="D8" i="7"/>
  <c r="T49" i="8"/>
  <c r="S49" i="8"/>
  <c r="D7" i="7"/>
  <c r="T46" i="8"/>
  <c r="S46" i="8"/>
  <c r="D6" i="7"/>
  <c r="T32" i="8"/>
  <c r="S32" i="8"/>
  <c r="D4" i="7"/>
  <c r="T12" i="8"/>
  <c r="S12" i="8"/>
  <c r="T33" i="8"/>
  <c r="S33" i="8"/>
  <c r="D81" i="7"/>
  <c r="A30" i="7"/>
  <c r="A30" i="21"/>
  <c r="A49" i="21"/>
  <c r="B5" i="46"/>
  <c r="I5" i="54"/>
  <c r="A80" i="7"/>
  <c r="G3" i="63"/>
  <c r="A22" i="7"/>
  <c r="A35" i="7"/>
  <c r="A32" i="7"/>
  <c r="A12" i="7"/>
  <c r="C12" i="46"/>
  <c r="D12" i="46" s="1"/>
  <c r="A27" i="21"/>
  <c r="A19" i="21"/>
  <c r="A53" i="7"/>
  <c r="A26" i="21"/>
  <c r="L29" i="20"/>
  <c r="C21" i="46"/>
  <c r="C20" i="46"/>
  <c r="B3" i="21"/>
  <c r="B20" i="46"/>
  <c r="E87" i="46"/>
  <c r="C23" i="46"/>
  <c r="B21" i="7"/>
  <c r="B75" i="7"/>
  <c r="B38" i="7"/>
  <c r="B64" i="7"/>
  <c r="F81" i="21" a="1"/>
  <c r="F81" i="21" s="1"/>
  <c r="B57" i="7"/>
  <c r="B54" i="7"/>
  <c r="C17" i="21"/>
  <c r="H17" i="21" s="1" a="1"/>
  <c r="H17" i="21" s="1"/>
  <c r="A25" i="21"/>
  <c r="A79" i="21"/>
  <c r="A77" i="21"/>
  <c r="A13" i="21"/>
  <c r="A10" i="21"/>
  <c r="A36" i="21"/>
  <c r="A28" i="21"/>
  <c r="A41" i="21"/>
  <c r="A57" i="21"/>
  <c r="A44" i="7"/>
  <c r="A44" i="21"/>
  <c r="A73" i="7"/>
  <c r="A74" i="21"/>
  <c r="A51" i="7"/>
  <c r="A51" i="21"/>
  <c r="A3" i="7"/>
  <c r="A81" i="7"/>
  <c r="A26" i="7"/>
  <c r="A52" i="7"/>
  <c r="A76" i="7"/>
  <c r="A75" i="7"/>
  <c r="A43" i="7"/>
  <c r="A15" i="7"/>
  <c r="A13" i="7"/>
  <c r="A10" i="7"/>
  <c r="A36" i="7"/>
  <c r="A41" i="7"/>
  <c r="A28" i="7"/>
  <c r="C11" i="46"/>
  <c r="B24" i="46"/>
  <c r="B22" i="46"/>
  <c r="C22" i="46"/>
  <c r="C19" i="46"/>
  <c r="B23" i="46"/>
  <c r="B19" i="46"/>
  <c r="C25" i="46"/>
  <c r="B25" i="46"/>
  <c r="B21" i="46"/>
  <c r="C24" i="46"/>
  <c r="E48" i="46"/>
  <c r="C3" i="46" s="1"/>
  <c r="B11" i="46"/>
  <c r="B48" i="46"/>
  <c r="E56" i="46"/>
  <c r="B3" i="46" s="1"/>
  <c r="B56" i="46"/>
  <c r="A16" i="34" l="1"/>
  <c r="B72" i="7"/>
  <c r="A64" i="21"/>
  <c r="A25" i="7"/>
  <c r="A24" i="80"/>
  <c r="A26" i="34"/>
  <c r="B74" i="21"/>
  <c r="C8" i="21"/>
  <c r="F8" i="21" s="1" a="1"/>
  <c r="F8" i="21" s="1"/>
  <c r="I2" i="32"/>
  <c r="A4" i="34"/>
  <c r="A54" i="34"/>
  <c r="C31" i="21"/>
  <c r="E31" i="21" s="1" a="1"/>
  <c r="E31" i="21" s="1"/>
  <c r="B31" i="7"/>
  <c r="C23" i="21"/>
  <c r="G23" i="21" s="1" a="1"/>
  <c r="G23" i="21" s="1"/>
  <c r="A63" i="80"/>
  <c r="B52" i="7"/>
  <c r="B67" i="7"/>
  <c r="A61" i="21"/>
  <c r="A74" i="80"/>
  <c r="A61" i="7"/>
  <c r="B23" i="7"/>
  <c r="A20" i="7"/>
  <c r="A4" i="80"/>
  <c r="A78" i="80"/>
  <c r="A10" i="43"/>
  <c r="A59" i="34"/>
  <c r="A77" i="7"/>
  <c r="A65" i="80"/>
  <c r="A47" i="34"/>
  <c r="A63" i="7"/>
  <c r="A23" i="21"/>
  <c r="A23" i="7"/>
  <c r="B5" i="7"/>
  <c r="C5" i="21"/>
  <c r="B78" i="21"/>
  <c r="C16" i="21"/>
  <c r="F16" i="21" s="1" a="1"/>
  <c r="F16" i="21" s="1"/>
  <c r="B25" i="7"/>
  <c r="A32" i="80"/>
  <c r="A31" i="21"/>
  <c r="A31" i="7"/>
  <c r="A50" i="80"/>
  <c r="A72" i="80"/>
  <c r="A62" i="80"/>
  <c r="A80" i="80"/>
  <c r="A61" i="80"/>
  <c r="A7" i="80"/>
  <c r="A5" i="80"/>
  <c r="A8" i="80"/>
  <c r="A9" i="80"/>
  <c r="A6" i="80"/>
  <c r="A60" i="80"/>
  <c r="A36" i="80"/>
  <c r="A69" i="80"/>
  <c r="A12" i="80"/>
  <c r="A21" i="80"/>
  <c r="A49" i="80"/>
  <c r="A16" i="80"/>
  <c r="A71" i="80"/>
  <c r="A27" i="80"/>
  <c r="A79" i="80"/>
  <c r="A13" i="80"/>
  <c r="A18" i="80"/>
  <c r="A25" i="80"/>
  <c r="A26" i="80"/>
  <c r="A28" i="80"/>
  <c r="A31" i="80"/>
  <c r="A33" i="80"/>
  <c r="A34" i="80"/>
  <c r="A35" i="80"/>
  <c r="A46" i="80"/>
  <c r="A47" i="80"/>
  <c r="A51" i="80"/>
  <c r="A53" i="80"/>
  <c r="A54" i="80"/>
  <c r="A59" i="80"/>
  <c r="A68" i="80"/>
  <c r="A66" i="80"/>
  <c r="A19" i="80"/>
  <c r="A48" i="80"/>
  <c r="C9" i="21"/>
  <c r="F9" i="21" s="1" a="1"/>
  <c r="F9" i="21" s="1"/>
  <c r="B55" i="7"/>
  <c r="B13" i="7"/>
  <c r="B39" i="7"/>
  <c r="B78" i="7"/>
  <c r="A75" i="21"/>
  <c r="R63" i="20"/>
  <c r="R64" i="20"/>
  <c r="R65" i="20"/>
  <c r="R62" i="20"/>
  <c r="R61" i="20"/>
  <c r="R58" i="20"/>
  <c r="R59" i="20"/>
  <c r="R60" i="20"/>
  <c r="R55" i="20"/>
  <c r="R56" i="20"/>
  <c r="R57" i="20"/>
  <c r="R54" i="20"/>
  <c r="V43" i="20"/>
  <c r="R43" i="20"/>
  <c r="N43" i="20"/>
  <c r="J43" i="20"/>
  <c r="J61" i="20"/>
  <c r="N63" i="20"/>
  <c r="N64" i="20"/>
  <c r="N62" i="20"/>
  <c r="N61" i="20"/>
  <c r="N55" i="20"/>
  <c r="N56" i="20"/>
  <c r="N57" i="20"/>
  <c r="N58" i="20"/>
  <c r="N59" i="20"/>
  <c r="N60" i="20"/>
  <c r="N54" i="20"/>
  <c r="J65" i="20"/>
  <c r="J63" i="20"/>
  <c r="J64" i="20"/>
  <c r="J62" i="20"/>
  <c r="J55" i="20"/>
  <c r="J56" i="20"/>
  <c r="J57" i="20"/>
  <c r="J58" i="20"/>
  <c r="J59" i="20"/>
  <c r="J60" i="20"/>
  <c r="J54" i="20"/>
  <c r="J36" i="20"/>
  <c r="V45" i="20"/>
  <c r="V46" i="20"/>
  <c r="V47" i="20"/>
  <c r="V44" i="20"/>
  <c r="V38" i="20"/>
  <c r="V39" i="20"/>
  <c r="V40" i="20"/>
  <c r="V41" i="20"/>
  <c r="V42" i="20"/>
  <c r="V36" i="20"/>
  <c r="V37" i="20"/>
  <c r="R36" i="20"/>
  <c r="R45" i="20"/>
  <c r="R46" i="20"/>
  <c r="R47" i="20"/>
  <c r="R44" i="20"/>
  <c r="R39" i="20"/>
  <c r="R40" i="20"/>
  <c r="R41" i="20"/>
  <c r="R42" i="20"/>
  <c r="B60" i="21"/>
  <c r="R38" i="20"/>
  <c r="R37" i="20"/>
  <c r="N36" i="20"/>
  <c r="N45" i="20"/>
  <c r="N46" i="20"/>
  <c r="N47" i="20"/>
  <c r="N44" i="20"/>
  <c r="N38" i="20"/>
  <c r="N39" i="20"/>
  <c r="N40" i="20"/>
  <c r="N41" i="20"/>
  <c r="N42" i="20"/>
  <c r="N37" i="20"/>
  <c r="J37" i="20"/>
  <c r="J46" i="20"/>
  <c r="J47" i="20"/>
  <c r="J44" i="20"/>
  <c r="J45" i="20"/>
  <c r="J39" i="20"/>
  <c r="J40" i="20"/>
  <c r="J41" i="20"/>
  <c r="J42" i="20"/>
  <c r="J38" i="20"/>
  <c r="I38" i="20"/>
  <c r="I39" i="20"/>
  <c r="I40" i="20"/>
  <c r="I41" i="20"/>
  <c r="I42" i="20"/>
  <c r="I43" i="20"/>
  <c r="I44" i="20"/>
  <c r="I45" i="20"/>
  <c r="I46" i="20"/>
  <c r="I47" i="20"/>
  <c r="I36" i="20"/>
  <c r="I37" i="20"/>
  <c r="M38" i="20"/>
  <c r="M39" i="20"/>
  <c r="M40" i="20"/>
  <c r="M41" i="20"/>
  <c r="M42" i="20"/>
  <c r="M43" i="20"/>
  <c r="M44" i="20"/>
  <c r="M45" i="20"/>
  <c r="M46" i="20"/>
  <c r="M47" i="20"/>
  <c r="M36" i="20"/>
  <c r="M37" i="20"/>
  <c r="Q38" i="20"/>
  <c r="Q39" i="20"/>
  <c r="Q40" i="20"/>
  <c r="Q41" i="20"/>
  <c r="Q42" i="20"/>
  <c r="Q43" i="20"/>
  <c r="Q44" i="20"/>
  <c r="Q45" i="20"/>
  <c r="Q46" i="20"/>
  <c r="Q47" i="20"/>
  <c r="Q36" i="20"/>
  <c r="Q37" i="20"/>
  <c r="U38" i="20"/>
  <c r="U39" i="20"/>
  <c r="U40" i="20"/>
  <c r="U41" i="20"/>
  <c r="U42" i="20"/>
  <c r="U43" i="20"/>
  <c r="U44" i="20"/>
  <c r="U45" i="20"/>
  <c r="U46" i="20"/>
  <c r="U47" i="20"/>
  <c r="U36" i="20"/>
  <c r="U37" i="20"/>
  <c r="I56" i="20"/>
  <c r="I57" i="20"/>
  <c r="I58" i="20"/>
  <c r="I59" i="20"/>
  <c r="I60" i="20"/>
  <c r="I61" i="20"/>
  <c r="I62" i="20"/>
  <c r="I63" i="20"/>
  <c r="I64" i="20"/>
  <c r="I65" i="20"/>
  <c r="I54" i="20"/>
  <c r="I55" i="20"/>
  <c r="M56" i="20"/>
  <c r="M57" i="20"/>
  <c r="M58" i="20"/>
  <c r="M59" i="20"/>
  <c r="M60" i="20"/>
  <c r="M61" i="20"/>
  <c r="M62" i="20"/>
  <c r="M63" i="20"/>
  <c r="M64" i="20"/>
  <c r="M65" i="20"/>
  <c r="M54" i="20"/>
  <c r="M55" i="20"/>
  <c r="Q56" i="20"/>
  <c r="Q57" i="20"/>
  <c r="Q58" i="20"/>
  <c r="Q59" i="20"/>
  <c r="Q60" i="20"/>
  <c r="Q61" i="20"/>
  <c r="Q62" i="20"/>
  <c r="Q63" i="20"/>
  <c r="Q64" i="20"/>
  <c r="Q65" i="20"/>
  <c r="Q54" i="20"/>
  <c r="Q55" i="20"/>
  <c r="A55" i="34"/>
  <c r="B4" i="7"/>
  <c r="C4" i="21"/>
  <c r="F4" i="21" s="1" a="1"/>
  <c r="F4" i="21" s="1"/>
  <c r="B36" i="7"/>
  <c r="B14" i="7"/>
  <c r="B27" i="7"/>
  <c r="B56" i="7"/>
  <c r="B9" i="7"/>
  <c r="B68" i="7"/>
  <c r="B6" i="7"/>
  <c r="C7" i="21"/>
  <c r="H7" i="21" s="1" a="1"/>
  <c r="H7" i="21" s="1"/>
  <c r="B8" i="7"/>
  <c r="B10" i="7"/>
  <c r="C13" i="21"/>
  <c r="F13" i="21" s="1" a="1"/>
  <c r="F13" i="21" s="1"/>
  <c r="C14" i="21"/>
  <c r="H14" i="21" s="1" a="1"/>
  <c r="H14" i="21" s="1"/>
  <c r="B15" i="7"/>
  <c r="B16" i="7"/>
  <c r="B17" i="7"/>
  <c r="C20" i="21"/>
  <c r="C21" i="21"/>
  <c r="E21" i="21" s="1" a="1"/>
  <c r="E21" i="21" s="1"/>
  <c r="C22" i="21"/>
  <c r="C25" i="21"/>
  <c r="E25" i="21" s="1" a="1"/>
  <c r="E25" i="21" s="1"/>
  <c r="C30" i="21"/>
  <c r="C35" i="21"/>
  <c r="H35" i="21" s="1" a="1"/>
  <c r="H35" i="21" s="1"/>
  <c r="C37" i="21"/>
  <c r="F37" i="21" s="1" a="1"/>
  <c r="F37" i="21" s="1"/>
  <c r="C39" i="21"/>
  <c r="E39" i="21" s="1" a="1"/>
  <c r="E39" i="21" s="1"/>
  <c r="B41" i="7"/>
  <c r="C42" i="21"/>
  <c r="C44" i="21"/>
  <c r="C45" i="21"/>
  <c r="E45" i="21" s="1" a="1"/>
  <c r="E45" i="21" s="1"/>
  <c r="C47" i="21"/>
  <c r="F48" i="21" a="1"/>
  <c r="F48" i="21" s="1"/>
  <c r="C50" i="21"/>
  <c r="G50" i="21" s="1" a="1"/>
  <c r="G50" i="21" s="1"/>
  <c r="C52" i="21"/>
  <c r="G52" i="21" s="1" a="1"/>
  <c r="G52" i="21" s="1"/>
  <c r="C53" i="21"/>
  <c r="E53" i="21" s="1" a="1"/>
  <c r="E53" i="21" s="1"/>
  <c r="C54" i="21"/>
  <c r="H54" i="21" s="1" a="1"/>
  <c r="H54" i="21" s="1"/>
  <c r="C55" i="21"/>
  <c r="G55" i="21" s="1" a="1"/>
  <c r="G55" i="21" s="1"/>
  <c r="C57" i="21"/>
  <c r="H57" i="21" s="1" a="1"/>
  <c r="H57" i="21" s="1"/>
  <c r="C58" i="21"/>
  <c r="C60" i="21"/>
  <c r="B65" i="7"/>
  <c r="C66" i="21"/>
  <c r="E66" i="21" s="1" a="1"/>
  <c r="E66" i="21" s="1"/>
  <c r="C67" i="21"/>
  <c r="G67" i="21" s="1" a="1"/>
  <c r="G67" i="21" s="1"/>
  <c r="C68" i="21"/>
  <c r="F68" i="21" s="1" a="1"/>
  <c r="F68" i="21" s="1"/>
  <c r="C70" i="21"/>
  <c r="C72" i="21"/>
  <c r="G72" i="21" s="1" a="1"/>
  <c r="G72" i="21" s="1"/>
  <c r="C73" i="21"/>
  <c r="G73" i="21" s="1" a="1"/>
  <c r="G73" i="21" s="1"/>
  <c r="C74" i="21"/>
  <c r="G74" i="21" s="1" a="1"/>
  <c r="G74" i="21" s="1"/>
  <c r="C77" i="21"/>
  <c r="E77" i="21" s="1" a="1"/>
  <c r="E77" i="21" s="1"/>
  <c r="C79" i="21"/>
  <c r="E79" i="21" s="1" a="1"/>
  <c r="E79" i="21" s="1"/>
  <c r="C80" i="21"/>
  <c r="C64" i="21"/>
  <c r="H64" i="21" s="1" a="1"/>
  <c r="H64" i="21" s="1"/>
  <c r="C59" i="21"/>
  <c r="C49" i="21"/>
  <c r="C61" i="21"/>
  <c r="C75" i="21"/>
  <c r="E75" i="21" s="1" a="1"/>
  <c r="E75" i="21" s="1"/>
  <c r="A80" i="21"/>
  <c r="A11" i="21"/>
  <c r="A61" i="34"/>
  <c r="B45" i="7"/>
  <c r="B37" i="7"/>
  <c r="B53" i="7"/>
  <c r="B74" i="7"/>
  <c r="B50" i="7"/>
  <c r="C19" i="21"/>
  <c r="H19" i="21" s="1" a="1"/>
  <c r="H19" i="21" s="1"/>
  <c r="C24" i="21"/>
  <c r="G24" i="21" s="1" a="1"/>
  <c r="G24" i="21" s="1"/>
  <c r="B26" i="7"/>
  <c r="C26" i="21"/>
  <c r="G26" i="21" s="1" a="1"/>
  <c r="G26" i="21" s="1"/>
  <c r="C27" i="21"/>
  <c r="E27" i="21" s="1" a="1"/>
  <c r="E27" i="21" s="1"/>
  <c r="C28" i="21"/>
  <c r="G28" i="21" s="1" a="1"/>
  <c r="G28" i="21" s="1"/>
  <c r="B32" i="7"/>
  <c r="C32" i="21"/>
  <c r="H32" i="21" s="1" a="1"/>
  <c r="H32" i="21" s="1"/>
  <c r="B33" i="7"/>
  <c r="C33" i="21"/>
  <c r="G33" i="21" s="1" a="1"/>
  <c r="G33" i="21" s="1"/>
  <c r="B34" i="7"/>
  <c r="C34" i="21"/>
  <c r="H34" i="21" s="1" a="1"/>
  <c r="H34" i="21" s="1"/>
  <c r="C36" i="21"/>
  <c r="H36" i="21" s="1" a="1"/>
  <c r="H36" i="21" s="1"/>
  <c r="C38" i="21"/>
  <c r="G38" i="21" s="1" a="1"/>
  <c r="G38" i="21" s="1"/>
  <c r="C40" i="21"/>
  <c r="E40" i="21" s="1" a="1"/>
  <c r="E40" i="21" s="1"/>
  <c r="C41" i="21"/>
  <c r="G41" i="21" s="1" a="1"/>
  <c r="G41" i="21" s="1"/>
  <c r="B43" i="7"/>
  <c r="C43" i="21"/>
  <c r="G43" i="21" s="1" a="1"/>
  <c r="G43" i="21" s="1"/>
  <c r="C51" i="21"/>
  <c r="C56" i="21"/>
  <c r="E56" i="21" s="1" a="1"/>
  <c r="E56" i="21" s="1"/>
  <c r="C62" i="21"/>
  <c r="C65" i="21"/>
  <c r="G65" i="21" s="1" a="1"/>
  <c r="G65" i="21" s="1"/>
  <c r="C76" i="21"/>
  <c r="H76" i="21" s="1" a="1"/>
  <c r="H76" i="21" s="1"/>
  <c r="C71" i="21"/>
  <c r="G71" i="21" s="1" a="1"/>
  <c r="G71" i="21" s="1"/>
  <c r="C46" i="21"/>
  <c r="E63" i="21" a="1"/>
  <c r="E63" i="21" s="1"/>
  <c r="F63" i="21" a="1"/>
  <c r="F63" i="21" s="1"/>
  <c r="G63" i="21" a="1"/>
  <c r="G63" i="21" s="1"/>
  <c r="H63" i="21" a="1"/>
  <c r="H63" i="21" s="1"/>
  <c r="C3" i="21"/>
  <c r="B62" i="21"/>
  <c r="C13" i="20"/>
  <c r="D13" i="20" s="1"/>
  <c r="D5" i="20"/>
  <c r="D6" i="20"/>
  <c r="D7" i="20"/>
  <c r="D8" i="20"/>
  <c r="D9" i="20"/>
  <c r="D10" i="20"/>
  <c r="D4" i="20"/>
  <c r="C10" i="21"/>
  <c r="E10" i="21" s="1" a="1"/>
  <c r="E10" i="21" s="1"/>
  <c r="C15" i="21"/>
  <c r="F15" i="21" s="1" a="1"/>
  <c r="F15" i="21" s="1"/>
  <c r="B19" i="7"/>
  <c r="H78" i="21" a="1"/>
  <c r="H78" i="21" s="1"/>
  <c r="E78" i="21" a="1"/>
  <c r="E78" i="21" s="1"/>
  <c r="F78" i="21" a="1"/>
  <c r="F78" i="21" s="1"/>
  <c r="G78" i="21" a="1"/>
  <c r="G78" i="21" s="1"/>
  <c r="B40" i="7"/>
  <c r="B28" i="7"/>
  <c r="B7" i="7"/>
  <c r="C14" i="20"/>
  <c r="D14" i="20" s="1"/>
  <c r="B81" i="7"/>
  <c r="B24" i="7"/>
  <c r="A69" i="7"/>
  <c r="B61" i="7"/>
  <c r="A60" i="34"/>
  <c r="A66" i="34"/>
  <c r="A27" i="34"/>
  <c r="A7" i="34"/>
  <c r="A43" i="34"/>
  <c r="A6" i="34"/>
  <c r="A5" i="34"/>
  <c r="A41" i="34"/>
  <c r="A28" i="34"/>
  <c r="A48" i="34"/>
  <c r="A81" i="34"/>
  <c r="A14" i="34"/>
  <c r="A17" i="34"/>
  <c r="B33" i="20"/>
  <c r="A45" i="34"/>
  <c r="A44" i="34"/>
  <c r="A4" i="21"/>
  <c r="A11" i="34"/>
  <c r="A79" i="7"/>
  <c r="B40" i="21"/>
  <c r="A4" i="7"/>
  <c r="B45" i="21"/>
  <c r="C6" i="21"/>
  <c r="E6" i="21" s="1" a="1"/>
  <c r="E6" i="21" s="1"/>
  <c r="C4" i="20"/>
  <c r="A59" i="7"/>
  <c r="A6" i="7"/>
  <c r="C6" i="20"/>
  <c r="C7" i="20"/>
  <c r="C8" i="20"/>
  <c r="C9" i="20"/>
  <c r="A5" i="7"/>
  <c r="A5" i="21"/>
  <c r="B14" i="21"/>
  <c r="A6" i="21"/>
  <c r="A48" i="7"/>
  <c r="B20" i="21"/>
  <c r="D3" i="20"/>
  <c r="B7" i="43"/>
  <c r="B54" i="21"/>
  <c r="B22" i="21"/>
  <c r="C3" i="20"/>
  <c r="C12" i="20"/>
  <c r="D12" i="20" s="1"/>
  <c r="B71" i="7"/>
  <c r="B76" i="7"/>
  <c r="C11" i="20"/>
  <c r="D11" i="20" s="1"/>
  <c r="B66" i="7"/>
  <c r="C15" i="20"/>
  <c r="D15" i="20" s="1"/>
  <c r="AB45" i="20"/>
  <c r="AB46" i="20"/>
  <c r="B70" i="21"/>
  <c r="B80" i="21"/>
  <c r="B59" i="21"/>
  <c r="B49" i="21"/>
  <c r="B30" i="21"/>
  <c r="B44" i="21"/>
  <c r="B42" i="21"/>
  <c r="B6" i="21"/>
  <c r="B11" i="21"/>
  <c r="B18" i="21"/>
  <c r="B69" i="21"/>
  <c r="I7" i="32"/>
  <c r="A59" i="21"/>
  <c r="I6" i="32"/>
  <c r="I5" i="32"/>
  <c r="AB50" i="20"/>
  <c r="AB47" i="20"/>
  <c r="AB42" i="20"/>
  <c r="AB52" i="20"/>
  <c r="AB39" i="20"/>
  <c r="AB40" i="20"/>
  <c r="AB37" i="20"/>
  <c r="AB43" i="20"/>
  <c r="AB38" i="20"/>
  <c r="AB49" i="20"/>
  <c r="F29" i="20"/>
  <c r="B5" i="43"/>
  <c r="B12" i="7"/>
  <c r="C12" i="21"/>
  <c r="B20" i="7"/>
  <c r="B22" i="7"/>
  <c r="B30" i="7"/>
  <c r="B6" i="43"/>
  <c r="B42" i="7"/>
  <c r="B44" i="7"/>
  <c r="B47" i="7"/>
  <c r="B49" i="7"/>
  <c r="B51" i="7"/>
  <c r="B58" i="7"/>
  <c r="B60" i="7"/>
  <c r="B62" i="7"/>
  <c r="B70" i="7"/>
  <c r="B73" i="7"/>
  <c r="B79" i="7"/>
  <c r="B3" i="43"/>
  <c r="B4" i="43"/>
  <c r="B59" i="7"/>
  <c r="B3" i="7"/>
  <c r="B9" i="43"/>
  <c r="B11" i="7"/>
  <c r="C11" i="21"/>
  <c r="B8" i="43"/>
  <c r="B18" i="7"/>
  <c r="C18" i="21"/>
  <c r="B46" i="7"/>
  <c r="C5" i="20"/>
  <c r="W31" i="8"/>
  <c r="A53" i="21"/>
  <c r="A33" i="7"/>
  <c r="A9" i="21"/>
  <c r="A9" i="7"/>
  <c r="A72" i="7"/>
  <c r="A71" i="21"/>
  <c r="B66" i="21"/>
  <c r="A14" i="7"/>
  <c r="A56" i="7"/>
  <c r="A33" i="21"/>
  <c r="B51" i="21"/>
  <c r="A73" i="21"/>
  <c r="A24" i="21"/>
  <c r="B53" i="21"/>
  <c r="B77" i="21"/>
  <c r="B39" i="21"/>
  <c r="B50" i="21"/>
  <c r="B36" i="21"/>
  <c r="A67" i="7"/>
  <c r="A17" i="7"/>
  <c r="A40" i="7"/>
  <c r="A66" i="7"/>
  <c r="A3" i="43"/>
  <c r="A54" i="7"/>
  <c r="A4" i="43"/>
  <c r="A8" i="21"/>
  <c r="A5" i="43"/>
  <c r="A6" i="43"/>
  <c r="A38" i="7"/>
  <c r="A16" i="21"/>
  <c r="A71" i="7"/>
  <c r="A21" i="7"/>
  <c r="A50" i="7"/>
  <c r="A52" i="21"/>
  <c r="A34" i="21"/>
  <c r="A40" i="21"/>
  <c r="A38" i="21"/>
  <c r="B32" i="21"/>
  <c r="B43" i="21"/>
  <c r="B25" i="21"/>
  <c r="B12" i="21"/>
  <c r="B17" i="21"/>
  <c r="B21" i="21"/>
  <c r="B35" i="21"/>
  <c r="B9" i="21"/>
  <c r="B19" i="21"/>
  <c r="B15" i="21"/>
  <c r="F30" i="20"/>
  <c r="B29" i="20" s="1"/>
  <c r="F33" i="20"/>
  <c r="F31" i="20"/>
  <c r="F28" i="20"/>
  <c r="B28" i="20" s="1"/>
  <c r="F32" i="20"/>
  <c r="A16" i="7"/>
  <c r="B33" i="21"/>
  <c r="A55" i="7"/>
  <c r="A37" i="7"/>
  <c r="A55" i="21"/>
  <c r="A66" i="21"/>
  <c r="B10" i="21"/>
  <c r="B13" i="21"/>
  <c r="A7" i="7"/>
  <c r="A7" i="21"/>
  <c r="B64" i="21"/>
  <c r="B68" i="21"/>
  <c r="B73" i="21"/>
  <c r="B71" i="21"/>
  <c r="B38" i="21"/>
  <c r="J16" i="20"/>
  <c r="V5" i="54"/>
  <c r="H4" i="21" a="1"/>
  <c r="H4" i="21" s="1"/>
  <c r="B28" i="21"/>
  <c r="B55" i="21"/>
  <c r="A42" i="21"/>
  <c r="B48" i="21"/>
  <c r="A67" i="21"/>
  <c r="A42" i="7"/>
  <c r="B67" i="21"/>
  <c r="B58" i="21"/>
  <c r="E81" i="21" a="1"/>
  <c r="E81" i="21" s="1"/>
  <c r="B65" i="21"/>
  <c r="B34" i="21"/>
  <c r="B47" i="21"/>
  <c r="A58" i="21"/>
  <c r="A58" i="7"/>
  <c r="B7" i="21"/>
  <c r="A65" i="21"/>
  <c r="B72" i="21"/>
  <c r="B76" i="21"/>
  <c r="B27" i="21"/>
  <c r="W5" i="54"/>
  <c r="A78" i="7"/>
  <c r="A68" i="21"/>
  <c r="A65" i="7"/>
  <c r="A54" i="21"/>
  <c r="A45" i="21"/>
  <c r="A17" i="21"/>
  <c r="A39" i="21"/>
  <c r="A34" i="7"/>
  <c r="C15" i="46"/>
  <c r="B24" i="21"/>
  <c r="B26" i="21"/>
  <c r="B4" i="21"/>
  <c r="A57" i="7"/>
  <c r="B57" i="21"/>
  <c r="B8" i="21"/>
  <c r="B37" i="21"/>
  <c r="B16" i="21"/>
  <c r="A19" i="7"/>
  <c r="B52" i="21"/>
  <c r="B79" i="21"/>
  <c r="E17" i="21" a="1"/>
  <c r="E17" i="21" s="1"/>
  <c r="A68" i="7"/>
  <c r="A14" i="21"/>
  <c r="A15" i="21"/>
  <c r="A39" i="7"/>
  <c r="A45" i="7"/>
  <c r="A50" i="21"/>
  <c r="A27" i="7"/>
  <c r="A24" i="7"/>
  <c r="A56" i="21"/>
  <c r="A64" i="7"/>
  <c r="A8" i="7"/>
  <c r="A37" i="21"/>
  <c r="A72" i="21"/>
  <c r="A43" i="21"/>
  <c r="A76" i="21"/>
  <c r="A21" i="21"/>
  <c r="G81" i="21" a="1"/>
  <c r="G81" i="21" s="1"/>
  <c r="G9" i="21" a="1"/>
  <c r="G9" i="21" s="1"/>
  <c r="H81" i="21" a="1"/>
  <c r="H81" i="21" s="1"/>
  <c r="H9" i="21" a="1"/>
  <c r="H9" i="21" s="1"/>
  <c r="F54" i="21" a="1"/>
  <c r="F54" i="21" s="1"/>
  <c r="G37" i="21" a="1"/>
  <c r="G37" i="21" s="1"/>
  <c r="E9" i="21" a="1"/>
  <c r="E9" i="21" s="1"/>
  <c r="G17" i="21" a="1"/>
  <c r="G17" i="21" s="1"/>
  <c r="F17" i="21" a="1"/>
  <c r="F17" i="21" s="1"/>
  <c r="B56" i="21"/>
  <c r="B41" i="21"/>
  <c r="C48" i="46"/>
  <c r="C56" i="46"/>
  <c r="B4" i="46"/>
  <c r="C4" i="46"/>
  <c r="D11" i="46"/>
  <c r="E12" i="46" s="1"/>
  <c r="D5" i="46"/>
  <c r="D3" i="46"/>
  <c r="G31" i="21" l="1" a="1"/>
  <c r="G31" i="21" s="1"/>
  <c r="F31" i="21" a="1"/>
  <c r="F31" i="21" s="1"/>
  <c r="H31" i="21" a="1"/>
  <c r="H31" i="21" s="1"/>
  <c r="F24" i="21" a="1"/>
  <c r="F24" i="21" s="1"/>
  <c r="G79" i="21" a="1"/>
  <c r="G79" i="21" s="1"/>
  <c r="F23" i="21" a="1"/>
  <c r="F23" i="21" s="1"/>
  <c r="E72" i="21" a="1"/>
  <c r="E72" i="21" s="1"/>
  <c r="E14" i="21" a="1"/>
  <c r="E14" i="21" s="1"/>
  <c r="G40" i="21" a="1"/>
  <c r="G40" i="21" s="1"/>
  <c r="F40" i="21" a="1"/>
  <c r="F40" i="21" s="1"/>
  <c r="E23" i="21" a="1"/>
  <c r="E23" i="21" s="1"/>
  <c r="G54" i="21" a="1"/>
  <c r="G54" i="21" s="1"/>
  <c r="G4" i="21" a="1"/>
  <c r="G4" i="21" s="1"/>
  <c r="G14" i="21" a="1"/>
  <c r="G14" i="21" s="1"/>
  <c r="G19" i="21" a="1"/>
  <c r="G19" i="21" s="1"/>
  <c r="H23" i="21" a="1"/>
  <c r="H23" i="21" s="1"/>
  <c r="H16" i="21" a="1"/>
  <c r="H16" i="21" s="1"/>
  <c r="G16" i="21" a="1"/>
  <c r="G16" i="21" s="1"/>
  <c r="G25" i="21" a="1"/>
  <c r="G25" i="21" s="1"/>
  <c r="E16" i="21" a="1"/>
  <c r="E16" i="21" s="1"/>
  <c r="H40" i="21" a="1"/>
  <c r="H40" i="21" s="1"/>
  <c r="E8" i="21" a="1"/>
  <c r="E8" i="21" s="1"/>
  <c r="H28" i="21" a="1"/>
  <c r="H28" i="21" s="1"/>
  <c r="H43" i="21" a="1"/>
  <c r="H43" i="21" s="1"/>
  <c r="G8" i="21" a="1"/>
  <c r="G8" i="21" s="1"/>
  <c r="H8" i="21" a="1"/>
  <c r="H8" i="21" s="1"/>
  <c r="G45" i="21" a="1"/>
  <c r="G45" i="21" s="1"/>
  <c r="E50" i="21" a="1"/>
  <c r="E50" i="21" s="1"/>
  <c r="G68" i="21" a="1"/>
  <c r="G68" i="21" s="1"/>
  <c r="G15" i="21" a="1"/>
  <c r="G15" i="21" s="1"/>
  <c r="E71" i="21" a="1"/>
  <c r="E71" i="21" s="1"/>
  <c r="F57" i="21" a="1"/>
  <c r="F57" i="21" s="1"/>
  <c r="G57" i="21" a="1"/>
  <c r="G57" i="21" s="1"/>
  <c r="H27" i="21" a="1"/>
  <c r="H27" i="21" s="1"/>
  <c r="E32" i="21" a="1"/>
  <c r="E32" i="21" s="1"/>
  <c r="H73" i="21" a="1"/>
  <c r="H73" i="21" s="1"/>
  <c r="F32" i="21" a="1"/>
  <c r="F32" i="21" s="1"/>
  <c r="F35" i="21" a="1"/>
  <c r="F35" i="21" s="1"/>
  <c r="G35" i="21" a="1"/>
  <c r="G35" i="21" s="1"/>
  <c r="E43" i="21" a="1"/>
  <c r="E43" i="21" s="1"/>
  <c r="E68" i="21" a="1"/>
  <c r="E68" i="21" s="1"/>
  <c r="F73" i="21" a="1"/>
  <c r="F73" i="21" s="1"/>
  <c r="F36" i="21" a="1"/>
  <c r="F36" i="21" s="1"/>
  <c r="E34" i="21" a="1"/>
  <c r="E34" i="21" s="1"/>
  <c r="E37" i="21" a="1"/>
  <c r="E37" i="21" s="1"/>
  <c r="G36" i="21" a="1"/>
  <c r="G36" i="21" s="1"/>
  <c r="F65" i="21" a="1"/>
  <c r="F65" i="21" s="1"/>
  <c r="E4" i="21" a="1"/>
  <c r="E4" i="21" s="1"/>
  <c r="F41" i="21" a="1"/>
  <c r="F41" i="21" s="1"/>
  <c r="H74" i="21" a="1"/>
  <c r="H74" i="21" s="1"/>
  <c r="H5" i="21" a="1"/>
  <c r="H5" i="21" s="1"/>
  <c r="G5" i="21" a="1"/>
  <c r="G5" i="21" s="1"/>
  <c r="F5" i="21" a="1"/>
  <c r="F5" i="21" s="1"/>
  <c r="E5" i="21" a="1"/>
  <c r="E5" i="21" s="1"/>
  <c r="G32" i="21" a="1"/>
  <c r="G32" i="21" s="1"/>
  <c r="F55" i="21" a="1"/>
  <c r="F55" i="21" s="1"/>
  <c r="H79" i="21" a="1"/>
  <c r="H79" i="21" s="1"/>
  <c r="H10" i="21" a="1"/>
  <c r="H10" i="21" s="1"/>
  <c r="H68" i="21" a="1"/>
  <c r="H68" i="21" s="1"/>
  <c r="F79" i="21" a="1"/>
  <c r="F79" i="21" s="1"/>
  <c r="F43" i="21" a="1"/>
  <c r="F43" i="21" s="1"/>
  <c r="F67" i="21" a="1"/>
  <c r="F67" i="21" s="1"/>
  <c r="F72" i="21" a="1"/>
  <c r="F72" i="21" s="1"/>
  <c r="F7" i="21" a="1"/>
  <c r="F7" i="21" s="1"/>
  <c r="H72" i="21" a="1"/>
  <c r="H72" i="21" s="1"/>
  <c r="G13" i="21" a="1"/>
  <c r="G13" i="21" s="1"/>
  <c r="F10" i="21" a="1"/>
  <c r="F10" i="21" s="1"/>
  <c r="G10" i="21" a="1"/>
  <c r="G10" i="21" s="1"/>
  <c r="G48" i="21" a="1"/>
  <c r="G48" i="21" s="1"/>
  <c r="F6" i="21" a="1"/>
  <c r="F6" i="21" s="1"/>
  <c r="E7" i="21" a="1"/>
  <c r="E7" i="21" s="1"/>
  <c r="E13" i="21" a="1"/>
  <c r="E13" i="21" s="1"/>
  <c r="L9" i="80"/>
  <c r="H67" i="21" a="1"/>
  <c r="H67" i="21" s="1"/>
  <c r="E67" i="21" a="1"/>
  <c r="E67" i="21" s="1"/>
  <c r="E15" i="21" a="1"/>
  <c r="E15" i="21" s="1"/>
  <c r="H15" i="21" a="1"/>
  <c r="H15" i="21" s="1"/>
  <c r="F64" i="21" a="1"/>
  <c r="F64" i="21" s="1"/>
  <c r="F19" i="21" a="1"/>
  <c r="F19" i="21" s="1"/>
  <c r="E65" i="21" a="1"/>
  <c r="E65" i="21" s="1"/>
  <c r="H13" i="21" a="1"/>
  <c r="H13" i="21" s="1"/>
  <c r="E55" i="21" a="1"/>
  <c r="E55" i="21" s="1"/>
  <c r="G21" i="21" a="1"/>
  <c r="G21" i="21" s="1"/>
  <c r="G7" i="21" a="1"/>
  <c r="G7" i="21" s="1"/>
  <c r="F38" i="21" a="1"/>
  <c r="F38" i="21" s="1"/>
  <c r="E64" i="21" a="1"/>
  <c r="E64" i="21" s="1"/>
  <c r="E33" i="21" a="1"/>
  <c r="E33" i="21" s="1"/>
  <c r="H21" i="21" a="1"/>
  <c r="H21" i="21" s="1"/>
  <c r="F26" i="21" a="1"/>
  <c r="F26" i="21" s="1"/>
  <c r="G77" i="21" a="1"/>
  <c r="G77" i="21" s="1"/>
  <c r="H48" i="21" a="1"/>
  <c r="H48" i="21" s="1"/>
  <c r="G39" i="21" a="1"/>
  <c r="G39" i="21" s="1"/>
  <c r="H55" i="21" a="1"/>
  <c r="H55" i="21" s="1"/>
  <c r="F39" i="21" a="1"/>
  <c r="F39" i="21" s="1"/>
  <c r="G64" i="21" a="1"/>
  <c r="G64" i="21" s="1"/>
  <c r="H65" i="21" a="1"/>
  <c r="H65" i="21" s="1"/>
  <c r="F21" i="21" a="1"/>
  <c r="F21" i="21" s="1"/>
  <c r="H33" i="21" a="1"/>
  <c r="H33" i="21" s="1"/>
  <c r="H39" i="21" a="1"/>
  <c r="H39" i="21" s="1"/>
  <c r="E76" i="21" a="1"/>
  <c r="E76" i="21" s="1"/>
  <c r="F33" i="21" a="1"/>
  <c r="F33" i="21" s="1"/>
  <c r="E19" i="21" a="1"/>
  <c r="E19" i="21" s="1"/>
  <c r="F76" i="21" a="1"/>
  <c r="F76" i="21" s="1"/>
  <c r="E48" i="21" a="1"/>
  <c r="E48" i="21" s="1"/>
  <c r="K9" i="80"/>
  <c r="R15" i="20"/>
  <c r="S5" i="20"/>
  <c r="G6" i="21" a="1"/>
  <c r="G6" i="21" s="1"/>
  <c r="F74" i="21" a="1"/>
  <c r="F74" i="21" s="1"/>
  <c r="F34" i="21" a="1"/>
  <c r="F34" i="21" s="1"/>
  <c r="H6" i="21" a="1"/>
  <c r="H6" i="21" s="1"/>
  <c r="F45" i="21" a="1"/>
  <c r="F45" i="21" s="1"/>
  <c r="E54" i="21" a="1"/>
  <c r="E54" i="21" s="1"/>
  <c r="H45" i="21" a="1"/>
  <c r="H45" i="21" s="1"/>
  <c r="F27" i="21" a="1"/>
  <c r="F27" i="21" s="1"/>
  <c r="H24" i="21" a="1"/>
  <c r="H24" i="21" s="1"/>
  <c r="G27" i="21" a="1"/>
  <c r="G27" i="21" s="1"/>
  <c r="H37" i="21" a="1"/>
  <c r="H37" i="21" s="1"/>
  <c r="F53" i="21" a="1"/>
  <c r="F53" i="21" s="1"/>
  <c r="G53" i="21" a="1"/>
  <c r="G53" i="21" s="1"/>
  <c r="E28" i="21" a="1"/>
  <c r="E28" i="21" s="1"/>
  <c r="H41" i="21" a="1"/>
  <c r="H41" i="21" s="1"/>
  <c r="F28" i="21" a="1"/>
  <c r="F28" i="21" s="1"/>
  <c r="F56" i="21" a="1"/>
  <c r="F56" i="21" s="1"/>
  <c r="G34" i="21" a="1"/>
  <c r="G34" i="21" s="1"/>
  <c r="E73" i="21" a="1"/>
  <c r="E73" i="21" s="1"/>
  <c r="E41" i="21" a="1"/>
  <c r="E41" i="21" s="1"/>
  <c r="H53" i="21" a="1"/>
  <c r="H53" i="21" s="1"/>
  <c r="E36" i="21" a="1"/>
  <c r="E36" i="21" s="1"/>
  <c r="F71" i="21" a="1"/>
  <c r="F71" i="21" s="1"/>
  <c r="H71" i="21" a="1"/>
  <c r="H71" i="21" s="1"/>
  <c r="F14" i="21" a="1"/>
  <c r="F14" i="21" s="1"/>
  <c r="F50" i="21" a="1"/>
  <c r="F50" i="21" s="1"/>
  <c r="G76" i="21" a="1"/>
  <c r="G76" i="21" s="1"/>
  <c r="E24" i="21" a="1"/>
  <c r="E24" i="21" s="1"/>
  <c r="H50" i="21" a="1"/>
  <c r="H50" i="21" s="1"/>
  <c r="E57" i="21" a="1"/>
  <c r="E57" i="21" s="1"/>
  <c r="E74" i="21" a="1"/>
  <c r="E74" i="21" s="1"/>
  <c r="E35" i="21" a="1"/>
  <c r="E35" i="21" s="1"/>
  <c r="S37" i="20"/>
  <c r="H75" i="21" a="1"/>
  <c r="H75" i="21" s="1"/>
  <c r="S9" i="20"/>
  <c r="G75" i="21" a="1"/>
  <c r="G75" i="21" s="1"/>
  <c r="H25" i="21" a="1"/>
  <c r="H25" i="21" s="1"/>
  <c r="F52" i="21" a="1"/>
  <c r="F52" i="21" s="1"/>
  <c r="F75" i="21" a="1"/>
  <c r="F75" i="21" s="1"/>
  <c r="F25" i="21" a="1"/>
  <c r="F25" i="21" s="1"/>
  <c r="E26" i="21" a="1"/>
  <c r="E26" i="21" s="1"/>
  <c r="H52" i="21" a="1"/>
  <c r="H52" i="21" s="1"/>
  <c r="E52" i="21" a="1"/>
  <c r="E52" i="21" s="1"/>
  <c r="H26" i="21" a="1"/>
  <c r="H26" i="21" s="1"/>
  <c r="L8" i="80"/>
  <c r="K8" i="80"/>
  <c r="L7" i="80"/>
  <c r="K7" i="80"/>
  <c r="L6" i="80"/>
  <c r="K6" i="80"/>
  <c r="L5" i="80"/>
  <c r="K5" i="80"/>
  <c r="L4" i="80"/>
  <c r="K4" i="80"/>
  <c r="L3" i="80"/>
  <c r="K3" i="80"/>
  <c r="G56" i="21" a="1"/>
  <c r="G56" i="21" s="1"/>
  <c r="H56" i="21" a="1"/>
  <c r="H56" i="21" s="1"/>
  <c r="H38" i="21" a="1"/>
  <c r="H38" i="21" s="1"/>
  <c r="E38" i="21" a="1"/>
  <c r="E38" i="21" s="1"/>
  <c r="W48" i="20"/>
  <c r="E46" i="21" a="1"/>
  <c r="E46" i="21" s="1"/>
  <c r="F46" i="21" a="1"/>
  <c r="F46" i="21" s="1"/>
  <c r="G46" i="21" a="1"/>
  <c r="G46" i="21" s="1"/>
  <c r="H46" i="21" a="1"/>
  <c r="H46" i="21" s="1"/>
  <c r="W38" i="20"/>
  <c r="W39" i="20"/>
  <c r="W40" i="20"/>
  <c r="W41" i="20"/>
  <c r="W42" i="20"/>
  <c r="W43" i="20"/>
  <c r="W44" i="20"/>
  <c r="W45" i="20"/>
  <c r="W46" i="20"/>
  <c r="W47" i="20"/>
  <c r="W37" i="20"/>
  <c r="O66" i="20"/>
  <c r="K66" i="20"/>
  <c r="O55" i="20"/>
  <c r="O56" i="20"/>
  <c r="O57" i="20"/>
  <c r="O58" i="20"/>
  <c r="O59" i="20"/>
  <c r="O60" i="20"/>
  <c r="O61" i="20"/>
  <c r="O62" i="20"/>
  <c r="O63" i="20"/>
  <c r="O64" i="20"/>
  <c r="O65" i="20"/>
  <c r="K55" i="20"/>
  <c r="K48" i="20"/>
  <c r="K56" i="20"/>
  <c r="K57" i="20"/>
  <c r="K58" i="20"/>
  <c r="K59" i="20"/>
  <c r="K60" i="20"/>
  <c r="K61" i="20"/>
  <c r="K62" i="20"/>
  <c r="K63" i="20"/>
  <c r="K64" i="20"/>
  <c r="K65" i="20"/>
  <c r="S48" i="20"/>
  <c r="K37" i="20"/>
  <c r="O48" i="20"/>
  <c r="S38" i="20"/>
  <c r="S39" i="20"/>
  <c r="S40" i="20"/>
  <c r="S41" i="20"/>
  <c r="S42" i="20"/>
  <c r="S43" i="20"/>
  <c r="S44" i="20"/>
  <c r="S45" i="20"/>
  <c r="S46" i="20"/>
  <c r="S47" i="20"/>
  <c r="O37" i="20"/>
  <c r="O38" i="20"/>
  <c r="O39" i="20"/>
  <c r="O40" i="20"/>
  <c r="O41" i="20"/>
  <c r="O42" i="20"/>
  <c r="O43" i="20"/>
  <c r="O44" i="20"/>
  <c r="O45" i="20"/>
  <c r="O46" i="20"/>
  <c r="O47" i="20"/>
  <c r="K38" i="20"/>
  <c r="K39" i="20"/>
  <c r="K40" i="20"/>
  <c r="K41" i="20"/>
  <c r="K42" i="20"/>
  <c r="K43" i="20"/>
  <c r="K44" i="20"/>
  <c r="K45" i="20"/>
  <c r="K46" i="20"/>
  <c r="K47" i="20"/>
  <c r="K7" i="20"/>
  <c r="I7" i="20"/>
  <c r="J10" i="20"/>
  <c r="R8" i="20"/>
  <c r="H61" i="21" a="1"/>
  <c r="H61" i="21" s="1"/>
  <c r="E61" i="21" a="1"/>
  <c r="E61" i="21" s="1"/>
  <c r="F61" i="21" a="1"/>
  <c r="F61" i="21" s="1"/>
  <c r="G61" i="21" a="1"/>
  <c r="G61" i="21" s="1"/>
  <c r="B30" i="20"/>
  <c r="C10" i="20"/>
  <c r="S10" i="20"/>
  <c r="L7" i="20"/>
  <c r="K10" i="20"/>
  <c r="O10" i="20"/>
  <c r="F15" i="54" s="1"/>
  <c r="U8" i="20"/>
  <c r="Y8" i="20"/>
  <c r="R10" i="20"/>
  <c r="F66" i="21" a="1"/>
  <c r="F66" i="21" s="1"/>
  <c r="H77" i="21" a="1"/>
  <c r="H77" i="21" s="1"/>
  <c r="N5" i="20"/>
  <c r="R7" i="20"/>
  <c r="I8" i="20"/>
  <c r="R6" i="20"/>
  <c r="N7" i="20"/>
  <c r="H66" i="21" a="1"/>
  <c r="H66" i="21" s="1"/>
  <c r="U5" i="20"/>
  <c r="K8" i="20"/>
  <c r="Y9" i="20"/>
  <c r="T9" i="20"/>
  <c r="I5" i="20"/>
  <c r="R5" i="20"/>
  <c r="I6" i="20"/>
  <c r="X7" i="20"/>
  <c r="L6" i="20"/>
  <c r="X8" i="20"/>
  <c r="U9" i="20"/>
  <c r="N8" i="20"/>
  <c r="T5" i="20"/>
  <c r="J8" i="20"/>
  <c r="R9" i="20"/>
  <c r="K6" i="20"/>
  <c r="X9" i="20"/>
  <c r="K9" i="20"/>
  <c r="X5" i="20"/>
  <c r="S6" i="20"/>
  <c r="T6" i="20"/>
  <c r="U6" i="20"/>
  <c r="L9" i="20"/>
  <c r="S7" i="20"/>
  <c r="J6" i="20"/>
  <c r="T7" i="20"/>
  <c r="X10" i="20"/>
  <c r="L5" i="20"/>
  <c r="J9" i="20"/>
  <c r="O7" i="20"/>
  <c r="C15" i="54" s="1"/>
  <c r="U7" i="20"/>
  <c r="Y5" i="20"/>
  <c r="Y10" i="20"/>
  <c r="O6" i="20"/>
  <c r="B15" i="54" s="1"/>
  <c r="I9" i="20"/>
  <c r="F77" i="21" a="1"/>
  <c r="F77" i="21" s="1"/>
  <c r="J7" i="20"/>
  <c r="N6" i="20"/>
  <c r="L8" i="20"/>
  <c r="X6" i="20"/>
  <c r="N9" i="20"/>
  <c r="N10" i="20"/>
  <c r="T10" i="20"/>
  <c r="O5" i="20"/>
  <c r="A15" i="54" s="1"/>
  <c r="K5" i="20"/>
  <c r="I10" i="20"/>
  <c r="O8" i="20"/>
  <c r="D15" i="54" s="1"/>
  <c r="S8" i="20"/>
  <c r="Y6" i="20"/>
  <c r="U10" i="20"/>
  <c r="N65" i="20"/>
  <c r="J5" i="20"/>
  <c r="L10" i="20"/>
  <c r="O9" i="20"/>
  <c r="E15" i="54" s="1"/>
  <c r="T8" i="20"/>
  <c r="Y7" i="20"/>
  <c r="G66" i="21" a="1"/>
  <c r="G66" i="21" s="1"/>
  <c r="B9" i="46"/>
  <c r="D9" i="46" s="1"/>
  <c r="E9" i="46" s="1"/>
  <c r="B7" i="46"/>
  <c r="D7" i="46" s="1"/>
  <c r="E7" i="46" s="1"/>
  <c r="B8" i="46"/>
  <c r="D8" i="46" s="1"/>
  <c r="E8" i="46" s="1"/>
  <c r="E18" i="21" a="1"/>
  <c r="E18" i="21" s="1"/>
  <c r="F18" i="21" a="1"/>
  <c r="F18" i="21" s="1"/>
  <c r="H18" i="21" a="1"/>
  <c r="H18" i="21" s="1"/>
  <c r="G18" i="21" a="1"/>
  <c r="G18" i="21" s="1"/>
  <c r="E11" i="21" a="1"/>
  <c r="E11" i="21" s="1"/>
  <c r="F11" i="21" a="1"/>
  <c r="F11" i="21" s="1"/>
  <c r="G11" i="21" a="1"/>
  <c r="G11" i="21" s="1"/>
  <c r="H11" i="21" a="1"/>
  <c r="H11" i="21" s="1"/>
  <c r="F3" i="21" a="1"/>
  <c r="F3" i="21" s="1"/>
  <c r="H3" i="21" a="1"/>
  <c r="H3" i="21" s="1"/>
  <c r="G3" i="21" a="1"/>
  <c r="G3" i="21" s="1"/>
  <c r="E3" i="21" a="1"/>
  <c r="E3" i="21" s="1"/>
  <c r="E59" i="21" a="1"/>
  <c r="E59" i="21" s="1"/>
  <c r="F59" i="21" a="1"/>
  <c r="F59" i="21" s="1"/>
  <c r="H59" i="21" a="1"/>
  <c r="H59" i="21" s="1"/>
  <c r="G59" i="21" a="1"/>
  <c r="G59" i="21" s="1"/>
  <c r="E80" i="21" a="1"/>
  <c r="E80" i="21" s="1"/>
  <c r="F80" i="21" a="1"/>
  <c r="F80" i="21" s="1"/>
  <c r="G80" i="21" a="1"/>
  <c r="G80" i="21" s="1"/>
  <c r="H80" i="21" a="1"/>
  <c r="H80" i="21" s="1"/>
  <c r="H70" i="21" a="1"/>
  <c r="H70" i="21" s="1"/>
  <c r="F70" i="21" a="1"/>
  <c r="F70" i="21" s="1"/>
  <c r="G70" i="21" a="1"/>
  <c r="G70" i="21" s="1"/>
  <c r="E70" i="21" a="1"/>
  <c r="E70" i="21" s="1"/>
  <c r="E62" i="21" a="1"/>
  <c r="E62" i="21" s="1"/>
  <c r="F62" i="21" a="1"/>
  <c r="F62" i="21" s="1"/>
  <c r="H62" i="21" a="1"/>
  <c r="H62" i="21" s="1"/>
  <c r="G62" i="21" a="1"/>
  <c r="G62" i="21" s="1"/>
  <c r="G60" i="21" a="1"/>
  <c r="G60" i="21" s="1"/>
  <c r="F60" i="21" a="1"/>
  <c r="F60" i="21" s="1"/>
  <c r="E60" i="21" a="1"/>
  <c r="E60" i="21" s="1"/>
  <c r="H60" i="21" a="1"/>
  <c r="H60" i="21" s="1"/>
  <c r="H58" i="21" a="1"/>
  <c r="H58" i="21" s="1"/>
  <c r="G58" i="21" a="1"/>
  <c r="G58" i="21" s="1"/>
  <c r="F58" i="21" a="1"/>
  <c r="F58" i="21" s="1"/>
  <c r="E58" i="21" a="1"/>
  <c r="E58" i="21" s="1"/>
  <c r="G51" i="21" a="1"/>
  <c r="G51" i="21" s="1"/>
  <c r="H51" i="21" a="1"/>
  <c r="H51" i="21" s="1"/>
  <c r="E51" i="21" a="1"/>
  <c r="E51" i="21" s="1"/>
  <c r="F51" i="21" a="1"/>
  <c r="F51" i="21" s="1"/>
  <c r="H49" i="21" a="1"/>
  <c r="H49" i="21" s="1"/>
  <c r="G49" i="21" a="1"/>
  <c r="G49" i="21" s="1"/>
  <c r="F49" i="21" a="1"/>
  <c r="F49" i="21" s="1"/>
  <c r="E49" i="21" a="1"/>
  <c r="E49" i="21" s="1"/>
  <c r="F47" i="21" a="1"/>
  <c r="F47" i="21" s="1"/>
  <c r="H47" i="21" a="1"/>
  <c r="H47" i="21" s="1"/>
  <c r="E47" i="21" a="1"/>
  <c r="E47" i="21" s="1"/>
  <c r="G47" i="21" a="1"/>
  <c r="G47" i="21" s="1"/>
  <c r="E44" i="21" a="1"/>
  <c r="E44" i="21" s="1"/>
  <c r="H44" i="21" a="1"/>
  <c r="H44" i="21" s="1"/>
  <c r="G44" i="21" a="1"/>
  <c r="G44" i="21" s="1"/>
  <c r="F44" i="21" a="1"/>
  <c r="F44" i="21" s="1"/>
  <c r="E42" i="21" a="1"/>
  <c r="E42" i="21" s="1"/>
  <c r="F42" i="21" a="1"/>
  <c r="F42" i="21" s="1"/>
  <c r="G42" i="21" a="1"/>
  <c r="G42" i="21" s="1"/>
  <c r="H42" i="21" a="1"/>
  <c r="H42" i="21" s="1"/>
  <c r="E30" i="21" a="1"/>
  <c r="E30" i="21" s="1"/>
  <c r="G30" i="21" a="1"/>
  <c r="G30" i="21" s="1"/>
  <c r="F30" i="21" a="1"/>
  <c r="F30" i="21" s="1"/>
  <c r="H30" i="21" a="1"/>
  <c r="H30" i="21" s="1"/>
  <c r="F22" i="21" a="1"/>
  <c r="F22" i="21" s="1"/>
  <c r="E22" i="21" a="1"/>
  <c r="E22" i="21" s="1"/>
  <c r="H22" i="21" a="1"/>
  <c r="H22" i="21" s="1"/>
  <c r="G22" i="21" a="1"/>
  <c r="G22" i="21" s="1"/>
  <c r="G20" i="21" a="1"/>
  <c r="G20" i="21" s="1"/>
  <c r="E20" i="21" a="1"/>
  <c r="E20" i="21" s="1"/>
  <c r="F20" i="21" a="1"/>
  <c r="F20" i="21" s="1"/>
  <c r="H20" i="21" a="1"/>
  <c r="H20" i="21" s="1"/>
  <c r="E12" i="21" a="1"/>
  <c r="E12" i="21" s="1"/>
  <c r="F12" i="21" a="1"/>
  <c r="F12" i="21" s="1"/>
  <c r="G12" i="21" a="1"/>
  <c r="G12" i="21" s="1"/>
  <c r="H12" i="21" a="1"/>
  <c r="H12" i="21" s="1"/>
  <c r="Z20" i="20"/>
  <c r="U15" i="20"/>
  <c r="X15" i="20"/>
  <c r="R16" i="20"/>
  <c r="U16" i="20"/>
  <c r="X16" i="20"/>
  <c r="R17" i="20"/>
  <c r="U17" i="20"/>
  <c r="X17" i="20"/>
  <c r="R18" i="20"/>
  <c r="U18" i="20"/>
  <c r="X18" i="20"/>
  <c r="R19" i="20"/>
  <c r="U19" i="20"/>
  <c r="X19" i="20"/>
  <c r="R20" i="20"/>
  <c r="U20" i="20"/>
  <c r="X20" i="20"/>
  <c r="S15" i="20"/>
  <c r="V15" i="20"/>
  <c r="Y15" i="20"/>
  <c r="S16" i="20"/>
  <c r="V16" i="20"/>
  <c r="Y16" i="20"/>
  <c r="S17" i="20"/>
  <c r="V17" i="20"/>
  <c r="Y17" i="20"/>
  <c r="S18" i="20"/>
  <c r="V18" i="20"/>
  <c r="Y18" i="20"/>
  <c r="S19" i="20"/>
  <c r="V19" i="20"/>
  <c r="Y19" i="20"/>
  <c r="S20" i="20"/>
  <c r="V20" i="20"/>
  <c r="Y20" i="20"/>
  <c r="T15" i="20"/>
  <c r="W15" i="20"/>
  <c r="Z15" i="20"/>
  <c r="T16" i="20"/>
  <c r="W16" i="20"/>
  <c r="Z16" i="20"/>
  <c r="T17" i="20"/>
  <c r="W17" i="20"/>
  <c r="Z17" i="20"/>
  <c r="T18" i="20"/>
  <c r="W18" i="20"/>
  <c r="Z18" i="20"/>
  <c r="T19" i="20"/>
  <c r="W19" i="20"/>
  <c r="Z19" i="20"/>
  <c r="T20" i="20"/>
  <c r="W20" i="20"/>
  <c r="E6" i="46"/>
  <c r="E10" i="46"/>
  <c r="E13" i="46"/>
  <c r="E5" i="46"/>
  <c r="E11" i="46"/>
  <c r="C33" i="46" a="1"/>
  <c r="C33" i="46" s="1"/>
  <c r="B33" i="46"/>
  <c r="B30" i="46"/>
  <c r="C32" i="46" a="1"/>
  <c r="C32" i="46" s="1"/>
  <c r="B31" i="46"/>
  <c r="C30" i="46" a="1"/>
  <c r="C30" i="46" s="1"/>
  <c r="C34" i="46" a="1"/>
  <c r="C34" i="46" s="1"/>
  <c r="B32" i="46"/>
  <c r="B34" i="46"/>
  <c r="E20" i="46"/>
  <c r="E19" i="46"/>
  <c r="E25" i="46"/>
  <c r="E24" i="46"/>
  <c r="C31" i="46" a="1"/>
  <c r="C31" i="46" s="1"/>
  <c r="D4" i="46"/>
  <c r="E4" i="46" s="1"/>
  <c r="L10" i="80" l="1"/>
  <c r="AB60" i="20"/>
  <c r="U48" i="20"/>
  <c r="V48" i="20" s="1"/>
  <c r="T57" i="20"/>
  <c r="P15" i="20"/>
  <c r="B14" i="46"/>
  <c r="B15" i="46" s="1"/>
  <c r="D15" i="46" s="1"/>
  <c r="E15" i="46" s="1"/>
  <c r="R11" i="20"/>
  <c r="I11" i="20"/>
  <c r="D14" i="46"/>
  <c r="E14" i="46" s="1"/>
  <c r="I66" i="20"/>
  <c r="J66" i="20" s="1"/>
  <c r="P20" i="20"/>
  <c r="P19" i="20"/>
  <c r="P18" i="20"/>
  <c r="P17" i="20"/>
  <c r="P16" i="20"/>
  <c r="I48" i="20"/>
  <c r="Q48" i="20"/>
  <c r="R48" i="20" s="1"/>
  <c r="M48" i="20"/>
  <c r="N48" i="20" s="1"/>
  <c r="M66" i="20"/>
  <c r="N66" i="20" s="1"/>
  <c r="Q66" i="20"/>
  <c r="E21" i="46"/>
  <c r="E22" i="46"/>
  <c r="E23" i="46"/>
  <c r="C26" i="46"/>
  <c r="B26" i="46"/>
  <c r="J48" i="20" l="1"/>
  <c r="T59" i="20" s="1"/>
  <c r="T58" i="20"/>
  <c r="A5" i="54"/>
  <c r="P21" i="20"/>
  <c r="E26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tc={9D4E809A-32F1-412A-ADAB-292A2BDFE7A3}</author>
  </authors>
  <commentList>
    <comment ref="AB67" authorId="0" shapeId="0" xr:uid="{9D4E809A-32F1-412A-ADAB-292A2BDFE7A3}">
      <text>
        <t>[Threaded comment]
Your version of Excel allows you to read this threaded comment; however, any edits to it will get removed if the file is opened in a newer version of Excel. Learn more: https://go.microsoft.com/fwlink/?linkid=870924
Comment:
    Start typing in either the 2nd or 3rd group of numbers for it to search the list correctly.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tc={518D02AC-B815-459A-B06A-21B92EA3C2BF}</author>
  </authors>
  <commentList>
    <comment ref="M2" authorId="0" shapeId="0" xr:uid="{518D02AC-B815-459A-B06A-21B92EA3C2BF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do they need to have taken all of their leave by.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<sst xmlns="http://schemas.openxmlformats.org/spreadsheetml/2006/main" count="4744" uniqueCount="1186">
  <si>
    <t>Owner</t>
  </si>
  <si>
    <t>Description</t>
  </si>
  <si>
    <t>Duty Status</t>
  </si>
  <si>
    <t>Recall Roster</t>
  </si>
  <si>
    <t>Whole Marine</t>
  </si>
  <si>
    <t>Hitlist</t>
  </si>
  <si>
    <t>Billets</t>
  </si>
  <si>
    <t>Completed</t>
  </si>
  <si>
    <t>File/Folder</t>
  </si>
  <si>
    <t>Current Location</t>
  </si>
  <si>
    <t>Action</t>
  </si>
  <si>
    <t>Proposed Location</t>
  </si>
  <si>
    <t>Rational</t>
  </si>
  <si>
    <t>Status</t>
  </si>
  <si>
    <t>Proposed</t>
  </si>
  <si>
    <t>Classes Channel</t>
  </si>
  <si>
    <t>N/A</t>
  </si>
  <si>
    <t>Delete</t>
  </si>
  <si>
    <t>Content already captured in Company Guns Toolbox.</t>
  </si>
  <si>
    <t>CUB PPT</t>
  </si>
  <si>
    <t>CUB Channel</t>
  </si>
  <si>
    <t>Move</t>
  </si>
  <si>
    <t>Company Documents</t>
  </si>
  <si>
    <t>Single file doesn't need channel and would be logically placed in Company Documents.</t>
  </si>
  <si>
    <t>Battle Rhythm</t>
  </si>
  <si>
    <t>Logically placed in Company Documents.</t>
  </si>
  <si>
    <t xml:space="preserve">POTW </t>
  </si>
  <si>
    <t>POTW Historical Renetion</t>
  </si>
  <si>
    <t>DOn't need to view backward like this.</t>
  </si>
  <si>
    <t>Not required, moved to Company Documents</t>
  </si>
  <si>
    <t>Bn Hitlist Copies</t>
  </si>
  <si>
    <t>Can be acquired from Bn’s folders with almost the same number of clicks.</t>
  </si>
  <si>
    <t>MAR Folder</t>
  </si>
  <si>
    <t>General Channel</t>
  </si>
  <si>
    <t>General</t>
  </si>
  <si>
    <t>All in "Activity Reports" folder</t>
  </si>
  <si>
    <t>WAR Folder</t>
  </si>
  <si>
    <t>Training Folder</t>
  </si>
  <si>
    <t>Ops channel has TEEPs, Company Documents channel already has trainging covered.</t>
  </si>
  <si>
    <t>DCO-IDM SOPs</t>
  </si>
  <si>
    <t>Company level SOPs belong in Company Documents</t>
  </si>
  <si>
    <t>Bios - Resumes - Billets</t>
  </si>
  <si>
    <t>These are for CC turnover and etc., but are for company purposes. I don't think anyone has looked at these in a long time. Maybe delete?</t>
  </si>
  <si>
    <t>Company Office Folder</t>
  </si>
  <si>
    <t>Obvious.</t>
  </si>
  <si>
    <t>Leave Templates</t>
  </si>
  <si>
    <t>Only need HARPv2 and Foreign Leave letter template. Rest is a few clicks away in Bn's Folders.</t>
  </si>
  <si>
    <t>Orders, Directives, Knowledge</t>
  </si>
  <si>
    <t>Contents fits with Company Documents.</t>
  </si>
  <si>
    <t>Billet Draft 19Aug22</t>
  </si>
  <si>
    <t>Tracked via DCO_Master_Admin_Tracker</t>
  </si>
  <si>
    <t>SOC_Gear_List</t>
  </si>
  <si>
    <t>This belongs in Company Maintenance Chief folder.</t>
  </si>
  <si>
    <t>Merit Docs Folder</t>
  </si>
  <si>
    <t>Make a 1stSgt Toolbox folder</t>
  </si>
  <si>
    <t>Promotion Panel Folder</t>
  </si>
  <si>
    <t>DCO_Master_Training_Tracker</t>
  </si>
  <si>
    <t>Create</t>
  </si>
  <si>
    <t>Should post the summary workbook IOT coordinate hitlists and screenshots for CUB. Store in Company Clerk folder in Company Documents.</t>
  </si>
  <si>
    <t>Company  PT_RCP Policy</t>
  </si>
  <si>
    <t>HQ</t>
  </si>
  <si>
    <t>Move required documents to Company Documents.</t>
  </si>
  <si>
    <t>Sponsorship Folder</t>
  </si>
  <si>
    <t>These are company level SOPs. Already in Company Documents.</t>
  </si>
  <si>
    <t>DCO_Integration_Brief_to_BC</t>
  </si>
  <si>
    <t>Company Document</t>
  </si>
  <si>
    <t>Past utilization</t>
  </si>
  <si>
    <t>DCO_Master_Admin_Tracker</t>
  </si>
  <si>
    <t>Modify</t>
  </si>
  <si>
    <t>Add crew served weapons to billet tracker</t>
  </si>
  <si>
    <t>Refactor ICO NF and requirements</t>
  </si>
  <si>
    <t>DCO_Master_Tracker_Documentation</t>
  </si>
  <si>
    <t>Update with changes and modifications. Include additional guides and screenshots for MCTIMS pulls/etc.</t>
  </si>
  <si>
    <t>SOP</t>
  </si>
  <si>
    <t>Location</t>
  </si>
  <si>
    <t>RCP</t>
  </si>
  <si>
    <t>1stSgt</t>
  </si>
  <si>
    <t>Company training policy for 3rd class PFT/CFT</t>
  </si>
  <si>
    <t>Customer Engagement</t>
  </si>
  <si>
    <t>3PLT</t>
  </si>
  <si>
    <t>Standardized approaches to customer engagement</t>
  </si>
  <si>
    <t>HARP</t>
  </si>
  <si>
    <t>Lt Barton</t>
  </si>
  <si>
    <t>Update</t>
  </si>
  <si>
    <t>For E-5 and below for 96s and leave</t>
  </si>
  <si>
    <t>Master Admin Tracker</t>
  </si>
  <si>
    <t>Tracking billet assignments</t>
  </si>
  <si>
    <t>SSgt Fair / Lt Barton</t>
  </si>
  <si>
    <t>Tracks all admin taskers/requirements</t>
  </si>
  <si>
    <t>Master Training Tracker</t>
  </si>
  <si>
    <t>Tracks all AN training requirements, get it to work once transfered to a new computer. File path issues?</t>
  </si>
  <si>
    <t>Company ISD</t>
  </si>
  <si>
    <t>ISD for all the apropos numbers/emails</t>
  </si>
  <si>
    <t>JEPES AAR/System</t>
  </si>
  <si>
    <t>1stSgts</t>
  </si>
  <si>
    <t>Left and rights on grading for JEPES and how the comapny will do it going forward.</t>
  </si>
  <si>
    <t>MAT -- Auto Inbound Roster</t>
  </si>
  <si>
    <t>Automatically pull the inbound report</t>
  </si>
  <si>
    <t>MAT -- Auto TAD Reporting</t>
  </si>
  <si>
    <t>SSgt Fair</t>
  </si>
  <si>
    <t>Copy/paste the morning report to automatically fill in the tables/reports we need.</t>
  </si>
  <si>
    <t>Ind Training Guidance -- 1721</t>
  </si>
  <si>
    <t>SSgt Ventura</t>
  </si>
  <si>
    <t>Ind Training Guidance -- 1700</t>
  </si>
  <si>
    <t>Company Education Policy (SANS)</t>
  </si>
  <si>
    <t>MSgt Tomlinson</t>
  </si>
  <si>
    <t>Document the requirements and expectations for the Marines taking the SANS courses.</t>
  </si>
  <si>
    <t>Gear/Equipement SOP</t>
  </si>
  <si>
    <t>1PLT</t>
  </si>
  <si>
    <t>Billet</t>
  </si>
  <si>
    <t>Primary</t>
  </si>
  <si>
    <t>Alternate 1</t>
  </si>
  <si>
    <t>Alternate 2</t>
  </si>
  <si>
    <t>Alternate 3</t>
  </si>
  <si>
    <t>Alternate 4</t>
  </si>
  <si>
    <t>Alternate 5</t>
  </si>
  <si>
    <t>Alternate 6</t>
  </si>
  <si>
    <t>Alternate 7</t>
  </si>
  <si>
    <t>Alternate 8</t>
  </si>
  <si>
    <t>240 Custodian</t>
  </si>
  <si>
    <t>249 Custodian</t>
  </si>
  <si>
    <t>BRKS NCO (Bn)</t>
  </si>
  <si>
    <t>Person is going to PCS/EAS</t>
  </si>
  <si>
    <t>CMCC (Bn)</t>
  </si>
  <si>
    <t>OR</t>
  </si>
  <si>
    <t>Gear/GCSS</t>
  </si>
  <si>
    <t>Looking to remove billet</t>
  </si>
  <si>
    <t>Pubs NCO</t>
  </si>
  <si>
    <t>Mods NCO</t>
  </si>
  <si>
    <t>Maintenance Reps</t>
  </si>
  <si>
    <t>Need to replace (not PCS/EAS)</t>
  </si>
  <si>
    <t>EO (Bn)</t>
  </si>
  <si>
    <t>Equip Man.</t>
  </si>
  <si>
    <t>Blacked out means it doesn't need to be filled or can't have any more</t>
  </si>
  <si>
    <t>Finance (Bn)</t>
  </si>
  <si>
    <t>Force Fitness Instructor</t>
  </si>
  <si>
    <t>Mail Clerk</t>
  </si>
  <si>
    <t>MCWIS (Bn)</t>
  </si>
  <si>
    <t>Motorcycle (Bn)</t>
  </si>
  <si>
    <t>NCO Council</t>
  </si>
  <si>
    <t>New Join Coordinator</t>
  </si>
  <si>
    <t>Safety Rep (Bn)</t>
  </si>
  <si>
    <t>Fire Marshal (Bn)</t>
  </si>
  <si>
    <t>Training NCO</t>
  </si>
  <si>
    <t>UTC/TRS (Bn)</t>
  </si>
  <si>
    <t>UVA (Bn)</t>
  </si>
  <si>
    <t>Voting Rep (Bn)</t>
  </si>
  <si>
    <t>Courier Cards</t>
  </si>
  <si>
    <t>Suicide Prevention (Bn)</t>
  </si>
  <si>
    <t>PAC (Bn)</t>
  </si>
  <si>
    <t>Anti-Terror (Bn)</t>
  </si>
  <si>
    <t>Software Manger</t>
  </si>
  <si>
    <t>HP417 Keys</t>
  </si>
  <si>
    <t>Room</t>
  </si>
  <si>
    <t>Number of Keys</t>
  </si>
  <si>
    <t>Name</t>
  </si>
  <si>
    <t>Middle Double Doors Inside</t>
  </si>
  <si>
    <t>3rd Plt Staff Room</t>
  </si>
  <si>
    <t>2nd Plt Staff Room</t>
  </si>
  <si>
    <t>1st Plt Staff Room</t>
  </si>
  <si>
    <t>Front / Back Doors</t>
  </si>
  <si>
    <t>SNCO Room</t>
  </si>
  <si>
    <t>Gear SNCO Room</t>
  </si>
  <si>
    <t>Gear Locker</t>
  </si>
  <si>
    <t>Ops Inboard Office</t>
  </si>
  <si>
    <t>Ops Middle Office</t>
  </si>
  <si>
    <t>Ops Outboard Office</t>
  </si>
  <si>
    <t>Antechamber / Entrances</t>
  </si>
  <si>
    <t>OPSO/DCWSO/CTE Office</t>
  </si>
  <si>
    <t>Population (o - OJT, ? - Intel)</t>
  </si>
  <si>
    <t>Resident PME</t>
  </si>
  <si>
    <t>Distiance PME</t>
  </si>
  <si>
    <t>Names listed DO NOT appear on the list indicated (measured against Recall Roster)</t>
  </si>
  <si>
    <t>E1</t>
  </si>
  <si>
    <t>E2</t>
  </si>
  <si>
    <t>Required</t>
  </si>
  <si>
    <t>Registered</t>
  </si>
  <si>
    <t>In Progress</t>
  </si>
  <si>
    <t>Complete/Total</t>
  </si>
  <si>
    <t>E3</t>
  </si>
  <si>
    <t>E4</t>
  </si>
  <si>
    <t>E5</t>
  </si>
  <si>
    <t>E6</t>
  </si>
  <si>
    <t>E7</t>
  </si>
  <si>
    <t>E8</t>
  </si>
  <si>
    <t>O3</t>
  </si>
  <si>
    <t>WO</t>
  </si>
  <si>
    <t>O1</t>
  </si>
  <si>
    <t>O2</t>
  </si>
  <si>
    <t>Readiness</t>
  </si>
  <si>
    <t>Distrubution of Medical Requirements</t>
  </si>
  <si>
    <t>Item</t>
  </si>
  <si>
    <t>Co #'s</t>
  </si>
  <si>
    <t>Bn #'s</t>
  </si>
  <si>
    <t>Completion</t>
  </si>
  <si>
    <t>Section</t>
  </si>
  <si>
    <t>Needed</t>
  </si>
  <si>
    <t>Dental</t>
  </si>
  <si>
    <t>Audio</t>
  </si>
  <si>
    <t>Blood</t>
  </si>
  <si>
    <t>PDHRA</t>
  </si>
  <si>
    <t>PHA</t>
  </si>
  <si>
    <t>PPD TEST</t>
  </si>
  <si>
    <t>IMMUN</t>
  </si>
  <si>
    <t>Specs</t>
  </si>
  <si>
    <t>Flu</t>
  </si>
  <si>
    <t>O4</t>
  </si>
  <si>
    <t>S-1 Check-in</t>
  </si>
  <si>
    <t>TRS</t>
  </si>
  <si>
    <t>2PLT</t>
  </si>
  <si>
    <t>Education</t>
  </si>
  <si>
    <t>PRS</t>
  </si>
  <si>
    <t>SGLI</t>
  </si>
  <si>
    <t>SOC</t>
  </si>
  <si>
    <t>CACO</t>
  </si>
  <si>
    <t>OPS</t>
  </si>
  <si>
    <t>Barracks</t>
  </si>
  <si>
    <t>Total Medical Readiness</t>
  </si>
  <si>
    <t>Dental Readiness</t>
  </si>
  <si>
    <t>Percentage complete by item</t>
  </si>
  <si>
    <t>Demographics</t>
  </si>
  <si>
    <t>MOS</t>
  </si>
  <si>
    <t>Count</t>
  </si>
  <si>
    <t>GTCC</t>
  </si>
  <si>
    <t>Personnel Distributions</t>
  </si>
  <si>
    <t>CCIR Snapshot</t>
  </si>
  <si>
    <t>HILL, CIERA R.</t>
  </si>
  <si>
    <t>Company 72s</t>
  </si>
  <si>
    <t>4PLT</t>
  </si>
  <si>
    <t>EDIPI</t>
  </si>
  <si>
    <t>Last alcohol incident:</t>
  </si>
  <si>
    <t>Inbound / Out</t>
  </si>
  <si>
    <t>Days since:</t>
  </si>
  <si>
    <t>Earned 72?:</t>
  </si>
  <si>
    <t>Next 72 will be earned on:</t>
  </si>
  <si>
    <t>Phone Number</t>
  </si>
  <si>
    <t>Age</t>
  </si>
  <si>
    <t>Misc. 72s:</t>
  </si>
  <si>
    <t>Earned 72s:</t>
  </si>
  <si>
    <t>Joined Unit</t>
  </si>
  <si>
    <t>Taken 72s:</t>
  </si>
  <si>
    <t>Time At Unit</t>
  </si>
  <si>
    <t>Remaining 72s:</t>
  </si>
  <si>
    <t>Dates taken:</t>
  </si>
  <si>
    <t>21Jul, 28Jul, 18Aug, 25Aug, 30Jan24</t>
  </si>
  <si>
    <t>AD Time</t>
  </si>
  <si>
    <t>TIS</t>
  </si>
  <si>
    <t>EAS</t>
  </si>
  <si>
    <t>Grade</t>
  </si>
  <si>
    <t>TIG</t>
  </si>
  <si>
    <t>Lives at</t>
  </si>
  <si>
    <t>Conversion Tables</t>
  </si>
  <si>
    <t>|</t>
  </si>
  <si>
    <t>-- 1721</t>
  </si>
  <si>
    <t>o</t>
  </si>
  <si>
    <t>-- 1700</t>
  </si>
  <si>
    <t>Medical Status</t>
  </si>
  <si>
    <t>Dist</t>
  </si>
  <si>
    <t>Res</t>
  </si>
  <si>
    <t>Dist Months</t>
  </si>
  <si>
    <t>Res Months</t>
  </si>
  <si>
    <t>?</t>
  </si>
  <si>
    <t>-- 0231</t>
  </si>
  <si>
    <t>Time Frame</t>
  </si>
  <si>
    <t>LCpl Dist</t>
  </si>
  <si>
    <t>LCpl Seminar</t>
  </si>
  <si>
    <t>SNCO/Os in the Plts</t>
  </si>
  <si>
    <t>Secondary Care Giver</t>
  </si>
  <si>
    <t>Cpls Crs Dist</t>
  </si>
  <si>
    <t>Cpls Crs Res</t>
  </si>
  <si>
    <t>Total in Plt</t>
  </si>
  <si>
    <t>SkillBridge</t>
  </si>
  <si>
    <t>Sgt Sch Dist</t>
  </si>
  <si>
    <t>Sgt Sch Res</t>
  </si>
  <si>
    <t>Avg total after PCSs</t>
  </si>
  <si>
    <t>Career Crs Dist</t>
  </si>
  <si>
    <t>Career Crs Res</t>
  </si>
  <si>
    <t>PME</t>
  </si>
  <si>
    <t>Advanced Crs Dist</t>
  </si>
  <si>
    <t>Advanced Crs Res</t>
  </si>
  <si>
    <t>Certs</t>
  </si>
  <si>
    <t>E-8 Seminar</t>
  </si>
  <si>
    <t>University</t>
  </si>
  <si>
    <t>Motorcycle</t>
  </si>
  <si>
    <t>O2E</t>
  </si>
  <si>
    <t>EWS</t>
  </si>
  <si>
    <t>Number Search</t>
  </si>
  <si>
    <t>O3E</t>
  </si>
  <si>
    <t>Number</t>
  </si>
  <si>
    <t>CSCDEP</t>
  </si>
  <si>
    <t>CSC</t>
  </si>
  <si>
    <t>CWO2</t>
  </si>
  <si>
    <t>CWO3</t>
  </si>
  <si>
    <t>EWSDEP</t>
  </si>
  <si>
    <t>BnO Published:</t>
  </si>
  <si>
    <t>Code</t>
  </si>
  <si>
    <t>Abbr</t>
  </si>
  <si>
    <t>Unit Code</t>
  </si>
  <si>
    <t>Platoon</t>
  </si>
  <si>
    <t>Birthdays This Month</t>
  </si>
  <si>
    <t>New Joins As of:</t>
  </si>
  <si>
    <t>PVT</t>
  </si>
  <si>
    <t>21640-D-1PLT</t>
  </si>
  <si>
    <t>Day</t>
  </si>
  <si>
    <t>PFC</t>
  </si>
  <si>
    <t>21640-D-2PLT</t>
  </si>
  <si>
    <t>LCPL</t>
  </si>
  <si>
    <t>21640-D-3PLT</t>
  </si>
  <si>
    <t>CPL</t>
  </si>
  <si>
    <t>21640-D-4PLT</t>
  </si>
  <si>
    <t>SGT</t>
  </si>
  <si>
    <t>21640-D-DOPS</t>
  </si>
  <si>
    <t>SSGT</t>
  </si>
  <si>
    <t>21640-D-HQPT</t>
  </si>
  <si>
    <t>GYSGT</t>
  </si>
  <si>
    <t>21640-D-DSOC</t>
  </si>
  <si>
    <t>1STSGT</t>
  </si>
  <si>
    <t>MSGT</t>
  </si>
  <si>
    <t>2NDLT</t>
  </si>
  <si>
    <t>1STLT</t>
  </si>
  <si>
    <t>CAPT</t>
  </si>
  <si>
    <t>Table</t>
  </si>
  <si>
    <t>Attributes</t>
  </si>
  <si>
    <t>MAJ</t>
  </si>
  <si>
    <t>Training</t>
  </si>
  <si>
    <t>CWO4</t>
  </si>
  <si>
    <t>Duty</t>
  </si>
  <si>
    <t>Col/person</t>
  </si>
  <si>
    <t xml:space="preserve"> </t>
  </si>
  <si>
    <t>Derivative Classification</t>
  </si>
  <si>
    <t>https://cdse.usalearning.gov/</t>
  </si>
  <si>
    <t>CUI:  https://securityawareness.usalearning.gov/</t>
  </si>
  <si>
    <t>CIAR:  https://securityawareness.usalearning.gov/</t>
  </si>
  <si>
    <t xml:space="preserve">CUI: </t>
  </si>
  <si>
    <t>https://securityawareness.usalearning.gov/</t>
  </si>
  <si>
    <t>CIAR:</t>
  </si>
  <si>
    <t>PEBD</t>
  </si>
  <si>
    <t>ADAMS, MICHAEL A.</t>
  </si>
  <si>
    <t>Electronic Intrchg Person Id</t>
  </si>
  <si>
    <t>Pay Entry Base Date</t>
  </si>
  <si>
    <t>Armed Forces Act Du Base Date</t>
  </si>
  <si>
    <t>Date of Birth</t>
  </si>
  <si>
    <t>Last Name</t>
  </si>
  <si>
    <t>First Name</t>
  </si>
  <si>
    <t>ADAMS, STEVEN S.</t>
  </si>
  <si>
    <t>AFADBD</t>
  </si>
  <si>
    <t>DOB</t>
  </si>
  <si>
    <t>ADAMS</t>
  </si>
  <si>
    <t>MICHAEL</t>
  </si>
  <si>
    <t>ANDERSON, CHRISTIAN A.</t>
  </si>
  <si>
    <t>STEVEN</t>
  </si>
  <si>
    <t>BARTON, GARRETT T.</t>
  </si>
  <si>
    <t>ANDERSON</t>
  </si>
  <si>
    <t>CHRISTIAN</t>
  </si>
  <si>
    <t>BAUTISTA, LILIANA R.</t>
  </si>
  <si>
    <t>BARTON</t>
  </si>
  <si>
    <t>GARRETT</t>
  </si>
  <si>
    <t>BESTLER, AARON P.</t>
  </si>
  <si>
    <t>BAUTISTA</t>
  </si>
  <si>
    <t>LILIANA</t>
  </si>
  <si>
    <t>BLETSCH, ZACHARY M.</t>
  </si>
  <si>
    <t>BESTLER</t>
  </si>
  <si>
    <t>AARON</t>
  </si>
  <si>
    <t>BOS, GAGE D.</t>
  </si>
  <si>
    <t>BLETSCH</t>
  </si>
  <si>
    <t>ZACHARY</t>
  </si>
  <si>
    <t>BRANIN, STEVEN J.</t>
  </si>
  <si>
    <t/>
  </si>
  <si>
    <t>BOS</t>
  </si>
  <si>
    <t>GAGE</t>
  </si>
  <si>
    <t>BRYANT, ERNEST J.</t>
  </si>
  <si>
    <t>BRYANT</t>
  </si>
  <si>
    <t>ERNEST</t>
  </si>
  <si>
    <t>CABAN, RICHARD</t>
  </si>
  <si>
    <t>CABAN</t>
  </si>
  <si>
    <t>RICHARD</t>
  </si>
  <si>
    <t>CAMP, DERRICK D.</t>
  </si>
  <si>
    <t>CAMP</t>
  </si>
  <si>
    <t>DERRICK</t>
  </si>
  <si>
    <t>CARLSON, KRISTOFER L.</t>
  </si>
  <si>
    <t>CARLSON</t>
  </si>
  <si>
    <t>KRISTOFER</t>
  </si>
  <si>
    <t>CASTILLO, MATEO T.</t>
  </si>
  <si>
    <t>CASTILLO</t>
  </si>
  <si>
    <t>MATEO</t>
  </si>
  <si>
    <t>CAVANAUGH, JACK T.</t>
  </si>
  <si>
    <t>CAVANAUGH</t>
  </si>
  <si>
    <t>JACK</t>
  </si>
  <si>
    <t>CHAMBERS, JOHN T.</t>
  </si>
  <si>
    <t>CHAMBERS</t>
  </si>
  <si>
    <t>JOHN</t>
  </si>
  <si>
    <t>COOK, REMINGTON R.</t>
  </si>
  <si>
    <t>COOK</t>
  </si>
  <si>
    <t>REMINGTON</t>
  </si>
  <si>
    <t>CORN, ALEXANDER D.</t>
  </si>
  <si>
    <t>CORN</t>
  </si>
  <si>
    <t>ALEXANDER</t>
  </si>
  <si>
    <t>DALMASS, ARMAND N.</t>
  </si>
  <si>
    <t>1544702609</t>
  </si>
  <si>
    <t>DELATTE</t>
  </si>
  <si>
    <t>HUNTER</t>
  </si>
  <si>
    <t>DARUGAR, BENJAMIN</t>
  </si>
  <si>
    <t>1590434201</t>
  </si>
  <si>
    <t>DIAZ</t>
  </si>
  <si>
    <t>JOSHUA</t>
  </si>
  <si>
    <t>DELATTE, HUNTER T.</t>
  </si>
  <si>
    <t>DORSEY JR</t>
  </si>
  <si>
    <t>ANTHONY</t>
  </si>
  <si>
    <t>DIAZ, JOSHUA</t>
  </si>
  <si>
    <t>DUBINSKY III</t>
  </si>
  <si>
    <t>WILLIAM</t>
  </si>
  <si>
    <t>DORSEY JR, ANTHONY L.</t>
  </si>
  <si>
    <t>ERMER</t>
  </si>
  <si>
    <t>ALAURA</t>
  </si>
  <si>
    <t>DUBINSKY III, WILLIAM G.</t>
  </si>
  <si>
    <t>ERWIN</t>
  </si>
  <si>
    <t>ADAM</t>
  </si>
  <si>
    <t>ERMER, ALAURA R.</t>
  </si>
  <si>
    <t>FAIR</t>
  </si>
  <si>
    <t>BENJAMIN</t>
  </si>
  <si>
    <t>ERWIN, ADAM J.</t>
  </si>
  <si>
    <t>FARRELL</t>
  </si>
  <si>
    <t>DALTON</t>
  </si>
  <si>
    <t>FAIR, BENJAMIN C.</t>
  </si>
  <si>
    <t>FINDLING</t>
  </si>
  <si>
    <t>TYLER</t>
  </si>
  <si>
    <t>FARRELL, DALTON T.</t>
  </si>
  <si>
    <t>FINNEY</t>
  </si>
  <si>
    <t>JENNIFER</t>
  </si>
  <si>
    <t>FILYAW, DAKOTA R.</t>
  </si>
  <si>
    <t>FLEMING</t>
  </si>
  <si>
    <t>JONATHAN</t>
  </si>
  <si>
    <t>FINDLING, TYLER A.</t>
  </si>
  <si>
    <t>FREEMAN</t>
  </si>
  <si>
    <t>LUCAS</t>
  </si>
  <si>
    <t>FINNEY, JENNIFER N.</t>
  </si>
  <si>
    <t>FROST</t>
  </si>
  <si>
    <t>CAMERON</t>
  </si>
  <si>
    <t>FLEMING, JONATHAN T.</t>
  </si>
  <si>
    <t>GIBBS</t>
  </si>
  <si>
    <t>BRYAN</t>
  </si>
  <si>
    <t>FREEMAN, LUCAS J.</t>
  </si>
  <si>
    <t>GREEN</t>
  </si>
  <si>
    <t>ZOE</t>
  </si>
  <si>
    <t>FROST, CAMERON M.</t>
  </si>
  <si>
    <t>GREENE</t>
  </si>
  <si>
    <t>MATTHEW</t>
  </si>
  <si>
    <t>GIBBS, BRYAN D.</t>
  </si>
  <si>
    <t>GRUBER</t>
  </si>
  <si>
    <t>NATHAN</t>
  </si>
  <si>
    <t>GREEN, ZOE E.</t>
  </si>
  <si>
    <t>HAGOOD</t>
  </si>
  <si>
    <t>SETH</t>
  </si>
  <si>
    <t>GREENE, MATTHEW N.</t>
  </si>
  <si>
    <t>HALLQUIST</t>
  </si>
  <si>
    <t>AUSTIN</t>
  </si>
  <si>
    <t>GRUBER, NATHAN A.</t>
  </si>
  <si>
    <t>HAMILTON</t>
  </si>
  <si>
    <t>HAGOOD, SETH R.</t>
  </si>
  <si>
    <t>GEOFFERY</t>
  </si>
  <si>
    <t>HALLQUIST, AUSTIN B.</t>
  </si>
  <si>
    <t>HAMILTON, ANTHONY D.</t>
  </si>
  <si>
    <t>HANCOCK</t>
  </si>
  <si>
    <t>PHILIP</t>
  </si>
  <si>
    <t>HAMILTON, AUSTIN R.</t>
  </si>
  <si>
    <t>HARKLEROAD</t>
  </si>
  <si>
    <t>GRANT</t>
  </si>
  <si>
    <t>HAMILTON, GEOFFERY A.</t>
  </si>
  <si>
    <t>HARWOOD</t>
  </si>
  <si>
    <t>DMETRIUS</t>
  </si>
  <si>
    <t>HANCOCK, PHILIP C.</t>
  </si>
  <si>
    <t>HILL</t>
  </si>
  <si>
    <t>CIERA</t>
  </si>
  <si>
    <t>HARKLEROAD, GRANT L.</t>
  </si>
  <si>
    <t>HOLDRIDGE</t>
  </si>
  <si>
    <t>PRESTON</t>
  </si>
  <si>
    <t>HARWOOD, DMETRIUS J.</t>
  </si>
  <si>
    <t>HOUSTON</t>
  </si>
  <si>
    <t>HEPTON, MORGEN A.</t>
  </si>
  <si>
    <t>HOWARD</t>
  </si>
  <si>
    <t>HUBERT</t>
  </si>
  <si>
    <t>DOMINIC</t>
  </si>
  <si>
    <t>HOLDRIDGE, PRESTON M.</t>
  </si>
  <si>
    <t>HUNDLEY JR</t>
  </si>
  <si>
    <t>ANDREW</t>
  </si>
  <si>
    <t>HOUSTON, JOSHUA T.</t>
  </si>
  <si>
    <t>HUPP</t>
  </si>
  <si>
    <t>TRAVIS</t>
  </si>
  <si>
    <t>HOWARD, AUSTIN J.</t>
  </si>
  <si>
    <t>IVERSON</t>
  </si>
  <si>
    <t>HUBERT, DOMINIC A.</t>
  </si>
  <si>
    <t>JESSUP</t>
  </si>
  <si>
    <t>HALEY</t>
  </si>
  <si>
    <t>HUNDLEY JR, ANDREW E.</t>
  </si>
  <si>
    <t>JIMENEZ</t>
  </si>
  <si>
    <t>SERGIO</t>
  </si>
  <si>
    <t>HUPP, TRAVIS J.</t>
  </si>
  <si>
    <t>JOHANNSEN</t>
  </si>
  <si>
    <t>IVERSON, MATTHEW J.</t>
  </si>
  <si>
    <t>JOHNSON</t>
  </si>
  <si>
    <t>COLE</t>
  </si>
  <si>
    <t>JESSUP, HALEY M.</t>
  </si>
  <si>
    <t>JONES</t>
  </si>
  <si>
    <t>JAMES</t>
  </si>
  <si>
    <t>JIMENEZ, SERGIO G.</t>
  </si>
  <si>
    <t>KERLEY</t>
  </si>
  <si>
    <t>CHRISTOPHE</t>
  </si>
  <si>
    <t>JOHANNSEN, DOMINIC M.</t>
  </si>
  <si>
    <t>KLIPPEL</t>
  </si>
  <si>
    <t>HANNAH</t>
  </si>
  <si>
    <t>JOHNSON, COLE W.</t>
  </si>
  <si>
    <t>LARE</t>
  </si>
  <si>
    <t>JONES, JAMES C.</t>
  </si>
  <si>
    <t>LAWRENCE</t>
  </si>
  <si>
    <t>JASON</t>
  </si>
  <si>
    <t>KERLEY, CHRISTOPHE C.</t>
  </si>
  <si>
    <t>LEATH</t>
  </si>
  <si>
    <t>JAKE</t>
  </si>
  <si>
    <t>LARE, HUNTER M.</t>
  </si>
  <si>
    <t>MANDRACCHIA</t>
  </si>
  <si>
    <t>DANIEL</t>
  </si>
  <si>
    <t>LAWRENCE, JASON A.</t>
  </si>
  <si>
    <t>MARQUEZ</t>
  </si>
  <si>
    <t>LEATH, JAKE A.</t>
  </si>
  <si>
    <t>MARSHBURN</t>
  </si>
  <si>
    <t>MANDRACCHIA, DANIEL B.</t>
  </si>
  <si>
    <t>MARTIN</t>
  </si>
  <si>
    <t>GABRIEL</t>
  </si>
  <si>
    <t>MARQUEZ, ALEXANDER L.</t>
  </si>
  <si>
    <t>MASSEY</t>
  </si>
  <si>
    <t>LEE</t>
  </si>
  <si>
    <t>MARSHBURN, ANDREW W.</t>
  </si>
  <si>
    <t>MASTROFILIPPO</t>
  </si>
  <si>
    <t>THOMAS</t>
  </si>
  <si>
    <t>MARTIN, GABRIEL J.</t>
  </si>
  <si>
    <t>MCCRAITH</t>
  </si>
  <si>
    <t>MASSEY, LEE R.</t>
  </si>
  <si>
    <t>MERVINE</t>
  </si>
  <si>
    <t>CASEY</t>
  </si>
  <si>
    <t>MASTROFILIPPO, THOMAS J.</t>
  </si>
  <si>
    <t>MILLER</t>
  </si>
  <si>
    <t>MCCONNELL, IAN P.</t>
  </si>
  <si>
    <t>MOORE</t>
  </si>
  <si>
    <t>MCCRAITH, MATTHEW J.</t>
  </si>
  <si>
    <t>MOWRY</t>
  </si>
  <si>
    <t>MCGOVERN, BRAYDEN J.</t>
  </si>
  <si>
    <t>MUZZILLO</t>
  </si>
  <si>
    <t>JOSEPH</t>
  </si>
  <si>
    <t>MERVINE, CASEY W.</t>
  </si>
  <si>
    <t>NICHOLS</t>
  </si>
  <si>
    <t>MILLER, DALTON C.</t>
  </si>
  <si>
    <t>NORMINTON</t>
  </si>
  <si>
    <t>OLIVER</t>
  </si>
  <si>
    <t>MOORE, JOSHUA T.</t>
  </si>
  <si>
    <t>ORE</t>
  </si>
  <si>
    <t>KEVIN</t>
  </si>
  <si>
    <t>MOWRY, GABRIEL J.</t>
  </si>
  <si>
    <t>ORELLANA</t>
  </si>
  <si>
    <t>VALERIE</t>
  </si>
  <si>
    <t>MUZZILLO, JOSEPH R.</t>
  </si>
  <si>
    <t>PADILLA</t>
  </si>
  <si>
    <t>ELIJAH</t>
  </si>
  <si>
    <t>NICHOLS, CAMERON J.</t>
  </si>
  <si>
    <t>PARKS JR</t>
  </si>
  <si>
    <t>JUAN</t>
  </si>
  <si>
    <t>NORMINTON, OLIVER T.</t>
  </si>
  <si>
    <t>PAYNE</t>
  </si>
  <si>
    <t>ORE, KEVIN R.</t>
  </si>
  <si>
    <t>PERALES</t>
  </si>
  <si>
    <t>JACOB</t>
  </si>
  <si>
    <t>ORELLANA, VALERIE N.</t>
  </si>
  <si>
    <t>PINTER</t>
  </si>
  <si>
    <t>HENRY</t>
  </si>
  <si>
    <t>PADILLA, ELIJAH N.</t>
  </si>
  <si>
    <t>PODBORNY</t>
  </si>
  <si>
    <t>PARKS JR, JUAN F.</t>
  </si>
  <si>
    <t>POTTER</t>
  </si>
  <si>
    <t>NICHOLAS</t>
  </si>
  <si>
    <t>PAYNE, MICHAEL D.</t>
  </si>
  <si>
    <t>POWELL</t>
  </si>
  <si>
    <t>NATHANIEL</t>
  </si>
  <si>
    <t>PERALES, JACOB L.</t>
  </si>
  <si>
    <t>REGAN</t>
  </si>
  <si>
    <t>PINTER, HENRY J.</t>
  </si>
  <si>
    <t>ROBINSON</t>
  </si>
  <si>
    <t>SOLOMON</t>
  </si>
  <si>
    <t>PODBORNY, KEVIN M.</t>
  </si>
  <si>
    <t>ROSENWALD</t>
  </si>
  <si>
    <t>JAY</t>
  </si>
  <si>
    <t>POTTER, NICHOLAS P.</t>
  </si>
  <si>
    <t>ROTTER</t>
  </si>
  <si>
    <t>ROBERT</t>
  </si>
  <si>
    <t>POWELL, NATHANIEL E.</t>
  </si>
  <si>
    <t>RUGE</t>
  </si>
  <si>
    <t>RYAN</t>
  </si>
  <si>
    <t>REGAN, DANIEL T.</t>
  </si>
  <si>
    <t>SCHONING</t>
  </si>
  <si>
    <t>REISINGER, STEVEN J.</t>
  </si>
  <si>
    <t>SCHRAWYER</t>
  </si>
  <si>
    <t>ZANE</t>
  </si>
  <si>
    <t>ROBINSON, SOLOMON I.</t>
  </si>
  <si>
    <t>SCRUGGS</t>
  </si>
  <si>
    <t>JARED</t>
  </si>
  <si>
    <t>ROSENWALD, JAY S.</t>
  </si>
  <si>
    <t>SHAWVER</t>
  </si>
  <si>
    <t>DYLAN</t>
  </si>
  <si>
    <t>ROTTER, ROBERT H.</t>
  </si>
  <si>
    <t>SIMS</t>
  </si>
  <si>
    <t>CHADLEY</t>
  </si>
  <si>
    <t>RUGE, RYAN M.</t>
  </si>
  <si>
    <t>SPRAY</t>
  </si>
  <si>
    <t>KYLE</t>
  </si>
  <si>
    <t>SCHIERBAUM, ASHTON B.</t>
  </si>
  <si>
    <t>STEPHENS</t>
  </si>
  <si>
    <t>SCHONING, ZACHARY F.</t>
  </si>
  <si>
    <t>TAYLOR</t>
  </si>
  <si>
    <t>SCHRAWYER, ZANE</t>
  </si>
  <si>
    <t>THORNTON</t>
  </si>
  <si>
    <t>DEREK</t>
  </si>
  <si>
    <t>SCRUGGS, JARED L.</t>
  </si>
  <si>
    <t>TOMLINSON</t>
  </si>
  <si>
    <t>SHAWVER, DYLAN M.</t>
  </si>
  <si>
    <t>UEHARA</t>
  </si>
  <si>
    <t>MALEKOKEAO</t>
  </si>
  <si>
    <t>SIMS, CHADLEY W.</t>
  </si>
  <si>
    <t>UPTMOR</t>
  </si>
  <si>
    <t>CONNOR</t>
  </si>
  <si>
    <t>SNEED, HUNTER G.</t>
  </si>
  <si>
    <t>VANDERHOFF</t>
  </si>
  <si>
    <t>SPRAY, KYLE A.</t>
  </si>
  <si>
    <t>WALLACE</t>
  </si>
  <si>
    <t>CONROD</t>
  </si>
  <si>
    <t>STEPHENS, TYLER E.</t>
  </si>
  <si>
    <t>WELCH</t>
  </si>
  <si>
    <t>TIMOTHY</t>
  </si>
  <si>
    <t>TAYLOR, DANIEL J.</t>
  </si>
  <si>
    <t>WILHELM</t>
  </si>
  <si>
    <t>THORNTON, DEREK A.</t>
  </si>
  <si>
    <t>WILSON</t>
  </si>
  <si>
    <t>MICAH</t>
  </si>
  <si>
    <t>TOMLINSON, MATTHEW P.</t>
  </si>
  <si>
    <t>WUEBKER</t>
  </si>
  <si>
    <t>UEHARA, MALEKOKEAO A.</t>
  </si>
  <si>
    <t>YAGER</t>
  </si>
  <si>
    <t>KATHERINE</t>
  </si>
  <si>
    <t>UPTMOR, CONNOR J.</t>
  </si>
  <si>
    <t>YERARDI</t>
  </si>
  <si>
    <t>JESSE</t>
  </si>
  <si>
    <t>VANDERHOFF, JAMES E.</t>
  </si>
  <si>
    <t>VENTURA, ROGER E.</t>
  </si>
  <si>
    <t>WALLACE, CONROD L.</t>
  </si>
  <si>
    <t>WELCH, TIMOTHY L.</t>
  </si>
  <si>
    <t>WILHELM, MATTHEW K.</t>
  </si>
  <si>
    <t>WILSON, MICAH S.</t>
  </si>
  <si>
    <t>WUEBKER, KYLE R.</t>
  </si>
  <si>
    <t>YAGER, KATHERINE R.</t>
  </si>
  <si>
    <t>YERARDI, JESSE S.</t>
  </si>
  <si>
    <t>KLIPPEL, HANNAH G.</t>
  </si>
  <si>
    <t>1611449514</t>
  </si>
  <si>
    <t>Designed, created, and maintained by Captain Garrett Barton starting in 2022. A previous tracker was taken as the seed and was made into what it is. Capt Barton wrote and article in the MCA Gazette about the theory and work he'd done.</t>
  </si>
  <si>
    <t>M</t>
  </si>
  <si>
    <t>NC</t>
  </si>
  <si>
    <t>1702</t>
  </si>
  <si>
    <t>1720</t>
  </si>
  <si>
    <t>0231</t>
  </si>
  <si>
    <t>100% - 85%</t>
  </si>
  <si>
    <t>84% - 70%</t>
  </si>
  <si>
    <t>&lt;69%</t>
  </si>
  <si>
    <t> </t>
  </si>
  <si>
    <t>PERSTAT​</t>
  </si>
  <si>
    <t>Individual Readiness​</t>
  </si>
  <si>
    <t>Medical/Dental Readiness​</t>
  </si>
  <si>
    <r>
      <t>Deployable</t>
    </r>
    <r>
      <rPr>
        <sz val="11"/>
        <color rgb="FF000000"/>
        <rFont val="Calibri"/>
        <family val="2"/>
      </rPr>
      <t>​</t>
    </r>
  </si>
  <si>
    <r>
      <t>TAD - &lt; 30 days</t>
    </r>
    <r>
      <rPr>
        <sz val="11"/>
        <color rgb="FF000000"/>
        <rFont val="Calibri"/>
        <family val="2"/>
      </rPr>
      <t>​</t>
    </r>
  </si>
  <si>
    <r>
      <t>TAD - &gt; 31 days</t>
    </r>
    <r>
      <rPr>
        <sz val="11"/>
        <color rgb="FF000000"/>
        <rFont val="Calibri"/>
        <family val="2"/>
      </rPr>
      <t>​</t>
    </r>
  </si>
  <si>
    <r>
      <t>Deployed</t>
    </r>
    <r>
      <rPr>
        <sz val="11"/>
        <color rgb="FF000000"/>
        <rFont val="Calibri"/>
        <family val="2"/>
      </rPr>
      <t>​</t>
    </r>
  </si>
  <si>
    <r>
      <t>FAP/CAP</t>
    </r>
    <r>
      <rPr>
        <sz val="11"/>
        <color rgb="FF000000"/>
        <rFont val="Calibri"/>
        <family val="2"/>
      </rPr>
      <t>​</t>
    </r>
  </si>
  <si>
    <r>
      <t>HHQ Augment</t>
    </r>
    <r>
      <rPr>
        <sz val="11"/>
        <color rgb="FF000000"/>
        <rFont val="Calibri"/>
        <family val="2"/>
      </rPr>
      <t>​</t>
    </r>
  </si>
  <si>
    <r>
      <t>LIMDU</t>
    </r>
    <r>
      <rPr>
        <sz val="11"/>
        <color rgb="FF000000"/>
        <rFont val="Calibri"/>
        <family val="2"/>
      </rPr>
      <t>​</t>
    </r>
  </si>
  <si>
    <r>
      <t>Legal – ADSEP</t>
    </r>
    <r>
      <rPr>
        <sz val="11"/>
        <color rgb="FF000000"/>
        <rFont val="Calibri"/>
        <family val="2"/>
      </rPr>
      <t>​</t>
    </r>
  </si>
  <si>
    <r>
      <t>Terminal Leave</t>
    </r>
    <r>
      <rPr>
        <sz val="11"/>
        <color rgb="FF000000"/>
        <rFont val="Calibri"/>
        <family val="2"/>
      </rPr>
      <t>​</t>
    </r>
  </si>
  <si>
    <r>
      <t>Skillbridge</t>
    </r>
    <r>
      <rPr>
        <sz val="11"/>
        <color rgb="FF000000"/>
        <rFont val="Calibri"/>
        <family val="2"/>
      </rPr>
      <t>​</t>
    </r>
  </si>
  <si>
    <r>
      <t>Parental Leave</t>
    </r>
    <r>
      <rPr>
        <sz val="11"/>
        <color rgb="FF000000"/>
        <rFont val="Calibri"/>
        <family val="2"/>
      </rPr>
      <t>​</t>
    </r>
  </si>
  <si>
    <r>
      <t>JEPES Delinquent</t>
    </r>
    <r>
      <rPr>
        <sz val="11"/>
        <color rgb="FF000000"/>
        <rFont val="Calibri"/>
        <family val="2"/>
      </rPr>
      <t>​</t>
    </r>
  </si>
  <si>
    <r>
      <t>GTCC Delinquent </t>
    </r>
    <r>
      <rPr>
        <sz val="11"/>
        <color rgb="FF000000"/>
        <rFont val="Calibri"/>
        <family val="2"/>
      </rPr>
      <t>​</t>
    </r>
  </si>
  <si>
    <r>
      <t>GTCC Cardholders</t>
    </r>
    <r>
      <rPr>
        <sz val="11"/>
        <color rgb="FF000000"/>
        <rFont val="Calibri"/>
        <family val="2"/>
      </rPr>
      <t>​</t>
    </r>
  </si>
  <si>
    <r>
      <t>SOES</t>
    </r>
    <r>
      <rPr>
        <sz val="11"/>
        <color rgb="FF000000"/>
        <rFont val="Calibri"/>
        <family val="2"/>
      </rPr>
      <t>​</t>
    </r>
  </si>
  <si>
    <r>
      <t>RED (90 days)</t>
    </r>
    <r>
      <rPr>
        <sz val="11"/>
        <color rgb="FF000000"/>
        <rFont val="Calibri"/>
        <family val="2"/>
      </rPr>
      <t>​</t>
    </r>
  </si>
  <si>
    <r>
      <t>FCP (180 days)</t>
    </r>
    <r>
      <rPr>
        <sz val="11"/>
        <color rgb="FF000000"/>
        <rFont val="Calibri"/>
        <family val="2"/>
      </rPr>
      <t>​</t>
    </r>
  </si>
  <si>
    <r>
      <t>BCP</t>
    </r>
    <r>
      <rPr>
        <sz val="11"/>
        <color rgb="FF000000"/>
        <rFont val="Calibri"/>
        <family val="2"/>
      </rPr>
      <t>​</t>
    </r>
  </si>
  <si>
    <r>
      <t>Interviews – Overdue</t>
    </r>
    <r>
      <rPr>
        <sz val="11"/>
        <color rgb="FF000000"/>
        <rFont val="Calibri"/>
        <family val="2"/>
      </rPr>
      <t>​</t>
    </r>
  </si>
  <si>
    <r>
      <t>Medical</t>
    </r>
    <r>
      <rPr>
        <sz val="11"/>
        <color rgb="FF000000"/>
        <rFont val="Calibri"/>
        <family val="2"/>
      </rPr>
      <t>​</t>
    </r>
  </si>
  <si>
    <r>
      <t>Dental</t>
    </r>
    <r>
      <rPr>
        <sz val="11"/>
        <color rgb="FF000000"/>
        <rFont val="Calibri"/>
        <family val="2"/>
      </rPr>
      <t>​</t>
    </r>
  </si>
  <si>
    <r>
      <t>Dental Class 3</t>
    </r>
    <r>
      <rPr>
        <sz val="11"/>
        <color rgb="FF000000"/>
        <rFont val="Calibri"/>
        <family val="2"/>
      </rPr>
      <t>​</t>
    </r>
  </si>
  <si>
    <r>
      <t>Dental Class 4</t>
    </r>
    <r>
      <rPr>
        <sz val="11"/>
        <color rgb="FF000000"/>
        <rFont val="Calibri"/>
        <family val="2"/>
      </rPr>
      <t>​</t>
    </r>
  </si>
  <si>
    <r>
      <t>Overdue PHA</t>
    </r>
    <r>
      <rPr>
        <sz val="11"/>
        <color rgb="FF000000"/>
        <rFont val="Calibri"/>
        <family val="2"/>
      </rPr>
      <t>​</t>
    </r>
  </si>
  <si>
    <r>
      <t>Overdue PDHRA</t>
    </r>
    <r>
      <rPr>
        <sz val="11"/>
        <color rgb="FF000000"/>
        <rFont val="Calibri"/>
        <family val="2"/>
      </rPr>
      <t>​</t>
    </r>
  </si>
  <si>
    <r>
      <t>Overdue Audio</t>
    </r>
    <r>
      <rPr>
        <sz val="11"/>
        <color rgb="FF000000"/>
        <rFont val="Calibri"/>
        <family val="2"/>
      </rPr>
      <t>​</t>
    </r>
  </si>
  <si>
    <r>
      <t>0</t>
    </r>
    <r>
      <rPr>
        <sz val="11"/>
        <color rgb="FF000000"/>
        <rFont val="Calibri"/>
        <family val="2"/>
      </rPr>
      <t>​</t>
    </r>
  </si>
  <si>
    <t>0/0</t>
  </si>
  <si>
    <t>Calendar Year Training​</t>
  </si>
  <si>
    <t>Fiscal Year Training​</t>
  </si>
  <si>
    <r>
      <t>PFT</t>
    </r>
    <r>
      <rPr>
        <sz val="11"/>
        <color rgb="FF000000"/>
        <rFont val="Calibri"/>
        <family val="2"/>
      </rPr>
      <t>​</t>
    </r>
  </si>
  <si>
    <r>
      <t>CFT</t>
    </r>
    <r>
      <rPr>
        <sz val="11"/>
        <color rgb="FF000000"/>
        <rFont val="Calibri"/>
        <family val="2"/>
      </rPr>
      <t>​</t>
    </r>
  </si>
  <si>
    <r>
      <t>HT-WT</t>
    </r>
    <r>
      <rPr>
        <sz val="11"/>
        <color rgb="FF000000"/>
        <rFont val="Calibri"/>
        <family val="2"/>
      </rPr>
      <t>​</t>
    </r>
  </si>
  <si>
    <r>
      <t>MCWST</t>
    </r>
    <r>
      <rPr>
        <sz val="11"/>
        <color rgb="FF000000"/>
        <rFont val="Calibri"/>
        <family val="2"/>
      </rPr>
      <t>​</t>
    </r>
  </si>
  <si>
    <r>
      <t>CIAR</t>
    </r>
    <r>
      <rPr>
        <sz val="11"/>
        <color rgb="FF000000"/>
        <rFont val="Calibri"/>
        <family val="2"/>
      </rPr>
      <t>​</t>
    </r>
  </si>
  <si>
    <r>
      <t>Level 1 AT</t>
    </r>
    <r>
      <rPr>
        <sz val="11"/>
        <color rgb="FF000000"/>
        <rFont val="Calibri"/>
        <family val="2"/>
      </rPr>
      <t>​</t>
    </r>
  </si>
  <si>
    <r>
      <t>PAC</t>
    </r>
    <r>
      <rPr>
        <sz val="11"/>
        <color rgb="FF000000"/>
        <rFont val="Calibri"/>
        <family val="2"/>
      </rPr>
      <t>​</t>
    </r>
  </si>
  <si>
    <r>
      <t>Risk Mgmt</t>
    </r>
    <r>
      <rPr>
        <sz val="11"/>
        <color rgb="FF000000"/>
        <rFont val="Calibri"/>
        <family val="2"/>
      </rPr>
      <t>​</t>
    </r>
  </si>
  <si>
    <r>
      <t>UMAPIT</t>
    </r>
    <r>
      <rPr>
        <sz val="11"/>
        <color rgb="FF000000"/>
        <rFont val="Calibri"/>
        <family val="2"/>
      </rPr>
      <t>​</t>
    </r>
  </si>
  <si>
    <r>
      <t>OPSEC</t>
    </r>
    <r>
      <rPr>
        <sz val="11"/>
        <color rgb="FF000000"/>
        <rFont val="Calibri"/>
        <family val="2"/>
      </rPr>
      <t>​</t>
    </r>
  </si>
  <si>
    <r>
      <t>TCCC – ASM</t>
    </r>
    <r>
      <rPr>
        <sz val="11"/>
        <color rgb="FF000000"/>
        <rFont val="Calibri"/>
        <family val="2"/>
      </rPr>
      <t>​</t>
    </r>
  </si>
  <si>
    <r>
      <t>Sup Safety</t>
    </r>
    <r>
      <rPr>
        <sz val="11"/>
        <color rgb="FF000000"/>
        <rFont val="Calibri"/>
        <family val="2"/>
      </rPr>
      <t>​</t>
    </r>
  </si>
  <si>
    <r>
      <t>Sup Sub Misuse</t>
    </r>
    <r>
      <rPr>
        <sz val="11"/>
        <color rgb="FF000000"/>
        <rFont val="Calibri"/>
        <family val="2"/>
      </rPr>
      <t>​</t>
    </r>
  </si>
  <si>
    <r>
      <t>Driver Aware</t>
    </r>
    <r>
      <rPr>
        <sz val="11"/>
        <color rgb="FF000000"/>
        <rFont val="Calibri"/>
        <family val="2"/>
      </rPr>
      <t>​</t>
    </r>
  </si>
  <si>
    <r>
      <t>ARQ</t>
    </r>
    <r>
      <rPr>
        <sz val="11"/>
        <color rgb="FF000000"/>
        <rFont val="Calibri"/>
        <family val="2"/>
      </rPr>
      <t>​</t>
    </r>
  </si>
  <si>
    <r>
      <t>CPP</t>
    </r>
    <r>
      <rPr>
        <sz val="11"/>
        <color rgb="FF000000"/>
        <rFont val="Calibri"/>
        <family val="2"/>
      </rPr>
      <t>​</t>
    </r>
  </si>
  <si>
    <t>CBRN ITS</t>
  </si>
  <si>
    <r>
      <t>Cyber/PII</t>
    </r>
    <r>
      <rPr>
        <sz val="11"/>
        <color rgb="FF000000"/>
        <rFont val="Calibri"/>
        <family val="2"/>
      </rPr>
      <t>​</t>
    </r>
  </si>
  <si>
    <r>
      <t>Records Mgmt</t>
    </r>
    <r>
      <rPr>
        <sz val="11"/>
        <color rgb="FF000000"/>
        <rFont val="Calibri"/>
        <family val="2"/>
      </rPr>
      <t>​</t>
    </r>
  </si>
  <si>
    <r>
      <t>SAPR – O</t>
    </r>
    <r>
      <rPr>
        <sz val="11"/>
        <color rgb="FF000000"/>
        <rFont val="Calibri"/>
        <family val="2"/>
      </rPr>
      <t>​</t>
    </r>
  </si>
  <si>
    <r>
      <t>SAPR – SNCO</t>
    </r>
    <r>
      <rPr>
        <sz val="11"/>
        <color rgb="FF000000"/>
        <rFont val="Calibri"/>
        <family val="2"/>
      </rPr>
      <t>​</t>
    </r>
  </si>
  <si>
    <r>
      <t>Take a Stand</t>
    </r>
    <r>
      <rPr>
        <sz val="11"/>
        <color rgb="FF000000"/>
        <rFont val="Calibri"/>
        <family val="2"/>
      </rPr>
      <t>​</t>
    </r>
  </si>
  <si>
    <r>
      <t>Step Up</t>
    </r>
    <r>
      <rPr>
        <sz val="11"/>
        <color rgb="FF000000"/>
        <rFont val="Calibri"/>
        <family val="2"/>
      </rPr>
      <t>​</t>
    </r>
  </si>
  <si>
    <t>EPME​</t>
  </si>
  <si>
    <t>Career Progression​</t>
  </si>
  <si>
    <r>
      <t>Cpl Course</t>
    </r>
    <r>
      <rPr>
        <sz val="11"/>
        <color rgb="FF000000"/>
        <rFont val="Calibri"/>
        <family val="2"/>
      </rPr>
      <t>​</t>
    </r>
  </si>
  <si>
    <r>
      <t>Sgt Course</t>
    </r>
    <r>
      <rPr>
        <sz val="11"/>
        <color rgb="FF000000"/>
        <rFont val="Calibri"/>
        <family val="2"/>
      </rPr>
      <t>​</t>
    </r>
  </si>
  <si>
    <r>
      <t>Career Course</t>
    </r>
    <r>
      <rPr>
        <sz val="11"/>
        <color rgb="FF000000"/>
        <rFont val="Calibri"/>
        <family val="2"/>
      </rPr>
      <t>​</t>
    </r>
  </si>
  <si>
    <r>
      <t>Advanced Course</t>
    </r>
    <r>
      <rPr>
        <sz val="11"/>
        <color rgb="FF000000"/>
        <rFont val="Calibri"/>
        <family val="2"/>
      </rPr>
      <t>​</t>
    </r>
  </si>
  <si>
    <r>
      <t>1stSgt/MSgt Seminar</t>
    </r>
    <r>
      <rPr>
        <sz val="11"/>
        <color rgb="FF000000"/>
        <rFont val="Calibri"/>
        <family val="2"/>
      </rPr>
      <t>​</t>
    </r>
  </si>
  <si>
    <r>
      <t>1stSgt Course</t>
    </r>
    <r>
      <rPr>
        <sz val="11"/>
        <color rgb="FF000000"/>
        <rFont val="Calibri"/>
        <family val="2"/>
      </rPr>
      <t>​</t>
    </r>
  </si>
  <si>
    <t>% Slides Cmpl</t>
  </si>
  <si>
    <t>% Quizzes Cmpl</t>
  </si>
  <si>
    <t>% Certs Cmpl</t>
  </si>
  <si>
    <t>Certs Active</t>
  </si>
  <si>
    <t>Certs Failed</t>
  </si>
  <si>
    <t>Certs Remaining</t>
  </si>
  <si>
    <t>Certs Allotted</t>
  </si>
  <si>
    <t>Avg Days Remaining</t>
  </si>
  <si>
    <t>GTCC (Bn's list)</t>
  </si>
  <si>
    <t>COMPANY</t>
  </si>
  <si>
    <t>Account Name</t>
  </si>
  <si>
    <t>Account Status</t>
  </si>
  <si>
    <t>Current Balance</t>
  </si>
  <si>
    <t>30 Day Past Due</t>
  </si>
  <si>
    <t>60 Day Past Due</t>
  </si>
  <si>
    <t>90 Day Past Due</t>
  </si>
  <si>
    <t>120+ Day Past Due</t>
  </si>
  <si>
    <t>Total Past Due</t>
  </si>
  <si>
    <t>REASON</t>
  </si>
  <si>
    <t>DCO Comments</t>
  </si>
  <si>
    <t>D</t>
  </si>
  <si>
    <t>Account Past Due</t>
  </si>
  <si>
    <t>Member must submit new join travel claim</t>
  </si>
  <si>
    <t>Paid out on 20231114</t>
  </si>
  <si>
    <t>RPP multi payment plan enroll</t>
  </si>
  <si>
    <t>Payment plan, EAS'ed</t>
  </si>
  <si>
    <t>Incorrect Disbursements</t>
  </si>
  <si>
    <t>Paid. following up with S-1</t>
  </si>
  <si>
    <t>Last updated from iAPS: 6Feb24</t>
  </si>
  <si>
    <t>RANK</t>
  </si>
  <si>
    <t>NOMINEE</t>
  </si>
  <si>
    <t>COMP</t>
  </si>
  <si>
    <t>AWD</t>
  </si>
  <si>
    <t>STATUS</t>
  </si>
  <si>
    <t>FOR ACTION</t>
  </si>
  <si>
    <t>ORIG UNIT</t>
  </si>
  <si>
    <t>LAST ACTION</t>
  </si>
  <si>
    <t>ESTIMATED DATE OF PRESENTATION</t>
  </si>
  <si>
    <t>FROM DATE</t>
  </si>
  <si>
    <t>TO DATE</t>
  </si>
  <si>
    <t>Date Need by</t>
  </si>
  <si>
    <t>Occasion</t>
  </si>
  <si>
    <t>Comment</t>
  </si>
  <si>
    <t>USMC</t>
  </si>
  <si>
    <t>NA</t>
  </si>
  <si>
    <t>AWARDED</t>
  </si>
  <si>
    <t>1/4/2024 (Will be awarded at next duty station due to departure</t>
  </si>
  <si>
    <t>PCS</t>
  </si>
  <si>
    <t>FOR REVIEW</t>
  </si>
  <si>
    <t>RETURNED TO ORIGINATOR</t>
  </si>
  <si>
    <t>01/09/2024 No Action in 60 Days</t>
  </si>
  <si>
    <t>CF</t>
  </si>
  <si>
    <t>CORRECTIVE ACTION</t>
  </si>
  <si>
    <t>ENDORSED</t>
  </si>
  <si>
    <t>Rank</t>
  </si>
  <si>
    <t>Present Unit</t>
  </si>
  <si>
    <t>Estimated Arrival</t>
  </si>
  <si>
    <t>Primary MOS</t>
  </si>
  <si>
    <t>Sponsor</t>
  </si>
  <si>
    <t>Inbound Contact</t>
  </si>
  <si>
    <t>Checked In?</t>
  </si>
  <si>
    <t>Checkin</t>
  </si>
  <si>
    <t>PTAD</t>
  </si>
  <si>
    <t>Turnover</t>
  </si>
  <si>
    <t>Timelines</t>
  </si>
  <si>
    <t>MCC K89 = CCTC, Fort Gordon</t>
  </si>
  <si>
    <t>Yes</t>
  </si>
  <si>
    <t>MCC U30 = JCAC, Pensacola</t>
  </si>
  <si>
    <t>Confirm est date of arrival</t>
  </si>
  <si>
    <t>Unit Cd</t>
  </si>
  <si>
    <t>Co-Plt-WS</t>
  </si>
  <si>
    <t>Future MCC</t>
  </si>
  <si>
    <t>Est Dep Date</t>
  </si>
  <si>
    <t>PMOS</t>
  </si>
  <si>
    <t>PMOS Description</t>
  </si>
  <si>
    <t>Interview</t>
  </si>
  <si>
    <t>Award</t>
  </si>
  <si>
    <t>Gift</t>
  </si>
  <si>
    <t>FitRep/JEPES</t>
  </si>
  <si>
    <t>U30</t>
  </si>
  <si>
    <t>BASIC INFORMATION MANEUVER MARINE</t>
  </si>
  <si>
    <t>Bn needs to confirm what Medical is tracking so that we can correct their system.</t>
  </si>
  <si>
    <t>PATIENT_NAME</t>
  </si>
  <si>
    <t>Phone</t>
  </si>
  <si>
    <t>APPOINTMENT_DATE</t>
  </si>
  <si>
    <t>APPOINTMENT_TIME</t>
  </si>
  <si>
    <t>APPOINTMENT_STATE</t>
  </si>
  <si>
    <t>Company</t>
  </si>
  <si>
    <t>Do they know?</t>
  </si>
  <si>
    <t>Did they miss it?</t>
  </si>
  <si>
    <t>Informed Bn?</t>
  </si>
  <si>
    <t>Reason</t>
  </si>
  <si>
    <t>Confirmed</t>
  </si>
  <si>
    <t>DIAZ JOSHUA</t>
  </si>
  <si>
    <t>Overdue</t>
  </si>
  <si>
    <t>Medical verified 20231116</t>
  </si>
  <si>
    <t>MCCRAITH MATTHEW J</t>
  </si>
  <si>
    <t>Waiting for an appointment</t>
  </si>
  <si>
    <t>Completed 20230406, meical verified 20231116</t>
  </si>
  <si>
    <t>SPRAY KYLE A</t>
  </si>
  <si>
    <t>Completed 20230130, medical verified 20231116</t>
  </si>
  <si>
    <t>PODBORNY KEVIN M</t>
  </si>
  <si>
    <t>Due</t>
  </si>
  <si>
    <t>Online submitted 20231115</t>
  </si>
  <si>
    <t>SHAWVER DYLAN M</t>
  </si>
  <si>
    <t>No Show</t>
  </si>
  <si>
    <t>No</t>
  </si>
  <si>
    <t>Date Pulled:</t>
  </si>
  <si>
    <t>PULLED FROM UNIT LEADERS &gt; USMR &gt; Detailed List</t>
  </si>
  <si>
    <t>PULLED FROM UNIT LEADERS &gt; VIEW REPORTS TAB</t>
  </si>
  <si>
    <t>Category</t>
  </si>
  <si>
    <t>MO</t>
  </si>
  <si>
    <t>ME</t>
  </si>
  <si>
    <t>TOTAL</t>
  </si>
  <si>
    <t>Percent</t>
  </si>
  <si>
    <t>Sex</t>
  </si>
  <si>
    <t>EDD</t>
  </si>
  <si>
    <t>Unit</t>
  </si>
  <si>
    <t>Start Date</t>
  </si>
  <si>
    <t>End Date</t>
  </si>
  <si>
    <t>Work Phone</t>
  </si>
  <si>
    <t>Total Marines</t>
  </si>
  <si>
    <t>On Hand</t>
  </si>
  <si>
    <t>Present for Duty</t>
  </si>
  <si>
    <t>Manpower O/H</t>
  </si>
  <si>
    <t>Terminal Leave</t>
  </si>
  <si>
    <t>Legal</t>
  </si>
  <si>
    <t>LIMDU</t>
  </si>
  <si>
    <t>LIGHT</t>
  </si>
  <si>
    <t>F</t>
  </si>
  <si>
    <t>Pregnant</t>
  </si>
  <si>
    <t>Post-Partum</t>
  </si>
  <si>
    <t>TAD &gt; 31 Days</t>
  </si>
  <si>
    <t>TAD</t>
  </si>
  <si>
    <t>TAD(30 days or less)</t>
  </si>
  <si>
    <t>CTC</t>
  </si>
  <si>
    <t>TAD &lt; 30 Days</t>
  </si>
  <si>
    <t>SIQ</t>
  </si>
  <si>
    <t>Non-Deployable</t>
  </si>
  <si>
    <t>Deployable</t>
  </si>
  <si>
    <t>Sgt School</t>
  </si>
  <si>
    <t>O/H</t>
  </si>
  <si>
    <t>Detached/Deployed</t>
  </si>
  <si>
    <t>Available</t>
  </si>
  <si>
    <t>SANS</t>
  </si>
  <si>
    <t>1700</t>
  </si>
  <si>
    <t>2600</t>
  </si>
  <si>
    <t>Leave</t>
  </si>
  <si>
    <t>Total OJT</t>
  </si>
  <si>
    <t>Total 1721</t>
  </si>
  <si>
    <t>Total SNCO</t>
  </si>
  <si>
    <t>Column1</t>
  </si>
  <si>
    <t>1st</t>
  </si>
  <si>
    <t>2nd</t>
  </si>
  <si>
    <t>3rd</t>
  </si>
  <si>
    <t>Ops</t>
  </si>
  <si>
    <t>ON HAND ENLISTED</t>
  </si>
  <si>
    <t xml:space="preserve">Total Enlisted: </t>
  </si>
  <si>
    <t>M/E ON HAND:</t>
  </si>
  <si>
    <t>M/E Total:</t>
  </si>
  <si>
    <t>ON HAND OFFICER</t>
  </si>
  <si>
    <t>Total Officer:</t>
  </si>
  <si>
    <t>M/O ON HAND:</t>
  </si>
  <si>
    <t>M/O Total:</t>
  </si>
  <si>
    <t>Parity Column (Checks for dupilcates and uniques)</t>
  </si>
  <si>
    <t>Updated Chit</t>
  </si>
  <si>
    <t>Comments</t>
  </si>
  <si>
    <t>On Now</t>
  </si>
  <si>
    <t>Balance</t>
  </si>
  <si>
    <t>Start</t>
  </si>
  <si>
    <t>End</t>
  </si>
  <si>
    <t>Approved?</t>
  </si>
  <si>
    <t>Remote -  Ohio</t>
  </si>
  <si>
    <t>Remote - Local</t>
  </si>
  <si>
    <t>Expiring w/in 30 Days</t>
  </si>
  <si>
    <t>Reduired input</t>
  </si>
  <si>
    <t>Expired</t>
  </si>
  <si>
    <t>BREAKDOWN</t>
  </si>
  <si>
    <t>Dates</t>
  </si>
  <si>
    <t>RECALL INFO</t>
  </si>
  <si>
    <t>WEAPONS</t>
  </si>
  <si>
    <t>ADMIN</t>
  </si>
  <si>
    <t>GRADE</t>
  </si>
  <si>
    <t>NAME</t>
  </si>
  <si>
    <t>SEX</t>
  </si>
  <si>
    <t>SECTION</t>
  </si>
  <si>
    <t>Specialty</t>
  </si>
  <si>
    <t>Arrival Date</t>
  </si>
  <si>
    <t>DOR</t>
  </si>
  <si>
    <t>PHONE</t>
  </si>
  <si>
    <t>ADDRESS</t>
  </si>
  <si>
    <t>RIFLE S/N</t>
  </si>
  <si>
    <t>RCO S/N</t>
  </si>
  <si>
    <t>BLOOD</t>
  </si>
  <si>
    <t>Current Status</t>
  </si>
  <si>
    <t>Return Date</t>
  </si>
  <si>
    <t>Days Remaining</t>
  </si>
  <si>
    <t>O+</t>
  </si>
  <si>
    <t>O-</t>
  </si>
  <si>
    <t>A+</t>
  </si>
  <si>
    <t>B+</t>
  </si>
  <si>
    <t>Host</t>
  </si>
  <si>
    <t>IRF</t>
  </si>
  <si>
    <t>B-</t>
  </si>
  <si>
    <t>A-</t>
  </si>
  <si>
    <t>Network</t>
  </si>
  <si>
    <t>X</t>
  </si>
  <si>
    <t>AB+</t>
  </si>
  <si>
    <t>AB-</t>
  </si>
  <si>
    <t>m/dd/yyyy</t>
  </si>
  <si>
    <t>0123456789</t>
  </si>
  <si>
    <t>Copy/paste BEQ and change the room number</t>
  </si>
  <si>
    <t>Admin</t>
  </si>
  <si>
    <t>Fitness</t>
  </si>
  <si>
    <t>MIssion</t>
  </si>
  <si>
    <t>Dist Due Date</t>
  </si>
  <si>
    <t>Dist Days Left</t>
  </si>
  <si>
    <t>Res Due Date</t>
  </si>
  <si>
    <t>Res Days Left</t>
  </si>
  <si>
    <t>SJEPME I</t>
  </si>
  <si>
    <t>SJEPME II</t>
  </si>
  <si>
    <t>Promotion Panel</t>
  </si>
  <si>
    <t>CMC</t>
  </si>
  <si>
    <t>CMT</t>
  </si>
  <si>
    <t>RSO</t>
  </si>
  <si>
    <t>MCMAP</t>
  </si>
  <si>
    <t>MAI</t>
  </si>
  <si>
    <t>MAIT</t>
  </si>
  <si>
    <t>FFI</t>
  </si>
  <si>
    <t>MCWIS</t>
  </si>
  <si>
    <t>TCCC</t>
  </si>
  <si>
    <t>CLS</t>
  </si>
  <si>
    <t>CPTR</t>
  </si>
  <si>
    <t>UPC</t>
  </si>
  <si>
    <t>Net+</t>
  </si>
  <si>
    <t>Sec+</t>
  </si>
  <si>
    <t>CySA+</t>
  </si>
  <si>
    <t>PenTest+</t>
  </si>
  <si>
    <t>CASP+</t>
  </si>
  <si>
    <t>Project+</t>
  </si>
  <si>
    <t>CCNA</t>
  </si>
  <si>
    <t>CEH</t>
  </si>
  <si>
    <t>CHFI</t>
  </si>
  <si>
    <t>CISSP</t>
  </si>
  <si>
    <t>CISM</t>
  </si>
  <si>
    <t>OSCP</t>
  </si>
  <si>
    <t>Bachelors</t>
  </si>
  <si>
    <t>Masters</t>
  </si>
  <si>
    <t>Passport</t>
  </si>
  <si>
    <t>MCEN-N</t>
  </si>
  <si>
    <t>MCEN-S</t>
  </si>
  <si>
    <t>Courrier Card</t>
  </si>
  <si>
    <t>WC504 Open/Close</t>
  </si>
  <si>
    <t>WC504 Badge</t>
  </si>
  <si>
    <t>Misc</t>
  </si>
  <si>
    <t>Tan</t>
  </si>
  <si>
    <t>Gray</t>
  </si>
  <si>
    <t>Brown</t>
  </si>
  <si>
    <t>Green</t>
  </si>
  <si>
    <t>UMGC</t>
  </si>
  <si>
    <t>SMU</t>
  </si>
  <si>
    <t>SAAR &amp; Cyber M0000 Sent to S3-IT on 9 May</t>
  </si>
  <si>
    <t>WGU</t>
  </si>
  <si>
    <t>Rider</t>
  </si>
  <si>
    <t>USNA + GT</t>
  </si>
  <si>
    <t>PG</t>
  </si>
  <si>
    <t>SNHU</t>
  </si>
  <si>
    <t>SANS Cyber Threat Intel Course (30-31Jan)</t>
  </si>
  <si>
    <t>PGC</t>
  </si>
  <si>
    <t>Black</t>
  </si>
  <si>
    <t>ECPI</t>
  </si>
  <si>
    <t>EXPIRED</t>
  </si>
  <si>
    <t>UMD</t>
  </si>
  <si>
    <t>Rep</t>
  </si>
  <si>
    <t>Open Investigation OJT</t>
  </si>
  <si>
    <t>Naval</t>
  </si>
  <si>
    <t>X=INCOMPLETE/DELINQUENT/EXPIRED;  PUT DATE WHEN COMLPETED YYYYMMDD=date completed,scheduled, or expires.</t>
  </si>
  <si>
    <t>P4L</t>
  </si>
  <si>
    <t>Bn Reporting</t>
  </si>
  <si>
    <t>ePHA complete</t>
  </si>
  <si>
    <t>New check-in, ePHA complete</t>
  </si>
  <si>
    <t>Final Physical Complete</t>
  </si>
  <si>
    <t>TRS counseling</t>
  </si>
  <si>
    <t xml:space="preserve">Roster for: </t>
  </si>
  <si>
    <t>Bn PT</t>
  </si>
  <si>
    <t>Event Date:</t>
  </si>
  <si>
    <t>Blanks</t>
  </si>
  <si>
    <t>Going</t>
  </si>
  <si>
    <t>Go/No-Go</t>
  </si>
  <si>
    <t>Road Gaurd (4)</t>
  </si>
  <si>
    <t>Planks (10)</t>
  </si>
  <si>
    <t>Pull-Ups (10)</t>
  </si>
  <si>
    <t>Planks</t>
  </si>
  <si>
    <t>Pull-Ups</t>
  </si>
  <si>
    <t>Road Gaurd</t>
  </si>
  <si>
    <t>Go</t>
  </si>
  <si>
    <t>No-Go</t>
  </si>
  <si>
    <t>ARQ</t>
  </si>
  <si>
    <t>Medical</t>
  </si>
  <si>
    <t>Colors</t>
  </si>
  <si>
    <t>ADSEP</t>
  </si>
  <si>
    <t>LEAVE</t>
  </si>
  <si>
    <t>LIGHT DUTY</t>
  </si>
  <si>
    <t>MEDICAL</t>
  </si>
  <si>
    <t>TAD - MEU</t>
  </si>
  <si>
    <t>TAD - H1</t>
  </si>
  <si>
    <t>Appt for tear in pectoral muscle</t>
  </si>
  <si>
    <t xml:space="preserve">Parent teacher confrence </t>
  </si>
  <si>
    <t>PME dates at the bottom</t>
  </si>
  <si>
    <t>Resident Course</t>
  </si>
  <si>
    <t>Promoted</t>
  </si>
  <si>
    <t>PME Complete?</t>
  </si>
  <si>
    <t>Non-Res Complete?</t>
  </si>
  <si>
    <t>School Date Requested</t>
  </si>
  <si>
    <t>Registered in MCTIMS/etc?</t>
  </si>
  <si>
    <t>Marked On Whole Marine Tab?</t>
  </si>
  <si>
    <t xml:space="preserve">Comments </t>
  </si>
  <si>
    <t>SEMINAR</t>
  </si>
  <si>
    <t>No PME requirement</t>
  </si>
  <si>
    <t>PCS 1May24</t>
  </si>
  <si>
    <t>PCS 2Aug24</t>
  </si>
  <si>
    <t>PCS 1Jul24</t>
  </si>
  <si>
    <t>PCS 28Mar24</t>
  </si>
  <si>
    <t>nomination has been submitted</t>
  </si>
  <si>
    <t>EAS-ing 1Jul24</t>
  </si>
  <si>
    <t>Completed 20231215</t>
  </si>
  <si>
    <t>PCS 1Jul24, Bn Training emailed</t>
  </si>
  <si>
    <t>PEB</t>
  </si>
  <si>
    <t>EAS-ing 20OCt24</t>
  </si>
  <si>
    <t>EAS-ing 22Sep24</t>
  </si>
  <si>
    <t>GySgt</t>
  </si>
  <si>
    <t>SSgt</t>
  </si>
  <si>
    <t>Sgt</t>
  </si>
  <si>
    <t>123 Main Street, Jacksonville, NC 28542</t>
  </si>
  <si>
    <t xml:space="preserve">BEQ WC123 RM1222 PSC BOX 12345 CAMP LEJEUNE NC </t>
  </si>
  <si>
    <t xml:space="preserve">BEQ WC123 RM1241 PSC BOX 12345 CAMP LEJEUNE NC </t>
  </si>
  <si>
    <t xml:space="preserve">BEQ WC123 RM1247 PSC BOX 12345 CAMP LEJEUNE NC </t>
  </si>
  <si>
    <t xml:space="preserve">BEQ WC123 RM1231 PSC BOX 12345 CAMP LEJEUNE NC </t>
  </si>
  <si>
    <t xml:space="preserve">BEQ WC123 RM1254 PSC BOX 12345 CAMP LEJEUNE NC </t>
  </si>
  <si>
    <t xml:space="preserve">BEQ WC123 RM1226 PSC BOX 12345 CAMP LEJEUNE NC </t>
  </si>
  <si>
    <t xml:space="preserve">BEQ WC123 RM1228 PSC BOX 12345 CAMP LEJEUNE NC </t>
  </si>
  <si>
    <t xml:space="preserve">BEQ WC123 RM1248 PSC BOX 12345 CAMP LEJEUNE NC </t>
  </si>
  <si>
    <t xml:space="preserve">BEQ WC123 RM1229 PSC BOX 12345 CAMP LEJEUNE NC </t>
  </si>
  <si>
    <t xml:space="preserve">BEQ WC123 RM1232 PSC BOX 12345 CAMP LEJEUNE NC </t>
  </si>
  <si>
    <t xml:space="preserve">BEQ WC123 RM1240 PSC BOX 12345 CAMP LEJEUNE NC </t>
  </si>
  <si>
    <t xml:space="preserve">BEQ WC123 RM1255 PSC BOX 12345 CAMP LEJEUNE NC </t>
  </si>
  <si>
    <t xml:space="preserve">BEQ WC123 RM1242 PSC BOX 12345 CAMP LEJEUNE NC </t>
  </si>
  <si>
    <t xml:space="preserve">BEQ WC123 RM1239 PSC BOX 12345 CAMP LEJEUNE NC </t>
  </si>
  <si>
    <t xml:space="preserve">BEQ WC123 RM1223 PSC BOX 12345 CAMP LEJEUNE NC </t>
  </si>
  <si>
    <t xml:space="preserve">BEQ WC123 RM1227 PSC BOX 12345 CAMP LEJEUNE NC </t>
  </si>
  <si>
    <t xml:space="preserve">BEQ WC123 RM1244 PSC BOX 12345 CAMP LEJEUNE NC </t>
  </si>
  <si>
    <t xml:space="preserve">BEQ WC123 RM1237 PSC BOX 12345 CAMP LEJEUNE NC </t>
  </si>
  <si>
    <t xml:space="preserve">BEQ WC123 RM1243 PSC BOX 12345 CAMP LEJEUNE NC </t>
  </si>
  <si>
    <t xml:space="preserve">BEQ WC123 RM1238 PSC BOX 12345 CAMP LEJEUNE NC </t>
  </si>
  <si>
    <t>12345-D-1PLT</t>
  </si>
  <si>
    <t>12345-D-2PLT</t>
  </si>
  <si>
    <t>12345-D-3PLT</t>
  </si>
  <si>
    <t>12345-D-4PLT</t>
  </si>
  <si>
    <t>12345-D-OPS</t>
  </si>
  <si>
    <t>12345-D-SOC</t>
  </si>
  <si>
    <t>12345-D-HQ</t>
  </si>
  <si>
    <t>SUMMERS, DOMINIC A.</t>
  </si>
  <si>
    <t>LARA, SAMARA A.</t>
  </si>
  <si>
    <t>CARSON, BROOKS A.</t>
  </si>
  <si>
    <t>COFFEY, GIOVANI A.</t>
  </si>
  <si>
    <t>BERG, JULIAN A.</t>
  </si>
  <si>
    <t>MORRIS, RAELYNN A.</t>
  </si>
  <si>
    <t>TRUJILLO, JULIEN A.</t>
  </si>
  <si>
    <t>LANDRY, REY A.</t>
  </si>
  <si>
    <t>DUARTE, SILAS A.</t>
  </si>
  <si>
    <t>KIDD, ADONIS A.</t>
  </si>
  <si>
    <t>BREWER, VALENTINA A.</t>
  </si>
  <si>
    <t>CABRERA, HAILIE A.</t>
  </si>
  <si>
    <t>HODGES, ROSELYN A.</t>
  </si>
  <si>
    <t>ACEVEDO, GRIFFIN A.</t>
  </si>
  <si>
    <t>ALLEN, KALE A.</t>
  </si>
  <si>
    <t>DAVENPORT, IMMANUEL A.</t>
  </si>
  <si>
    <t>CHANDLER, TREVON A.</t>
  </si>
  <si>
    <t>CLEMENTS, ALISSON A.</t>
  </si>
  <si>
    <t>MULLEN, LILLIE A.</t>
  </si>
  <si>
    <t>WONG, KATELYNN A.</t>
  </si>
  <si>
    <t>FRANK, DAVIN A.</t>
  </si>
  <si>
    <t>MOODY, TIANNA A.</t>
  </si>
  <si>
    <t>MAYO, SANIYAH A.</t>
  </si>
  <si>
    <t>TERRELL, KAMORA A.</t>
  </si>
  <si>
    <t>ARNOLD, MARY A.</t>
  </si>
  <si>
    <t>WILLIS, AKIRA A.</t>
  </si>
  <si>
    <t>RITTER, DEMETRIUS A.</t>
  </si>
  <si>
    <t>HARTMAN, DANE A.</t>
  </si>
  <si>
    <t>FRY, DARIUS A.</t>
  </si>
  <si>
    <t>NASH, KIERAN A.</t>
  </si>
  <si>
    <t>SHAH, BRYNN A.</t>
  </si>
  <si>
    <t>WEISS, BRAXTON A.</t>
  </si>
  <si>
    <t>HOPKINS, NICK A.</t>
  </si>
  <si>
    <t>GIBBS, SANDRA A.</t>
  </si>
  <si>
    <t>FRIEDMAN, ROHAN A.</t>
  </si>
  <si>
    <t>SPEARS, TRIPP A.</t>
  </si>
  <si>
    <t>KENNEDY, RYAN A.</t>
  </si>
  <si>
    <t>CHEN, ANGELINE A.</t>
  </si>
  <si>
    <t>BUCHANAN, TIMOTHY A.</t>
  </si>
  <si>
    <t>LARSEN, JENSEN A.</t>
  </si>
  <si>
    <t>MCBRIDE, ZION A.</t>
  </si>
  <si>
    <t>CORDOVA, GRADY A.</t>
  </si>
  <si>
    <t>HARRISON, FIONA A.</t>
  </si>
  <si>
    <t>HAAS, VALERY A.</t>
  </si>
  <si>
    <t>BRADFORD, CADENCE A.</t>
  </si>
  <si>
    <t>BERGER, PAYTON A.</t>
  </si>
  <si>
    <t>MCCOY, EILEEN A.</t>
  </si>
  <si>
    <t>MALONE, DAMARION A.</t>
  </si>
  <si>
    <t>GROSS, SHERLYN A.</t>
  </si>
  <si>
    <t>BECK, LEVI A.</t>
  </si>
  <si>
    <t>SILVA, ABIGAIL A.</t>
  </si>
  <si>
    <t>CONWAY, TATIANA A.</t>
  </si>
  <si>
    <t>HUGHES, GILBERTO A.</t>
  </si>
  <si>
    <t>NASH, LEONARDO A.</t>
  </si>
  <si>
    <t>MONROE, MARIAM A.</t>
  </si>
  <si>
    <t>MCDONALD, DESIREE A.</t>
  </si>
  <si>
    <t>FOWLER, DEVYN A.</t>
  </si>
  <si>
    <t>MCGEE, MAYRA A.</t>
  </si>
  <si>
    <t>SCHAEFER, JAYLA A.</t>
  </si>
  <si>
    <t>LARSON, TYREE A.</t>
  </si>
  <si>
    <t>DAVID, HEATHER A.</t>
  </si>
  <si>
    <t>DAWSON, DEMARION A.</t>
  </si>
  <si>
    <t>SOLOMON, DILLON A.</t>
  </si>
  <si>
    <t>VELAZQUEZ, EMILIE A.</t>
  </si>
  <si>
    <t>WALKER, ANAYA A.</t>
  </si>
  <si>
    <t>HEBERT, MAYRA A.</t>
  </si>
  <si>
    <t>JOSEPH, GUADALUPE A.</t>
  </si>
  <si>
    <t>TODD, GLENN A.</t>
  </si>
  <si>
    <t>RIOS, LEWIS A.</t>
  </si>
  <si>
    <t>MAXWELL, COBY A.</t>
  </si>
  <si>
    <t>DAVENPORT, ANYA A.</t>
  </si>
  <si>
    <t>ALVAREZ, KIANA A.</t>
  </si>
  <si>
    <t>TRAVIS, ANGELINA A.</t>
  </si>
  <si>
    <t>BLEVINS, TOBIAS A.</t>
  </si>
  <si>
    <t>ROSE, YUSUF A.</t>
  </si>
  <si>
    <t>HARRINGTON, TODD A.</t>
  </si>
  <si>
    <t>STAFFORD, ALLYSON A.</t>
  </si>
  <si>
    <t>THOMAS, AVA A.</t>
  </si>
  <si>
    <t>POWERS, BLAKE A.</t>
  </si>
  <si>
    <t>NCR</t>
  </si>
  <si>
    <t>JONSON, JOHN A.</t>
  </si>
  <si>
    <t xml:space="preserve">BEQ WC123 RM1220 PSC BOX 12345 CAMP LEJEUNE NC </t>
  </si>
  <si>
    <t xml:space="preserve">BEQ WC123 RM1251 PSC BOX 12345 CAMP LEJEUNE NC </t>
  </si>
  <si>
    <t xml:space="preserve">BEQ WC123 RM1245 PSC BOX 12345 CAMP LEJEUNE NC </t>
  </si>
  <si>
    <t xml:space="preserve">BEQ WC123 RM1246 PSC BOX 12345 CAMP LEJEUNE NC </t>
  </si>
  <si>
    <t xml:space="preserve">BEQ WC123 RM1236 PSC BOX 12345 CAMP LEJEUNE NC </t>
  </si>
  <si>
    <t xml:space="preserve">BEQ WC123 RM1234 PSC BOX 12345 CAMP LEJEUNE NC </t>
  </si>
  <si>
    <t xml:space="preserve">BEQ WC123 RM1225 PSC BOX 12345 CAMP LEJEUNE NC </t>
  </si>
  <si>
    <t xml:space="preserve">BEQ WC123 RM1252 PSC BOX 12345 CAMP LEJEUNE NC </t>
  </si>
  <si>
    <t>Unit Admin</t>
  </si>
  <si>
    <t>Kale</t>
  </si>
  <si>
    <t>Trevon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</si>
</sst>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&lt;=9999999]###\-####;\(###\)\ ###\-####"/>
    <numFmt numFmtId="165" formatCode="mm/dd/yy;@"/>
    <numFmt numFmtId="166" formatCode="0.0%"/>
    <numFmt numFmtId="167" formatCode="m/d/yyyy;@"/>
  </numFmts>
  <fonts count="5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C000"/>
      <name val="Arial Black"/>
      <family val="2"/>
    </font>
    <font>
      <sz val="11"/>
      <color rgb="FF70AD47"/>
      <name val="Arial Black"/>
      <family val="2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9.75"/>
      <color rgb="FFFFFFFF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444444"/>
      <name val="Calibri"/>
      <family val="2"/>
    </font>
    <font>
      <b/>
      <sz val="11"/>
      <color rgb="FF70AD47"/>
      <name val="Arial Black"/>
      <family val="2"/>
    </font>
    <font>
      <b/>
      <sz val="11"/>
      <color rgb="FFFF0000"/>
      <name val="Arial Black"/>
      <family val="2"/>
    </font>
    <font>
      <b/>
      <sz val="11"/>
      <color rgb="FFFFC000"/>
      <name val="Arial Black"/>
      <family val="2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FF0000"/>
      <name val="Calibri"/>
      <family val="2"/>
    </font>
    <font>
      <sz val="11"/>
      <color rgb="FFFFFFFF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rgb="FF000000"/>
      <name val="Arial Black"/>
      <family val="2"/>
    </font>
    <font>
      <sz val="11"/>
      <color rgb="FFDEDEDE"/>
      <name val="Calibri"/>
      <family val="2"/>
      <scheme val="minor"/>
    </font>
    <font>
      <sz val="13.5"/>
      <color rgb="FF000000"/>
      <name val="Times New Roman"/>
      <family val="1"/>
    </font>
    <font>
      <b/>
      <sz val="11"/>
      <color rgb="FF000000"/>
      <name val="Calibri"/>
      <family val="2"/>
    </font>
    <font>
      <b/>
      <sz val="18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8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333333"/>
      <name val="Andale WT"/>
      <family val="2"/>
    </font>
    <font>
      <sz val="8"/>
      <color rgb="FF454545"/>
      <name val="Andale WT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A5A5A5"/>
        <bgColor rgb="FFA5A5A5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BDD7EE"/>
        <bgColor indexed="64"/>
      </patternFill>
    </fill>
    <fill>
      <patternFill patternType="solid">
        <fgColor rgb="FF808080"/>
      </patternFill>
    </fill>
    <fill>
      <patternFill patternType="solid">
        <fgColor rgb="FF59595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7E5E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D80D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theme="6"/>
      </right>
      <top style="thin">
        <color theme="6"/>
      </top>
      <bottom style="medium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/>
      <right style="medium">
        <color rgb="FFE2E2E2"/>
      </right>
      <top/>
      <bottom style="medium">
        <color rgb="FFE2E2E2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0" fontId="12" fillId="15" borderId="0" applyNumberFormat="0" applyBorder="0" applyAlignment="0" applyProtection="0"/>
    <xf numFmtId="0" fontId="13" fillId="17" borderId="0" applyNumberFormat="0" applyBorder="0" applyAlignment="0" applyProtection="0"/>
    <xf numFmtId="0" fontId="14" fillId="18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65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Fill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Border="1"/>
    <xf numFmtId="0" fontId="0" fillId="3" borderId="1" xfId="0" applyFill="1" applyBorder="1"/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49" fontId="0" fillId="0" borderId="0" xfId="0" applyNumberFormat="1" applyFill="1" applyBorder="1"/>
    <xf numFmtId="0" fontId="0" fillId="0" borderId="11" xfId="0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4" fillId="0" borderId="0" xfId="0" applyFont="1" applyFill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Fill="1" applyBorder="1"/>
    <xf numFmtId="0" fontId="8" fillId="8" borderId="15" xfId="0" applyFont="1" applyFill="1" applyBorder="1" applyAlignment="1">
      <alignment horizontal="center"/>
    </xf>
    <xf numFmtId="0" fontId="7" fillId="8" borderId="14" xfId="0" applyFont="1" applyFill="1" applyBorder="1" applyAlignment="1">
      <alignment horizontal="right"/>
    </xf>
    <xf numFmtId="0" fontId="7" fillId="8" borderId="17" xfId="0" applyFont="1" applyFill="1" applyBorder="1" applyAlignment="1">
      <alignment horizontal="right"/>
    </xf>
    <xf numFmtId="0" fontId="0" fillId="0" borderId="6" xfId="0" applyFill="1" applyBorder="1"/>
    <xf numFmtId="0" fontId="0" fillId="0" borderId="0" xfId="0" applyNumberFormat="1" applyFill="1" applyBorder="1" applyAlignment="1">
      <alignment horizontal="center"/>
    </xf>
    <xf numFmtId="0" fontId="10" fillId="0" borderId="0" xfId="0" applyFont="1"/>
    <xf numFmtId="0" fontId="3" fillId="0" borderId="0" xfId="0" applyFont="1" applyBorder="1"/>
    <xf numFmtId="0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readingOrder="1"/>
    </xf>
    <xf numFmtId="0" fontId="3" fillId="0" borderId="0" xfId="0" applyNumberFormat="1" applyFont="1" applyBorder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9" fillId="14" borderId="17" xfId="0" applyFont="1" applyFill="1" applyBorder="1" applyAlignment="1">
      <alignment horizontal="center" vertical="center"/>
    </xf>
    <xf numFmtId="0" fontId="4" fillId="0" borderId="0" xfId="0" applyFont="1"/>
    <xf numFmtId="0" fontId="9" fillId="9" borderId="17" xfId="0" applyFont="1" applyFill="1" applyBorder="1"/>
    <xf numFmtId="0" fontId="0" fillId="0" borderId="0" xfId="0" applyNumberFormat="1" applyFill="1"/>
    <xf numFmtId="0" fontId="0" fillId="0" borderId="0" xfId="0" applyNumberFormat="1" applyAlignment="1">
      <alignment horizontal="left"/>
    </xf>
    <xf numFmtId="0" fontId="3" fillId="0" borderId="0" xfId="0" applyFont="1" applyFill="1"/>
    <xf numFmtId="0" fontId="0" fillId="0" borderId="0" xfId="0" applyNumberFormat="1"/>
    <xf numFmtId="0" fontId="5" fillId="0" borderId="0" xfId="0" applyFont="1"/>
    <xf numFmtId="0" fontId="3" fillId="0" borderId="0" xfId="0" applyNumberFormat="1" applyFont="1" applyAlignment="1">
      <alignment horizontal="center"/>
    </xf>
    <xf numFmtId="0" fontId="0" fillId="16" borderId="1" xfId="0" applyFill="1" applyBorder="1"/>
    <xf numFmtId="49" fontId="0" fillId="0" borderId="10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0" fontId="12" fillId="15" borderId="0" xfId="2"/>
    <xf numFmtId="0" fontId="14" fillId="18" borderId="0" xfId="4"/>
    <xf numFmtId="0" fontId="13" fillId="17" borderId="0" xfId="3"/>
    <xf numFmtId="14" fontId="0" fillId="0" borderId="0" xfId="0" applyNumberFormat="1"/>
    <xf numFmtId="49" fontId="0" fillId="0" borderId="0" xfId="0" applyNumberFormat="1" applyBorder="1"/>
    <xf numFmtId="0" fontId="15" fillId="0" borderId="0" xfId="0" applyFont="1"/>
    <xf numFmtId="0" fontId="16" fillId="0" borderId="0" xfId="0" applyFont="1"/>
    <xf numFmtId="0" fontId="0" fillId="0" borderId="0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16" borderId="0" xfId="0" applyFill="1"/>
    <xf numFmtId="0" fontId="0" fillId="0" borderId="0" xfId="0" applyBorder="1" applyAlignment="1">
      <alignment horizontal="center" vertical="center" wrapText="1"/>
    </xf>
    <xf numFmtId="49" fontId="3" fillId="0" borderId="0" xfId="0" applyNumberFormat="1" applyFont="1" applyBorder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8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vertical="top" wrapText="1"/>
    </xf>
    <xf numFmtId="0" fontId="4" fillId="0" borderId="2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15" fontId="4" fillId="0" borderId="0" xfId="0" applyNumberFormat="1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0" xfId="0" applyFont="1" applyFill="1" applyBorder="1" applyAlignment="1"/>
    <xf numFmtId="0" fontId="4" fillId="0" borderId="0" xfId="0" applyNumberFormat="1" applyFont="1" applyFill="1" applyBorder="1" applyAlignment="1"/>
    <xf numFmtId="15" fontId="4" fillId="0" borderId="0" xfId="0" applyNumberFormat="1" applyFont="1" applyFill="1" applyBorder="1" applyAlignment="1">
      <alignment horizontal="left"/>
    </xf>
    <xf numFmtId="0" fontId="4" fillId="0" borderId="0" xfId="0" quotePrefix="1" applyFont="1" applyFill="1"/>
    <xf numFmtId="0" fontId="20" fillId="0" borderId="0" xfId="0" applyFont="1"/>
    <xf numFmtId="0" fontId="2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0" fillId="0" borderId="0" xfId="0" applyFont="1" applyFill="1" applyBorder="1" applyAlignment="1">
      <alignment horizontal="center"/>
    </xf>
    <xf numFmtId="49" fontId="0" fillId="0" borderId="0" xfId="0" applyNumberFormat="1" applyFill="1"/>
    <xf numFmtId="0" fontId="3" fillId="0" borderId="0" xfId="0" applyFont="1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Font="1"/>
    <xf numFmtId="0" fontId="4" fillId="7" borderId="0" xfId="0" applyFont="1" applyFill="1" applyAlignment="1">
      <alignment horizontal="center"/>
    </xf>
    <xf numFmtId="49" fontId="0" fillId="0" borderId="30" xfId="0" applyNumberForma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1" xfId="0" applyNumberFormat="1" applyBorder="1" applyAlignment="1">
      <alignment horizontal="center"/>
    </xf>
    <xf numFmtId="0" fontId="0" fillId="0" borderId="0" xfId="0" applyFont="1" applyFill="1" applyAlignment="1">
      <alignment horizontal="center"/>
    </xf>
    <xf numFmtId="49" fontId="3" fillId="0" borderId="0" xfId="0" applyNumberFormat="1" applyFont="1" applyFill="1" applyBorder="1"/>
    <xf numFmtId="0" fontId="0" fillId="6" borderId="0" xfId="0" applyFill="1"/>
    <xf numFmtId="0" fontId="0" fillId="0" borderId="13" xfId="0" applyBorder="1" applyAlignment="1">
      <alignment horizontal="center" vertical="center" wrapText="1"/>
    </xf>
    <xf numFmtId="0" fontId="3" fillId="0" borderId="23" xfId="0" applyFont="1" applyBorder="1"/>
    <xf numFmtId="0" fontId="3" fillId="0" borderId="23" xfId="0" applyFont="1" applyFill="1" applyBorder="1"/>
    <xf numFmtId="0" fontId="0" fillId="0" borderId="11" xfId="0" applyBorder="1" applyAlignment="1">
      <alignment horizontal="center"/>
    </xf>
    <xf numFmtId="49" fontId="19" fillId="20" borderId="27" xfId="0" applyNumberFormat="1" applyFont="1" applyFill="1" applyBorder="1" applyAlignment="1">
      <alignment horizontal="center" vertical="center" wrapText="1" readingOrder="1"/>
    </xf>
    <xf numFmtId="49" fontId="19" fillId="12" borderId="27" xfId="0" applyNumberFormat="1" applyFont="1" applyFill="1" applyBorder="1" applyAlignment="1">
      <alignment horizontal="center" vertical="center" wrapText="1" readingOrder="1"/>
    </xf>
    <xf numFmtId="0" fontId="12" fillId="0" borderId="0" xfId="2" applyFill="1" applyAlignment="1">
      <alignment horizontal="center"/>
    </xf>
    <xf numFmtId="0" fontId="1" fillId="0" borderId="0" xfId="0" applyNumberFormat="1" applyFont="1"/>
    <xf numFmtId="0" fontId="1" fillId="0" borderId="0" xfId="0" applyNumberFormat="1" applyFont="1" applyAlignment="1"/>
    <xf numFmtId="0" fontId="0" fillId="0" borderId="3" xfId="0" applyNumberFormat="1" applyBorder="1" applyAlignment="1">
      <alignment horizontal="left"/>
    </xf>
    <xf numFmtId="0" fontId="0" fillId="0" borderId="24" xfId="0" applyNumberFormat="1" applyBorder="1" applyAlignment="1">
      <alignment horizontal="left"/>
    </xf>
    <xf numFmtId="0" fontId="0" fillId="0" borderId="10" xfId="0" applyNumberFormat="1" applyBorder="1" applyAlignment="1">
      <alignment horizontal="left"/>
    </xf>
    <xf numFmtId="0" fontId="0" fillId="0" borderId="10" xfId="0" applyNumberFormat="1" applyBorder="1" applyAlignment="1">
      <alignment horizontal="center"/>
    </xf>
    <xf numFmtId="0" fontId="0" fillId="0" borderId="10" xfId="0" applyNumberFormat="1" applyBorder="1" applyAlignment="1">
      <alignment vertical="center"/>
    </xf>
    <xf numFmtId="0" fontId="0" fillId="0" borderId="12" xfId="0" applyNumberFormat="1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0" fillId="0" borderId="11" xfId="0" applyNumberFormat="1" applyBorder="1" applyAlignment="1">
      <alignment horizontal="left"/>
    </xf>
    <xf numFmtId="0" fontId="0" fillId="0" borderId="6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 applyAlignment="1">
      <alignment vertical="center"/>
    </xf>
    <xf numFmtId="14" fontId="0" fillId="0" borderId="0" xfId="0" applyNumberForma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12" borderId="15" xfId="0" applyFill="1" applyBorder="1" applyAlignment="1"/>
    <xf numFmtId="49" fontId="0" fillId="22" borderId="0" xfId="0" applyNumberFormat="1" applyFill="1" applyBorder="1"/>
    <xf numFmtId="0" fontId="1" fillId="0" borderId="11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43" xfId="0" applyNumberFormat="1" applyFont="1" applyBorder="1" applyAlignment="1">
      <alignment horizontal="center" vertical="center"/>
    </xf>
    <xf numFmtId="0" fontId="22" fillId="12" borderId="42" xfId="0" applyFont="1" applyFill="1" applyBorder="1" applyAlignment="1">
      <alignment horizontal="center" vertical="center"/>
    </xf>
    <xf numFmtId="10" fontId="1" fillId="0" borderId="43" xfId="0" applyNumberFormat="1" applyFont="1" applyBorder="1" applyAlignment="1">
      <alignment horizontal="center" vertical="center"/>
    </xf>
    <xf numFmtId="49" fontId="1" fillId="0" borderId="41" xfId="0" applyNumberFormat="1" applyFont="1" applyBorder="1" applyAlignment="1">
      <alignment horizontal="center" vertical="center"/>
    </xf>
    <xf numFmtId="49" fontId="0" fillId="0" borderId="31" xfId="0" applyNumberFormat="1" applyFont="1" applyBorder="1" applyAlignment="1">
      <alignment horizontal="center" vertical="center"/>
    </xf>
    <xf numFmtId="0" fontId="0" fillId="0" borderId="11" xfId="0" applyNumberFormat="1" applyFont="1" applyBorder="1" applyAlignment="1">
      <alignment horizontal="center" vertical="center"/>
    </xf>
    <xf numFmtId="0" fontId="0" fillId="13" borderId="13" xfId="0" applyFill="1" applyBorder="1" applyAlignment="1">
      <alignment horizontal="center" vertical="center" wrapText="1"/>
    </xf>
    <xf numFmtId="0" fontId="0" fillId="13" borderId="14" xfId="0" applyFill="1" applyBorder="1" applyAlignment="1">
      <alignment horizontal="center" vertical="center" wrapText="1"/>
    </xf>
    <xf numFmtId="0" fontId="0" fillId="0" borderId="0" xfId="0" applyFill="1" applyAlignment="1"/>
    <xf numFmtId="0" fontId="1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10" fontId="0" fillId="0" borderId="0" xfId="0" applyNumberFormat="1" applyAlignment="1">
      <alignment horizontal="center"/>
    </xf>
    <xf numFmtId="9" fontId="2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4" xfId="0" applyBorder="1" applyAlignment="1">
      <alignment horizontal="center"/>
    </xf>
    <xf numFmtId="14" fontId="0" fillId="0" borderId="5" xfId="0" applyNumberForma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14" fontId="0" fillId="0" borderId="33" xfId="0" applyNumberFormat="1" applyBorder="1" applyAlignment="1">
      <alignment horizontal="left"/>
    </xf>
    <xf numFmtId="0" fontId="3" fillId="0" borderId="0" xfId="3" applyFont="1" applyFill="1"/>
    <xf numFmtId="0" fontId="5" fillId="0" borderId="1" xfId="0" applyFont="1" applyFill="1" applyBorder="1"/>
    <xf numFmtId="0" fontId="0" fillId="16" borderId="7" xfId="0" applyFill="1" applyBorder="1"/>
    <xf numFmtId="0" fontId="0" fillId="2" borderId="4" xfId="0" applyFill="1" applyBorder="1"/>
    <xf numFmtId="0" fontId="0" fillId="2" borderId="9" xfId="0" applyFill="1" applyBorder="1"/>
    <xf numFmtId="0" fontId="0" fillId="7" borderId="4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7" xfId="0" applyFill="1" applyBorder="1"/>
    <xf numFmtId="0" fontId="0" fillId="7" borderId="3" xfId="0" applyFill="1" applyBorder="1"/>
    <xf numFmtId="10" fontId="3" fillId="0" borderId="0" xfId="0" applyNumberFormat="1" applyFont="1" applyAlignment="1">
      <alignment horizontal="center"/>
    </xf>
    <xf numFmtId="0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0" fontId="24" fillId="0" borderId="0" xfId="0" applyFont="1"/>
    <xf numFmtId="164" fontId="0" fillId="0" borderId="0" xfId="0" applyNumberFormat="1" applyAlignment="1">
      <alignment horizontal="left"/>
    </xf>
    <xf numFmtId="15" fontId="0" fillId="0" borderId="0" xfId="0" applyNumberFormat="1" applyBorder="1" applyAlignment="1">
      <alignment horizontal="center"/>
    </xf>
    <xf numFmtId="14" fontId="0" fillId="0" borderId="11" xfId="0" applyNumberFormat="1" applyBorder="1" applyAlignment="1">
      <alignment horizontal="left"/>
    </xf>
    <xf numFmtId="15" fontId="4" fillId="0" borderId="22" xfId="0" applyNumberFormat="1" applyFont="1" applyFill="1" applyBorder="1" applyAlignment="1">
      <alignment horizontal="center"/>
    </xf>
    <xf numFmtId="0" fontId="4" fillId="0" borderId="23" xfId="0" applyFont="1" applyFill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23" borderId="0" xfId="0" applyFill="1"/>
    <xf numFmtId="0" fontId="0" fillId="23" borderId="0" xfId="0" applyFill="1" applyAlignment="1">
      <alignment horizontal="right"/>
    </xf>
    <xf numFmtId="0" fontId="0" fillId="23" borderId="0" xfId="0" applyFill="1" applyAlignment="1">
      <alignment horizontal="center"/>
    </xf>
    <xf numFmtId="0" fontId="26" fillId="23" borderId="0" xfId="0" applyFont="1" applyFill="1"/>
    <xf numFmtId="0" fontId="27" fillId="23" borderId="0" xfId="0" applyFont="1" applyFill="1"/>
    <xf numFmtId="0" fontId="25" fillId="23" borderId="0" xfId="0" applyFont="1" applyFill="1"/>
    <xf numFmtId="9" fontId="0" fillId="23" borderId="0" xfId="0" applyNumberFormat="1" applyFill="1" applyAlignment="1">
      <alignment horizontal="left"/>
    </xf>
    <xf numFmtId="0" fontId="1" fillId="23" borderId="0" xfId="0" applyFont="1" applyFill="1" applyAlignment="1">
      <alignment horizontal="left"/>
    </xf>
    <xf numFmtId="0" fontId="0" fillId="23" borderId="0" xfId="0" applyFill="1" applyAlignment="1">
      <alignment horizontal="left"/>
    </xf>
    <xf numFmtId="0" fontId="1" fillId="23" borderId="0" xfId="0" applyFont="1" applyFill="1"/>
    <xf numFmtId="0" fontId="3" fillId="0" borderId="0" xfId="0" applyFont="1" applyFill="1" applyBorder="1" applyAlignment="1"/>
    <xf numFmtId="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9" fillId="0" borderId="0" xfId="5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9" fillId="14" borderId="17" xfId="0" applyFont="1" applyFill="1" applyBorder="1" applyAlignment="1">
      <alignment horizontal="left" vertical="center" wrapText="1"/>
    </xf>
    <xf numFmtId="49" fontId="19" fillId="20" borderId="27" xfId="0" applyNumberFormat="1" applyFont="1" applyFill="1" applyBorder="1" applyAlignment="1">
      <alignment horizontal="left" vertical="center" readingOrder="1"/>
    </xf>
    <xf numFmtId="49" fontId="19" fillId="20" borderId="27" xfId="0" applyNumberFormat="1" applyFont="1" applyFill="1" applyBorder="1" applyAlignment="1">
      <alignment horizontal="left" vertical="center" wrapText="1" readingOrder="1"/>
    </xf>
    <xf numFmtId="0" fontId="0" fillId="2" borderId="1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23" fillId="0" borderId="11" xfId="0" applyFont="1" applyFill="1" applyBorder="1" applyAlignment="1"/>
    <xf numFmtId="14" fontId="23" fillId="0" borderId="11" xfId="0" applyNumberFormat="1" applyFont="1" applyFill="1" applyBorder="1" applyAlignment="1"/>
    <xf numFmtId="0" fontId="23" fillId="0" borderId="43" xfId="0" applyFont="1" applyFill="1" applyBorder="1" applyAlignment="1"/>
    <xf numFmtId="0" fontId="23" fillId="0" borderId="35" xfId="0" applyFont="1" applyFill="1" applyBorder="1" applyAlignment="1"/>
    <xf numFmtId="14" fontId="23" fillId="0" borderId="35" xfId="0" applyNumberFormat="1" applyFont="1" applyFill="1" applyBorder="1" applyAlignment="1"/>
    <xf numFmtId="0" fontId="23" fillId="0" borderId="44" xfId="0" applyFont="1" applyFill="1" applyBorder="1" applyAlignment="1"/>
    <xf numFmtId="0" fontId="0" fillId="0" borderId="0" xfId="0" applyFill="1" applyAlignment="1">
      <alignment horizontal="left"/>
    </xf>
    <xf numFmtId="14" fontId="0" fillId="0" borderId="35" xfId="0" applyNumberFormat="1" applyBorder="1" applyAlignment="1">
      <alignment horizontal="left"/>
    </xf>
    <xf numFmtId="0" fontId="4" fillId="0" borderId="45" xfId="0" applyFont="1" applyFill="1" applyBorder="1" applyAlignment="1">
      <alignment horizontal="left"/>
    </xf>
    <xf numFmtId="0" fontId="23" fillId="0" borderId="0" xfId="0" applyFont="1" applyFill="1" applyBorder="1" applyAlignment="1"/>
    <xf numFmtId="0" fontId="0" fillId="0" borderId="35" xfId="0" applyFill="1" applyBorder="1"/>
    <xf numFmtId="0" fontId="0" fillId="0" borderId="0" xfId="0" applyFont="1" applyFill="1"/>
    <xf numFmtId="0" fontId="2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4" fillId="0" borderId="0" xfId="0" applyNumberFormat="1" applyFont="1" applyFill="1" applyBorder="1" applyAlignment="1">
      <alignment horizontal="right"/>
    </xf>
    <xf numFmtId="0" fontId="1" fillId="23" borderId="46" xfId="0" applyFont="1" applyFill="1" applyBorder="1" applyAlignment="1">
      <alignment horizontal="center"/>
    </xf>
    <xf numFmtId="0" fontId="0" fillId="23" borderId="47" xfId="0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0" fontId="32" fillId="16" borderId="0" xfId="0" applyFont="1" applyFill="1"/>
    <xf numFmtId="0" fontId="0" fillId="16" borderId="0" xfId="0" applyFont="1" applyFill="1"/>
    <xf numFmtId="0" fontId="5" fillId="23" borderId="0" xfId="0" quotePrefix="1" applyFont="1" applyFill="1" applyAlignment="1">
      <alignment horizontal="left"/>
    </xf>
    <xf numFmtId="0" fontId="33" fillId="23" borderId="0" xfId="0" applyFont="1" applyFill="1"/>
    <xf numFmtId="0" fontId="3" fillId="0" borderId="23" xfId="0" applyFont="1" applyFill="1" applyBorder="1" applyAlignment="1">
      <alignment horizontal="left"/>
    </xf>
    <xf numFmtId="49" fontId="3" fillId="0" borderId="23" xfId="0" applyNumberFormat="1" applyFont="1" applyFill="1" applyBorder="1"/>
    <xf numFmtId="49" fontId="3" fillId="0" borderId="23" xfId="0" applyNumberFormat="1" applyFont="1" applyFill="1" applyBorder="1" applyAlignment="1">
      <alignment vertical="center"/>
    </xf>
    <xf numFmtId="0" fontId="4" fillId="0" borderId="23" xfId="0" applyFont="1" applyFill="1" applyBorder="1"/>
    <xf numFmtId="49" fontId="0" fillId="0" borderId="23" xfId="0" applyNumberFormat="1" applyFill="1" applyBorder="1" applyAlignment="1">
      <alignment vertical="center"/>
    </xf>
    <xf numFmtId="0" fontId="5" fillId="0" borderId="23" xfId="0" applyFont="1" applyFill="1" applyBorder="1"/>
    <xf numFmtId="49" fontId="0" fillId="0" borderId="23" xfId="0" applyNumberFormat="1" applyFill="1" applyBorder="1"/>
    <xf numFmtId="0" fontId="0" fillId="0" borderId="0" xfId="0" applyNumberFormat="1" applyAlignment="1">
      <alignment horizontal="left" wrapText="1"/>
    </xf>
    <xf numFmtId="0" fontId="0" fillId="23" borderId="0" xfId="0" applyFill="1" applyBorder="1"/>
    <xf numFmtId="0" fontId="3" fillId="23" borderId="48" xfId="0" applyFont="1" applyFill="1" applyBorder="1"/>
    <xf numFmtId="0" fontId="3" fillId="23" borderId="49" xfId="0" applyFont="1" applyFill="1" applyBorder="1"/>
    <xf numFmtId="0" fontId="3" fillId="23" borderId="40" xfId="0" applyFont="1" applyFill="1" applyBorder="1"/>
    <xf numFmtId="0" fontId="3" fillId="23" borderId="42" xfId="0" applyFont="1" applyFill="1" applyBorder="1"/>
    <xf numFmtId="0" fontId="3" fillId="23" borderId="31" xfId="0" applyFont="1" applyFill="1" applyBorder="1"/>
    <xf numFmtId="0" fontId="3" fillId="23" borderId="43" xfId="0" applyFont="1" applyFill="1" applyBorder="1"/>
    <xf numFmtId="0" fontId="0" fillId="23" borderId="50" xfId="0" applyFill="1" applyBorder="1" applyAlignment="1">
      <alignment horizontal="center"/>
    </xf>
    <xf numFmtId="0" fontId="34" fillId="0" borderId="0" xfId="0" applyFont="1" applyAlignment="1">
      <alignment horizontal="center"/>
    </xf>
    <xf numFmtId="0" fontId="4" fillId="0" borderId="0" xfId="0" applyNumberFormat="1" applyFont="1" applyFill="1" applyAlignment="1">
      <alignment horizontal="left"/>
    </xf>
    <xf numFmtId="0" fontId="20" fillId="0" borderId="0" xfId="0" applyNumberFormat="1" applyFont="1" applyFill="1" applyAlignment="1">
      <alignment horizontal="center" wrapText="1"/>
    </xf>
    <xf numFmtId="49" fontId="3" fillId="0" borderId="23" xfId="0" applyNumberFormat="1" applyFont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11" xfId="0" applyFill="1" applyBorder="1"/>
    <xf numFmtId="49" fontId="0" fillId="0" borderId="11" xfId="0" applyNumberFormat="1" applyBorder="1" applyAlignment="1">
      <alignment vertical="center"/>
    </xf>
    <xf numFmtId="14" fontId="0" fillId="0" borderId="0" xfId="0" applyNumberFormat="1" applyBorder="1" applyAlignment="1">
      <alignment horizontal="left"/>
    </xf>
    <xf numFmtId="0" fontId="0" fillId="22" borderId="0" xfId="0" applyNumberFormat="1" applyFill="1" applyBorder="1" applyAlignment="1">
      <alignment horizontal="left"/>
    </xf>
    <xf numFmtId="0" fontId="4" fillId="22" borderId="0" xfId="0" applyFont="1" applyFill="1" applyBorder="1" applyAlignment="1"/>
    <xf numFmtId="0" fontId="0" fillId="0" borderId="0" xfId="0" applyFill="1" applyBorder="1" applyAlignment="1">
      <alignment horizontal="left"/>
    </xf>
    <xf numFmtId="49" fontId="0" fillId="0" borderId="35" xfId="0" applyNumberFormat="1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0" fontId="0" fillId="23" borderId="0" xfId="0" applyFill="1" applyBorder="1" applyAlignment="1">
      <alignment horizontal="center"/>
    </xf>
    <xf numFmtId="0" fontId="0" fillId="23" borderId="0" xfId="0" applyFill="1" applyBorder="1" applyAlignment="1">
      <alignment horizontal="right"/>
    </xf>
    <xf numFmtId="0" fontId="0" fillId="0" borderId="0" xfId="0" applyNumberFormat="1" applyFont="1" applyFill="1" applyAlignment="1" applyProtection="1">
      <alignment horizontal="center" vertical="center"/>
    </xf>
    <xf numFmtId="0" fontId="35" fillId="0" borderId="0" xfId="0" applyFont="1"/>
    <xf numFmtId="0" fontId="1" fillId="24" borderId="0" xfId="0" quotePrefix="1" applyFont="1" applyFill="1"/>
    <xf numFmtId="0" fontId="1" fillId="2" borderId="0" xfId="0" quotePrefix="1" applyFont="1" applyFill="1"/>
    <xf numFmtId="0" fontId="1" fillId="16" borderId="0" xfId="0" quotePrefix="1" applyFont="1" applyFill="1"/>
    <xf numFmtId="0" fontId="14" fillId="18" borderId="0" xfId="4" applyNumberFormat="1" applyAlignment="1">
      <alignment horizontal="center" wrapText="1"/>
    </xf>
    <xf numFmtId="0" fontId="4" fillId="22" borderId="0" xfId="0" applyNumberFormat="1" applyFont="1" applyFill="1" applyBorder="1" applyAlignment="1">
      <alignment horizontal="left"/>
    </xf>
    <xf numFmtId="0" fontId="3" fillId="0" borderId="0" xfId="0" applyFont="1" applyFill="1" applyAlignment="1"/>
    <xf numFmtId="49" fontId="0" fillId="0" borderId="0" xfId="0" applyNumberFormat="1" applyFill="1" applyBorder="1" applyAlignment="1">
      <alignment vertical="center"/>
    </xf>
    <xf numFmtId="14" fontId="0" fillId="0" borderId="11" xfId="0" applyNumberFormat="1" applyFill="1" applyBorder="1" applyAlignment="1">
      <alignment horizontal="left"/>
    </xf>
    <xf numFmtId="15" fontId="20" fillId="0" borderId="0" xfId="0" applyNumberFormat="1" applyFont="1" applyAlignment="1">
      <alignment horizontal="center"/>
    </xf>
    <xf numFmtId="0" fontId="23" fillId="0" borderId="11" xfId="0" applyFont="1" applyBorder="1"/>
    <xf numFmtId="0" fontId="23" fillId="0" borderId="43" xfId="0" applyFont="1" applyBorder="1"/>
    <xf numFmtId="14" fontId="23" fillId="0" borderId="11" xfId="0" applyNumberFormat="1" applyFont="1" applyBorder="1"/>
    <xf numFmtId="15" fontId="0" fillId="0" borderId="0" xfId="0" applyNumberFormat="1" applyAlignment="1">
      <alignment horizontal="center"/>
    </xf>
    <xf numFmtId="0" fontId="36" fillId="11" borderId="18" xfId="0" applyFont="1" applyFill="1" applyBorder="1" applyAlignment="1">
      <alignment textRotation="45"/>
    </xf>
    <xf numFmtId="0" fontId="36" fillId="11" borderId="26" xfId="0" applyFont="1" applyFill="1" applyBorder="1" applyAlignment="1">
      <alignment textRotation="45"/>
    </xf>
    <xf numFmtId="0" fontId="36" fillId="11" borderId="16" xfId="0" applyFont="1" applyFill="1" applyBorder="1" applyAlignment="1">
      <alignment textRotation="45"/>
    </xf>
    <xf numFmtId="0" fontId="36" fillId="0" borderId="15" xfId="0" applyFont="1" applyBorder="1" applyAlignment="1">
      <alignment horizontal="center"/>
    </xf>
    <xf numFmtId="0" fontId="36" fillId="0" borderId="25" xfId="0" applyFont="1" applyBorder="1" applyAlignment="1">
      <alignment horizontal="center"/>
    </xf>
    <xf numFmtId="0" fontId="36" fillId="0" borderId="25" xfId="0" applyFont="1" applyFill="1" applyBorder="1" applyAlignment="1">
      <alignment horizontal="center"/>
    </xf>
    <xf numFmtId="0" fontId="36" fillId="0" borderId="13" xfId="0" applyFont="1" applyFill="1" applyBorder="1" applyAlignment="1">
      <alignment horizontal="center"/>
    </xf>
    <xf numFmtId="0" fontId="36" fillId="11" borderId="17" xfId="0" applyFont="1" applyFill="1" applyBorder="1" applyAlignment="1">
      <alignment textRotation="45"/>
    </xf>
    <xf numFmtId="0" fontId="36" fillId="0" borderId="14" xfId="0" applyFont="1" applyFill="1" applyBorder="1" applyAlignment="1">
      <alignment horizontal="center"/>
    </xf>
    <xf numFmtId="166" fontId="36" fillId="0" borderId="15" xfId="0" applyNumberFormat="1" applyFont="1" applyFill="1" applyBorder="1" applyAlignment="1">
      <alignment horizontal="center"/>
    </xf>
    <xf numFmtId="166" fontId="36" fillId="0" borderId="25" xfId="0" applyNumberFormat="1" applyFont="1" applyFill="1" applyBorder="1" applyAlignment="1">
      <alignment horizontal="center"/>
    </xf>
    <xf numFmtId="166" fontId="36" fillId="0" borderId="13" xfId="0" applyNumberFormat="1" applyFont="1" applyFill="1" applyBorder="1" applyAlignment="1">
      <alignment horizontal="center"/>
    </xf>
    <xf numFmtId="166" fontId="36" fillId="0" borderId="23" xfId="0" applyNumberFormat="1" applyFont="1" applyFill="1" applyBorder="1" applyAlignment="1">
      <alignment horizontal="center"/>
    </xf>
    <xf numFmtId="0" fontId="36" fillId="0" borderId="15" xfId="0" applyFont="1" applyFill="1" applyBorder="1" applyAlignment="1">
      <alignment horizontal="center"/>
    </xf>
    <xf numFmtId="167" fontId="0" fillId="0" borderId="0" xfId="0" applyNumberFormat="1"/>
    <xf numFmtId="14" fontId="0" fillId="0" borderId="0" xfId="0" applyNumberFormat="1" applyFill="1"/>
    <xf numFmtId="15" fontId="20" fillId="0" borderId="0" xfId="0" applyNumberFormat="1" applyFont="1"/>
    <xf numFmtId="0" fontId="0" fillId="0" borderId="23" xfId="0" applyBorder="1"/>
    <xf numFmtId="0" fontId="20" fillId="0" borderId="22" xfId="0" applyFont="1" applyBorder="1" applyAlignment="1">
      <alignment horizontal="center"/>
    </xf>
    <xf numFmtId="20" fontId="0" fillId="0" borderId="0" xfId="0" applyNumberFormat="1"/>
    <xf numFmtId="0" fontId="5" fillId="0" borderId="0" xfId="0" applyFont="1" applyFill="1"/>
    <xf numFmtId="0" fontId="38" fillId="0" borderId="0" xfId="0" applyFont="1" applyAlignment="1"/>
    <xf numFmtId="15" fontId="0" fillId="0" borderId="0" xfId="0" applyNumberFormat="1"/>
    <xf numFmtId="0" fontId="0" fillId="0" borderId="0" xfId="0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39" fillId="0" borderId="0" xfId="0" applyFont="1" applyFill="1" applyBorder="1" applyAlignment="1">
      <alignment wrapText="1"/>
    </xf>
    <xf numFmtId="0" fontId="40" fillId="0" borderId="0" xfId="0" applyFont="1" applyFill="1" applyBorder="1"/>
    <xf numFmtId="4" fontId="42" fillId="0" borderId="0" xfId="0" applyNumberFormat="1" applyFont="1" applyFill="1" applyBorder="1" applyAlignment="1"/>
    <xf numFmtId="0" fontId="42" fillId="0" borderId="0" xfId="0" applyFont="1" applyFill="1" applyBorder="1" applyAlignment="1"/>
    <xf numFmtId="0" fontId="42" fillId="0" borderId="0" xfId="0" applyFont="1" applyFill="1" applyBorder="1" applyAlignment="1">
      <alignment vertical="top" wrapText="1"/>
    </xf>
    <xf numFmtId="0" fontId="41" fillId="0" borderId="0" xfId="0" applyFont="1" applyFill="1" applyBorder="1" applyAlignment="1">
      <alignment vertical="center" wrapText="1"/>
    </xf>
    <xf numFmtId="0" fontId="40" fillId="0" borderId="0" xfId="0" applyFont="1" applyFill="1" applyBorder="1" applyAlignment="1">
      <alignment horizontal="left" vertical="center" wrapText="1"/>
    </xf>
    <xf numFmtId="49" fontId="0" fillId="0" borderId="30" xfId="0" applyNumberFormat="1" applyBorder="1" applyAlignment="1">
      <alignment horizontal="center" vertical="center"/>
    </xf>
    <xf numFmtId="0" fontId="0" fillId="0" borderId="30" xfId="0" applyNumberFormat="1" applyFill="1" applyBorder="1" applyAlignment="1">
      <alignment horizontal="center" vertical="center"/>
    </xf>
    <xf numFmtId="0" fontId="4" fillId="0" borderId="30" xfId="0" applyNumberFormat="1" applyFont="1" applyFill="1" applyBorder="1" applyAlignment="1">
      <alignment horizontal="center" vertical="center"/>
    </xf>
    <xf numFmtId="0" fontId="11" fillId="0" borderId="30" xfId="0" applyFont="1" applyFill="1" applyBorder="1" applyAlignment="1">
      <alignment horizontal="center"/>
    </xf>
    <xf numFmtId="165" fontId="0" fillId="4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165" fontId="3" fillId="4" borderId="0" xfId="0" applyNumberFormat="1" applyFont="1" applyFill="1" applyAlignment="1">
      <alignment horizontal="center"/>
    </xf>
    <xf numFmtId="0" fontId="3" fillId="4" borderId="0" xfId="0" applyNumberFormat="1" applyFont="1" applyFill="1" applyAlignment="1">
      <alignment horizontal="center"/>
    </xf>
    <xf numFmtId="49" fontId="0" fillId="0" borderId="11" xfId="0" applyNumberFormat="1" applyFill="1" applyBorder="1" applyAlignment="1">
      <alignment vertical="center"/>
    </xf>
    <xf numFmtId="14" fontId="0" fillId="0" borderId="44" xfId="0" applyNumberFormat="1" applyBorder="1" applyAlignment="1">
      <alignment horizontal="left"/>
    </xf>
    <xf numFmtId="0" fontId="0" fillId="0" borderId="30" xfId="0" applyNumberFormat="1" applyBorder="1" applyAlignment="1">
      <alignment horizontal="center" vertical="center"/>
    </xf>
    <xf numFmtId="0" fontId="4" fillId="0" borderId="30" xfId="0" applyNumberFormat="1" applyFont="1" applyFill="1" applyBorder="1" applyAlignment="1">
      <alignment horizontal="center"/>
    </xf>
    <xf numFmtId="0" fontId="0" fillId="5" borderId="30" xfId="0" applyNumberFormat="1" applyFill="1" applyBorder="1" applyAlignment="1">
      <alignment horizontal="center" vertical="center"/>
    </xf>
    <xf numFmtId="0" fontId="0" fillId="16" borderId="6" xfId="0" applyFill="1" applyBorder="1"/>
    <xf numFmtId="0" fontId="0" fillId="2" borderId="0" xfId="0" applyNumberFormat="1" applyFill="1"/>
    <xf numFmtId="0" fontId="0" fillId="2" borderId="0" xfId="0" applyFill="1" applyAlignment="1">
      <alignment vertical="center"/>
    </xf>
    <xf numFmtId="0" fontId="0" fillId="2" borderId="0" xfId="0" applyNumberFormat="1" applyFill="1" applyAlignment="1">
      <alignment horizontal="left" wrapText="1"/>
    </xf>
    <xf numFmtId="0" fontId="0" fillId="2" borderId="0" xfId="0" applyNumberFormat="1" applyFill="1" applyAlignment="1">
      <alignment horizontal="left"/>
    </xf>
    <xf numFmtId="0" fontId="0" fillId="25" borderId="0" xfId="0" applyFill="1"/>
    <xf numFmtId="14" fontId="44" fillId="23" borderId="0" xfId="0" applyNumberFormat="1" applyFont="1" applyFill="1"/>
    <xf numFmtId="0" fontId="3" fillId="25" borderId="31" xfId="0" applyFont="1" applyFill="1" applyBorder="1"/>
    <xf numFmtId="0" fontId="3" fillId="25" borderId="43" xfId="0" applyFont="1" applyFill="1" applyBorder="1"/>
    <xf numFmtId="0" fontId="3" fillId="25" borderId="41" xfId="0" applyFont="1" applyFill="1" applyBorder="1"/>
    <xf numFmtId="0" fontId="3" fillId="25" borderId="44" xfId="0" applyFont="1" applyFill="1" applyBorder="1"/>
    <xf numFmtId="0" fontId="3" fillId="25" borderId="0" xfId="0" applyFont="1" applyFill="1"/>
    <xf numFmtId="0" fontId="0" fillId="23" borderId="50" xfId="0" applyFill="1" applyBorder="1" applyAlignment="1">
      <alignment horizontal="left"/>
    </xf>
    <xf numFmtId="0" fontId="0" fillId="25" borderId="0" xfId="0" applyNumberFormat="1" applyFill="1"/>
    <xf numFmtId="0" fontId="0" fillId="26" borderId="1" xfId="0" applyFill="1" applyBorder="1"/>
    <xf numFmtId="49" fontId="3" fillId="0" borderId="11" xfId="0" applyNumberFormat="1" applyFont="1" applyBorder="1" applyAlignment="1">
      <alignment vertical="center"/>
    </xf>
    <xf numFmtId="14" fontId="0" fillId="0" borderId="11" xfId="0" applyNumberFormat="1" applyBorder="1" applyAlignment="1">
      <alignment horizontal="left" wrapText="1"/>
    </xf>
    <xf numFmtId="0" fontId="4" fillId="0" borderId="30" xfId="0" applyFon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/>
    </xf>
    <xf numFmtId="0" fontId="18" fillId="0" borderId="0" xfId="0" applyFont="1" applyAlignment="1">
      <alignment horizontal="center"/>
    </xf>
    <xf numFmtId="1" fontId="23" fillId="0" borderId="11" xfId="0" applyNumberFormat="1" applyFont="1" applyFill="1" applyBorder="1" applyAlignment="1"/>
    <xf numFmtId="0" fontId="0" fillId="0" borderId="1" xfId="0" applyBorder="1" applyAlignment="1">
      <alignment horizontal="center"/>
    </xf>
    <xf numFmtId="0" fontId="0" fillId="0" borderId="0" xfId="0" applyNumberFormat="1" applyFill="1" applyBorder="1" applyAlignment="1">
      <alignment vertical="center"/>
    </xf>
    <xf numFmtId="0" fontId="0" fillId="0" borderId="4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25" borderId="0" xfId="0" applyFill="1" applyBorder="1"/>
    <xf numFmtId="0" fontId="0" fillId="25" borderId="23" xfId="0" applyFill="1" applyBorder="1" applyAlignment="1">
      <alignment horizontal="right"/>
    </xf>
    <xf numFmtId="0" fontId="48" fillId="28" borderId="59" xfId="0" applyFont="1" applyFill="1" applyBorder="1" applyAlignment="1"/>
    <xf numFmtId="0" fontId="48" fillId="28" borderId="60" xfId="0" applyFont="1" applyFill="1" applyBorder="1" applyAlignment="1"/>
    <xf numFmtId="0" fontId="49" fillId="0" borderId="61" xfId="0" applyFont="1" applyFill="1" applyBorder="1" applyAlignment="1"/>
    <xf numFmtId="0" fontId="49" fillId="0" borderId="62" xfId="0" applyFont="1" applyFill="1" applyBorder="1" applyAlignment="1"/>
    <xf numFmtId="14" fontId="49" fillId="0" borderId="62" xfId="0" applyNumberFormat="1" applyFont="1" applyFill="1" applyBorder="1" applyAlignment="1"/>
    <xf numFmtId="0" fontId="49" fillId="0" borderId="63" xfId="0" applyFont="1" applyFill="1" applyBorder="1" applyAlignment="1"/>
    <xf numFmtId="0" fontId="49" fillId="0" borderId="64" xfId="0" applyFont="1" applyFill="1" applyBorder="1" applyAlignment="1"/>
    <xf numFmtId="14" fontId="49" fillId="0" borderId="64" xfId="0" applyNumberFormat="1" applyFont="1" applyFill="1" applyBorder="1" applyAlignment="1"/>
    <xf numFmtId="0" fontId="0" fillId="25" borderId="15" xfId="0" applyFill="1" applyBorder="1" applyAlignment="1">
      <alignment horizontal="right"/>
    </xf>
    <xf numFmtId="0" fontId="0" fillId="25" borderId="23" xfId="0" applyFill="1" applyBorder="1"/>
    <xf numFmtId="164" fontId="0" fillId="2" borderId="0" xfId="0" quotePrefix="1" applyNumberFormat="1" applyFill="1" applyAlignment="1">
      <alignment horizontal="left"/>
    </xf>
    <xf numFmtId="0" fontId="0" fillId="2" borderId="0" xfId="0" quotePrefix="1" applyFill="1" applyAlignment="1">
      <alignment horizontal="left"/>
    </xf>
    <xf numFmtId="0" fontId="0" fillId="2" borderId="0" xfId="0" quotePrefix="1" applyNumberFormat="1" applyFill="1" applyAlignment="1">
      <alignment horizontal="left"/>
    </xf>
    <xf numFmtId="0" fontId="1" fillId="0" borderId="15" xfId="0" applyNumberFormat="1" applyFont="1" applyBorder="1" applyAlignment="1"/>
    <xf numFmtId="0" fontId="0" fillId="0" borderId="65" xfId="0" applyNumberFormat="1" applyBorder="1" applyAlignment="1">
      <alignment horizontal="left"/>
    </xf>
    <xf numFmtId="0" fontId="0" fillId="0" borderId="66" xfId="0" applyNumberFormat="1" applyBorder="1" applyAlignment="1">
      <alignment horizontal="left"/>
    </xf>
    <xf numFmtId="49" fontId="0" fillId="0" borderId="67" xfId="0" applyNumberFormat="1" applyFill="1" applyBorder="1" applyAlignment="1">
      <alignment horizontal="left" wrapText="1"/>
    </xf>
    <xf numFmtId="49" fontId="0" fillId="0" borderId="67" xfId="0" applyNumberFormat="1" applyBorder="1" applyAlignment="1">
      <alignment horizontal="left"/>
    </xf>
    <xf numFmtId="0" fontId="0" fillId="0" borderId="67" xfId="0" applyNumberFormat="1" applyBorder="1" applyAlignment="1">
      <alignment horizontal="left"/>
    </xf>
    <xf numFmtId="49" fontId="0" fillId="0" borderId="68" xfId="0" applyNumberFormat="1" applyBorder="1" applyAlignment="1">
      <alignment horizontal="left"/>
    </xf>
    <xf numFmtId="0" fontId="4" fillId="0" borderId="67" xfId="0" applyFont="1" applyFill="1" applyBorder="1" applyAlignment="1"/>
    <xf numFmtId="49" fontId="4" fillId="0" borderId="67" xfId="0" applyNumberFormat="1" applyFont="1" applyFill="1" applyBorder="1" applyAlignment="1">
      <alignment horizontal="left"/>
    </xf>
    <xf numFmtId="0" fontId="4" fillId="0" borderId="67" xfId="0" applyNumberFormat="1" applyFont="1" applyFill="1" applyBorder="1" applyAlignment="1">
      <alignment horizontal="left"/>
    </xf>
    <xf numFmtId="49" fontId="0" fillId="0" borderId="58" xfId="0" applyNumberFormat="1" applyBorder="1" applyAlignment="1">
      <alignment horizontal="left"/>
    </xf>
    <xf numFmtId="49" fontId="0" fillId="0" borderId="67" xfId="0" applyNumberFormat="1" applyFill="1" applyBorder="1" applyAlignment="1">
      <alignment horizontal="left"/>
    </xf>
    <xf numFmtId="0" fontId="0" fillId="0" borderId="68" xfId="0" applyNumberFormat="1" applyBorder="1" applyAlignment="1">
      <alignment horizontal="left"/>
    </xf>
    <xf numFmtId="0" fontId="4" fillId="0" borderId="68" xfId="0" applyFont="1" applyFill="1" applyBorder="1" applyAlignment="1"/>
    <xf numFmtId="0" fontId="0" fillId="0" borderId="58" xfId="0" applyNumberFormat="1" applyBorder="1" applyAlignment="1">
      <alignment horizontal="left"/>
    </xf>
    <xf numFmtId="49" fontId="0" fillId="0" borderId="69" xfId="0" applyNumberFormat="1" applyBorder="1" applyAlignment="1">
      <alignment horizontal="left"/>
    </xf>
    <xf numFmtId="49" fontId="0" fillId="0" borderId="23" xfId="0" applyNumberFormat="1" applyBorder="1" applyAlignment="1">
      <alignment horizontal="left"/>
    </xf>
    <xf numFmtId="0" fontId="0" fillId="0" borderId="31" xfId="0" applyNumberFormat="1" applyFill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4" fillId="0" borderId="31" xfId="0" applyNumberFormat="1" applyFont="1" applyFill="1" applyBorder="1" applyAlignment="1">
      <alignment horizontal="center" vertical="center"/>
    </xf>
    <xf numFmtId="0" fontId="0" fillId="5" borderId="31" xfId="0" applyNumberFormat="1" applyFill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0" fontId="4" fillId="0" borderId="31" xfId="0" applyNumberFormat="1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 vertical="center"/>
    </xf>
    <xf numFmtId="49" fontId="0" fillId="0" borderId="31" xfId="0" applyNumberFormat="1" applyFill="1" applyBorder="1" applyAlignment="1">
      <alignment horizontal="center" vertical="center"/>
    </xf>
    <xf numFmtId="0" fontId="11" fillId="0" borderId="31" xfId="0" applyFont="1" applyFill="1" applyBorder="1" applyAlignment="1">
      <alignment horizontal="center"/>
    </xf>
    <xf numFmtId="0" fontId="0" fillId="0" borderId="66" xfId="0" applyNumberFormat="1" applyBorder="1" applyAlignment="1">
      <alignment horizontal="center"/>
    </xf>
    <xf numFmtId="14" fontId="0" fillId="0" borderId="29" xfId="0" applyNumberFormat="1" applyBorder="1" applyAlignment="1">
      <alignment horizontal="left"/>
    </xf>
    <xf numFmtId="14" fontId="0" fillId="0" borderId="30" xfId="0" applyNumberFormat="1" applyBorder="1" applyAlignment="1">
      <alignment horizontal="left"/>
    </xf>
    <xf numFmtId="0" fontId="0" fillId="0" borderId="29" xfId="0" applyNumberFormat="1" applyBorder="1" applyAlignment="1">
      <alignment horizontal="left"/>
    </xf>
    <xf numFmtId="14" fontId="0" fillId="0" borderId="29" xfId="0" applyNumberFormat="1" applyFill="1" applyBorder="1" applyAlignment="1">
      <alignment horizontal="left"/>
    </xf>
    <xf numFmtId="14" fontId="0" fillId="0" borderId="30" xfId="0" applyNumberFormat="1" applyFill="1" applyBorder="1" applyAlignment="1">
      <alignment horizontal="left"/>
    </xf>
    <xf numFmtId="14" fontId="0" fillId="0" borderId="30" xfId="0" applyNumberFormat="1" applyBorder="1" applyAlignment="1">
      <alignment horizontal="left" wrapText="1"/>
    </xf>
    <xf numFmtId="14" fontId="0" fillId="0" borderId="38" xfId="0" applyNumberFormat="1" applyBorder="1" applyAlignment="1">
      <alignment horizontal="left"/>
    </xf>
    <xf numFmtId="14" fontId="0" fillId="0" borderId="22" xfId="0" applyNumberFormat="1" applyBorder="1" applyAlignment="1">
      <alignment horizontal="left"/>
    </xf>
    <xf numFmtId="14" fontId="0" fillId="0" borderId="37" xfId="0" applyNumberFormat="1" applyBorder="1" applyAlignment="1">
      <alignment horizontal="left"/>
    </xf>
    <xf numFmtId="0" fontId="0" fillId="0" borderId="43" xfId="0" applyBorder="1" applyAlignment="1">
      <alignment horizontal="left"/>
    </xf>
    <xf numFmtId="164" fontId="0" fillId="0" borderId="24" xfId="0" applyNumberFormat="1" applyBorder="1" applyAlignment="1">
      <alignment horizontal="left"/>
    </xf>
    <xf numFmtId="164" fontId="0" fillId="0" borderId="31" xfId="0" applyNumberFormat="1" applyBorder="1" applyAlignment="1">
      <alignment horizontal="left"/>
    </xf>
    <xf numFmtId="164" fontId="4" fillId="0" borderId="31" xfId="0" applyNumberFormat="1" applyFont="1" applyFill="1" applyBorder="1" applyAlignment="1"/>
    <xf numFmtId="164" fontId="4" fillId="0" borderId="31" xfId="0" applyNumberFormat="1" applyFont="1" applyFill="1" applyBorder="1" applyAlignment="1">
      <alignment horizontal="left"/>
    </xf>
    <xf numFmtId="164" fontId="0" fillId="0" borderId="31" xfId="0" applyNumberFormat="1" applyFill="1" applyBorder="1" applyAlignment="1">
      <alignment horizontal="left"/>
    </xf>
    <xf numFmtId="164" fontId="0" fillId="0" borderId="41" xfId="0" applyNumberFormat="1" applyBorder="1" applyAlignment="1">
      <alignment horizontal="left"/>
    </xf>
    <xf numFmtId="10" fontId="0" fillId="23" borderId="0" xfId="0" applyNumberFormat="1" applyFill="1" applyAlignment="1">
      <alignment horizontal="left"/>
    </xf>
    <xf numFmtId="15" fontId="4" fillId="0" borderId="23" xfId="0" applyNumberFormat="1" applyFont="1" applyFill="1" applyBorder="1" applyAlignment="1">
      <alignment horizontal="left"/>
    </xf>
    <xf numFmtId="0" fontId="18" fillId="0" borderId="23" xfId="0" applyFont="1" applyFill="1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14" fontId="0" fillId="25" borderId="0" xfId="0" applyNumberForma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14" fontId="0" fillId="25" borderId="0" xfId="0" applyNumberFormat="1" applyFill="1" applyAlignment="1">
      <alignment horizontal="center"/>
    </xf>
    <xf numFmtId="0" fontId="18" fillId="0" borderId="30" xfId="0" applyFont="1" applyBorder="1" applyAlignment="1">
      <alignment horizontal="center"/>
    </xf>
    <xf numFmtId="0" fontId="0" fillId="23" borderId="0" xfId="0" applyNumberFormat="1" applyFill="1"/>
    <xf numFmtId="0" fontId="0" fillId="0" borderId="11" xfId="0" applyNumberFormat="1" applyFill="1" applyBorder="1"/>
    <xf numFmtId="49" fontId="0" fillId="0" borderId="11" xfId="0" applyNumberFormat="1" applyBorder="1" applyAlignment="1">
      <alignment horizontal="left" vertical="center"/>
    </xf>
    <xf numFmtId="0" fontId="0" fillId="0" borderId="69" xfId="0" applyNumberFormat="1" applyBorder="1" applyAlignment="1">
      <alignment horizontal="left"/>
    </xf>
    <xf numFmtId="0" fontId="18" fillId="0" borderId="68" xfId="0" applyFont="1" applyBorder="1"/>
    <xf numFmtId="0" fontId="0" fillId="0" borderId="31" xfId="0" applyBorder="1" applyAlignment="1">
      <alignment horizontal="center" vertical="center"/>
    </xf>
    <xf numFmtId="49" fontId="0" fillId="25" borderId="0" xfId="0" applyNumberFormat="1" applyFill="1"/>
    <xf numFmtId="0" fontId="0" fillId="23" borderId="22" xfId="0" applyFill="1" applyBorder="1" applyAlignment="1">
      <alignment horizontal="right"/>
    </xf>
    <xf numFmtId="1" fontId="0" fillId="23" borderId="0" xfId="0" applyNumberFormat="1" applyFill="1" applyBorder="1"/>
    <xf numFmtId="0" fontId="45" fillId="23" borderId="0" xfId="0" applyFont="1" applyFill="1" applyBorder="1"/>
    <xf numFmtId="0" fontId="0" fillId="23" borderId="0" xfId="0" applyFill="1" applyBorder="1" applyAlignment="1">
      <alignment horizontal="left"/>
    </xf>
    <xf numFmtId="0" fontId="0" fillId="23" borderId="22" xfId="0" applyFill="1" applyBorder="1"/>
    <xf numFmtId="0" fontId="45" fillId="23" borderId="0" xfId="0" applyFont="1" applyFill="1" applyBorder="1" applyAlignment="1">
      <alignment horizontal="center"/>
    </xf>
    <xf numFmtId="0" fontId="3" fillId="23" borderId="0" xfId="0" applyFont="1" applyFill="1" applyBorder="1" applyAlignment="1">
      <alignment horizontal="left"/>
    </xf>
    <xf numFmtId="0" fontId="3" fillId="23" borderId="0" xfId="0" applyFont="1" applyFill="1" applyBorder="1" applyAlignment="1"/>
    <xf numFmtId="0" fontId="3" fillId="23" borderId="0" xfId="0" applyFont="1" applyFill="1" applyBorder="1" applyAlignment="1">
      <alignment horizontal="center"/>
    </xf>
    <xf numFmtId="0" fontId="0" fillId="23" borderId="0" xfId="0" applyFill="1" applyBorder="1" applyAlignment="1">
      <alignment horizontal="center" vertical="center"/>
    </xf>
    <xf numFmtId="0" fontId="0" fillId="23" borderId="16" xfId="0" applyFill="1" applyBorder="1"/>
    <xf numFmtId="0" fontId="0" fillId="23" borderId="17" xfId="0" applyFill="1" applyBorder="1"/>
    <xf numFmtId="0" fontId="0" fillId="25" borderId="0" xfId="0" applyFill="1" applyAlignment="1">
      <alignment horizontal="left" vertical="top" indent="1"/>
    </xf>
    <xf numFmtId="0" fontId="0" fillId="25" borderId="0" xfId="0" applyNumberFormat="1" applyFill="1" applyAlignment="1">
      <alignment horizontal="left" vertical="top" indent="1"/>
    </xf>
    <xf numFmtId="0" fontId="0" fillId="25" borderId="0" xfId="0" applyFill="1" applyBorder="1" applyAlignment="1">
      <alignment horizontal="left" vertical="top"/>
    </xf>
    <xf numFmtId="14" fontId="0" fillId="25" borderId="0" xfId="0" applyNumberFormat="1" applyFont="1" applyFill="1" applyAlignment="1">
      <alignment horizontal="left" vertical="top" indent="1"/>
    </xf>
    <xf numFmtId="0" fontId="0" fillId="25" borderId="0" xfId="0" applyFont="1" applyFill="1" applyAlignment="1">
      <alignment horizontal="left" vertical="top" indent="1"/>
    </xf>
    <xf numFmtId="14" fontId="0" fillId="25" borderId="26" xfId="0" applyNumberFormat="1" applyFill="1" applyBorder="1" applyAlignment="1">
      <alignment horizontal="left"/>
    </xf>
    <xf numFmtId="10" fontId="0" fillId="23" borderId="0" xfId="0" applyNumberFormat="1" applyFill="1" applyBorder="1" applyAlignment="1">
      <alignment horizontal="left"/>
    </xf>
    <xf numFmtId="0" fontId="0" fillId="25" borderId="0" xfId="0" applyFill="1" applyAlignment="1">
      <alignment horizontal="left"/>
    </xf>
    <xf numFmtId="10" fontId="0" fillId="25" borderId="0" xfId="0" applyNumberFormat="1" applyFill="1" applyAlignment="1">
      <alignment horizontal="left"/>
    </xf>
    <xf numFmtId="0" fontId="0" fillId="23" borderId="22" xfId="0" applyFill="1" applyBorder="1" applyAlignment="1">
      <alignment horizontal="center"/>
    </xf>
    <xf numFmtId="0" fontId="0" fillId="4" borderId="4" xfId="0" applyFill="1" applyBorder="1"/>
    <xf numFmtId="0" fontId="0" fillId="4" borderId="9" xfId="0" applyFill="1" applyBorder="1"/>
    <xf numFmtId="0" fontId="0" fillId="16" borderId="4" xfId="0" applyFill="1" applyBorder="1"/>
    <xf numFmtId="0" fontId="3" fillId="4" borderId="0" xfId="0" applyFont="1" applyFill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top" wrapText="1"/>
    </xf>
    <xf numFmtId="0" fontId="31" fillId="0" borderId="17" xfId="0" applyFont="1" applyFill="1" applyBorder="1" applyAlignment="1">
      <alignment horizontal="left" vertical="center"/>
    </xf>
    <xf numFmtId="0" fontId="31" fillId="0" borderId="17" xfId="0" applyFont="1" applyFill="1" applyBorder="1" applyAlignment="1">
      <alignment horizontal="left" vertical="center" wrapText="1"/>
    </xf>
    <xf numFmtId="0" fontId="3" fillId="0" borderId="23" xfId="0" applyNumberFormat="1" applyFont="1" applyBorder="1" applyAlignment="1">
      <alignment vertical="center"/>
    </xf>
    <xf numFmtId="0" fontId="50" fillId="23" borderId="0" xfId="0" applyFont="1" applyFill="1"/>
    <xf numFmtId="0" fontId="0" fillId="0" borderId="0" xfId="0" applyFont="1" applyAlignment="1">
      <alignment wrapText="1"/>
    </xf>
    <xf numFmtId="14" fontId="0" fillId="0" borderId="0" xfId="0" applyNumberFormat="1" applyAlignment="1">
      <alignment vertical="top" wrapText="1"/>
    </xf>
    <xf numFmtId="0" fontId="0" fillId="0" borderId="70" xfId="0" applyBorder="1" applyAlignment="1">
      <alignment horizontal="left"/>
    </xf>
    <xf numFmtId="0" fontId="0" fillId="0" borderId="70" xfId="0" applyNumberFormat="1" applyBorder="1" applyAlignment="1">
      <alignment horizontal="left"/>
    </xf>
    <xf numFmtId="0" fontId="0" fillId="0" borderId="70" xfId="0" applyNumberFormat="1" applyFill="1" applyBorder="1" applyAlignment="1">
      <alignment horizontal="left"/>
    </xf>
    <xf numFmtId="0" fontId="0" fillId="0" borderId="50" xfId="0" applyBorder="1" applyAlignment="1">
      <alignment horizontal="left"/>
    </xf>
    <xf numFmtId="0" fontId="1" fillId="21" borderId="14" xfId="0" applyFont="1" applyFill="1" applyBorder="1" applyAlignment="1">
      <alignment horizontal="center"/>
    </xf>
    <xf numFmtId="15" fontId="20" fillId="0" borderId="0" xfId="0" applyNumberFormat="1" applyFont="1" applyFill="1" applyAlignment="1">
      <alignment horizontal="center" wrapText="1"/>
    </xf>
    <xf numFmtId="49" fontId="0" fillId="0" borderId="68" xfId="0" applyNumberFormat="1" applyFill="1" applyBorder="1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0" borderId="43" xfId="0" applyNumberFormat="1" applyBorder="1" applyAlignment="1">
      <alignment horizontal="left"/>
    </xf>
    <xf numFmtId="49" fontId="0" fillId="0" borderId="70" xfId="0" applyNumberFormat="1" applyBorder="1" applyAlignment="1">
      <alignment horizontal="left"/>
    </xf>
    <xf numFmtId="0" fontId="0" fillId="0" borderId="30" xfId="0" applyBorder="1" applyAlignment="1">
      <alignment horizontal="center" vertical="center"/>
    </xf>
    <xf numFmtId="0" fontId="18" fillId="0" borderId="45" xfId="0" applyFont="1" applyBorder="1"/>
    <xf numFmtId="0" fontId="4" fillId="0" borderId="0" xfId="0" applyFont="1" applyFill="1" applyBorder="1" applyAlignment="1">
      <alignment horizontal="left"/>
    </xf>
    <xf numFmtId="0" fontId="0" fillId="23" borderId="57" xfId="0" applyFill="1" applyBorder="1" applyAlignment="1">
      <alignment horizontal="right"/>
    </xf>
    <xf numFmtId="15" fontId="7" fillId="8" borderId="18" xfId="0" applyNumberFormat="1" applyFont="1" applyFill="1" applyBorder="1" applyAlignment="1">
      <alignment horizontal="center"/>
    </xf>
    <xf numFmtId="0" fontId="0" fillId="0" borderId="24" xfId="0" applyNumberFormat="1" applyBorder="1" applyAlignment="1">
      <alignment horizontal="center"/>
    </xf>
    <xf numFmtId="0" fontId="0" fillId="29" borderId="0" xfId="0" applyFill="1"/>
    <xf numFmtId="0" fontId="0" fillId="23" borderId="16" xfId="0" applyFill="1" applyBorder="1" applyAlignment="1">
      <alignment horizontal="center"/>
    </xf>
    <xf numFmtId="0" fontId="0" fillId="23" borderId="17" xfId="0" applyFill="1" applyBorder="1" applyAlignment="1">
      <alignment horizontal="center"/>
    </xf>
    <xf numFmtId="0" fontId="24" fillId="0" borderId="0" xfId="0" applyFont="1" applyBorder="1"/>
    <xf numFmtId="0" fontId="0" fillId="0" borderId="0" xfId="0" applyBorder="1" applyAlignment="1">
      <alignment vertical="center"/>
    </xf>
    <xf numFmtId="164" fontId="3" fillId="0" borderId="41" xfId="3" applyNumberFormat="1" applyFont="1" applyFill="1" applyBorder="1" applyAlignment="1">
      <alignment horizontal="left"/>
    </xf>
    <xf numFmtId="0" fontId="4" fillId="0" borderId="58" xfId="0" applyFont="1" applyFill="1" applyBorder="1" applyAlignment="1"/>
    <xf numFmtId="49" fontId="3" fillId="0" borderId="69" xfId="3" applyNumberFormat="1" applyFont="1" applyFill="1" applyBorder="1" applyAlignment="1">
      <alignment horizontal="left"/>
    </xf>
    <xf numFmtId="49" fontId="0" fillId="0" borderId="8" xfId="0" quotePrefix="1" applyNumberFormat="1" applyBorder="1" applyAlignment="1">
      <alignment horizontal="center"/>
    </xf>
    <xf numFmtId="0" fontId="5" fillId="2" borderId="1" xfId="0" applyFont="1" applyFill="1" applyBorder="1"/>
    <xf numFmtId="0" fontId="5" fillId="4" borderId="1" xfId="0" applyFont="1" applyFill="1" applyBorder="1"/>
    <xf numFmtId="0" fontId="0" fillId="4" borderId="1" xfId="0" applyFill="1" applyBorder="1"/>
    <xf numFmtId="0" fontId="0" fillId="4" borderId="7" xfId="0" applyFill="1" applyBorder="1"/>
    <xf numFmtId="0" fontId="18" fillId="0" borderId="0" xfId="0" applyFont="1" applyFill="1"/>
    <xf numFmtId="0" fontId="0" fillId="0" borderId="4" xfId="0" applyFill="1" applyBorder="1"/>
    <xf numFmtId="0" fontId="0" fillId="30" borderId="6" xfId="0" applyFill="1" applyBorder="1"/>
    <xf numFmtId="0" fontId="0" fillId="30" borderId="8" xfId="0" applyFill="1" applyBorder="1"/>
    <xf numFmtId="0" fontId="0" fillId="23" borderId="23" xfId="0" applyFill="1" applyBorder="1" applyAlignment="1">
      <alignment horizontal="left"/>
    </xf>
    <xf numFmtId="0" fontId="0" fillId="23" borderId="56" xfId="0" applyFill="1" applyBorder="1" applyAlignment="1">
      <alignment horizontal="left"/>
    </xf>
    <xf numFmtId="0" fontId="0" fillId="23" borderId="18" xfId="0" applyFill="1" applyBorder="1"/>
    <xf numFmtId="0" fontId="0" fillId="23" borderId="13" xfId="0" applyFill="1" applyBorder="1" applyAlignment="1">
      <alignment horizontal="right"/>
    </xf>
    <xf numFmtId="1" fontId="0" fillId="23" borderId="14" xfId="0" applyNumberFormat="1" applyFill="1" applyBorder="1"/>
    <xf numFmtId="0" fontId="45" fillId="23" borderId="15" xfId="0" applyFont="1" applyFill="1" applyBorder="1"/>
    <xf numFmtId="0" fontId="0" fillId="25" borderId="18" xfId="0" applyFill="1" applyBorder="1"/>
    <xf numFmtId="0" fontId="0" fillId="25" borderId="17" xfId="0" applyFill="1" applyBorder="1"/>
    <xf numFmtId="0" fontId="0" fillId="23" borderId="14" xfId="0" applyFill="1" applyBorder="1"/>
    <xf numFmtId="0" fontId="0" fillId="23" borderId="15" xfId="0" applyFill="1" applyBorder="1"/>
    <xf numFmtId="0" fontId="0" fillId="23" borderId="23" xfId="0" applyFill="1" applyBorder="1"/>
    <xf numFmtId="0" fontId="45" fillId="23" borderId="14" xfId="0" applyFont="1" applyFill="1" applyBorder="1"/>
    <xf numFmtId="0" fontId="0" fillId="23" borderId="0" xfId="0" quotePrefix="1" applyFill="1" applyBorder="1"/>
    <xf numFmtId="0" fontId="0" fillId="25" borderId="0" xfId="0" applyFill="1" applyBorder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71" xfId="0" applyBorder="1" applyAlignment="1">
      <alignment horizontal="center"/>
    </xf>
    <xf numFmtId="0" fontId="20" fillId="0" borderId="0" xfId="0" applyFont="1" applyFill="1"/>
    <xf numFmtId="0" fontId="0" fillId="31" borderId="0" xfId="0" applyFill="1" applyAlignment="1">
      <alignment horizontal="left" vertical="center"/>
    </xf>
    <xf numFmtId="164" fontId="0" fillId="0" borderId="29" xfId="0" applyNumberFormat="1" applyBorder="1" applyAlignment="1">
      <alignment horizontal="left"/>
    </xf>
    <xf numFmtId="49" fontId="0" fillId="0" borderId="72" xfId="0" applyNumberFormat="1" applyFill="1" applyBorder="1" applyAlignment="1">
      <alignment horizontal="left"/>
    </xf>
    <xf numFmtId="49" fontId="0" fillId="0" borderId="29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73" xfId="0" applyNumberFormat="1" applyBorder="1" applyAlignment="1">
      <alignment horizontal="center"/>
    </xf>
    <xf numFmtId="0" fontId="0" fillId="23" borderId="14" xfId="0" applyFill="1" applyBorder="1" applyAlignment="1">
      <alignment horizontal="center"/>
    </xf>
    <xf numFmtId="0" fontId="0" fillId="25" borderId="0" xfId="0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164" fontId="23" fillId="0" borderId="11" xfId="0" applyNumberFormat="1" applyFont="1" applyBorder="1"/>
    <xf numFmtId="164" fontId="23" fillId="0" borderId="11" xfId="0" applyNumberFormat="1" applyFont="1" applyFill="1" applyBorder="1" applyAlignment="1"/>
    <xf numFmtId="164" fontId="23" fillId="0" borderId="35" xfId="0" applyNumberFormat="1" applyFont="1" applyFill="1" applyBorder="1" applyAlignment="1"/>
    <xf numFmtId="165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65" fontId="18" fillId="0" borderId="0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0" fontId="20" fillId="0" borderId="0" xfId="0" applyFont="1" applyFill="1" applyAlignment="1">
      <alignment horizontal="center"/>
    </xf>
    <xf numFmtId="165" fontId="3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5" fontId="3" fillId="4" borderId="0" xfId="0" applyNumberFormat="1" applyFont="1" applyFill="1" applyBorder="1" applyAlignment="1">
      <alignment horizontal="center"/>
    </xf>
    <xf numFmtId="165" fontId="4" fillId="4" borderId="0" xfId="0" applyNumberFormat="1" applyFont="1" applyFill="1" applyBorder="1" applyAlignment="1">
      <alignment horizontal="center"/>
    </xf>
    <xf numFmtId="164" fontId="0" fillId="25" borderId="0" xfId="0" applyNumberFormat="1" applyFill="1"/>
    <xf numFmtId="14" fontId="4" fillId="0" borderId="0" xfId="0" applyNumberFormat="1" applyFont="1" applyFill="1" applyAlignment="1">
      <alignment horizontal="left"/>
    </xf>
    <xf numFmtId="0" fontId="0" fillId="32" borderId="0" xfId="0" applyFill="1"/>
    <xf numFmtId="0" fontId="0" fillId="19" borderId="0" xfId="0" applyFill="1" applyAlignment="1">
      <alignment horizontal="center"/>
    </xf>
    <xf numFmtId="0" fontId="1" fillId="23" borderId="51" xfId="0" applyFont="1" applyFill="1" applyBorder="1" applyAlignment="1">
      <alignment horizontal="center"/>
    </xf>
    <xf numFmtId="0" fontId="0" fillId="23" borderId="14" xfId="0" applyFill="1" applyBorder="1" applyAlignment="1">
      <alignment horizontal="center"/>
    </xf>
    <xf numFmtId="0" fontId="0" fillId="23" borderId="15" xfId="0" applyFill="1" applyBorder="1" applyAlignment="1">
      <alignment horizontal="center"/>
    </xf>
    <xf numFmtId="0" fontId="0" fillId="25" borderId="0" xfId="0" applyFill="1" applyAlignment="1">
      <alignment horizontal="center"/>
    </xf>
    <xf numFmtId="0" fontId="1" fillId="23" borderId="19" xfId="0" applyFont="1" applyFill="1" applyBorder="1" applyAlignment="1">
      <alignment horizontal="center"/>
    </xf>
    <xf numFmtId="0" fontId="1" fillId="23" borderId="20" xfId="0" applyFont="1" applyFill="1" applyBorder="1" applyAlignment="1">
      <alignment horizontal="center"/>
    </xf>
    <xf numFmtId="0" fontId="17" fillId="25" borderId="0" xfId="0" applyFont="1" applyFill="1" applyAlignment="1">
      <alignment horizontal="center" vertical="center"/>
    </xf>
    <xf numFmtId="0" fontId="1" fillId="25" borderId="19" xfId="0" applyFont="1" applyFill="1" applyBorder="1" applyAlignment="1">
      <alignment horizontal="center" vertical="center"/>
    </xf>
    <xf numFmtId="0" fontId="1" fillId="25" borderId="20" xfId="0" applyFont="1" applyFill="1" applyBorder="1" applyAlignment="1">
      <alignment horizontal="center" vertical="center"/>
    </xf>
    <xf numFmtId="0" fontId="1" fillId="25" borderId="19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0" xfId="0" applyFont="1" applyFill="1" applyBorder="1" applyAlignment="1">
      <alignment horizontal="center"/>
    </xf>
    <xf numFmtId="0" fontId="17" fillId="23" borderId="13" xfId="0" applyFont="1" applyFill="1" applyBorder="1" applyAlignment="1">
      <alignment horizontal="center" vertical="center"/>
    </xf>
    <xf numFmtId="0" fontId="17" fillId="23" borderId="14" xfId="0" applyFont="1" applyFill="1" applyBorder="1" applyAlignment="1">
      <alignment horizontal="center" vertical="center"/>
    </xf>
    <xf numFmtId="0" fontId="17" fillId="23" borderId="15" xfId="0" applyFont="1" applyFill="1" applyBorder="1" applyAlignment="1">
      <alignment horizontal="center" vertical="center"/>
    </xf>
    <xf numFmtId="0" fontId="17" fillId="23" borderId="22" xfId="0" applyFont="1" applyFill="1" applyBorder="1" applyAlignment="1">
      <alignment horizontal="center" vertical="center"/>
    </xf>
    <xf numFmtId="0" fontId="17" fillId="23" borderId="0" xfId="0" applyFont="1" applyFill="1" applyBorder="1" applyAlignment="1">
      <alignment horizontal="center" vertical="center"/>
    </xf>
    <xf numFmtId="0" fontId="17" fillId="23" borderId="23" xfId="0" applyFont="1" applyFill="1" applyBorder="1" applyAlignment="1">
      <alignment horizontal="center" vertical="center"/>
    </xf>
    <xf numFmtId="0" fontId="0" fillId="23" borderId="19" xfId="0" applyFill="1" applyBorder="1" applyAlignment="1">
      <alignment horizontal="center"/>
    </xf>
    <xf numFmtId="0" fontId="0" fillId="23" borderId="21" xfId="0" applyFill="1" applyBorder="1" applyAlignment="1">
      <alignment horizontal="center"/>
    </xf>
    <xf numFmtId="0" fontId="0" fillId="23" borderId="20" xfId="0" applyFill="1" applyBorder="1" applyAlignment="1">
      <alignment horizontal="center"/>
    </xf>
    <xf numFmtId="0" fontId="0" fillId="23" borderId="13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25" borderId="19" xfId="0" applyFill="1" applyBorder="1" applyAlignment="1">
      <alignment horizontal="center"/>
    </xf>
    <xf numFmtId="0" fontId="0" fillId="25" borderId="21" xfId="0" applyFill="1" applyBorder="1" applyAlignment="1">
      <alignment horizontal="center"/>
    </xf>
    <xf numFmtId="0" fontId="0" fillId="25" borderId="20" xfId="0" applyFill="1" applyBorder="1" applyAlignment="1">
      <alignment horizontal="center"/>
    </xf>
    <xf numFmtId="0" fontId="1" fillId="0" borderId="19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7" fillId="0" borderId="22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47" fillId="25" borderId="13" xfId="0" applyFont="1" applyFill="1" applyBorder="1" applyAlignment="1">
      <alignment horizontal="center"/>
    </xf>
    <xf numFmtId="0" fontId="47" fillId="25" borderId="20" xfId="0" applyFont="1" applyFill="1" applyBorder="1" applyAlignment="1">
      <alignment horizontal="center"/>
    </xf>
    <xf numFmtId="0" fontId="0" fillId="25" borderId="5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43" fillId="0" borderId="13" xfId="0" applyFont="1" applyBorder="1" applyAlignment="1">
      <alignment horizontal="center" vertical="center"/>
    </xf>
    <xf numFmtId="0" fontId="43" fillId="0" borderId="1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6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18" xfId="0" applyFont="1" applyBorder="1" applyAlignment="1">
      <alignment horizontal="center" vertical="center"/>
    </xf>
    <xf numFmtId="0" fontId="36" fillId="11" borderId="19" xfId="0" applyFont="1" applyFill="1" applyBorder="1" applyAlignment="1">
      <alignment horizontal="center"/>
    </xf>
    <xf numFmtId="0" fontId="36" fillId="11" borderId="21" xfId="0" applyFont="1" applyFill="1" applyBorder="1" applyAlignment="1">
      <alignment horizontal="center"/>
    </xf>
    <xf numFmtId="0" fontId="36" fillId="11" borderId="20" xfId="0" applyFont="1" applyFill="1" applyBorder="1" applyAlignment="1">
      <alignment horizontal="center"/>
    </xf>
    <xf numFmtId="0" fontId="36" fillId="11" borderId="44" xfId="0" applyFont="1" applyFill="1" applyBorder="1" applyAlignment="1">
      <alignment horizontal="center"/>
    </xf>
    <xf numFmtId="0" fontId="36" fillId="11" borderId="50" xfId="0" applyFont="1" applyFill="1" applyBorder="1" applyAlignment="1">
      <alignment horizontal="center"/>
    </xf>
    <xf numFmtId="0" fontId="36" fillId="11" borderId="56" xfId="0" applyFont="1" applyFill="1" applyBorder="1" applyAlignment="1">
      <alignment horizontal="center"/>
    </xf>
    <xf numFmtId="0" fontId="36" fillId="11" borderId="55" xfId="0" applyFont="1" applyFill="1" applyBorder="1" applyAlignment="1">
      <alignment horizontal="center"/>
    </xf>
    <xf numFmtId="0" fontId="36" fillId="11" borderId="41" xfId="0" applyFont="1" applyFill="1" applyBorder="1" applyAlignment="1">
      <alignment horizontal="center"/>
    </xf>
    <xf numFmtId="0" fontId="36" fillId="11" borderId="52" xfId="0" applyFont="1" applyFill="1" applyBorder="1" applyAlignment="1">
      <alignment horizontal="center"/>
    </xf>
    <xf numFmtId="0" fontId="36" fillId="11" borderId="53" xfId="0" applyFont="1" applyFill="1" applyBorder="1" applyAlignment="1">
      <alignment horizontal="center"/>
    </xf>
    <xf numFmtId="0" fontId="36" fillId="11" borderId="54" xfId="0" applyFont="1" applyFill="1" applyBorder="1" applyAlignment="1">
      <alignment horizontal="center"/>
    </xf>
    <xf numFmtId="0" fontId="36" fillId="11" borderId="22" xfId="0" applyFont="1" applyFill="1" applyBorder="1" applyAlignment="1">
      <alignment horizontal="center"/>
    </xf>
    <xf numFmtId="0" fontId="36" fillId="11" borderId="0" xfId="0" applyFont="1" applyFill="1" applyBorder="1" applyAlignment="1">
      <alignment horizontal="center"/>
    </xf>
    <xf numFmtId="0" fontId="46" fillId="27" borderId="19" xfId="0" applyFont="1" applyFill="1" applyBorder="1" applyAlignment="1">
      <alignment horizontal="center"/>
    </xf>
    <xf numFmtId="0" fontId="46" fillId="27" borderId="21" xfId="0" applyFont="1" applyFill="1" applyBorder="1" applyAlignment="1">
      <alignment horizontal="center"/>
    </xf>
    <xf numFmtId="0" fontId="46" fillId="27" borderId="2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7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23" borderId="0" xfId="0" applyFont="1" applyFill="1" applyAlignment="1">
      <alignment horizontal="center"/>
    </xf>
    <xf numFmtId="0" fontId="1" fillId="0" borderId="21" xfId="0" applyNumberFormat="1" applyFont="1" applyBorder="1" applyAlignment="1">
      <alignment horizontal="center"/>
    </xf>
    <xf numFmtId="0" fontId="1" fillId="0" borderId="20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34" xfId="0" applyNumberFormat="1" applyFont="1" applyFill="1" applyBorder="1" applyAlignment="1">
      <alignment horizontal="center"/>
    </xf>
    <xf numFmtId="0" fontId="1" fillId="0" borderId="28" xfId="0" applyNumberFormat="1" applyFont="1" applyFill="1" applyBorder="1" applyAlignment="1">
      <alignment horizontal="center"/>
    </xf>
    <xf numFmtId="0" fontId="1" fillId="0" borderId="36" xfId="0" applyNumberFormat="1" applyFont="1" applyFill="1" applyBorder="1" applyAlignment="1">
      <alignment horizontal="center"/>
    </xf>
    <xf numFmtId="0" fontId="1" fillId="0" borderId="32" xfId="0" applyNumberFormat="1" applyFont="1" applyFill="1" applyBorder="1" applyAlignment="1">
      <alignment horizontal="center"/>
    </xf>
    <xf numFmtId="0" fontId="1" fillId="0" borderId="19" xfId="0" applyNumberFormat="1" applyFont="1" applyBorder="1" applyAlignment="1">
      <alignment horizontal="center"/>
    </xf>
    <xf numFmtId="0" fontId="0" fillId="0" borderId="22" xfId="0" applyBorder="1" applyAlignment="1">
      <alignment horizontal="center" indent="4"/>
    </xf>
    <xf numFmtId="0" fontId="0" fillId="0" borderId="0" xfId="0" applyBorder="1" applyAlignment="1">
      <alignment horizontal="center" indent="4"/>
    </xf>
    <xf numFmtId="0" fontId="0" fillId="11" borderId="21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7" fillId="8" borderId="13" xfId="0" applyFont="1" applyFill="1" applyBorder="1" applyAlignment="1">
      <alignment horizontal="center" vertical="center" wrapText="1"/>
    </xf>
    <xf numFmtId="0" fontId="7" fillId="8" borderId="16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30" fillId="0" borderId="23" xfId="0" applyFont="1" applyFill="1" applyBorder="1" applyAlignment="1">
      <alignment horizontal="center"/>
    </xf>
  </cellXfs>
  <cellStyles count="6">
    <cellStyle name="Bad" xfId="3" builtinId="27"/>
    <cellStyle name="Good" xfId="2" builtinId="26"/>
    <cellStyle name="Hyperlink" xfId="5" builtinId="8"/>
    <cellStyle name="Neutral" xfId="4" builtinId="28"/>
    <cellStyle name="Normal" xfId="0" builtinId="0"/>
    <cellStyle name="Normal 2" xfId="1" xr:uid="{05E2895A-B647-4C0B-A7C6-35E888FF9FFA}"/>
  </cellStyles>
  <dxfs count="4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rgb="FFDDEBF7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rgb="FFDDEBF7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rgb="FFDDEBF7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rgb="FFDDEBF7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rgb="FFDDEBF7"/>
        </patternFill>
      </fill>
      <alignment horizontal="right" vertical="bottom" textRotation="0" wrapText="0" indent="0" justifyLastLine="0" shrinkToFit="0" readingOrder="0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none">
          <fgColor rgb="FFA5A5A5"/>
          <bgColor rgb="FFA5A5A5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A5A5A5"/>
          <bgColor rgb="FFA5A5A5"/>
        </patternFill>
      </fill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0000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000000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0000"/>
      </font>
      <fill>
        <patternFill patternType="none">
          <fgColor indexed="64"/>
          <bgColor indexed="65"/>
        </patternFill>
      </fill>
    </dxf>
    <dxf>
      <numFmt numFmtId="0" formatCode="General"/>
      <alignment horizontal="left"/>
    </dxf>
    <dxf>
      <alignment horizontal="center" vertical="center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>
        <left style="medium">
          <color rgb="FF000000"/>
        </left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>
        <left style="medium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>
        <left style="medium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>
        <left style="medium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color rgb="FF00000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mm/dd/yy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/>
    </dxf>
    <dxf>
      <numFmt numFmtId="165" formatCode="mm/dd/yy;@"/>
      <fill>
        <patternFill patternType="none">
          <fgColor indexed="64"/>
          <bgColor auto="1"/>
        </patternFill>
      </fill>
      <alignment horizontal="center"/>
    </dxf>
    <dxf>
      <font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>
        <left style="medium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>
        <left style="medium">
          <color rgb="FF000000"/>
        </left>
      </border>
    </dxf>
    <dxf>
      <border outline="0"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808080"/>
        </patternFill>
      </fill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/>
    </dxf>
    <dxf>
      <numFmt numFmtId="19" formatCode="m/d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9" formatCode="m/d/yyyy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alignment horizontal="center" vertical="center" textRotation="0" wrapText="0" indent="0" justifyLastLine="0" shrinkToFit="0" readingOrder="0"/>
      <border>
        <left style="medium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&lt;=9999999]###\-####;\(###\)\ ###\-####"/>
      <alignment horizontal="left" vertical="bottom" textRotation="0" wrapText="0" indent="0" justifyLastLine="0" shrinkToFit="0" readingOrder="0"/>
      <border diagonalUp="0" diagonalDown="0">
        <left style="medium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9" formatCode="m/d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19" formatCode="m/d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9" formatCode="m/d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medium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0" formatCode="General"/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alignment horizontal="left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alignment horizontal="general" vertic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border>
        <bottom style="thin">
          <color indexed="64"/>
        </bottom>
      </border>
    </dxf>
    <dxf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vertical="center"/>
    </dxf>
    <dxf>
      <alignment horizontal="center" vertical="center"/>
    </dxf>
    <dxf>
      <numFmt numFmtId="167" formatCode="m/d/yyyy;@"/>
    </dxf>
    <dxf>
      <numFmt numFmtId="167" formatCode="m/d/yyyy;@"/>
    </dxf>
    <dxf>
      <numFmt numFmtId="167" formatCode="m/d/yyyy;@"/>
    </dxf>
    <dxf>
      <fill>
        <patternFill patternType="none">
          <fgColor indexed="64"/>
          <bgColor rgb="FFE7E6E6"/>
        </patternFill>
      </fill>
      <alignment horizontal="center"/>
    </dxf>
    <dxf>
      <fill>
        <patternFill patternType="none">
          <fgColor indexed="64"/>
          <bgColor rgb="FFE7E6E6"/>
        </patternFill>
      </fill>
    </dxf>
    <dxf>
      <fill>
        <patternFill patternType="none">
          <fgColor indexed="64"/>
          <bgColor rgb="FFE7E6E6"/>
        </patternFill>
      </fill>
    </dxf>
    <dxf>
      <fill>
        <patternFill patternType="none">
          <fgColor indexed="64"/>
          <bgColor rgb="FFE7E6E6"/>
        </patternFill>
      </fill>
    </dxf>
    <dxf>
      <fill>
        <patternFill patternType="none">
          <fgColor indexed="64"/>
          <bgColor rgb="FFE7E6E6"/>
        </patternFill>
      </fill>
    </dxf>
    <dxf>
      <fill>
        <patternFill patternType="none">
          <fgColor indexed="64"/>
          <bgColor rgb="FFE7E6E6"/>
        </patternFill>
      </fill>
    </dxf>
    <dxf>
      <fill>
        <patternFill patternType="none">
          <fgColor indexed="64"/>
          <bgColor rgb="FFE7E6E6"/>
        </patternFill>
      </fill>
    </dxf>
    <dxf>
      <alignment horizontal="left"/>
    </dxf>
    <dxf>
      <alignment horizontal="center" wrapText="0"/>
    </dxf>
    <dxf>
      <numFmt numFmtId="19" formatCode="m/d/yyyy"/>
      <alignment horizontal="center"/>
    </dxf>
    <dxf>
      <numFmt numFmtId="19" formatCode="m/d/yyyy"/>
      <alignment horizontal="center"/>
    </dxf>
    <dxf>
      <alignment horizontal="left"/>
    </dxf>
    <dxf>
      <alignment horizontal="left"/>
    </dxf>
    <dxf>
      <alignment horizontal="center"/>
    </dxf>
    <dxf>
      <numFmt numFmtId="0" formatCode="General"/>
      <alignment horizontal="center"/>
    </dxf>
    <dxf>
      <border outline="0">
        <top style="thin">
          <color rgb="FFA9A9A9"/>
        </top>
      </border>
    </dxf>
    <dxf>
      <numFmt numFmtId="30" formatCode="@"/>
      <alignment horizontal="center"/>
    </dxf>
    <dxf>
      <border outline="0"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FFFFFF"/>
        <name val="Times New Roman"/>
        <scheme val="none"/>
      </font>
      <numFmt numFmtId="30" formatCode="@"/>
      <fill>
        <patternFill patternType="solid">
          <fgColor indexed="64"/>
          <bgColor rgb="FF808080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/>
        <bottom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charset val="1"/>
        <scheme val="none"/>
      </font>
      <fill>
        <patternFill patternType="none">
          <fgColor indexed="64"/>
          <bgColor rgb="FFFFFFFF"/>
        </patternFill>
      </fill>
      <alignment horizontal="general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charset val="1"/>
        <scheme val="none"/>
      </font>
      <numFmt numFmtId="164" formatCode="[&lt;=9999999]###\-####;\(###\)\ ###\-####"/>
      <fill>
        <patternFill patternType="none">
          <fgColor indexed="64"/>
          <bgColor rgb="FFFFFFFF"/>
        </patternFill>
      </fill>
      <alignment horizontal="general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charset val="1"/>
        <scheme val="none"/>
      </font>
      <numFmt numFmtId="19" formatCode="m/d/yyyy"/>
      <fill>
        <patternFill patternType="none">
          <fgColor indexed="64"/>
          <bgColor rgb="FFFFFFFF"/>
        </patternFill>
      </fill>
      <alignment horizontal="general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charset val="1"/>
        <scheme val="none"/>
      </font>
      <fill>
        <patternFill patternType="none">
          <fgColor indexed="64"/>
          <bgColor rgb="FFFFFFFF"/>
        </patternFill>
      </fill>
      <alignment horizontal="general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charset val="1"/>
        <scheme val="none"/>
      </font>
      <fill>
        <patternFill patternType="none">
          <fgColor indexed="64"/>
          <bgColor rgb="FFFFFFFF"/>
        </patternFill>
      </fill>
      <alignment horizontal="general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charset val="1"/>
        <scheme val="none"/>
      </font>
      <fill>
        <patternFill patternType="none">
          <fgColor indexed="64"/>
          <bgColor rgb="FFFFFFFF"/>
        </patternFill>
      </fill>
      <alignment horizontal="general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charset val="1"/>
        <scheme val="none"/>
      </font>
      <fill>
        <patternFill patternType="none">
          <fgColor indexed="64"/>
          <bgColor rgb="FFFFFFFF"/>
        </patternFill>
      </fill>
      <alignment horizontal="general"/>
    </dxf>
    <dxf>
      <fill>
        <patternFill patternType="none"/>
      </fill>
      <alignment horizontal="general" vertical="bottom" textRotation="0" wrapText="0" indent="0" justifyLastLine="0" shrinkToFit="0" readingOrder="0"/>
    </dxf>
    <dxf>
      <alignment horizont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0" formatCode="General"/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0" formatCode="General"/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0" formatCode="General"/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border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</font>
      <numFmt numFmtId="0" formatCode="General"/>
      <alignment horizontal="center" vertic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</font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</font>
      <numFmt numFmtId="0" formatCode="General"/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</font>
      <numFmt numFmtId="30" formatCode="@"/>
      <alignment horizontal="center" vertical="center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alignment horizontal="center" vertical="center"/>
    </dxf>
    <dxf>
      <border>
        <bottom style="thin">
          <color rgb="FF000000"/>
        </bottom>
      </border>
    </dxf>
    <dxf>
      <font>
        <b/>
      </font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family val="2"/>
      </font>
      <numFmt numFmtId="0" formatCode="General"/>
      <alignment horizontal="center" vertical="center"/>
    </dxf>
    <dxf>
      <font>
        <b/>
      </font>
      <numFmt numFmtId="0" formatCode="General"/>
      <alignment horizontal="center" vertic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</font>
      <numFmt numFmtId="0" formatCode="General"/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</font>
      <numFmt numFmtId="0" formatCode="General"/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family val="2"/>
      </font>
      <alignment horizontal="center" vertical="center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25" formatCode="h:mm"/>
    </dxf>
    <dxf>
      <numFmt numFmtId="19" formatCode="m/d/yyyy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9" formatCode="m/d/yyyy"/>
      <alignment horizontal="center"/>
    </dxf>
    <dxf>
      <alignment horizontal="center"/>
    </dxf>
    <dxf>
      <alignment horizontal="center"/>
    </dxf>
    <dxf>
      <alignment horizontal="center"/>
    </dxf>
    <dxf>
      <numFmt numFmtId="19" formatCode="m/d/yyyy"/>
    </dxf>
    <dxf>
      <numFmt numFmtId="164" formatCode="[&lt;=9999999]###\-####;\(###\)\ ###\-####"/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numFmt numFmtId="19" formatCode="m/d/yyyy"/>
      <alignment horizontal="center"/>
    </dxf>
    <dxf>
      <alignment horizontal="center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2"/>
        <name val="Calibri"/>
        <scheme val="minor"/>
      </font>
      <fill>
        <patternFill patternType="none"/>
      </fill>
      <alignment horizontal="left" vertical="center"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4" formatCode="#,##0.00"/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4" formatCode="#,##0.00"/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4" formatCode="#,##0.00"/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80"/>
        <name val="Calibri"/>
        <scheme val="minor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80"/>
        <name val="Calibri"/>
        <scheme val="minor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80"/>
        <name val="Calibri"/>
        <scheme val="minor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</dxf>
    <dxf>
      <border>
        <left/>
        <right/>
        <top/>
        <bottom/>
      </border>
    </dxf>
    <dxf>
      <font>
        <sz val="12"/>
        <name val="Calibri"/>
        <scheme val="minor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fill>
        <patternFill patternType="none">
          <fgColor rgb="FF000000"/>
          <bgColor rgb="FF000080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/>
        <vertical/>
        <horizontal/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indexed="64"/>
          <bgColor rgb="FFBFBFBF"/>
        </patternFill>
      </fill>
      <alignment horizontal="general" vertical="bottom" textRotation="45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/>
        <vertical/>
        <horizontal/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indexed="64"/>
          <bgColor rgb="FFBFBFBF"/>
        </patternFill>
      </fill>
      <alignment horizontal="general" vertical="bottom" textRotation="45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/>
        <vertical/>
        <horizontal/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indexed="64"/>
          <bgColor rgb="FFBFBFBF"/>
        </patternFill>
      </fill>
      <alignment horizontal="general" vertical="bottom" textRotation="45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rgb="FF00000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/>
        <vertical/>
        <horizontal/>
      </border>
    </dxf>
    <dxf>
      <border outline="0">
        <left style="thin">
          <color rgb="FF000000"/>
        </left>
        <right style="medium">
          <color rgb="FF000000"/>
        </right>
        <top style="medium">
          <color rgb="FF000000"/>
        </top>
        <bottom style="thin">
          <color rgb="FF000000"/>
        </bottom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indexed="64"/>
          <bgColor rgb="FFBFBFBF"/>
        </patternFill>
      </fill>
      <alignment horizontal="general" vertical="bottom" textRotation="45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6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/>
        <vertical/>
        <horizontal/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indexed="64"/>
          <bgColor rgb="FFBFBFBF"/>
        </patternFill>
      </fill>
      <alignment horizontal="general" vertical="bottom" textRotation="45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indexed="64"/>
          <bgColor rgb="FFBFBFBF"/>
        </patternFill>
      </fill>
      <alignment horizontal="general" vertical="bottom" textRotation="45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/>
        <vertical/>
        <horizontal/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indexed="64"/>
          <bgColor rgb="FFBFBFBF"/>
        </patternFill>
      </fill>
      <alignment horizontal="general" vertical="bottom" textRotation="45" wrapText="0" indent="0" justifyLastLine="0" shrinkToFit="0" readingOrder="0"/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ont>
        <color rgb="FF000000"/>
      </font>
      <fill>
        <patternFill patternType="solid">
          <fgColor indexed="64"/>
          <bgColor theme="2"/>
        </patternFill>
      </fill>
    </dxf>
    <dxf>
      <font>
        <color rgb="FF000000"/>
      </font>
      <fill>
        <patternFill patternType="solid">
          <fgColor indexed="64"/>
          <bgColor rgb="FFE7E6E6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</font>
      <fill>
        <patternFill patternType="solid">
          <fgColor indexed="64"/>
          <bgColor rgb="FFE7E6E6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000000"/>
      </font>
      <fill>
        <patternFill patternType="solid">
          <fgColor indexed="64"/>
          <bgColor rgb="FFE7E6E6"/>
        </patternFill>
      </fill>
    </dxf>
    <dxf>
      <border>
        <bottom style="medium">
          <color rgb="FF000000"/>
        </bottom>
      </border>
    </dxf>
    <dxf>
      <font>
        <color rgb="FF000000"/>
      </font>
      <fill>
        <patternFill patternType="solid">
          <fgColor indexed="64"/>
          <bgColor rgb="FFE7E6E6"/>
        </patternFill>
      </fill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E7E6E6"/>
        </patternFill>
      </fill>
    </dxf>
    <dxf>
      <fill>
        <patternFill patternType="solid">
          <fgColor indexed="64"/>
          <bgColor rgb="FFE7E6E6"/>
        </patternFill>
      </fill>
    </dxf>
    <dxf>
      <fill>
        <patternFill patternType="solid">
          <fgColor indexed="64"/>
          <bgColor rgb="FFE7E6E6"/>
        </patternFill>
      </fill>
    </dxf>
    <dxf>
      <fill>
        <patternFill patternType="solid">
          <fgColor indexed="64"/>
          <bgColor rgb="FFE7E6E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E7E6E6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 outline="0">
        <left style="thin">
          <color theme="6"/>
        </left>
      </border>
    </dxf>
    <dxf>
      <numFmt numFmtId="13" formatCode="0%"/>
      <fill>
        <patternFill patternType="none">
          <fgColor indexed="64"/>
          <bgColor rgb="FFE7E6E6"/>
        </patternFill>
      </fill>
      <alignment horizontal="center"/>
    </dxf>
    <dxf>
      <fill>
        <patternFill patternType="none">
          <fgColor indexed="64"/>
          <bgColor rgb="FFE7E6E6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rgb="FFE7E6E6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E7E6E6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fill>
        <patternFill patternType="none"/>
      </fill>
    </dxf>
    <dxf>
      <font>
        <color rgb="FF000000"/>
      </font>
      <fill>
        <patternFill patternType="none">
          <fgColor indexed="64"/>
          <bgColor rgb="FFE7E6E6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alignment horizontal="left"/>
    </dxf>
    <dxf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top"/>
    </dxf>
    <dxf>
      <alignment horizontal="left" wrapText="1"/>
    </dxf>
    <dxf>
      <alignment horizontal="left" vertical="top"/>
    </dxf>
    <dxf>
      <alignment horizontal="center" vertical="top"/>
    </dxf>
    <dxf>
      <alignment horizontal="left" vertical="top"/>
    </dxf>
    <dxf>
      <alignment horizontal="left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D9D9D9"/>
          <bgColor rgb="FFD9D9D9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D9D9D9"/>
          <bgColor rgb="FFD9D9D9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D9D9D9"/>
          <bgColor rgb="FFD9D9D9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D9D9D9"/>
          <bgColor rgb="FFD9D9D9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D9D9D9"/>
          <bgColor rgb="FFD9D9D9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D9D9D9"/>
          <bgColor rgb="FFD9D9D9"/>
        </patternFill>
      </fill>
      <alignment horizontal="general" vertical="top" textRotation="0" wrapText="0" indent="0" justifyLastLine="0" shrinkToFit="0" readingOrder="0"/>
    </dxf>
    <dxf>
      <border outline="0"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D9D9D9"/>
          <bgColor rgb="FFD9D9D9"/>
        </patternFill>
      </fill>
      <alignment horizontal="general" vertical="top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4472C4"/>
          <bgColor rgb="FF4472C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86464"/>
      <color rgb="FFBD80D1"/>
      <color rgb="FFD6D6D6"/>
      <color rgb="FFE3E3E3"/>
      <color rgb="FFF2F2F2"/>
      <color rgb="FFFFA8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Types" Target="richData/rdRichValueTypes.xml"/><Relationship Id="rId27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86</xdr:row>
      <xdr:rowOff>123825</xdr:rowOff>
    </xdr:from>
    <xdr:to>
      <xdr:col>4</xdr:col>
      <xdr:colOff>609600</xdr:colOff>
      <xdr:row>104</xdr:row>
      <xdr:rowOff>19050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D54DBE78-A6F3-8478-9451-68C36AB93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1363325"/>
          <a:ext cx="4572000" cy="3505200"/>
        </a:xfrm>
        <a:prstGeom prst="rect">
          <a:avLst/>
        </a:prstGeom>
      </xdr:spPr>
    </xdr:pic>
    <xdr:clientData/>
  </xdr:twoCellAnchor>
  <xdr:twoCellAnchor editAs="oneCell">
    <xdr:from>
      <xdr:col>7</xdr:col>
      <xdr:colOff>400050</xdr:colOff>
      <xdr:row>87</xdr:row>
      <xdr:rowOff>123825</xdr:rowOff>
    </xdr:from>
    <xdr:to>
      <xdr:col>10</xdr:col>
      <xdr:colOff>942975</xdr:colOff>
      <xdr:row>91</xdr:row>
      <xdr:rowOff>142875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1DF7E85C-1C48-D75E-35F9-6651E277BEEC}"/>
            </a:ext>
            <a:ext uri="{147F2762-F138-4A5C-976F-8EAC2B608ADB}">
              <a16:predDERef xmlns:a16="http://schemas.microsoft.com/office/drawing/2014/main" pred="{D54DBE78-A6F3-8478-9451-68C36AB93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95900" y="19364325"/>
          <a:ext cx="4572000" cy="819150"/>
        </a:xfrm>
        <a:prstGeom prst="rect">
          <a:avLst/>
        </a:prstGeom>
      </xdr:spPr>
    </xdr:pic>
    <xdr:clientData/>
  </xdr:twoCellAnchor>
  <xdr:twoCellAnchor editAs="oneCell">
    <xdr:from>
      <xdr:col>7</xdr:col>
      <xdr:colOff>390525</xdr:colOff>
      <xdr:row>93</xdr:row>
      <xdr:rowOff>95250</xdr:rowOff>
    </xdr:from>
    <xdr:to>
      <xdr:col>10</xdr:col>
      <xdr:colOff>933450</xdr:colOff>
      <xdr:row>98</xdr:row>
      <xdr:rowOff>57150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BD17E47F-95C8-D86E-CE62-9F00FBCEA4CD}"/>
            </a:ext>
            <a:ext uri="{147F2762-F138-4A5C-976F-8EAC2B608ADB}">
              <a16:predDERef xmlns:a16="http://schemas.microsoft.com/office/drawing/2014/main" pred="{1DF7E85C-1C48-D75E-35F9-6651E277B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38925" y="8105775"/>
          <a:ext cx="4572000" cy="962025"/>
        </a:xfrm>
        <a:prstGeom prst="rect">
          <a:avLst/>
        </a:prstGeom>
      </xdr:spPr>
    </xdr:pic>
    <xdr:clientData/>
  </xdr:twoCellAnchor>
  <xdr:twoCellAnchor editAs="oneCell">
    <xdr:from>
      <xdr:col>7</xdr:col>
      <xdr:colOff>371475</xdr:colOff>
      <xdr:row>99</xdr:row>
      <xdr:rowOff>123825</xdr:rowOff>
    </xdr:from>
    <xdr:to>
      <xdr:col>10</xdr:col>
      <xdr:colOff>914400</xdr:colOff>
      <xdr:row>107</xdr:row>
      <xdr:rowOff>114300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2F360788-AC65-0A5D-0C1F-7955268597F3}"/>
            </a:ext>
            <a:ext uri="{147F2762-F138-4A5C-976F-8EAC2B608ADB}">
              <a16:predDERef xmlns:a16="http://schemas.microsoft.com/office/drawing/2014/main" pred="{BD17E47F-95C8-D86E-CE62-9F00FBCEA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19875" y="9277350"/>
          <a:ext cx="4572000" cy="1600200"/>
        </a:xfrm>
        <a:prstGeom prst="rect">
          <a:avLst/>
        </a:prstGeom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C040C89E-387F-45B4-AB41-86F234EE4A82}">
    <nsvFilter filterId="{BD02CAC9-95FA-47B1-9DE7-629DC6667C78}" ref="A2:BH81" tableId="13">
      <sortRules>
        <sortRule colId="0" id="{516A36C7-CDFF-466C-A17F-227903128223}">
          <sortCondition ref="A2:A81"/>
        </sortRule>
      </sortRules>
    </nsvFilter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Barton Capt Garrett T" id="{55278494-6E8E-458B-B68F-47085D44A7F5}" userId="S::garrett.t.barton@usmc.mil::1236ed13-2e72-46cc-a362-115f8a47de0d" providerId="AD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9249692-CFB5-4A2E-8AD5-6ADE85F802DA}" name="ChangeLogTable" displayName="ChangeLogTable" ref="B2:G29" totalsRowShown="0" headerRowDxfId="455" dataDxfId="453" headerRowBorderDxfId="454" tableBorderDxfId="452">
  <autoFilter ref="B2:G29" xr:uid="{89249692-CFB5-4A2E-8AD5-6ADE85F802DA}">
    <filterColumn colId="5">
      <filters>
        <filter val="Proposed"/>
      </filters>
    </filterColumn>
  </autoFilter>
  <tableColumns count="6">
    <tableColumn id="1" xr3:uid="{C23E7D01-BE84-4ECA-A573-C9CCE23CA92A}" name="File/Folder" dataDxfId="451"/>
    <tableColumn id="2" xr3:uid="{3B3AC19C-886F-4B26-9120-6A5589D1719A}" name="Current Location" dataDxfId="450"/>
    <tableColumn id="3" xr3:uid="{980434F1-2B2F-42E7-B7AD-E55E8CD737AB}" name="Action" dataDxfId="449"/>
    <tableColumn id="4" xr3:uid="{16F78513-0F44-4BF6-9D5B-BCA9E7978461}" name="Proposed Location" dataDxfId="448"/>
    <tableColumn id="5" xr3:uid="{5456FBE4-B3D8-4B78-AE5D-A6C368477E16}" name="Rational" dataDxfId="447"/>
    <tableColumn id="6" xr3:uid="{38B18D8E-08DC-456D-8FA4-B1792FA73DFC}" name="Status" dataDxfId="446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099F7F8-4B89-402E-9255-EFAE8FE5F56D}" name="SOPTable" displayName="SOPTable" ref="B34:G48" totalsRowShown="0">
  <autoFilter ref="B34:G48" xr:uid="{5099F7F8-4B89-402E-9255-EFAE8FE5F56D}">
    <filterColumn colId="5">
      <filters>
        <filter val="Proposed"/>
      </filters>
    </filterColumn>
  </autoFilter>
  <tableColumns count="6">
    <tableColumn id="1" xr3:uid="{73380BB9-325F-4C70-A953-4F9037C30511}" name="SOP" dataDxfId="445"/>
    <tableColumn id="2" xr3:uid="{6B25B3D8-E13F-4C5E-A80A-721EB7C1D70E}" name="Owner" dataDxfId="444"/>
    <tableColumn id="3" xr3:uid="{6682745C-82BB-4FA5-98D1-1546922098CE}" name="Action" dataDxfId="443"/>
    <tableColumn id="4" xr3:uid="{DEFADED6-07C5-41F0-83B4-94C43675C035}" name="Location" dataDxfId="442"/>
    <tableColumn id="5" xr3:uid="{88063361-436E-42BF-A9BB-3FDD78DD14A8}" name="Description" dataDxfId="441"/>
    <tableColumn id="6" xr3:uid="{58B95D01-12A8-406E-A934-41BEDB9C3B61}" name="Status" dataDxfId="440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BilletTable" displayName="BilletTable" ref="A1:J30" totalsRowShown="0" headerRowDxfId="439" headerRowBorderDxfId="438" tableBorderDxfId="437" totalsRowBorderDxfId="436">
  <autoFilter ref="A1:J30" xr:uid="{00000000-0009-0000-0100-000003000000}"/>
  <sortState xmlns:xlrd2="http://schemas.microsoft.com/office/spreadsheetml/2017/richdata2" ref="A2:J25">
    <sortCondition ref="A1:A25"/>
  </sortState>
  <tableColumns count="10">
    <tableColumn id="1" xr3:uid="{00000000-0010-0000-0200-000001000000}" name="Billet" dataDxfId="435"/>
    <tableColumn id="2" xr3:uid="{00000000-0010-0000-0200-000002000000}" name="Primary" dataDxfId="434"/>
    <tableColumn id="3" xr3:uid="{00000000-0010-0000-0200-000003000000}" name="Alternate 1" dataDxfId="433"/>
    <tableColumn id="4" xr3:uid="{00000000-0010-0000-0200-000004000000}" name="Alternate 2" dataDxfId="432"/>
    <tableColumn id="5" xr3:uid="{00000000-0010-0000-0200-000005000000}" name="Alternate 3" dataDxfId="431"/>
    <tableColumn id="6" xr3:uid="{00000000-0010-0000-0200-000006000000}" name="Alternate 4" dataDxfId="430"/>
    <tableColumn id="7" xr3:uid="{ACEB7F5F-8819-44BA-AF88-A9423B45B559}" name="Alternate 5" dataDxfId="429"/>
    <tableColumn id="8" xr3:uid="{86040C83-9402-454B-B5C2-29F9384FC87C}" name="Alternate 6" dataDxfId="428"/>
    <tableColumn id="9" xr3:uid="{CE3F18AA-DC1E-49F1-A390-33304427265C}" name="Alternate 7" dataDxfId="427"/>
    <tableColumn id="10" xr3:uid="{DC8B46F2-E42F-423E-A300-67ADA258DB18}" name="Alternate 8" dataDxfId="426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D9B913B8-CDC9-445D-B7E2-B5644A8A8C90}" name="HP417KeyTable" displayName="HP417KeyTable" ref="A34:D47" totalsRowShown="0" dataDxfId="425">
  <autoFilter ref="A34:D47" xr:uid="{D9B913B8-CDC9-445D-B7E2-B5644A8A8C90}"/>
  <tableColumns count="4">
    <tableColumn id="1" xr3:uid="{A0D850B2-BB2E-4CF4-AC5F-3E7049BA7C11}" name="Room" dataDxfId="424"/>
    <tableColumn id="2" xr3:uid="{EC50E18F-DDBA-4F30-932C-C98A8FE0A879}" name="Description" dataDxfId="423"/>
    <tableColumn id="4" xr3:uid="{46DA6F12-3F42-435E-925F-0990AC700832}" name="Number of Keys" dataDxfId="422"/>
    <tableColumn id="3" xr3:uid="{84EFA0C8-4FC6-4870-B575-FB6CC66E3D41}" name="Name" dataDxfId="421"/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AFAAFCA-5400-47CD-A4E4-5B229B493DF9}" name="RankTable" displayName="RankTable" ref="B75:C92" totalsRowShown="0" headerRowDxfId="410" dataDxfId="409">
  <autoFilter ref="B75:C92" xr:uid="{0AFAAFCA-5400-47CD-A4E4-5B229B493DF9}">
    <filterColumn colId="0" hiddenButton="1"/>
    <filterColumn colId="1" hiddenButton="1"/>
  </autoFilter>
  <tableColumns count="2">
    <tableColumn id="1" xr3:uid="{5891EB60-91DD-4CBF-A296-6D52BE0C2EF7}" name="Code" dataDxfId="408"/>
    <tableColumn id="2" xr3:uid="{91009AB5-6B69-497B-9226-26B013808840}" name="Abbr" dataDxfId="407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F711FC9-0E48-4320-AEA9-E2E2862A61E6}" name="ReadinessTbale" displayName="ReadinessTbale" ref="I14:L29" totalsRowShown="0" headerRowDxfId="406" dataDxfId="405" tableBorderDxfId="404" headerRowCellStyle="Hyperlink">
  <autoFilter ref="I14:L29" xr:uid="{2F711FC9-0E48-4320-AEA9-E2E2862A61E6}">
    <filterColumn colId="0" hiddenButton="1"/>
    <filterColumn colId="1" hiddenButton="1"/>
    <filterColumn colId="2" hiddenButton="1"/>
    <filterColumn colId="3" hiddenButton="1"/>
  </autoFilter>
  <tableColumns count="4">
    <tableColumn id="1" xr3:uid="{DC19A761-8741-4AB7-9BD1-B2133AA3805B}" name="Item" dataDxfId="403"/>
    <tableColumn id="2" xr3:uid="{F4EB2DB8-379F-422F-B037-3B443965A971}" name="Co #'s" dataDxfId="402"/>
    <tableColumn id="3" xr3:uid="{A2079973-E6ED-4BF0-9CCB-066EACA70867}" name="Bn #'s" dataDxfId="401"/>
    <tableColumn id="4" xr3:uid="{BB62DDFD-0BD2-4B72-8851-764228848718}" name="Completion" dataDxfId="400">
      <calculatedColumnFormula>IF(K15,1-(J15/K15),"")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4DBD382-CA12-4C50-94EB-513A519B0735}" name="PMEMatrix" displayName="PMEMatrix" ref="B55:F71" totalsRowShown="0" tableBorderDxfId="399">
  <autoFilter ref="B55:F71" xr:uid="{44DBD382-CA12-4C50-94EB-513A519B073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3D734B7-F6FB-4FBA-A83D-DD9B9FF93D5A}" name="Grade" dataDxfId="398"/>
    <tableColumn id="2" xr3:uid="{48F65EAC-4424-4A48-8367-E942E49F673F}" name="Dist" dataDxfId="397"/>
    <tableColumn id="3" xr3:uid="{BA319C1B-66FD-451C-B6EF-60C4E4222C00}" name="Res" dataDxfId="396"/>
    <tableColumn id="4" xr3:uid="{E25666F2-A3FC-4D72-826D-6122844EBEBC}" name="Dist Months" dataDxfId="395"/>
    <tableColumn id="5" xr3:uid="{A4338D70-3879-490A-B75C-AA1395CC18BE}" name="Res Months" dataDxfId="394"/>
  </tableColumns>
  <tableStyleInfo name="TableStyleLight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803D6D7D-A48A-4FE2-B9BD-52C77E4169A6}" name="UnitTableConv" displayName="UnitTableConv" ref="E75:F82" totalsRowShown="0" headerRowDxfId="393" dataDxfId="391" headerRowBorderDxfId="392" tableBorderDxfId="390" totalsRowBorderDxfId="389">
  <autoFilter ref="E75:F82" xr:uid="{803D6D7D-A48A-4FE2-B9BD-52C77E4169A6}"/>
  <sortState xmlns:xlrd2="http://schemas.microsoft.com/office/spreadsheetml/2017/richdata2" ref="E76:F81">
    <sortCondition ref="E75:E81"/>
  </sortState>
  <tableColumns count="2">
    <tableColumn id="1" xr3:uid="{9BEEF344-7C03-4891-A581-CADBA33B4F66}" name="Unit Code" dataDxfId="388"/>
    <tableColumn id="2" xr3:uid="{3FA08C72-8599-4550-B25D-CA7F28ABE278}" name="Platoon" dataDxfId="387"/>
  </tableColumns>
  <tableStyleInfo name="TableStyleLight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D7393990-E75D-4DBE-BB2A-661DC7B887C3}" name="ColumnTable" displayName="ColumnTable" ref="E87:F93" totalsRowCount="1" headerRowDxfId="386" dataDxfId="385" totalsRowDxfId="384">
  <autoFilter ref="E87:F92" xr:uid="{D7393990-E75D-4DBE-BB2A-661DC7B887C3}"/>
  <tableColumns count="2">
    <tableColumn id="1" xr3:uid="{AAF247E8-3BD1-4DEE-A07C-F260FFD2F792}" name="Table" totalsRowLabel="Col/person" dataDxfId="383" totalsRowDxfId="382"/>
    <tableColumn id="2" xr3:uid="{9D02A5DB-1913-4918-B2FF-A74592C55150}" name="Attributes" totalsRowFunction="sum" dataDxfId="381" totalsRowDxfId="380"/>
  </tableColumns>
  <tableStyleInfo name="TableStyleMedium1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9E88F7D7-B107-4D10-AB27-E5DD03B949A9}" name="CSPERSTAT" displayName="CSPERSTAT" ref="A4:K5" totalsRowShown="0" headerRowDxfId="376" headerRowBorderDxfId="375" tableBorderDxfId="374" totalsRowBorderDxfId="373">
  <autoFilter ref="A4:K5" xr:uid="{9E88F7D7-B107-4D10-AB27-E5DD03B949A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FDE70DBF-B37C-45BD-B03E-D20705B7CDEE}" name="Deployable​" dataDxfId="372">
      <calculatedColumnFormula>PERSTAT!D15</calculatedColumnFormula>
    </tableColumn>
    <tableColumn id="2" xr3:uid="{5DC100BB-B828-4D51-9EB9-06F142D66436}" name="TAD - &lt; 30 days​" dataDxfId="371">
      <calculatedColumnFormula>COUNTIFS(MOLTable[Duty Status],"TAD(30 days or less)")+COUNTIFS(MOLTable[Duty Status],"TAD(Permissive)")</calculatedColumnFormula>
    </tableColumn>
    <tableColumn id="3" xr3:uid="{B21953EA-F928-4ED7-B695-E17230C71651}" name="TAD - &gt; 31 days​" dataDxfId="370">
      <calculatedColumnFormula>COUNTIFS(MOLTable[Duty Status],"TAD(31 days or more)")</calculatedColumnFormula>
    </tableColumn>
    <tableColumn id="4" xr3:uid="{61FB320B-6D05-47F8-8089-AC6DB38DD397}" name="Deployed​" dataDxfId="369"/>
    <tableColumn id="5" xr3:uid="{6ED73895-64AA-4546-9EB1-637D614CEAD2}" name="FAP/CAP​" dataDxfId="368"/>
    <tableColumn id="6" xr3:uid="{D57DEE5D-615A-4D6C-89D3-56235B84C719}" name="HHQ Augment​" dataDxfId="367"/>
    <tableColumn id="7" xr3:uid="{D32A7EAD-2214-4D71-9180-5651C578A5B2}" name="LIMDU​" dataDxfId="366">
      <calculatedColumnFormula>COUNTIFS(DutyStatusTable[Duty Status],"LIMDU")</calculatedColumnFormula>
    </tableColumn>
    <tableColumn id="8" xr3:uid="{DA003C57-2346-4894-840B-9487976F820D}" name="Legal – ADSEP​" dataDxfId="365">
      <calculatedColumnFormula>PERSTAT!D6</calculatedColumnFormula>
    </tableColumn>
    <tableColumn id="9" xr3:uid="{236C3111-3EFE-4334-BCFE-C113795C1B01}" name="Terminal Leave​" dataDxfId="364">
      <calculatedColumnFormula>SUM(PERSTAT!B59:B71)</calculatedColumnFormula>
    </tableColumn>
    <tableColumn id="10" xr3:uid="{488696B5-3527-40F0-A546-841EE8D92AE2}" name="Skillbridge​" dataDxfId="363">
      <calculatedColumnFormula>COUNTIF(SkillbridgeTable[On Now],"Yes")</calculatedColumnFormula>
    </tableColumn>
    <tableColumn id="11" xr3:uid="{BA1FCE33-7956-4AEF-B04C-93B2C777E39C}" name="Parental Leave​" dataDxfId="362">
      <calculatedColumnFormula>COUNTIF(CareGiverTable[On Now],"Yes")</calculatedColumnFormula>
    </tableColumn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371958FE-8FAB-4C19-B84C-ED80F1C40372}" name="CSIndReadiness" displayName="CSIndReadiness" ref="M4:T5" totalsRowShown="0" headerRowDxfId="361" dataDxfId="359" headerRowBorderDxfId="360" tableBorderDxfId="358" totalsRowBorderDxfId="357">
  <autoFilter ref="M4:T5" xr:uid="{371958FE-8FAB-4C19-B84C-ED80F1C4037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A1EDBC0-30B0-44B3-8E28-1981F5D94F38}" name="JEPES Delinquent​" dataDxfId="356"/>
    <tableColumn id="2" xr3:uid="{0FA9E0EA-4A33-470C-B482-E1D06F25DA0A}" name="GTCC Delinquent ​" dataDxfId="355"/>
    <tableColumn id="3" xr3:uid="{16D431A8-91A4-4297-98F9-3D46FD37E333}" name="GTCC Cardholders​" dataDxfId="354">
      <calculatedColumnFormula>COUNTIFS(WholeMarineTrainingTable[GTCC],"Yes")</calculatedColumnFormula>
    </tableColumn>
    <tableColumn id="4" xr3:uid="{1EDC5D2B-BFEB-4AFF-A20A-C6F28B6ED83D}" name="SOES​" dataDxfId="353"/>
    <tableColumn id="5" xr3:uid="{249B0F49-EDBC-4598-A000-EB9FB9E54C80}" name="RED (90 days)​" dataDxfId="352"/>
    <tableColumn id="6" xr3:uid="{E9CE3288-91AB-4377-8A21-9CF4FE977180}" name="FCP (180 days)​" dataDxfId="351"/>
    <tableColumn id="7" xr3:uid="{F209B8CA-EA65-47CA-B345-568045B923EF}" name="BCP​" dataDxfId="350"/>
    <tableColumn id="8" xr3:uid="{3CFE910D-2EDC-40B3-AA3A-FB5F2EFD4016}" name="Interviews – Overdue​" dataDxfId="349"/>
  </tableColumns>
  <tableStyleInfo name="TableStyleMedium2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ADA4220D-13B7-44A2-9605-44D445E7F227}" name="CSMedical" displayName="CSMedical" ref="V4:AB5" totalsRowShown="0" headerRowDxfId="348" dataDxfId="346" headerRowBorderDxfId="347" tableBorderDxfId="345" totalsRowBorderDxfId="344">
  <autoFilter ref="V4:AB5" xr:uid="{ADA4220D-13B7-44A2-9605-44D445E7F2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474657AE-79E0-4E17-843E-7255747863BA}" name="Medical​" dataDxfId="343">
      <calculatedColumnFormula>Summaries!S23</calculatedColumnFormula>
    </tableColumn>
    <tableColumn id="2" xr3:uid="{EB8BCD33-D122-4FF2-BD82-3D689C8739CE}" name="Dental​" dataDxfId="342">
      <calculatedColumnFormula>Summaries!L20</calculatedColumnFormula>
    </tableColumn>
    <tableColumn id="3" xr3:uid="{D2A31E8E-1B58-4D21-A4BB-4E711B32D5E3}" name="Dental Class 3​" dataDxfId="341"/>
    <tableColumn id="4" xr3:uid="{40A9CF2D-1872-46BB-B8CB-DC7503CB3B6D}" name="Dental Class 4​" dataDxfId="340"/>
    <tableColumn id="5" xr3:uid="{42B3430C-08C7-45A7-A5C2-843F8EF675D0}" name="Overdue PHA​" dataDxfId="339">
      <calculatedColumnFormula>COUNTIFS(HitlistTable[PHA],"X")</calculatedColumnFormula>
    </tableColumn>
    <tableColumn id="6" xr3:uid="{346F2CDB-05E2-4943-8A40-D25484B98B26}" name="Overdue PDHRA​" dataDxfId="338">
      <calculatedColumnFormula>COUNTIFS(HitlistTable[PDHRA],"X")</calculatedColumnFormula>
    </tableColumn>
    <tableColumn id="7" xr3:uid="{49560F2D-32B2-45B4-9CD1-52B423B295E4}" name="Overdue Audio​" dataDxfId="337">
      <calculatedColumnFormula>COUNTIFS(HitlistTable[Audio],"X")</calculatedColumnFormula>
    </tableColumn>
  </tableColumns>
  <tableStyleInfo name="TableStyleMedium2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6D11C96-2C2B-4899-AE42-12A0726D7F8D}" name="CSCYTraining" displayName="CSCYTraining" ref="A9:N10" totalsRowShown="0" headerRowDxfId="336" headerRowBorderDxfId="335" tableBorderDxfId="334">
  <autoFilter ref="A9:N10" xr:uid="{06D11C96-2C2B-4899-AE42-12A0726D7F8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CA7A0A96-5CE3-4AC0-8AE2-6C652BA982E8}" name="PFT​" dataDxfId="333"/>
    <tableColumn id="2" xr3:uid="{D3686C86-1323-400F-AFEB-DB367E46C599}" name="CFT​" dataDxfId="332"/>
    <tableColumn id="3" xr3:uid="{8FA3B30B-EF3D-4547-A2A8-A30D4A23C0E6}" name="HT-WT​" dataDxfId="331"/>
    <tableColumn id="4" xr3:uid="{4CB46F58-381A-4D33-93EE-ECD111550C6B}" name="MCWST​" dataDxfId="330"/>
    <tableColumn id="5" xr3:uid="{3B63DD38-0079-4F99-BAC2-C2EC349DABB5}" name="CIAR​" dataDxfId="329"/>
    <tableColumn id="6" xr3:uid="{9AD601F9-2A21-4C43-812B-4B89A8446501}" name="Level 1 AT​" dataDxfId="328"/>
    <tableColumn id="7" xr3:uid="{58D5BA78-4A3D-4D8F-8491-ACB698B54159}" name="PAC​" dataDxfId="327"/>
    <tableColumn id="8" xr3:uid="{D41B0C34-3C8E-4F08-B719-29F01852AF7B}" name="Risk Mgmt​" dataDxfId="326"/>
    <tableColumn id="9" xr3:uid="{F9E704F6-2795-41CA-9348-1B707FD92FA6}" name="UMAPIT​" dataDxfId="325"/>
    <tableColumn id="10" xr3:uid="{D9A1F211-8155-4DDC-BC9E-80C471A9B452}" name="OPSEC​" dataDxfId="324"/>
    <tableColumn id="11" xr3:uid="{A50650BE-0C23-425D-8D81-671F97F074B4}" name="TCCC – ASM​" dataDxfId="323"/>
    <tableColumn id="12" xr3:uid="{CFA9D0B4-5F8F-42E3-ADE3-C54549F8207F}" name="Sup Safety​" dataDxfId="322"/>
    <tableColumn id="13" xr3:uid="{C85707EA-0A74-4D51-98A3-FAA6F6B7AAF5}" name="Sup Sub Misuse​" dataDxfId="321"/>
    <tableColumn id="14" xr3:uid="{CBF5FC0E-863F-4E6F-9AAA-A0FC92C25144}" name="Driver Aware​" dataDxfId="320"/>
  </tableColumns>
  <tableStyleInfo name="TableStyleMedium2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6592E1D4-4FC1-4FFF-BFCB-DCAE05D2451C}" name="CSFYTraining" displayName="CSFYTraining" ref="P9:X10" totalsRowShown="0" headerRowDxfId="319" dataDxfId="317" headerRowBorderDxfId="318" tableBorderDxfId="316" totalsRowBorderDxfId="315">
  <autoFilter ref="P9:X10" xr:uid="{6592E1D4-4FC1-4FFF-BFCB-DCAE05D2451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F1A1D9DF-ACA7-4197-AF08-902612892932}" name="ARQ​" dataDxfId="314"/>
    <tableColumn id="2" xr3:uid="{A407400E-FF96-4DD2-A0F0-ED6EC7F1071E}" name="CPP​" dataDxfId="313"/>
    <tableColumn id="3" xr3:uid="{A1EED35A-71F5-4DCC-86EE-FDEBA6E1BD09}" name="CBRN ITS" dataDxfId="312"/>
    <tableColumn id="4" xr3:uid="{D9F3B96C-D747-40EB-8181-B7F1F20C58D1}" name="Cyber/PII​" dataDxfId="311"/>
    <tableColumn id="5" xr3:uid="{2679477A-2099-4B59-8E25-B0F21BD1E724}" name="Records Mgmt​" dataDxfId="310"/>
    <tableColumn id="6" xr3:uid="{A6217E0B-5E50-40B9-8D4C-DD9CB00838AA}" name="SAPR – O​" dataDxfId="309"/>
    <tableColumn id="7" xr3:uid="{9B073241-C643-4950-82A5-4404F99E5BC5}" name="SAPR – SNCO​" dataDxfId="308"/>
    <tableColumn id="8" xr3:uid="{E535F8E4-98AF-4BD9-9F2A-E6C5CEACC8CC}" name="Take a Stand​" dataDxfId="307"/>
    <tableColumn id="9" xr3:uid="{5EBDEC36-E3D1-4F58-8CFC-C59F57A9A940}" name="Step Up​" dataDxfId="306"/>
  </tableColumns>
  <tableStyleInfo name="TableStyleMedium2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EC1355CC-D1C5-40EC-857E-2DC33079F7C8}" name="CSPME" displayName="CSPME" ref="A14:G15" totalsRowShown="0" headerRowDxfId="305" dataDxfId="303" headerRowBorderDxfId="304" tableBorderDxfId="302" totalsRowBorderDxfId="301">
  <autoFilter ref="A14:G15" xr:uid="{EC1355CC-D1C5-40EC-857E-2DC33079F7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1943EE7-B1A8-4E15-9513-D0395F298E90}" name="LCpl Seminar" dataDxfId="300">
      <calculatedColumnFormula>Summaries!O5</calculatedColumnFormula>
    </tableColumn>
    <tableColumn id="2" xr3:uid="{89E16A18-14B7-469C-BF98-5F3C3753F352}" name="Cpl Course​" dataDxfId="299">
      <calculatedColumnFormula>Summaries!O6</calculatedColumnFormula>
    </tableColumn>
    <tableColumn id="3" xr3:uid="{C2361DD2-7863-4815-9783-B564AC211FB3}" name="Sgt Course​" dataDxfId="298">
      <calculatedColumnFormula>Summaries!O7</calculatedColumnFormula>
    </tableColumn>
    <tableColumn id="4" xr3:uid="{FF600617-BB3E-4288-9F39-B781087C8834}" name="Career Course​" dataDxfId="297">
      <calculatedColumnFormula>Summaries!O8</calculatedColumnFormula>
    </tableColumn>
    <tableColumn id="5" xr3:uid="{1DF188D2-02FD-47B7-A8E1-D41E8F405F9A}" name="Advanced Course​" dataDxfId="296">
      <calculatedColumnFormula>Summaries!O9</calculatedColumnFormula>
    </tableColumn>
    <tableColumn id="6" xr3:uid="{F52D0C91-9ADA-45E2-86F0-D31AA92B6735}" name="1stSgt/MSgt Seminar​" dataDxfId="295">
      <calculatedColumnFormula>Summaries!O10</calculatedColumnFormula>
    </tableColumn>
    <tableColumn id="7" xr3:uid="{991810A5-4358-4471-B987-694779803795}" name="1stSgt Course​" dataDxfId="294"/>
  </tableColumns>
  <tableStyleInfo name="TableStyleMedium2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3ED69C89-8244-40FE-B9A7-388390A181A4}" name="CSSANS" displayName="CSSANS" ref="I14:P15" totalsRowShown="0" headerRowDxfId="293" headerRowBorderDxfId="292" tableBorderDxfId="291" totalsRowBorderDxfId="290">
  <autoFilter ref="I14:P15" xr:uid="{3ED69C89-8244-40FE-B9A7-388390A181A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8A5ACAF-D3D0-429F-A3EB-F19731FFF6E1}" name="% Slides Cmpl" dataDxfId="289"/>
    <tableColumn id="2" xr3:uid="{06DF01A3-A4F7-4A58-8D22-856477CAF747}" name="% Quizzes Cmpl" dataDxfId="288"/>
    <tableColumn id="3" xr3:uid="{C102B999-95E8-4076-8A1D-8BBEFD00CA20}" name="% Certs Cmpl" dataDxfId="287"/>
    <tableColumn id="4" xr3:uid="{50EC70A2-0DCC-4401-868B-F9B38CF905EF}" name="Certs Active" dataDxfId="286"/>
    <tableColumn id="5" xr3:uid="{8230DD99-993A-465A-910B-F0CE0B999900}" name="Certs Failed"/>
    <tableColumn id="6" xr3:uid="{0D0AC8D6-CF52-4814-BF08-310A26356A3F}" name="Certs Remaining"/>
    <tableColumn id="7" xr3:uid="{B624EC4D-9291-4481-85D8-83492AFC6C5D}" name="Certs Allotted"/>
    <tableColumn id="8" xr3:uid="{1C335E8C-4CE7-4159-9CF0-6F9CD2504516}" name="Avg Days Remaining"/>
  </tableColumns>
  <tableStyleInfo name="TableStyleMedium25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E147BF2A-4646-43F6-AE28-AEA90DF5AF5F}" name="Table64" displayName="Table64" ref="A21:K24" totalsRowShown="0" headerRowDxfId="285" dataDxfId="284" tableBorderDxfId="283">
  <autoFilter ref="A21:K24" xr:uid="{E147BF2A-4646-43F6-AE28-AEA90DF5AF5F}"/>
  <tableColumns count="11">
    <tableColumn id="1" xr3:uid="{91376C75-6068-4ACF-AA9F-5DFCCB54A1A7}" name="COMPANY" dataDxfId="282"/>
    <tableColumn id="2" xr3:uid="{5F8C67C3-7F13-4BC7-817D-E8888729CF1F}" name="Account Name" dataDxfId="281"/>
    <tableColumn id="3" xr3:uid="{29EF70F5-CA6C-4DE7-AD32-78D145692109}" name="Account Status" dataDxfId="280"/>
    <tableColumn id="4" xr3:uid="{03832786-2622-495F-BAC8-CA2E0AA5C54D}" name="Current Balance" dataDxfId="279"/>
    <tableColumn id="5" xr3:uid="{4269B8EA-2FF2-4760-AD98-E2E140F61F41}" name="30 Day Past Due" dataDxfId="278"/>
    <tableColumn id="6" xr3:uid="{6F917D6E-8360-4545-B21A-004E14CAAF77}" name="60 Day Past Due" dataDxfId="277"/>
    <tableColumn id="7" xr3:uid="{35C20225-4AF1-461D-9FFC-A663F05173BD}" name="90 Day Past Due" dataDxfId="276"/>
    <tableColumn id="8" xr3:uid="{6BAA711F-9526-4FCA-A33B-94711659DC88}" name="120+ Day Past Due" dataDxfId="275"/>
    <tableColumn id="9" xr3:uid="{9A3D4CCF-4C17-49A2-8FB2-4E5C78157D41}" name="Total Past Due" dataDxfId="274"/>
    <tableColumn id="10" xr3:uid="{2A5F3A2D-1322-4EF6-A6D7-5C2839BBE5D7}" name="REASON" dataDxfId="273"/>
    <tableColumn id="11" xr3:uid="{A47B1B07-1502-4328-9ED3-B35AD1989A51}" name="DCO Comments" dataDxfId="272"/>
  </tableColumns>
  <tableStyleInfo name="TableStyleMedium1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CD7304F1-7043-493E-978A-626F748671C8}" name="AwardTable" displayName="AwardTable" ref="A2:N9" totalsRowShown="0">
  <autoFilter ref="A2:N9" xr:uid="{CD7304F1-7043-493E-978A-626F748671C8}"/>
  <sortState xmlns:xlrd2="http://schemas.microsoft.com/office/spreadsheetml/2017/richdata2" ref="A3:N9">
    <sortCondition ref="B2:B9"/>
  </sortState>
  <tableColumns count="14">
    <tableColumn id="1" xr3:uid="{0EEAAFB9-24CB-48C6-BF1D-A85DB9D7187D}" name="RANK"/>
    <tableColumn id="2" xr3:uid="{06DF50AF-4493-4FF5-8050-51D709B0A2EA}" name="NOMINEE"/>
    <tableColumn id="3" xr3:uid="{AE82E325-0B77-4D6A-8089-873C7A8EB359}" name="COMP"/>
    <tableColumn id="4" xr3:uid="{41D61F3B-96E0-4E0A-A4C8-6334F5EB525E}" name="AWD"/>
    <tableColumn id="5" xr3:uid="{48A2E7B0-13AF-4EFC-ACC3-47EE04F566B0}" name="STATUS"/>
    <tableColumn id="6" xr3:uid="{81996390-3106-4D30-BD87-0C9A6F62CA66}" name="FOR ACTION"/>
    <tableColumn id="7" xr3:uid="{ED05E95D-3563-456B-B995-AE56C3FEF22A}" name="ORIG UNIT"/>
    <tableColumn id="8" xr3:uid="{67E7BF58-865E-4616-A916-845C596E3896}" name="LAST ACTION" dataDxfId="263"/>
    <tableColumn id="9" xr3:uid="{FA9CCADF-2BAA-4D99-A9E9-9FF4CA7F9A13}" name="ESTIMATED DATE OF PRESENTATION" dataDxfId="262"/>
    <tableColumn id="10" xr3:uid="{9CFE2C17-042C-4E7C-9925-CF0DCA9729BC}" name="FROM DATE" dataDxfId="261"/>
    <tableColumn id="11" xr3:uid="{0595C6B2-067E-4E10-B770-DE66DBE3B9D3}" name="TO DATE" dataDxfId="260"/>
    <tableColumn id="12" xr3:uid="{E73EF9AA-67FD-4D51-A016-C8A630EDEE70}" name="Date Need by"/>
    <tableColumn id="14" xr3:uid="{D84CFC54-A2E5-4009-8A7F-68EA1A03ACAA}" name="Occasion"/>
    <tableColumn id="13" xr3:uid="{09B2A632-CCB6-4124-A6BD-CC8161BEE3DC}" name="Comment" dataDxfId="259"/>
  </tableColumns>
  <tableStyleInfo name="TableStyleMedium1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7281A96-DF85-4988-A945-DFB311B5D65E}" name="InboundRoster" displayName="InboundRoster" ref="A1:L9" totalsRowShown="0">
  <autoFilter ref="A1:L9" xr:uid="{A7281A96-DF85-4988-A945-DFB311B5D65E}"/>
  <sortState xmlns:xlrd2="http://schemas.microsoft.com/office/spreadsheetml/2017/richdata2" ref="A2:I9">
    <sortCondition ref="D1:D9"/>
  </sortState>
  <tableColumns count="12">
    <tableColumn id="1" xr3:uid="{7E3022AF-64C4-48BA-8165-75EF29B075B1}" name="Rank"/>
    <tableColumn id="2" xr3:uid="{31AF8CF3-85C0-4F84-96F5-94714897D467}" name="Name"/>
    <tableColumn id="3" xr3:uid="{5729C18E-067E-48A8-B981-BAF39B4B85AF}" name="Present Unit" dataDxfId="255"/>
    <tableColumn id="4" xr3:uid="{802929A6-BCEA-477B-BD71-7A6AACEFC296}" name="Estimated Arrival" dataDxfId="254"/>
    <tableColumn id="5" xr3:uid="{D9C83FF5-1D95-4D52-8849-B59CAE43CD2E}" name="Primary MOS" dataDxfId="253"/>
    <tableColumn id="9" xr3:uid="{F8D63460-8503-460A-B897-A6E6CD23BB03}" name="Section"/>
    <tableColumn id="10" xr3:uid="{D6E4EFE1-8348-42A7-8C67-6579E3A15F18}" name="Sponsor"/>
    <tableColumn id="6" xr3:uid="{A9766364-AF2D-4699-82A5-9D782F8CDBE8}" name="Inbound Contact" dataDxfId="252"/>
    <tableColumn id="7" xr3:uid="{D7132BD5-6C9A-4C89-919C-077C5FE223D6}" name="Checked In?"/>
    <tableColumn id="8" xr3:uid="{27524F45-F56D-46D0-AEC7-F050E40F3EAF}" name="Checkin">
      <calculatedColumnFormula>IF(COUNTIF(InboundRoster[[#This Row],[Rank]],"*LT*")=1,InboundRoster[[#This Row],[Estimated Arrival]]+$P$2,IF(COUNTIF(InboundRoster[[#This Row],[Rank]],"*GY*")=1,InboundRoster[[#This Row],[Estimated Arrival]]+$P$2,""))</calculatedColumnFormula>
    </tableColumn>
    <tableColumn id="11" xr3:uid="{96850F5B-0947-471B-A6B9-913FADD20C8A}" name="PTAD" dataDxfId="251">
      <calculatedColumnFormula>IF(COUNTIF(InboundRoster[[#This Row],[Rank]],"*LT*")=1,InboundRoster[[#This Row],[Checkin]]+$P$3,IF(COUNTIF(InboundRoster[[#This Row],[Rank]],"*GY*")=1,InboundRoster[[#This Row],[Checkin]]+$P$3,""))</calculatedColumnFormula>
    </tableColumn>
    <tableColumn id="12" xr3:uid="{669082A5-FE03-41B1-8C25-ED3D289DC3A4}" name="Turnover">
      <calculatedColumnFormula>IF(COUNTIF(InboundRoster[[#This Row],[Rank]],"*LT*")=1,InboundRoster[[#This Row],[PTAD]]+$P$4,IF(COUNTIF(InboundRoster[[#This Row],[Rank]],"*GY*")=1,InboundRoster[[#This Row],[PTAD]]+$P$4,""))</calculatedColumnFormula>
    </tableColumn>
  </tableColumns>
  <tableStyleInfo name="TableStyleMedium1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1134E52-48E7-46B4-AB72-078196490E18}" name="OutboundRoster" displayName="OutboundRoster" ref="A1:M9" totalsRowShown="0">
  <autoFilter ref="A1:M9" xr:uid="{E1134E52-48E7-46B4-AB72-078196490E18}"/>
  <sortState xmlns:xlrd2="http://schemas.microsoft.com/office/spreadsheetml/2017/richdata2" ref="A2:M9">
    <sortCondition ref="F1:F9"/>
  </sortState>
  <tableColumns count="13">
    <tableColumn id="1" xr3:uid="{8A56DC0D-B9DA-4050-87DF-E89E5C647BA5}" name="Name"/>
    <tableColumn id="2" xr3:uid="{45647C94-C489-4475-A440-5C4D7CFE2AE5}" name="Rank"/>
    <tableColumn id="3" xr3:uid="{A4D56A35-6D79-430E-9D47-D3812A64C07E}" name="Unit Cd" dataDxfId="250"/>
    <tableColumn id="4" xr3:uid="{385BD613-FA04-4BFA-A715-ED54EB31B237}" name="Co-Plt-WS" dataDxfId="249"/>
    <tableColumn id="5" xr3:uid="{6AB858BF-F74D-4C2E-B7F1-DBEDF7A1E53E}" name="Future MCC" dataDxfId="248"/>
    <tableColumn id="6" xr3:uid="{53E17060-FBDE-4467-8404-077176D1CB32}" name="Est Dep Date" dataDxfId="247"/>
    <tableColumn id="7" xr3:uid="{A29AF817-4629-4BC9-B2E9-1FABA0909349}" name="PMOS" dataDxfId="246"/>
    <tableColumn id="8" xr3:uid="{12B55AC2-BF4B-43CA-B364-DD4F184EB1E5}" name="PMOS Description"/>
    <tableColumn id="9" xr3:uid="{3EFD52B9-9658-4132-9E3F-6ADF23DECB77}" name="Section">
      <calculatedColumnFormula>_xlfn.XLOOKUP(OutboundRoster[[#This Row],[Name]],RecallTable[NAME],RecallTable[SECTION], "Error")</calculatedColumnFormula>
    </tableColumn>
    <tableColumn id="12" xr3:uid="{D3587369-0306-4555-A919-5ADD8C136536}" name="Interview" dataDxfId="245"/>
    <tableColumn id="10" xr3:uid="{6675DBF6-F291-4AF0-B9DA-12464A2B7732}" name="Award" dataDxfId="244"/>
    <tableColumn id="11" xr3:uid="{9CBD7E23-C651-4D77-A799-FFE1F10A02A0}" name="Gift" dataDxfId="243"/>
    <tableColumn id="13" xr3:uid="{B3C2A5DD-128D-49A4-8AD6-5D8972AC8CC2}" name="FitRep/JEPES" dataDxfId="242"/>
  </tableColumns>
  <tableStyleInfo name="TableStyleMedium1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7B9EE1E8-1B11-4840-9A66-B43F325CC88E}" name="MedApptTable" displayName="MedApptTable" ref="A2:K12" totalsRowShown="0">
  <autoFilter ref="A2:K12" xr:uid="{7B9EE1E8-1B11-4840-9A66-B43F325CC88E}"/>
  <sortState xmlns:xlrd2="http://schemas.microsoft.com/office/spreadsheetml/2017/richdata2" ref="A3:I3">
    <sortCondition ref="D2:D3"/>
  </sortState>
  <tableColumns count="11">
    <tableColumn id="5" xr3:uid="{4062DD55-A9E8-4C62-833E-917E220F3E6E}" name="EDIPI" dataDxfId="240">
      <calculatedColumnFormula>_xlfn.XLOOKUP(RecallTable[[#This Row],[NAME]],MOLTable[Name],MOLTable[EDIPI])</calculatedColumnFormula>
    </tableColumn>
    <tableColumn id="1" xr3:uid="{02142CA8-B965-4F6C-ABAF-5D74706FD551}" name="PATIENT_NAME"/>
    <tableColumn id="6" xr3:uid="{970F55A9-D3CC-48E6-8FFC-CB646FF05EAE}" name="Phone"/>
    <tableColumn id="2" xr3:uid="{07128740-D731-4735-9945-4E9AFF90E6A5}" name="APPOINTMENT_DATE" dataDxfId="239"/>
    <tableColumn id="3" xr3:uid="{640033E9-BBD7-42F2-BADB-6F3A8790888A}" name="APPOINTMENT_TIME" dataDxfId="238"/>
    <tableColumn id="4" xr3:uid="{CCF5214B-C196-40B8-A0E6-921033A8CDBE}" name="APPOINTMENT_STATE"/>
    <tableColumn id="11" xr3:uid="{7EC7A218-25AF-4FAC-8522-5C4C6AB25B1A}" name="Company" dataDxfId="237">
      <calculatedColumnFormula>IF(COUNTIF(RecallTable[EDIPI],MedApptTable[[#This Row],[EDIPI]]),"DCO","")</calculatedColumnFormula>
    </tableColumn>
    <tableColumn id="12" xr3:uid="{C4CA10CC-DD98-48C2-9F87-5CF47645F8B2}" name="Do they know?"/>
    <tableColumn id="13" xr3:uid="{E5758B82-FCAE-47F0-AEF4-EB64A340A760}" name="Did they miss it?"/>
    <tableColumn id="7" xr3:uid="{7FEF0682-BA0B-40AE-A8DA-00DE05A48C2C}" name="Informed Bn?"/>
    <tableColumn id="8" xr3:uid="{E2088B3E-2204-4388-8B9D-13DC2B79DB3A}" name="Reason"/>
  </tableColumns>
  <tableStyleInfo name="TableStyleMedium1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F14A3BC-ED6A-49C8-831C-77E29999349B}" name="Perstat" displayName="Perstat" ref="A2:E15" totalsRowShown="0" headerRowDxfId="233" dataDxfId="231" headerRowBorderDxfId="232" tableBorderDxfId="230" totalsRowBorderDxfId="229">
  <autoFilter ref="A2:E15" xr:uid="{BF14A3BC-ED6A-49C8-831C-77E29999349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BF3E37-65E1-4C07-B987-41668B3ABCAD}" name="Category" dataDxfId="228"/>
    <tableColumn id="2" xr3:uid="{A560DBFB-6956-4227-946E-0773B6FD6560}" name="MO" dataDxfId="227">
      <calculatedColumnFormula>(B56)</calculatedColumnFormula>
    </tableColumn>
    <tableColumn id="3" xr3:uid="{E03FE64D-61B5-4898-B04C-198D516AB2DF}" name="ME" dataDxfId="226">
      <calculatedColumnFormula>(B48)</calculatedColumnFormula>
    </tableColumn>
    <tableColumn id="4" xr3:uid="{46CCDB88-3420-4DC9-98C7-1F6A6BE287D0}" name="TOTAL" dataDxfId="225">
      <calculatedColumnFormula>SUM(Perstat[[#This Row],[MO]:[ME]])</calculatedColumnFormula>
    </tableColumn>
    <tableColumn id="5" xr3:uid="{29FAF435-CE3A-44B1-B513-902C70B6ADE5}" name="Percent" dataDxfId="224">
      <calculatedColumnFormula>(Perstat[[#This Row],[TOTAL]]/D2)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8E3803D2-1A8A-4476-B730-04439BBEC02B}" name="MOSs" displayName="MOSs" ref="A18:E26" totalsRowShown="0" headerRowDxfId="223" dataDxfId="221" headerRowBorderDxfId="222" tableBorderDxfId="220" totalsRowBorderDxfId="219">
  <autoFilter ref="A18:E26" xr:uid="{8E3803D2-1A8A-4476-B730-04439BBEC02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91E6429-4834-4F1F-9E00-E6124596D4EA}" name="PMOS" dataDxfId="218"/>
    <tableColumn id="2" xr3:uid="{37598552-AF0F-457B-A3D2-59E2A5AC39B8}" name="O/H" dataDxfId="217">
      <calculatedColumnFormula>COUNTIFS(H:H,"1700",O:O,"On Hand")</calculatedColumnFormula>
    </tableColumn>
    <tableColumn id="3" xr3:uid="{FAC705D0-9738-452E-983D-9A12FBBFF124}" name="Detached/Deployed" dataDxfId="216">
      <calculatedColumnFormula>COUNTIFS(H:H,"1702",Q:Q,"MRF-E",Q:Q,"*MEU*")</calculatedColumnFormula>
    </tableColumn>
    <tableColumn id="4" xr3:uid="{1F3EAADD-74F6-4276-8778-8E66BC77FB7F}" name="Non-Deployable" dataDxfId="215"/>
    <tableColumn id="5" xr3:uid="{5C1271AD-FF51-4673-B576-3C629948CF9F}" name="Available" dataDxfId="214">
      <calculatedColumnFormula>(MOSs[[#This Row],[O/H]]-MOSs[[#This Row],[Detached/Deployed]]-MOSs[[#This Row],[Non-Deployable]])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43DFBAD-9C15-4B24-AB96-E4201A1D7A8D}" name="Numbaz" displayName="Numbaz" ref="A29:E34" totalsRowShown="0" headerRowDxfId="213" dataDxfId="211" headerRowBorderDxfId="212" tableBorderDxfId="210" totalsRowBorderDxfId="209">
  <autoFilter ref="A29:E34" xr:uid="{643DFBAD-9C15-4B24-AB96-E4201A1D7A8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3E4DC4C-F050-45E7-80A1-4D09B0897EFD}" name="Section" dataDxfId="208"/>
    <tableColumn id="2" xr3:uid="{BD1D446E-FFE3-43F1-9000-C357F1BC06D2}" name="Total OJT" dataDxfId="207">
      <calculatedColumnFormula>SUM(COUNTIFS(H:H,A19,N:N,"*1PLT*"),COUNTIFS(H:H,A20,N:N,"*1PLT*"),COUNTIFS(H:H,A21,N:N,"*1PLT*"),COUNTIFS(H:H,A22,N:N,"*1PLT*"))</calculatedColumnFormula>
    </tableColumn>
    <tableColumn id="3" xr3:uid="{30F136A3-3507-42D8-A849-6EF34E60C93C}" name="Total 1721" dataDxfId="206">
      <calculatedColumnFormula array="1">SUM(COUNTIFS(H:H,A20:A25,N:N,"*1PLT*"))</calculatedColumnFormula>
    </tableColumn>
    <tableColumn id="4" xr3:uid="{74B1C117-A4D0-441E-AEE6-9402B8B7ADE6}" name="Total SNCO" dataDxfId="205">
      <calculatedColumnFormula array="1">SUM(COUNTIFS(H:H,A17:A22,I:I,A40:A43,N:N,"*1PLT*"))</calculatedColumnFormula>
    </tableColumn>
    <tableColumn id="5" xr3:uid="{6912C280-8CED-448B-A6C8-B1FCC49BEAD6}" name="Column1" dataDxfId="204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B533F7A5-B2C7-4717-8B57-6D1EEFF338E1}" name="ViewReports" displayName="ViewReports" ref="U2:Z81" totalsRowShown="0" headerRowDxfId="203" dataDxfId="202" tableBorderDxfId="201">
  <autoFilter ref="U2:Z81" xr:uid="{B533F7A5-B2C7-4717-8B57-6D1EEFF338E1}"/>
  <sortState xmlns:xlrd2="http://schemas.microsoft.com/office/spreadsheetml/2017/richdata2" ref="U3:Z81">
    <sortCondition ref="V2:V81"/>
  </sortState>
  <tableColumns count="6">
    <tableColumn id="2" xr3:uid="{F27DC95B-F6EC-4202-94FB-C7E8116EDB89}" name="Rank" dataDxfId="200"/>
    <tableColumn id="3" xr3:uid="{934A9373-5409-4391-9895-5FAB53457831}" name="Name" dataDxfId="199"/>
    <tableColumn id="4" xr3:uid="{7233E2F9-2861-4F6A-B551-CB25335027CF}" name="MOS" dataDxfId="198"/>
    <tableColumn id="5" xr3:uid="{EF9AA05A-DBC0-40FF-828C-E9DFA5065EA9}" name="EAS" dataDxfId="197"/>
    <tableColumn id="6" xr3:uid="{0278C9D3-9994-4451-B78A-A116257A1C28}" name="Work Phone" dataDxfId="196"/>
    <tableColumn id="7" xr3:uid="{DAB5B107-461C-4D47-B29D-61A43DD8C4BC}" name="Unit" dataDxfId="195"/>
  </tableColumns>
  <tableStyleInfo name="TableStyleMedium8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70FA4C32-916E-4EA5-9477-16861C2C803B}" name="MOLTable" displayName="MOLTable" ref="H2:S81" totalsRowShown="0" headerRowDxfId="194" dataDxfId="193" tableBorderDxfId="192">
  <autoFilter ref="H2:S81" xr:uid="{70FA4C32-916E-4EA5-9477-16861C2C803B}"/>
  <sortState xmlns:xlrd2="http://schemas.microsoft.com/office/spreadsheetml/2017/richdata2" ref="H3:S81">
    <sortCondition ref="J2:J81"/>
  </sortState>
  <tableColumns count="12">
    <tableColumn id="1" xr3:uid="{EB5DCFD4-D770-4868-931C-43E595B1851F}" name="MOS" dataDxfId="191">
      <calculatedColumnFormula>_xlfn.XLOOKUP(MOLTable[[#This Row],[Name]],ViewReports[Name],ViewReports[MOS])</calculatedColumnFormula>
    </tableColumn>
    <tableColumn id="2" xr3:uid="{91EECCEB-A09D-4405-9E4C-63C69BC01E48}" name="Rank"/>
    <tableColumn id="3" xr3:uid="{79CF582C-0427-4D69-8A2E-49B82956ECD5}" name="Name"/>
    <tableColumn id="4" xr3:uid="{62E0F9BD-4CB9-452E-9F1C-02223B74E4E2}" name="EDIPI" dataDxfId="190"/>
    <tableColumn id="5" xr3:uid="{382F4FAE-83DC-4EF8-A01D-63D8AB17D83D}" name="Sex"/>
    <tableColumn id="6" xr3:uid="{9854A95C-0E65-4556-9B04-F61EC0123BF7}" name="EDD"/>
    <tableColumn id="7" xr3:uid="{9221990D-CFC7-4435-B6D2-58E9721B1672}" name="Unit"/>
    <tableColumn id="8" xr3:uid="{F24D50EB-B5F4-468D-AA57-A3059BD8261E}" name="Category"/>
    <tableColumn id="9" xr3:uid="{D39CB5A6-488C-4984-B7EC-5121842AF1D1}" name="Duty Status"/>
    <tableColumn id="10" xr3:uid="{D84249E8-3C05-47DF-A75C-FC04523C7193}" name="Location"/>
    <tableColumn id="11" xr3:uid="{BEED60D8-F79C-46F0-B129-FDD49263E0A1}" name="Start Date"/>
    <tableColumn id="12" xr3:uid="{D51ECDB6-6DD1-4050-AA5E-B5B2FDE52ECB}" name="End Date"/>
  </tableColumns>
  <tableStyleInfo name="TableStyleMedium1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4F59A7-B2F1-4C53-80B3-FC33D932636C}" name="DutyStatusTable" displayName="DutyStatusTable" ref="A2:H12" totalsRowShown="0" headerRowDxfId="183" dataDxfId="181" headerRowBorderDxfId="182" tableBorderDxfId="180">
  <autoFilter ref="A2:H12" xr:uid="{424F59A7-B2F1-4C53-80B3-FC33D932636C}"/>
  <sortState xmlns:xlrd2="http://schemas.microsoft.com/office/spreadsheetml/2017/richdata2" ref="B3:H4">
    <sortCondition ref="C2:C4"/>
  </sortState>
  <tableColumns count="8">
    <tableColumn id="9" xr3:uid="{41590356-C878-4CB3-A701-CC9F83323F7D}" name="Section" dataDxfId="179">
      <calculatedColumnFormula>_xlfn.XLOOKUP(DutyStatusTable[[#This Row],[Name]],RecallTable[NAME],RecallTable[SECTION])</calculatedColumnFormula>
    </tableColumn>
    <tableColumn id="1" xr3:uid="{310F1D1B-938C-4FF6-A3DF-57C7C5EDDC1F}" name="Rank" dataDxfId="178">
      <calculatedColumnFormula>_xlfn.XLOOKUP(DutyStatusTable[[#This Row],[Name]],RecallTable[NAME], RecallTable[GRADE])</calculatedColumnFormula>
    </tableColumn>
    <tableColumn id="2" xr3:uid="{59778310-A5C1-4C90-BC43-E038A56CDBAE}" name="Name" dataDxfId="177"/>
    <tableColumn id="4" xr3:uid="{0688D99F-2C27-4309-B455-66E6B37587AB}" name="Duty Status" dataDxfId="176"/>
    <tableColumn id="5" xr3:uid="{76A1A334-3D70-4472-BED2-93C541D46C7D}" name="Start Date" dataDxfId="175"/>
    <tableColumn id="6" xr3:uid="{26F47B18-84FB-4456-80E5-8A7D85E20512}" name="End Date" dataDxfId="174"/>
    <tableColumn id="7" xr3:uid="{83D66FF7-65A6-4A98-A405-93BEB07B873C}" name="Updated Chit" dataDxfId="173"/>
    <tableColumn id="8" xr3:uid="{60287664-F292-4BC7-B5F9-F5E4167E17A9}" name="Comments" dataDxfId="172"/>
  </tableColumns>
  <tableStyleInfo name="TableStyleMedium15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846E843A-9FDD-4A98-92E0-11CA342BF408}" name="CareGiverTable" displayName="CareGiverTable" ref="J2:N6" totalsRowShown="0" headerRowDxfId="171" dataDxfId="170">
  <autoFilter ref="J2:N6" xr:uid="{846E843A-9FDD-4A98-92E0-11CA342BF408}"/>
  <tableColumns count="5">
    <tableColumn id="1" xr3:uid="{FA373B3F-2CF0-4FC6-AC9F-17E734F84530}" name="Name" dataDxfId="169"/>
    <tableColumn id="2" xr3:uid="{48259BD3-9F6D-4CA7-BAF1-A7B71B656A28}" name="Section" dataDxfId="168">
      <calculatedColumnFormula>_xlfn.XLOOKUP(CareGiverTable[[#This Row],[Name]],RecallTable[NAME],RecallTable[SECTION])</calculatedColumnFormula>
    </tableColumn>
    <tableColumn id="3" xr3:uid="{991CA54E-0FFD-45B3-A83D-1A80A3B7799B}" name="On Now" dataDxfId="167"/>
    <tableColumn id="4" xr3:uid="{D90159D0-83A3-40F9-B1C3-8C5B17A64553}" name="End Date" dataDxfId="166"/>
    <tableColumn id="5" xr3:uid="{E29DE413-3BD1-461C-9268-BD0029FC181E}" name="Balance" dataDxfId="165"/>
  </tableColumns>
  <tableStyleInfo name="TableStyleMedium18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59F7AA8B-2921-42F6-AE2A-367968FBB76E}" name="SkillbridgeTable" displayName="SkillbridgeTable" ref="P2:V6" totalsRowShown="0">
  <autoFilter ref="P2:V6" xr:uid="{59F7AA8B-2921-42F6-AE2A-367968FBB76E}"/>
  <tableColumns count="7">
    <tableColumn id="1" xr3:uid="{484C6EDE-EA5D-47F4-84BC-460E24DCD8C2}" name="Name"/>
    <tableColumn id="2" xr3:uid="{47FBDF96-672A-4141-A114-ABA7F3FD4D9B}" name="Section"/>
    <tableColumn id="3" xr3:uid="{D3EB8F34-2FA9-4B9C-9248-B95FFA09955F}" name="Start" dataDxfId="164"/>
    <tableColumn id="4" xr3:uid="{EBC2F2A9-6A82-413D-B6A0-F2357DBAD259}" name="End" dataDxfId="163"/>
    <tableColumn id="7" xr3:uid="{691B4FD6-EE0B-4C41-A424-E198E8D32E98}" name="Location" dataDxfId="162"/>
    <tableColumn id="5" xr3:uid="{61221F00-30DD-4ECA-99A0-038F350CCEF7}" name="Approved?" dataDxfId="161"/>
    <tableColumn id="6" xr3:uid="{1DE6AFE6-C9DE-4E2C-9DD3-9672EBCEA0F0}" name="On Now" dataDxfId="160"/>
  </tableColumns>
  <tableStyleInfo name="TableStyleMedium18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RecallTable" displayName="RecallTable" ref="A2:W82" totalsRowShown="0" headerRowDxfId="152" dataDxfId="150" headerRowBorderDxfId="151" tableBorderDxfId="149" totalsRowBorderDxfId="148">
  <autoFilter ref="A2:W82" xr:uid="{00000000-0009-0000-0100-000002000000}"/>
  <sortState xmlns:xlrd2="http://schemas.microsoft.com/office/spreadsheetml/2017/richdata2" ref="A3:W81">
    <sortCondition ref="B2:B81"/>
  </sortState>
  <tableColumns count="23">
    <tableColumn id="1" xr3:uid="{00000000-0010-0000-0000-000001000000}" name="GRADE" dataDxfId="147">
      <calculatedColumnFormula>IFERROR(_xlfn.XLOOKUP(_xlfn.XLOOKUP(RecallTable[[#This Row],[EDIPI]],MOLTable[EDIPI],MOLTable[Rank]), RankTable[Abbr],RankTable[Code]),"")</calculatedColumnFormula>
    </tableColumn>
    <tableColumn id="2" xr3:uid="{00000000-0010-0000-0000-000002000000}" name="NAME" dataDxfId="146"/>
    <tableColumn id="5" xr3:uid="{00000000-0010-0000-0000-000005000000}" name="EDIPI" dataDxfId="145">
      <calculatedColumnFormula>_xlfn.XLOOKUP(RecallTable[[#This Row],[NAME]],#REF!,#REF!)</calculatedColumnFormula>
    </tableColumn>
    <tableColumn id="11" xr3:uid="{00000000-0010-0000-0000-00000B000000}" name="SEX" dataDxfId="144">
      <calculatedColumnFormula>IFERROR(_xlfn.XLOOKUP(RecallTable[[#This Row],[EDIPI]],MOLTable[EDIPI],MOLTable[Sex]),"")</calculatedColumnFormula>
    </tableColumn>
    <tableColumn id="8" xr3:uid="{8C453EF7-ECDC-4BB3-8701-11D1CECC3C8F}" name="MOS" dataDxfId="143">
      <calculatedColumnFormula>IFERROR(_xlfn.XLOOKUP(RecallTable[[#This Row],[EDIPI]],MOLTable[EDIPI],MOLTable[MOS]), "")</calculatedColumnFormula>
    </tableColumn>
    <tableColumn id="6" xr3:uid="{00000000-0010-0000-0000-000006000000}" name="SECTION" dataDxfId="142">
      <calculatedColumnFormula>IFERROR(_xlfn.XLOOKUP(_xlfn.XLOOKUP(RecallTable[[#This Row],[EDIPI]],MOLTable[EDIPI],MOLTable[Unit]),UnitTableConv[Unit Code],UnitTableConv[Platoon]),"")</calculatedColumnFormula>
    </tableColumn>
    <tableColumn id="23" xr3:uid="{46F1F610-444B-478D-921D-EBC73E76646E}" name="Specialty" dataDxfId="141"/>
    <tableColumn id="21" xr3:uid="{E8FEC51E-6A6C-48BB-AB85-2D9204A4A49D}" name="Arrival Date" dataDxfId="140"/>
    <tableColumn id="16" xr3:uid="{1946B8A7-229C-42D7-A260-23FB2DEF49A4}" name="PEBD" dataDxfId="139"/>
    <tableColumn id="19" xr3:uid="{BFA75C99-273A-477E-BCB2-48370F27C566}" name="AFADBD" dataDxfId="138"/>
    <tableColumn id="14" xr3:uid="{A5EE3EEB-BAC6-41D0-A1EA-57303BE01F7D}" name="EAS" dataDxfId="137">
      <calculatedColumnFormula>IF(_xlfn.XLOOKUP(RecallTable[[#This Row],[NAME]],ViewReports[Name],ViewReports[EAS]),_xlfn.XLOOKUP(RecallTable[[#This Row],[NAME]],ViewReports[Name],ViewReports[EAS]),"N/A")</calculatedColumnFormula>
    </tableColumn>
    <tableColumn id="18" xr3:uid="{30E4B747-885F-443A-AADD-AD8FF9A282BB}" name="DOR" dataDxfId="136"/>
    <tableColumn id="22" xr3:uid="{E2887409-F278-4253-A315-AB55F712772F}" name="DOB" dataDxfId="135"/>
    <tableColumn id="12" xr3:uid="{00000000-0010-0000-0000-00000C000000}" name="PHONE" dataDxfId="134"/>
    <tableColumn id="13" xr3:uid="{00000000-0010-0000-0000-00000D000000}" name="ADDRESS" dataDxfId="133"/>
    <tableColumn id="15" xr3:uid="{00000000-0010-0000-0000-00000F000000}" name="RIFLE S/N" dataDxfId="132"/>
    <tableColumn id="17" xr3:uid="{00000000-0010-0000-0000-000011000000}" name="RCO S/N" dataDxfId="131"/>
    <tableColumn id="20" xr3:uid="{00000000-0010-0000-0000-000014000000}" name="BLOOD" dataDxfId="130"/>
    <tableColumn id="3" xr3:uid="{5605E665-00DF-4C81-9CE5-F9B9E1EE3B98}" name="Current Status" dataDxfId="129">
      <calculatedColumnFormula>_xlfn.XLOOKUP(RecallTable[[#This Row],[EDIPI]],MOLTable[EDIPI],MOLTable[Category],"ERR")</calculatedColumnFormula>
    </tableColumn>
    <tableColumn id="7" xr3:uid="{FBEE3C4A-9479-4DC1-A47C-3CC808B283D0}" name="Comment" dataDxfId="128">
      <calculatedColumnFormula>IF(_xlfn.XLOOKUP(RecallTable[[#This Row],[EDIPI]],MOLTable[EDIPI],MOLTable[Location],"ERR")="","",_xlfn.XLOOKUP(RecallTable[[#This Row],[EDIPI]],MOLTable[EDIPI],MOLTable[Location],"ERR"))</calculatedColumnFormula>
    </tableColumn>
    <tableColumn id="9" xr3:uid="{8B27D832-C81A-40C4-AEDE-3AD6E385B942}" name="Start Date" dataDxfId="127">
      <calculatedColumnFormula>IF(_xlfn.XLOOKUP(RecallTable[[#This Row],[EDIPI]],MOLTable[EDIPI],MOLTable[Start Date],"ERR")="","",_xlfn.XLOOKUP(RecallTable[[#This Row],[EDIPI]],MOLTable[EDIPI],MOLTable[Start Date],"ERR"))</calculatedColumnFormula>
    </tableColumn>
    <tableColumn id="4" xr3:uid="{B047E70F-8E15-454D-8977-C7B2C177ED30}" name="Return Date" dataDxfId="126">
      <calculatedColumnFormula>IF(_xlfn.XLOOKUP(RecallTable[[#This Row],[EDIPI]],MOLTable[EDIPI],MOLTable[Start Date],"ERR")="","",_xlfn.XLOOKUP(RecallTable[[#This Row],[EDIPI]],MOLTable[EDIPI],MOLTable[Start Date],"ERR"))</calculatedColumnFormula>
    </tableColumn>
    <tableColumn id="10" xr3:uid="{050B67B4-7624-49A3-B464-890710975081}" name="Days Remaining" dataDxfId="125">
      <calculatedColumnFormula>IFERROR(_xlfn.DAYS(RecallTable[[#This Row],[Return Date]],TODAY()),"")</calculatedColumnFormula>
    </tableColumn>
  </tableColumns>
  <tableStyleInfo name="TableStyleMedium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D02CAC9-95FA-47B1-9DE7-629DC6667C78}" name="WholeMarineTrainingTable" displayName="WholeMarineTrainingTable" ref="A2:BH81" totalsRowShown="0" headerRowDxfId="115" dataDxfId="114" tableBorderDxfId="113">
  <autoFilter ref="A2:BH81" xr:uid="{BD02CAC9-95FA-47B1-9DE7-629DC6667C78}"/>
  <sortState xmlns:xlrd2="http://schemas.microsoft.com/office/spreadsheetml/2017/richdata2" ref="A3:BH81">
    <sortCondition ref="A2:A81"/>
  </sortState>
  <tableColumns count="60">
    <tableColumn id="37" xr3:uid="{516A36C7-CDFF-466C-A17F-227903128223}" name="Section" dataDxfId="112"/>
    <tableColumn id="51" xr3:uid="{7BCDE4C2-C48D-4D22-980D-6657CB3F0E78}" name="MOS" dataDxfId="111">
      <calculatedColumnFormula>_xlfn.XLOOKUP(WholeMarineTrainingTable[[#This Row],[Name]],RecallTable[NAME],RecallTable[MOS])</calculatedColumnFormula>
    </tableColumn>
    <tableColumn id="1" xr3:uid="{4AFC5016-BFDE-4226-9AF6-6B56CA891481}" name="Grade" dataDxfId="110">
      <calculatedColumnFormula>_xlfn.XLOOKUP(WholeMarineTrainingTable[[#This Row],[Name]],RecallTable[NAME],RecallTable[GRADE])</calculatedColumnFormula>
    </tableColumn>
    <tableColumn id="2" xr3:uid="{3418A9FB-1A76-4109-A043-7CC5EEE6181B}" name="Name" dataDxfId="109"/>
    <tableColumn id="54" xr3:uid="{D84510C6-EC40-4E27-BBFC-BE45BB126FED}" name="Dist Due Date" dataDxfId="108">
      <calculatedColumnFormula array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calculatedColumnFormula>
    </tableColumn>
    <tableColumn id="48" xr3:uid="{0E98A1C2-690D-499C-A710-A140DF129ADC}" name="Dist Days Left" dataDxfId="107">
      <calculatedColumnFormula array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calculatedColumnFormula>
    </tableColumn>
    <tableColumn id="56" xr3:uid="{26A22FF6-E723-408A-AA2E-194C818119A2}" name="Res Due Date" dataDxfId="106">
      <calculatedColumnFormula array="1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calculatedColumnFormula>
    </tableColumn>
    <tableColumn id="55" xr3:uid="{755F44BF-3DB1-4301-AADF-53666239BF17}" name="Res Days Left" dataDxfId="105">
      <calculatedColumnFormula array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calculatedColumnFormula>
    </tableColumn>
    <tableColumn id="32" xr3:uid="{6F078A50-E7B0-4142-9393-606B632D6B19}" name="LCpl Dist" dataDxfId="104"/>
    <tableColumn id="31" xr3:uid="{CEECDC9E-0637-4648-9C7D-39314FBB2F4A}" name="LCpl Seminar" dataDxfId="103"/>
    <tableColumn id="3" xr3:uid="{FCC3383E-2465-4871-8C1D-7225F553BC51}" name="Cpls Crs Dist" dataDxfId="102"/>
    <tableColumn id="4" xr3:uid="{E77FC560-2CDD-44F4-B4FF-BF002266CE7C}" name="Cpls Crs Res" dataDxfId="101"/>
    <tableColumn id="5" xr3:uid="{23B95793-1BDE-4831-85F1-62592E6FF8F6}" name="Sgt Sch Dist" dataDxfId="100"/>
    <tableColumn id="6" xr3:uid="{C132814A-6C44-43C8-9CA2-E475C1A97E82}" name="Sgt Sch Res" dataDxfId="99"/>
    <tableColumn id="7" xr3:uid="{E3432F20-AA00-4A85-B6C5-1C04B69818F2}" name="Career Crs Dist" dataDxfId="98"/>
    <tableColumn id="8" xr3:uid="{9A984610-9C82-4A57-A1FA-E41D575790F5}" name="Career Crs Res" dataDxfId="97"/>
    <tableColumn id="9" xr3:uid="{3314C94E-F560-4179-8E17-C507BB3DAEE2}" name="Advanced Crs Dist" dataDxfId="96"/>
    <tableColumn id="10" xr3:uid="{2F507274-D26F-4734-9B3C-08548B9A3E71}" name="Advanced Crs Res" dataDxfId="95"/>
    <tableColumn id="39" xr3:uid="{DAE61EF4-D67B-449A-B83C-3EA05AE2219C}" name="E-8 Seminar" dataDxfId="94"/>
    <tableColumn id="11" xr3:uid="{92899156-9571-44DE-B2B6-51B43683433D}" name="SJEPME I" dataDxfId="93"/>
    <tableColumn id="12" xr3:uid="{1A896232-1055-4DC4-AD4F-720AD7EB099B}" name="SJEPME II" dataDxfId="92"/>
    <tableColumn id="22" xr3:uid="{90316245-4ED3-4AD7-BB90-42451811D8C4}" name="EWS" dataDxfId="91"/>
    <tableColumn id="57" xr3:uid="{D06E0BAC-A1D0-473D-A26D-FECD4643ED64}" name="Promotion Panel" dataDxfId="90"/>
    <tableColumn id="13" xr3:uid="{91E60B24-5415-48CF-9BDE-68B52999AD14}" name="CMC" dataDxfId="89"/>
    <tableColumn id="14" xr3:uid="{A8D0FCF1-5E85-4132-81CD-23D4BA587627}" name="CMT" dataDxfId="88"/>
    <tableColumn id="40" xr3:uid="{2F442ECD-3CEB-4C6E-8FD7-D41F1251E8D6}" name="RSO" dataDxfId="87"/>
    <tableColumn id="15" xr3:uid="{1A63D01B-F4AB-4425-BEB9-26EC4CEE52E8}" name="MCMAP" dataDxfId="86"/>
    <tableColumn id="16" xr3:uid="{89962450-CBAD-4ABE-B367-7461DF176CE5}" name="MAI" dataDxfId="85"/>
    <tableColumn id="17" xr3:uid="{5E13B3AC-3B5C-4CBB-90CB-B7370131A3EA}" name="MAIT" dataDxfId="84"/>
    <tableColumn id="18" xr3:uid="{3C6A2A28-C813-43AC-B191-93049683E43D}" name="FFI" dataDxfId="83"/>
    <tableColumn id="19" xr3:uid="{3063DF7E-2853-4CD8-8CA7-E90449040D2D}" name="MCWIS" dataDxfId="82"/>
    <tableColumn id="41" xr3:uid="{DBF95200-B5CF-4FED-AFB5-7D7D80699B13}" name="TCCC" dataDxfId="81"/>
    <tableColumn id="49" xr3:uid="{4852D465-731C-48A8-BCBF-2FA7E6B10E14}" name="CLS" dataDxfId="80"/>
    <tableColumn id="20" xr3:uid="{42DDF989-7905-4FB2-9772-6A1A6137B04F}" name="CPTR" dataDxfId="79"/>
    <tableColumn id="24" xr3:uid="{6DE202B1-5711-480B-9B4F-441FC74A2A1C}" name="UPC" dataDxfId="78"/>
    <tableColumn id="25" xr3:uid="{69FA2F1B-7045-4B44-8A92-D9069ED8BB8E}" name="Motorcycle" dataDxfId="77"/>
    <tableColumn id="50" xr3:uid="{42DE66A5-A73B-422D-81D3-D9813447F72E}" name="A+" dataDxfId="76"/>
    <tableColumn id="28" xr3:uid="{1E6AC44C-F44F-4891-89E5-9A3B8FC3ED5B}" name="Net+" dataDxfId="75"/>
    <tableColumn id="29" xr3:uid="{144D5CC2-7F63-4EAF-B8D2-CA62EE51FF1E}" name="Sec+" dataDxfId="74"/>
    <tableColumn id="52" xr3:uid="{83A02A67-A01E-4E0B-8CB3-36D9F4B4386D}" name="CySA+" dataDxfId="73"/>
    <tableColumn id="53" xr3:uid="{1BF14E04-1A93-4099-9985-C42371CD9DC7}" name="PenTest+" dataDxfId="72"/>
    <tableColumn id="21" xr3:uid="{6BFB7A6A-35EF-4F0F-828A-2FAA75DBDFEE}" name="CASP+" dataDxfId="71"/>
    <tableColumn id="58" xr3:uid="{78075D4A-ACC7-430A-A406-9F2238D31ED9}" name="Project+" dataDxfId="70"/>
    <tableColumn id="30" xr3:uid="{8C4E0995-F5AB-4004-A7CF-E2B99B96AF14}" name="CCNA" dataDxfId="69"/>
    <tableColumn id="33" xr3:uid="{395FE176-A592-4E12-8BB8-C29A63DB2A7E}" name="CEH" dataDxfId="68"/>
    <tableColumn id="34" xr3:uid="{D13E376F-985C-4F53-8227-7E3A971F3EFE}" name="CHFI" dataDxfId="67"/>
    <tableColumn id="35" xr3:uid="{55FA2AE1-E76F-439B-B0DC-6322BFF8A33A}" name="CISSP" dataDxfId="66"/>
    <tableColumn id="26" xr3:uid="{AC78D6BC-2F1E-44D0-AC99-3EC27CADD0E8}" name="CISM" dataDxfId="65"/>
    <tableColumn id="23" xr3:uid="{B7EAC2BA-7809-4EA6-B07D-468886808D39}" name="OSCP" dataDxfId="64"/>
    <tableColumn id="46" xr3:uid="{B82C7491-26C7-4888-B7CE-5D27F6E959DA}" name="Bachelors" dataDxfId="63"/>
    <tableColumn id="47" xr3:uid="{FAD4EDBC-7258-4921-AFE0-0DD8C68904E7}" name="Masters" dataDxfId="62"/>
    <tableColumn id="38" xr3:uid="{959CCDBE-3A5D-43F8-9C40-355E21A54F4B}" name="University" dataDxfId="61"/>
    <tableColumn id="45" xr3:uid="{50FF9056-8A17-48E3-B5C6-2AE901DC68E6}" name="GTCC" dataDxfId="60"/>
    <tableColumn id="44" xr3:uid="{2435BC8C-24E1-4F4A-88FD-195C09CF7D06}" name="Passport" dataDxfId="59"/>
    <tableColumn id="43" xr3:uid="{20443E26-B13D-4004-ABF9-E97BB7E82126}" name="MCEN-N" dataDxfId="58"/>
    <tableColumn id="42" xr3:uid="{B5B0C325-1519-4A22-88E5-9643F3A820F5}" name="MCEN-S" dataDxfId="57"/>
    <tableColumn id="74" xr3:uid="{5BF914B3-1C52-49A2-A288-CCAB2C99E971}" name="Courrier Card" dataDxfId="56"/>
    <tableColumn id="27" xr3:uid="{E18601A5-4E8D-49BA-BB2A-55A49D2D9F56}" name="WC504 Open/Close" dataDxfId="55"/>
    <tableColumn id="59" xr3:uid="{FAB04F39-FB31-4BCD-8BC2-59E78ED84377}" name="WC504 Badge" dataDxfId="54"/>
    <tableColumn id="36" xr3:uid="{54E018B7-FF37-43A5-B80E-BF4DA1C37AAD}" name="Misc" dataDxfId="53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HitlistTable" displayName="HitlistTable" ref="A2:V81" totalsRowShown="0" dataDxfId="49">
  <autoFilter ref="A2:V81" xr:uid="{00000000-0009-0000-0100-000001000000}"/>
  <sortState xmlns:xlrd2="http://schemas.microsoft.com/office/spreadsheetml/2017/richdata2" ref="A3:V81">
    <sortCondition ref="A2:A81"/>
  </sortState>
  <tableColumns count="22">
    <tableColumn id="5" xr3:uid="{B9FDDA93-0BD6-4E56-9C0B-1E90F8980014}" name="Section" dataDxfId="48"/>
    <tableColumn id="1" xr3:uid="{00000000-0010-0000-0100-000001000000}" name="Grade" dataDxfId="47">
      <calculatedColumnFormula>_xlfn.XLOOKUP(HitlistTable[[#This Row],[Name]],RecallTable[NAME],RecallTable[GRADE])</calculatedColumnFormula>
    </tableColumn>
    <tableColumn id="2" xr3:uid="{00000000-0010-0000-0100-000002000000}" name="Name"/>
    <tableColumn id="3" xr3:uid="{00000000-0010-0000-0100-000003000000}" name="EDIPI" dataDxfId="46"/>
    <tableColumn id="8" xr3:uid="{4280C38F-858E-4CAE-A4DE-B436353F1C78}" name="Status" dataDxfId="45">
      <calculatedColumnFormula>IF(ISTEXT(_xlfn.XLOOKUP(HitlistTable[[#This Row],[Name]],DutyStatusTable[Name],DutyStatusTable[Duty Status])),_xlfn.XLOOKUP(HitlistTable[[#This Row],[Name]],DutyStatusTable[Name],DutyStatusTable[Duty Status]),"")</calculatedColumnFormula>
    </tableColumn>
    <tableColumn id="10" xr3:uid="{00000000-0010-0000-0100-00000A000000}" name="S-1 Check-in" dataDxfId="44"/>
    <tableColumn id="4" xr3:uid="{44FE65B2-EFCE-4F4E-AB6F-8229D7FFA3B3}" name="TRS" dataDxfId="43">
      <calculatedColumnFormula>IF(_xlfn.XLOOKUP(HitlistTable[[#This Row],[Name]],RecallTable[NAME],RecallTable[EAS]), IF(_xlfn.DAYS(_xlfn.XLOOKUP(HitlistTable[[#This Row],[Name]],RecallTable[NAME],RecallTable[EAS]),TODAY())&lt;365, "X", ""),"")</calculatedColumnFormula>
    </tableColumn>
    <tableColumn id="12" xr3:uid="{16CA75F3-476F-4CBD-893D-B733CD9800D8}" name="PRS" dataDxfId="42"/>
    <tableColumn id="7" xr3:uid="{222A42FC-0C1B-427E-BBCD-19186670DB13}" name="P4L" dataDxfId="41"/>
    <tableColumn id="23" xr3:uid="{00000000-0010-0000-0100-000017000000}" name="SGLI" dataDxfId="40"/>
    <tableColumn id="11" xr3:uid="{00000000-0010-0000-0100-00000B000000}" name="CACO" dataDxfId="39"/>
    <tableColumn id="16" xr3:uid="{00000000-0010-0000-0100-000010000000}" name="Dental" dataDxfId="38"/>
    <tableColumn id="17" xr3:uid="{00000000-0010-0000-0100-000011000000}" name="Audio" dataDxfId="37"/>
    <tableColumn id="22" xr3:uid="{00000000-0010-0000-0100-000016000000}" name="Blood" dataDxfId="36"/>
    <tableColumn id="18" xr3:uid="{00000000-0010-0000-0100-000012000000}" name="PDHRA" dataDxfId="35"/>
    <tableColumn id="19" xr3:uid="{00000000-0010-0000-0100-000013000000}" name="PHA" dataDxfId="34"/>
    <tableColumn id="14" xr3:uid="{00000000-0010-0000-0100-00000E000000}" name="PPD TEST" dataDxfId="33"/>
    <tableColumn id="24" xr3:uid="{00000000-0010-0000-0100-000018000000}" name="IMMUN" dataDxfId="32"/>
    <tableColumn id="9" xr3:uid="{3DDE2861-DED7-4D32-A404-05B51FF66F31}" name="Specs" dataDxfId="31"/>
    <tableColumn id="15" xr3:uid="{00000000-0010-0000-0100-00000F000000}" name="Flu" dataDxfId="30"/>
    <tableColumn id="21" xr3:uid="{00000000-0010-0000-0100-000015000000}" name="Comments" dataDxfId="29"/>
    <tableColumn id="6" xr3:uid="{05EF2BED-529B-4DDF-A165-F8EA7589383D}" name="Bn Reporting" dataDxfId="28">
      <calculatedColumnFormula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calculatedColumnFormula>
    </tableColumn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C3B8E72-9CBD-4F10-B44F-9662CF927B9E}" name="BnPT22Mar" displayName="BnPT22Mar" ref="A3:H82" totalsRowShown="0" headerRowDxfId="27" headerRowBorderDxfId="26">
  <autoFilter ref="A3:H82" xr:uid="{7C3B8E72-9CBD-4F10-B44F-9662CF927B9E}"/>
  <sortState xmlns:xlrd2="http://schemas.microsoft.com/office/spreadsheetml/2017/richdata2" ref="A4:H82">
    <sortCondition ref="A3:A82"/>
  </sortState>
  <tableColumns count="8">
    <tableColumn id="1" xr3:uid="{C0E508B7-40D4-4EA8-91DC-577B1D7204DB}" name="Section" dataDxfId="25">
      <calculatedColumnFormula>_xlfn.XLOOKUP(BnPT22Mar[[#This Row],[Name]],RecallTable[NAME],RecallTable[SECTION])</calculatedColumnFormula>
    </tableColumn>
    <tableColumn id="2" xr3:uid="{32E6BC1A-04E1-40EE-98A8-3FBA27950AB9}" name="Rank">
      <calculatedColumnFormula>_xlfn.XLOOKUP(BnPT22Mar[[#This Row],[Name]],RecallTable[NAME],RecallTable[GRADE],"")</calculatedColumnFormula>
    </tableColumn>
    <tableColumn id="3" xr3:uid="{7E9BF8CB-3AB9-4759-8685-D34AFD1299F9}" name="Name"/>
    <tableColumn id="4" xr3:uid="{95E68BE2-749B-4876-A3BF-23AC4EE9128C}" name="Go/No-Go"/>
    <tableColumn id="11" xr3:uid="{2B7E450A-0F85-4F34-9C92-AA8710F7E87E}" name="Road Gaurd (4)" dataDxfId="24"/>
    <tableColumn id="5" xr3:uid="{4500C3EF-A4F7-40FB-843E-A0E1D2E320BF}" name="Planks (10)" dataDxfId="23"/>
    <tableColumn id="7" xr3:uid="{D8623825-DD47-4D7A-935C-B1B2DD2225B3}" name="Pull-Ups (10)" dataDxfId="22"/>
    <tableColumn id="6" xr3:uid="{42810F76-9ADD-4575-9975-8513C1F89DF6}" name="Comments"/>
  </tableColumns>
  <tableStyleInfo name="TableStyleMedium18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033CBED-9AEE-4967-99B0-3DA38D66B70B}" name="ResPMETable" displayName="ResPMETable" ref="A2:K81" totalsRowShown="0" headerRowDxfId="14" dataDxfId="12" headerRowBorderDxfId="13" tableBorderDxfId="11">
  <autoFilter ref="A2:K81" xr:uid="{A033CBED-9AEE-4967-99B0-3DA38D66B70B}"/>
  <sortState xmlns:xlrd2="http://schemas.microsoft.com/office/spreadsheetml/2017/richdata2" ref="A3:K81">
    <sortCondition ref="A2:A81"/>
  </sortState>
  <tableColumns count="11">
    <tableColumn id="1" xr3:uid="{6EA56C1A-FCEB-4D53-B79B-B75C53D34C1E}" name="Section" dataDxfId="10">
      <calculatedColumnFormula>_xlfn.XLOOKUP(ResPMETable[[#This Row],[Name]],RecallTable[NAME],RecallTable[SECTION])</calculatedColumnFormula>
    </tableColumn>
    <tableColumn id="2" xr3:uid="{A2A0F2E3-CDCC-4456-8B2E-56C271B7EEE2}" name="Rank" dataDxfId="9">
      <calculatedColumnFormula>_xlfn.XLOOKUP(ResPMETable[[#This Row],[Name]],MOLTable[Name],MOLTable[Rank])</calculatedColumnFormula>
    </tableColumn>
    <tableColumn id="3" xr3:uid="{CF559EFA-4455-4939-80A8-3EB9183ADCC5}" name="Name" dataDxfId="8"/>
    <tableColumn id="4" xr3:uid="{25236093-A236-45F9-80D6-F3C40E35AAA6}" name="Resident Course" dataDxfId="7">
      <calculatedColumnFormula>SUBSTITUTE(SUBSTITUTE(SUBSTITUTE(_xlfn.XLOOKUP(_xlfn.XLOOKUP(ResPMETable[[#This Row],[Rank]],RankTable[Abbr],RankTable[Code]),PMEMatrix[Grade],PMEMatrix[Res]), "Res", ""), "Crs", "Course"), "Sch", "School")</calculatedColumnFormula>
    </tableColumn>
    <tableColumn id="11" xr3:uid="{229DF248-C8D3-4B46-BECA-0121663B86E8}" name="Promoted" dataDxfId="6">
      <calculatedColumnFormula>_xlfn.XLOOKUP(ResPMETable[[#This Row],[Name]],RecallTable[NAME], RecallTable[DOR],"NF")</calculatedColumnFormula>
    </tableColumn>
    <tableColumn id="9" xr3:uid="{4355BDE1-9D53-4418-A379-2C8207EFE4BD}" name="PME Complete?" dataDxfId="5">
      <calculatedColumnFormula array="1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calculatedColumnFormula>
    </tableColumn>
    <tableColumn id="6" xr3:uid="{A4697203-D38B-44CA-BCF5-868F728B4095}" name="Non-Res Complete?" dataDxfId="4">
      <calculatedColumnFormula array="1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calculatedColumnFormula>
    </tableColumn>
    <tableColumn id="7" xr3:uid="{BA4FCA34-0BBD-4FC0-93A8-BAE1DFD0C0F3}" name="School Date Requested" dataDxfId="3"/>
    <tableColumn id="8" xr3:uid="{2B6FC5AE-D281-416A-A447-841DA8174479}" name="Registered in MCTIMS/etc?" dataDxfId="2"/>
    <tableColumn id="5" xr3:uid="{5C42578A-A301-4DC9-8628-61DB2CD12E6C}" name="Marked On Whole Marine Tab?" dataDxfId="1" dataCellStyle="Neutral">
      <calculatedColumnFormula array="1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calculatedColumnFormula>
    </tableColumn>
    <tableColumn id="10" xr3:uid="{1C8960ED-7F61-40C0-8461-8F07A5F4697E}" name="Comments 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B67" dT="2024-03-04T17:11:40.75" personId="{55278494-6E8E-458B-B68F-47085D44A7F5}" id="{9D4E809A-32F1-412A-ADAB-292A2BDFE7A3}">
    <text>Start typing in either the 2nd or 3rd group of numbers for it to search the list correctly.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M2" dT="2023-10-26T13:44:56.68" personId="{55278494-6E8E-458B-B68F-47085D44A7F5}" id="{518D02AC-B815-459A-B06A-21B92EA3C2BF}">
    <text>When do they need to have taken all of their leave by.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8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p.mil.powerbigov.us/groups/me/reports/cb36b7e7-37c8-408f-8433-a608b002340f/ReportSection?ctid=f4c44cda-18c6-46b0-80f2-e290072444fd" TargetMode="Externa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10" Type="http://schemas.microsoft.com/office/2017/10/relationships/threadedComment" Target="../threadedComments/threadedComment1.xml"/><Relationship Id="rId4" Type="http://schemas.openxmlformats.org/officeDocument/2006/relationships/table" Target="../tables/table5.xml"/><Relationship Id="rId9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vmlDrawing" Target="../drawings/vmlDrawing2.vm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table" Target="../tables/table2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3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137A-F0DD-41AC-AB96-850FBF1BD0B6}">
  <dimension ref="A1:J58"/>
  <sheetViews>
    <sheetView workbookViewId="0">
      <selection activeCell="B56" sqref="B56"/>
    </sheetView>
  </sheetViews>
  <sheetFormatPr defaultRowHeight="15"/>
  <cols>
    <col min="2" max="2" width="28.5703125" bestFit="1" customWidth="1"/>
    <col min="3" max="3" width="19.28515625" bestFit="1" customWidth="1"/>
    <col min="4" max="4" width="9.140625" bestFit="1" customWidth="1"/>
    <col min="5" max="5" width="20.28515625" bestFit="1" customWidth="1"/>
    <col min="6" max="6" width="41.5703125" customWidth="1"/>
    <col min="7" max="7" width="11" bestFit="1" customWidth="1"/>
    <col min="9" max="9" width="10.7109375" bestFit="1" customWidth="1"/>
  </cols>
  <sheetData>
    <row r="1" spans="1:10" ht="18.75">
      <c r="A1" s="19"/>
      <c r="B1" s="19"/>
      <c r="C1" s="19"/>
      <c r="D1" s="19"/>
      <c r="E1" s="19"/>
      <c r="F1" s="19"/>
      <c r="G1" s="19"/>
      <c r="H1" s="19"/>
      <c r="I1" s="19" t="s">
        <v>7</v>
      </c>
      <c r="J1" s="69" t="str">
        <f>REPT("|",COUNTIF(ChangeLogTable[Status], "Completed"))</f>
        <v>|||||||||||||||||||||||</v>
      </c>
    </row>
    <row r="2" spans="1:10" ht="18.75">
      <c r="A2" s="19"/>
      <c r="B2" s="51" t="s">
        <v>8</v>
      </c>
      <c r="C2" s="51" t="s">
        <v>9</v>
      </c>
      <c r="D2" s="216" t="s">
        <v>10</v>
      </c>
      <c r="E2" s="51" t="s">
        <v>11</v>
      </c>
      <c r="F2" s="51" t="s">
        <v>12</v>
      </c>
      <c r="G2" s="51" t="s">
        <v>13</v>
      </c>
      <c r="H2" s="19"/>
      <c r="I2" s="19" t="s">
        <v>14</v>
      </c>
      <c r="J2" s="68" t="str">
        <f>REPT("|",COUNTIF(ChangeLogTable[Status], "Proposed"))</f>
        <v>||||</v>
      </c>
    </row>
    <row r="3" spans="1:10" ht="30" hidden="1">
      <c r="A3" s="19"/>
      <c r="B3" s="81" t="s">
        <v>15</v>
      </c>
      <c r="C3" s="81" t="s">
        <v>16</v>
      </c>
      <c r="D3" s="82" t="s">
        <v>17</v>
      </c>
      <c r="E3" s="81" t="s">
        <v>16</v>
      </c>
      <c r="F3" s="83" t="s">
        <v>18</v>
      </c>
      <c r="G3" s="81" t="s">
        <v>7</v>
      </c>
      <c r="H3" s="19"/>
      <c r="I3" s="19"/>
      <c r="J3" s="19"/>
    </row>
    <row r="4" spans="1:10" ht="30" hidden="1">
      <c r="A4" s="19"/>
      <c r="B4" s="84" t="s">
        <v>19</v>
      </c>
      <c r="C4" s="84" t="s">
        <v>20</v>
      </c>
      <c r="D4" s="85" t="s">
        <v>21</v>
      </c>
      <c r="E4" s="84" t="s">
        <v>22</v>
      </c>
      <c r="F4" s="86" t="s">
        <v>23</v>
      </c>
      <c r="G4" s="84" t="s">
        <v>7</v>
      </c>
      <c r="H4" s="19"/>
      <c r="I4" s="19"/>
      <c r="J4" s="19"/>
    </row>
    <row r="5" spans="1:10" hidden="1">
      <c r="A5" s="19"/>
      <c r="B5" s="84" t="s">
        <v>24</v>
      </c>
      <c r="C5" s="84" t="s">
        <v>20</v>
      </c>
      <c r="D5" s="85" t="s">
        <v>21</v>
      </c>
      <c r="E5" s="84" t="s">
        <v>22</v>
      </c>
      <c r="F5" s="86" t="s">
        <v>25</v>
      </c>
      <c r="G5" s="84" t="s">
        <v>7</v>
      </c>
      <c r="H5" s="19"/>
      <c r="I5" s="19"/>
      <c r="J5" s="19"/>
    </row>
    <row r="6" spans="1:10" hidden="1">
      <c r="A6" s="19"/>
      <c r="B6" s="84" t="s">
        <v>26</v>
      </c>
      <c r="C6" s="84" t="s">
        <v>20</v>
      </c>
      <c r="D6" s="85" t="s">
        <v>21</v>
      </c>
      <c r="E6" s="84" t="s">
        <v>22</v>
      </c>
      <c r="F6" s="86" t="s">
        <v>25</v>
      </c>
      <c r="G6" s="84" t="s">
        <v>7</v>
      </c>
      <c r="H6" s="19"/>
      <c r="I6" s="19"/>
      <c r="J6" s="19"/>
    </row>
    <row r="7" spans="1:10" hidden="1">
      <c r="A7" s="19"/>
      <c r="B7" s="84" t="s">
        <v>27</v>
      </c>
      <c r="C7" s="84" t="s">
        <v>20</v>
      </c>
      <c r="D7" s="85" t="s">
        <v>17</v>
      </c>
      <c r="E7" s="84" t="s">
        <v>16</v>
      </c>
      <c r="F7" s="86" t="s">
        <v>28</v>
      </c>
      <c r="G7" s="84" t="s">
        <v>7</v>
      </c>
      <c r="H7" s="19"/>
      <c r="I7" s="19"/>
      <c r="J7" s="19"/>
    </row>
    <row r="8" spans="1:10" ht="30" hidden="1">
      <c r="A8" s="19"/>
      <c r="B8" s="84" t="s">
        <v>20</v>
      </c>
      <c r="C8" s="84" t="s">
        <v>20</v>
      </c>
      <c r="D8" s="85" t="s">
        <v>17</v>
      </c>
      <c r="E8" s="84" t="s">
        <v>16</v>
      </c>
      <c r="F8" s="86" t="s">
        <v>29</v>
      </c>
      <c r="G8" s="84" t="s">
        <v>7</v>
      </c>
      <c r="H8" s="19"/>
      <c r="I8" s="19"/>
      <c r="J8" s="19"/>
    </row>
    <row r="9" spans="1:10" ht="30" hidden="1">
      <c r="A9" s="19"/>
      <c r="B9" s="84" t="s">
        <v>30</v>
      </c>
      <c r="C9" s="84" t="s">
        <v>20</v>
      </c>
      <c r="D9" s="85" t="s">
        <v>17</v>
      </c>
      <c r="E9" s="84" t="s">
        <v>16</v>
      </c>
      <c r="F9" s="86" t="s">
        <v>31</v>
      </c>
      <c r="G9" s="84" t="s">
        <v>7</v>
      </c>
      <c r="H9" s="19"/>
      <c r="I9" s="19"/>
      <c r="J9" s="19"/>
    </row>
    <row r="10" spans="1:10" hidden="1">
      <c r="A10" s="19"/>
      <c r="B10" s="84" t="s">
        <v>32</v>
      </c>
      <c r="C10" s="84" t="s">
        <v>33</v>
      </c>
      <c r="D10" s="85" t="s">
        <v>21</v>
      </c>
      <c r="E10" s="84" t="s">
        <v>34</v>
      </c>
      <c r="F10" s="86" t="s">
        <v>35</v>
      </c>
      <c r="G10" s="84" t="s">
        <v>7</v>
      </c>
      <c r="H10" s="19"/>
      <c r="I10" s="19"/>
      <c r="J10" s="19"/>
    </row>
    <row r="11" spans="1:10" hidden="1">
      <c r="A11" s="19"/>
      <c r="B11" s="84" t="s">
        <v>36</v>
      </c>
      <c r="C11" s="84" t="s">
        <v>33</v>
      </c>
      <c r="D11" s="85" t="s">
        <v>21</v>
      </c>
      <c r="E11" s="84" t="s">
        <v>34</v>
      </c>
      <c r="F11" s="52" t="s">
        <v>35</v>
      </c>
      <c r="G11" s="84" t="s">
        <v>7</v>
      </c>
      <c r="H11" s="19"/>
      <c r="I11" s="19"/>
      <c r="J11" s="19"/>
    </row>
    <row r="12" spans="1:10" ht="30" hidden="1">
      <c r="A12" s="19"/>
      <c r="B12" s="84" t="s">
        <v>37</v>
      </c>
      <c r="C12" s="84" t="s">
        <v>33</v>
      </c>
      <c r="D12" s="85" t="s">
        <v>17</v>
      </c>
      <c r="E12" s="84" t="s">
        <v>16</v>
      </c>
      <c r="F12" s="86" t="s">
        <v>38</v>
      </c>
      <c r="G12" s="84" t="s">
        <v>7</v>
      </c>
      <c r="H12" s="19"/>
      <c r="I12" s="19"/>
      <c r="J12" s="19"/>
    </row>
    <row r="13" spans="1:10" ht="30" hidden="1">
      <c r="A13" s="19"/>
      <c r="B13" s="84" t="s">
        <v>39</v>
      </c>
      <c r="C13" s="84" t="s">
        <v>33</v>
      </c>
      <c r="D13" s="85" t="s">
        <v>21</v>
      </c>
      <c r="E13" s="84" t="s">
        <v>22</v>
      </c>
      <c r="F13" s="86" t="s">
        <v>40</v>
      </c>
      <c r="G13" s="84" t="s">
        <v>7</v>
      </c>
      <c r="H13" s="19"/>
      <c r="I13" s="19"/>
      <c r="J13" s="19"/>
    </row>
    <row r="14" spans="1:10" ht="60" hidden="1">
      <c r="A14" s="19"/>
      <c r="B14" s="84" t="s">
        <v>41</v>
      </c>
      <c r="C14" s="84" t="s">
        <v>33</v>
      </c>
      <c r="D14" s="85" t="s">
        <v>21</v>
      </c>
      <c r="E14" s="84" t="s">
        <v>22</v>
      </c>
      <c r="F14" s="86" t="s">
        <v>42</v>
      </c>
      <c r="G14" s="84" t="s">
        <v>7</v>
      </c>
      <c r="H14" s="19"/>
      <c r="I14" s="19"/>
      <c r="J14" s="19"/>
    </row>
    <row r="15" spans="1:10" hidden="1">
      <c r="A15" s="19"/>
      <c r="B15" s="84" t="s">
        <v>43</v>
      </c>
      <c r="C15" s="84" t="s">
        <v>33</v>
      </c>
      <c r="D15" s="85" t="s">
        <v>21</v>
      </c>
      <c r="E15" s="84" t="s">
        <v>22</v>
      </c>
      <c r="F15" s="86" t="s">
        <v>44</v>
      </c>
      <c r="G15" s="84" t="s">
        <v>7</v>
      </c>
      <c r="H15" s="19"/>
      <c r="I15" s="19"/>
      <c r="J15" s="19"/>
    </row>
    <row r="16" spans="1:10" ht="45" hidden="1">
      <c r="A16" s="19"/>
      <c r="B16" s="84" t="s">
        <v>45</v>
      </c>
      <c r="C16" s="84" t="s">
        <v>33</v>
      </c>
      <c r="D16" s="85" t="s">
        <v>21</v>
      </c>
      <c r="E16" s="84" t="s">
        <v>22</v>
      </c>
      <c r="F16" s="86" t="s">
        <v>46</v>
      </c>
      <c r="G16" s="84" t="s">
        <v>7</v>
      </c>
      <c r="H16" s="19"/>
      <c r="I16" s="19"/>
      <c r="J16" s="19"/>
    </row>
    <row r="17" spans="2:10" hidden="1">
      <c r="B17" s="84" t="s">
        <v>47</v>
      </c>
      <c r="C17" s="84" t="s">
        <v>33</v>
      </c>
      <c r="D17" s="85" t="s">
        <v>21</v>
      </c>
      <c r="E17" s="84" t="s">
        <v>22</v>
      </c>
      <c r="F17" s="86" t="s">
        <v>48</v>
      </c>
      <c r="G17" s="84" t="s">
        <v>7</v>
      </c>
      <c r="H17" s="19"/>
      <c r="I17" s="19"/>
      <c r="J17" s="19"/>
    </row>
    <row r="18" spans="2:10" hidden="1">
      <c r="B18" s="84" t="s">
        <v>49</v>
      </c>
      <c r="C18" s="84" t="s">
        <v>33</v>
      </c>
      <c r="D18" s="85" t="s">
        <v>17</v>
      </c>
      <c r="E18" s="84" t="s">
        <v>16</v>
      </c>
      <c r="F18" s="86" t="s">
        <v>50</v>
      </c>
      <c r="G18" s="84" t="s">
        <v>7</v>
      </c>
      <c r="H18" s="19"/>
      <c r="I18" s="19"/>
      <c r="J18" s="19"/>
    </row>
    <row r="19" spans="2:10" ht="30" hidden="1">
      <c r="B19" s="84" t="s">
        <v>51</v>
      </c>
      <c r="C19" s="84" t="s">
        <v>33</v>
      </c>
      <c r="D19" s="85" t="s">
        <v>21</v>
      </c>
      <c r="E19" s="84" t="s">
        <v>22</v>
      </c>
      <c r="F19" s="86" t="s">
        <v>52</v>
      </c>
      <c r="G19" s="84" t="s">
        <v>7</v>
      </c>
      <c r="H19" s="19"/>
      <c r="I19" s="19"/>
      <c r="J19" s="19"/>
    </row>
    <row r="20" spans="2:10" hidden="1">
      <c r="B20" s="84" t="s">
        <v>53</v>
      </c>
      <c r="C20" s="84" t="s">
        <v>33</v>
      </c>
      <c r="D20" s="85" t="s">
        <v>21</v>
      </c>
      <c r="E20" s="84" t="s">
        <v>22</v>
      </c>
      <c r="F20" s="86" t="s">
        <v>54</v>
      </c>
      <c r="G20" s="84" t="s">
        <v>7</v>
      </c>
      <c r="H20" s="19"/>
      <c r="I20" s="19"/>
      <c r="J20" s="19"/>
    </row>
    <row r="21" spans="2:10" hidden="1">
      <c r="B21" s="84" t="s">
        <v>55</v>
      </c>
      <c r="C21" s="84" t="s">
        <v>33</v>
      </c>
      <c r="D21" s="85" t="s">
        <v>21</v>
      </c>
      <c r="E21" s="84" t="s">
        <v>22</v>
      </c>
      <c r="F21" s="86" t="s">
        <v>54</v>
      </c>
      <c r="G21" s="84" t="s">
        <v>7</v>
      </c>
      <c r="H21" s="19"/>
      <c r="I21" s="19"/>
      <c r="J21" s="19"/>
    </row>
    <row r="22" spans="2:10" ht="60" hidden="1">
      <c r="B22" s="81" t="s">
        <v>56</v>
      </c>
      <c r="C22" s="81" t="s">
        <v>16</v>
      </c>
      <c r="D22" s="82" t="s">
        <v>57</v>
      </c>
      <c r="E22" s="81" t="s">
        <v>22</v>
      </c>
      <c r="F22" s="83" t="s">
        <v>58</v>
      </c>
      <c r="G22" s="84" t="s">
        <v>7</v>
      </c>
      <c r="H22" s="19"/>
      <c r="I22" s="19"/>
      <c r="J22" s="19"/>
    </row>
    <row r="23" spans="2:10" ht="30" hidden="1">
      <c r="B23" s="84" t="s">
        <v>59</v>
      </c>
      <c r="C23" s="84" t="s">
        <v>60</v>
      </c>
      <c r="D23" s="85" t="s">
        <v>17</v>
      </c>
      <c r="E23" s="84" t="s">
        <v>16</v>
      </c>
      <c r="F23" s="86" t="s">
        <v>61</v>
      </c>
      <c r="G23" s="84" t="s">
        <v>7</v>
      </c>
      <c r="H23" s="19"/>
      <c r="I23" s="19"/>
      <c r="J23" s="19"/>
    </row>
    <row r="24" spans="2:10" ht="30" hidden="1">
      <c r="B24" s="84" t="s">
        <v>62</v>
      </c>
      <c r="C24" s="84" t="s">
        <v>60</v>
      </c>
      <c r="D24" s="85" t="s">
        <v>17</v>
      </c>
      <c r="E24" s="84" t="s">
        <v>16</v>
      </c>
      <c r="F24" s="86" t="s">
        <v>63</v>
      </c>
      <c r="G24" s="84" t="s">
        <v>7</v>
      </c>
      <c r="H24" s="19"/>
      <c r="I24" s="19"/>
      <c r="J24" s="19"/>
    </row>
    <row r="25" spans="2:10" hidden="1">
      <c r="B25" s="84" t="s">
        <v>64</v>
      </c>
      <c r="C25" s="84" t="s">
        <v>65</v>
      </c>
      <c r="D25" s="85" t="s">
        <v>17</v>
      </c>
      <c r="E25" s="84" t="s">
        <v>16</v>
      </c>
      <c r="F25" s="86" t="s">
        <v>66</v>
      </c>
      <c r="G25" s="84" t="s">
        <v>7</v>
      </c>
      <c r="H25" s="19"/>
      <c r="I25" s="19"/>
      <c r="J25" s="19"/>
    </row>
    <row r="26" spans="2:10">
      <c r="B26" s="84" t="s">
        <v>67</v>
      </c>
      <c r="C26" s="84" t="s">
        <v>16</v>
      </c>
      <c r="D26" s="85" t="s">
        <v>68</v>
      </c>
      <c r="E26" s="84" t="s">
        <v>16</v>
      </c>
      <c r="F26" s="86" t="s">
        <v>69</v>
      </c>
      <c r="G26" s="84" t="s">
        <v>14</v>
      </c>
      <c r="H26" s="19"/>
      <c r="I26" s="19"/>
      <c r="J26" s="19"/>
    </row>
    <row r="27" spans="2:10">
      <c r="B27" s="84" t="s">
        <v>67</v>
      </c>
      <c r="C27" s="84" t="s">
        <v>16</v>
      </c>
      <c r="D27" s="85" t="s">
        <v>68</v>
      </c>
      <c r="E27" s="84" t="s">
        <v>16</v>
      </c>
      <c r="F27" s="86" t="s">
        <v>70</v>
      </c>
      <c r="G27" s="84" t="s">
        <v>14</v>
      </c>
      <c r="H27" s="19"/>
      <c r="I27" s="19"/>
      <c r="J27" s="19"/>
    </row>
    <row r="28" spans="2:10">
      <c r="B28" s="84" t="s">
        <v>56</v>
      </c>
      <c r="C28" s="84" t="s">
        <v>16</v>
      </c>
      <c r="D28" s="85" t="s">
        <v>68</v>
      </c>
      <c r="E28" s="84" t="s">
        <v>16</v>
      </c>
      <c r="F28" s="86" t="s">
        <v>70</v>
      </c>
      <c r="G28" s="84" t="s">
        <v>14</v>
      </c>
      <c r="H28" s="19"/>
      <c r="I28" s="19"/>
      <c r="J28" s="19"/>
    </row>
    <row r="29" spans="2:10" ht="45">
      <c r="B29" s="84" t="s">
        <v>71</v>
      </c>
      <c r="C29" s="84" t="s">
        <v>16</v>
      </c>
      <c r="D29" s="85" t="s">
        <v>68</v>
      </c>
      <c r="E29" s="84" t="s">
        <v>16</v>
      </c>
      <c r="F29" s="86" t="s">
        <v>72</v>
      </c>
      <c r="G29" s="84" t="s">
        <v>14</v>
      </c>
      <c r="H29" s="19"/>
      <c r="I29" s="19"/>
      <c r="J29" s="19"/>
    </row>
    <row r="30" spans="2:10">
      <c r="B30" s="19"/>
      <c r="C30" s="19"/>
      <c r="D30" s="19"/>
      <c r="E30" s="19"/>
      <c r="F30" s="19"/>
      <c r="G30" s="19"/>
      <c r="H30" s="19"/>
      <c r="I30" s="19"/>
      <c r="J30" s="19"/>
    </row>
    <row r="33" spans="1:10" ht="18.75">
      <c r="A33" s="19"/>
      <c r="B33" s="19"/>
      <c r="C33" s="19"/>
      <c r="D33" s="19"/>
      <c r="E33" s="19"/>
      <c r="F33" s="19"/>
      <c r="G33" s="19"/>
      <c r="H33" s="19"/>
      <c r="I33" s="19" t="s">
        <v>7</v>
      </c>
      <c r="J33" s="69" t="str">
        <f>REPT("|",COUNTIF(SOPTable[Status], "Completed"))</f>
        <v>||||||</v>
      </c>
    </row>
    <row r="34" spans="1:10" ht="18.75">
      <c r="A34" s="19"/>
      <c r="B34" s="19" t="s">
        <v>73</v>
      </c>
      <c r="C34" s="19" t="s">
        <v>0</v>
      </c>
      <c r="D34" s="19" t="s">
        <v>10</v>
      </c>
      <c r="E34" s="19" t="s">
        <v>74</v>
      </c>
      <c r="F34" s="19" t="s">
        <v>1</v>
      </c>
      <c r="G34" s="19" t="s">
        <v>13</v>
      </c>
      <c r="H34" s="19"/>
      <c r="I34" s="19" t="s">
        <v>14</v>
      </c>
      <c r="J34" s="68" t="str">
        <f>REPT("|",COUNTIF(SOPTable[Status], "Proposed"))</f>
        <v>||||||||</v>
      </c>
    </row>
    <row r="35" spans="1:10" ht="30" hidden="1">
      <c r="A35" s="19"/>
      <c r="B35" s="76" t="s">
        <v>75</v>
      </c>
      <c r="C35" s="76" t="s">
        <v>76</v>
      </c>
      <c r="D35" s="75" t="s">
        <v>16</v>
      </c>
      <c r="E35" s="76" t="s">
        <v>22</v>
      </c>
      <c r="F35" s="427" t="s">
        <v>77</v>
      </c>
      <c r="G35" s="76" t="s">
        <v>7</v>
      </c>
      <c r="H35" s="19"/>
      <c r="I35" s="19"/>
      <c r="J35" s="19"/>
    </row>
    <row r="36" spans="1:10" ht="30">
      <c r="A36" s="19"/>
      <c r="B36" s="76" t="s">
        <v>78</v>
      </c>
      <c r="C36" s="76" t="s">
        <v>79</v>
      </c>
      <c r="D36" s="75" t="s">
        <v>57</v>
      </c>
      <c r="E36" s="76"/>
      <c r="F36" s="427" t="s">
        <v>80</v>
      </c>
      <c r="G36" s="105" t="s">
        <v>14</v>
      </c>
      <c r="H36" s="19"/>
      <c r="I36" s="19"/>
      <c r="J36" s="19"/>
    </row>
    <row r="37" spans="1:10" hidden="1">
      <c r="A37" s="19"/>
      <c r="B37" s="76" t="s">
        <v>81</v>
      </c>
      <c r="C37" s="76" t="s">
        <v>82</v>
      </c>
      <c r="D37" s="75" t="s">
        <v>83</v>
      </c>
      <c r="E37" s="76" t="s">
        <v>22</v>
      </c>
      <c r="F37" s="427" t="s">
        <v>84</v>
      </c>
      <c r="G37" s="76" t="s">
        <v>7</v>
      </c>
      <c r="H37" s="19"/>
      <c r="I37" s="19"/>
      <c r="J37" s="19"/>
    </row>
    <row r="38" spans="1:10">
      <c r="A38" s="19"/>
      <c r="B38" s="76" t="s">
        <v>6</v>
      </c>
      <c r="C38" s="76" t="s">
        <v>82</v>
      </c>
      <c r="D38" s="75" t="s">
        <v>83</v>
      </c>
      <c r="E38" s="76" t="s">
        <v>85</v>
      </c>
      <c r="F38" s="427" t="s">
        <v>86</v>
      </c>
      <c r="G38" s="76" t="s">
        <v>14</v>
      </c>
      <c r="H38" s="19"/>
      <c r="I38" s="19"/>
      <c r="J38" s="19"/>
    </row>
    <row r="39" spans="1:10" hidden="1">
      <c r="A39" s="19"/>
      <c r="B39" s="76" t="s">
        <v>85</v>
      </c>
      <c r="C39" s="76" t="s">
        <v>87</v>
      </c>
      <c r="D39" s="75" t="s">
        <v>83</v>
      </c>
      <c r="E39" s="76" t="s">
        <v>22</v>
      </c>
      <c r="F39" s="427" t="s">
        <v>88</v>
      </c>
      <c r="G39" s="76" t="s">
        <v>7</v>
      </c>
      <c r="H39" s="19"/>
      <c r="I39" s="19"/>
      <c r="J39" s="19"/>
    </row>
    <row r="40" spans="1:10" ht="45">
      <c r="A40" s="19"/>
      <c r="B40" s="76" t="s">
        <v>89</v>
      </c>
      <c r="C40" s="76" t="s">
        <v>82</v>
      </c>
      <c r="D40" s="75" t="s">
        <v>83</v>
      </c>
      <c r="E40" s="76" t="s">
        <v>22</v>
      </c>
      <c r="F40" s="427" t="s">
        <v>90</v>
      </c>
      <c r="G40" s="76" t="s">
        <v>14</v>
      </c>
      <c r="H40" s="19"/>
      <c r="I40" s="19"/>
      <c r="J40" s="19"/>
    </row>
    <row r="41" spans="1:10" hidden="1">
      <c r="A41" s="19"/>
      <c r="B41" s="76" t="s">
        <v>91</v>
      </c>
      <c r="C41" s="76" t="s">
        <v>82</v>
      </c>
      <c r="D41" s="75" t="s">
        <v>57</v>
      </c>
      <c r="E41" s="76" t="s">
        <v>22</v>
      </c>
      <c r="F41" s="427" t="s">
        <v>92</v>
      </c>
      <c r="G41" s="76" t="s">
        <v>7</v>
      </c>
      <c r="H41" s="19"/>
      <c r="I41" s="19"/>
      <c r="J41" s="19"/>
    </row>
    <row r="42" spans="1:10" ht="30" hidden="1">
      <c r="A42" s="19"/>
      <c r="B42" s="76" t="s">
        <v>93</v>
      </c>
      <c r="C42" s="76" t="s">
        <v>94</v>
      </c>
      <c r="D42" s="75" t="s">
        <v>57</v>
      </c>
      <c r="E42" s="76" t="s">
        <v>22</v>
      </c>
      <c r="F42" s="427" t="s">
        <v>95</v>
      </c>
      <c r="G42" s="76" t="s">
        <v>7</v>
      </c>
      <c r="H42" s="19"/>
      <c r="I42" s="19"/>
      <c r="J42" s="19"/>
    </row>
    <row r="43" spans="1:10">
      <c r="A43" s="19"/>
      <c r="B43" s="76" t="s">
        <v>96</v>
      </c>
      <c r="C43" s="76" t="s">
        <v>87</v>
      </c>
      <c r="D43" s="75" t="s">
        <v>57</v>
      </c>
      <c r="E43" s="76" t="s">
        <v>22</v>
      </c>
      <c r="F43" s="427" t="s">
        <v>97</v>
      </c>
      <c r="G43" s="76" t="s">
        <v>14</v>
      </c>
      <c r="H43" s="19"/>
      <c r="I43" s="19"/>
      <c r="J43" s="19"/>
    </row>
    <row r="44" spans="1:10" ht="45" hidden="1">
      <c r="A44" s="19"/>
      <c r="B44" s="76" t="s">
        <v>98</v>
      </c>
      <c r="C44" s="76" t="s">
        <v>99</v>
      </c>
      <c r="D44" s="75" t="s">
        <v>57</v>
      </c>
      <c r="E44" s="76" t="s">
        <v>22</v>
      </c>
      <c r="F44" s="427" t="s">
        <v>100</v>
      </c>
      <c r="G44" s="76" t="s">
        <v>7</v>
      </c>
      <c r="H44" s="19"/>
      <c r="I44" s="19"/>
      <c r="J44" s="19"/>
    </row>
    <row r="45" spans="1:10">
      <c r="A45" s="19"/>
      <c r="B45" s="76" t="s">
        <v>101</v>
      </c>
      <c r="C45" s="76" t="s">
        <v>102</v>
      </c>
      <c r="D45" s="75" t="s">
        <v>57</v>
      </c>
      <c r="E45" s="76" t="s">
        <v>22</v>
      </c>
      <c r="F45" s="427"/>
      <c r="G45" s="76" t="s">
        <v>14</v>
      </c>
      <c r="H45" s="19"/>
      <c r="I45" s="19"/>
      <c r="J45" s="19"/>
    </row>
    <row r="46" spans="1:10">
      <c r="A46" s="19"/>
      <c r="B46" s="76" t="s">
        <v>103</v>
      </c>
      <c r="C46" s="76" t="s">
        <v>102</v>
      </c>
      <c r="D46" s="75" t="s">
        <v>57</v>
      </c>
      <c r="E46" s="76" t="s">
        <v>22</v>
      </c>
      <c r="F46" s="427"/>
      <c r="G46" s="76" t="s">
        <v>14</v>
      </c>
      <c r="H46" s="19"/>
      <c r="I46" s="19"/>
      <c r="J46" s="19"/>
    </row>
    <row r="47" spans="1:10" ht="45">
      <c r="A47" s="19"/>
      <c r="B47" s="76" t="s">
        <v>104</v>
      </c>
      <c r="C47" s="76" t="s">
        <v>105</v>
      </c>
      <c r="D47" s="75" t="s">
        <v>57</v>
      </c>
      <c r="E47" s="76" t="s">
        <v>22</v>
      </c>
      <c r="F47" s="427" t="s">
        <v>106</v>
      </c>
      <c r="G47" s="76" t="s">
        <v>14</v>
      </c>
      <c r="H47" s="19"/>
      <c r="I47" s="19"/>
      <c r="J47" s="19"/>
    </row>
    <row r="48" spans="1:10">
      <c r="A48" s="19"/>
      <c r="B48" s="76" t="s">
        <v>107</v>
      </c>
      <c r="C48" s="76" t="s">
        <v>108</v>
      </c>
      <c r="D48" s="75" t="s">
        <v>57</v>
      </c>
      <c r="E48" s="76"/>
      <c r="F48" s="427"/>
      <c r="G48" s="76" t="s">
        <v>14</v>
      </c>
      <c r="H48" s="19"/>
      <c r="I48" s="19"/>
      <c r="J48" s="19"/>
    </row>
    <row r="58" spans="3:3">
      <c r="C58" s="19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1"/>
  <sheetViews>
    <sheetView topLeftCell="A19" workbookViewId="0">
      <selection activeCell="F43" sqref="F43"/>
    </sheetView>
  </sheetViews>
  <sheetFormatPr defaultRowHeight="15"/>
  <cols>
    <col min="1" max="1" width="25.7109375" customWidth="1"/>
    <col min="2" max="2" width="25.85546875" bestFit="1" customWidth="1"/>
    <col min="3" max="3" width="18.5703125" bestFit="1" customWidth="1"/>
    <col min="4" max="4" width="31" bestFit="1" customWidth="1"/>
    <col min="5" max="5" width="14.5703125" bestFit="1" customWidth="1"/>
    <col min="6" max="6" width="13" customWidth="1"/>
    <col min="7" max="9" width="13.42578125" bestFit="1" customWidth="1"/>
    <col min="10" max="10" width="13.42578125" style="19" customWidth="1"/>
  </cols>
  <sheetData>
    <row r="1" spans="1:27">
      <c r="A1" s="1" t="s">
        <v>109</v>
      </c>
      <c r="B1" s="2" t="s">
        <v>110</v>
      </c>
      <c r="C1" s="2" t="s">
        <v>111</v>
      </c>
      <c r="D1" s="2" t="s">
        <v>112</v>
      </c>
      <c r="E1" s="2" t="s">
        <v>113</v>
      </c>
      <c r="F1" s="3" t="s">
        <v>114</v>
      </c>
      <c r="G1" s="2" t="s">
        <v>115</v>
      </c>
      <c r="H1" s="2" t="s">
        <v>116</v>
      </c>
      <c r="I1" s="2" t="s">
        <v>117</v>
      </c>
      <c r="J1" s="2" t="s">
        <v>118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>
      <c r="A2" s="341" t="s">
        <v>119</v>
      </c>
      <c r="B2" s="5"/>
      <c r="C2" s="5"/>
      <c r="D2" s="186"/>
      <c r="E2" s="186"/>
      <c r="F2" s="187"/>
      <c r="G2" s="188"/>
      <c r="H2" s="188"/>
      <c r="I2" s="188"/>
      <c r="J2" s="188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>
      <c r="A3" s="341" t="s">
        <v>120</v>
      </c>
      <c r="B3" s="5"/>
      <c r="C3" s="5"/>
      <c r="D3" s="186"/>
      <c r="E3" s="186"/>
      <c r="F3" s="187"/>
      <c r="G3" s="186"/>
      <c r="H3" s="186"/>
      <c r="I3" s="186"/>
      <c r="J3" s="186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>
      <c r="A4" s="509" t="s">
        <v>121</v>
      </c>
      <c r="B4" s="20"/>
      <c r="C4" s="14"/>
      <c r="D4" s="186"/>
      <c r="E4" s="186"/>
      <c r="F4" s="187"/>
      <c r="G4" s="186"/>
      <c r="H4" s="186"/>
      <c r="I4" s="186"/>
      <c r="J4" s="186"/>
      <c r="K4" s="19"/>
      <c r="L4" s="19"/>
      <c r="M4" s="72" t="s">
        <v>122</v>
      </c>
      <c r="N4" s="72"/>
      <c r="O4" s="72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>
      <c r="A5" s="509" t="s">
        <v>123</v>
      </c>
      <c r="B5" s="60"/>
      <c r="C5" s="20"/>
      <c r="D5" s="20"/>
      <c r="E5" s="355"/>
      <c r="F5" s="187"/>
      <c r="G5" s="186"/>
      <c r="H5" s="186"/>
      <c r="I5" s="186"/>
      <c r="J5" s="186"/>
      <c r="K5" s="19"/>
      <c r="L5" s="19"/>
      <c r="M5" s="72"/>
      <c r="N5" s="72" t="s">
        <v>124</v>
      </c>
      <c r="O5" s="72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>
      <c r="A6" s="4" t="s">
        <v>125</v>
      </c>
      <c r="B6" s="5"/>
      <c r="C6" s="20"/>
      <c r="D6" s="180"/>
      <c r="E6" s="5"/>
      <c r="F6" s="6"/>
      <c r="G6" s="5"/>
      <c r="H6" s="5"/>
      <c r="I6" s="5"/>
      <c r="J6" s="5"/>
      <c r="K6" s="19"/>
      <c r="L6" s="19"/>
      <c r="M6" s="72" t="s">
        <v>126</v>
      </c>
      <c r="N6" s="72"/>
      <c r="O6" s="72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s="19" customFormat="1">
      <c r="A7" s="4" t="s">
        <v>127</v>
      </c>
      <c r="B7" s="219"/>
      <c r="C7" s="219"/>
      <c r="D7" s="504"/>
      <c r="E7" s="505"/>
      <c r="F7" s="506"/>
      <c r="G7" s="505"/>
      <c r="H7" s="505"/>
      <c r="I7" s="505"/>
      <c r="J7" s="505"/>
      <c r="M7" s="72"/>
      <c r="N7" s="72"/>
      <c r="O7" s="72"/>
    </row>
    <row r="8" spans="1:27">
      <c r="A8" s="4" t="s">
        <v>128</v>
      </c>
      <c r="B8" s="20"/>
      <c r="C8" s="219"/>
      <c r="D8" s="504"/>
      <c r="E8" s="505"/>
      <c r="F8" s="506"/>
      <c r="G8" s="505"/>
      <c r="H8" s="505"/>
      <c r="I8" s="505"/>
      <c r="J8" s="505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>
      <c r="A9" s="4" t="s">
        <v>129</v>
      </c>
      <c r="B9" s="219"/>
      <c r="C9" s="219"/>
      <c r="D9" s="503"/>
      <c r="E9" s="219"/>
      <c r="F9" s="506"/>
      <c r="G9" s="505"/>
      <c r="H9" s="505"/>
      <c r="I9" s="505"/>
      <c r="J9" s="505"/>
      <c r="K9" s="19"/>
      <c r="L9" s="19"/>
      <c r="M9" s="114" t="s">
        <v>130</v>
      </c>
      <c r="N9" s="114"/>
      <c r="O9" s="114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>
      <c r="A10" s="509" t="s">
        <v>131</v>
      </c>
      <c r="B10" s="60"/>
      <c r="C10" s="20"/>
      <c r="D10" s="186"/>
      <c r="E10" s="186"/>
      <c r="F10" s="187"/>
      <c r="G10" s="186"/>
      <c r="H10" s="186"/>
      <c r="I10" s="186"/>
      <c r="J10" s="186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>
      <c r="A11" s="37" t="s">
        <v>132</v>
      </c>
      <c r="B11" s="20"/>
      <c r="C11" s="39"/>
      <c r="D11" s="5"/>
      <c r="E11" s="5"/>
      <c r="F11" s="6"/>
      <c r="G11" s="5"/>
      <c r="H11" s="5"/>
      <c r="I11" s="5"/>
      <c r="J11" s="5"/>
      <c r="K11" s="19"/>
      <c r="L11" s="19"/>
      <c r="M11" s="19" t="s">
        <v>133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>
      <c r="A12" s="509" t="s">
        <v>134</v>
      </c>
      <c r="B12" s="5"/>
      <c r="C12" s="39"/>
      <c r="D12" s="20"/>
      <c r="E12" s="186"/>
      <c r="F12" s="187"/>
      <c r="G12" s="186"/>
      <c r="H12" s="186"/>
      <c r="I12" s="186"/>
      <c r="J12" s="186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s="19" customFormat="1">
      <c r="A13" s="37" t="s">
        <v>135</v>
      </c>
      <c r="B13" s="5"/>
      <c r="C13" s="20"/>
      <c r="D13" s="186"/>
      <c r="E13" s="186"/>
      <c r="F13" s="187"/>
      <c r="G13" s="186"/>
      <c r="H13" s="186"/>
      <c r="I13" s="186"/>
      <c r="J13" s="186"/>
    </row>
    <row r="14" spans="1:27">
      <c r="A14" s="4" t="s">
        <v>136</v>
      </c>
      <c r="B14" s="5"/>
      <c r="C14" s="5"/>
      <c r="D14" s="5"/>
      <c r="E14" s="181"/>
      <c r="F14" s="6"/>
      <c r="G14" s="5"/>
      <c r="H14" s="186"/>
      <c r="I14" s="186"/>
      <c r="J14" s="186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>
      <c r="A15" s="509" t="s">
        <v>137</v>
      </c>
      <c r="B15" s="20"/>
      <c r="C15" s="20"/>
      <c r="D15" s="186"/>
      <c r="E15" s="186"/>
      <c r="F15" s="187"/>
      <c r="G15" s="186"/>
      <c r="H15" s="186"/>
      <c r="I15" s="186"/>
      <c r="J15" s="186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>
      <c r="A16" s="509" t="s">
        <v>138</v>
      </c>
      <c r="B16" s="20"/>
      <c r="C16" s="219"/>
      <c r="D16" s="186"/>
      <c r="E16" s="186"/>
      <c r="F16" s="187"/>
      <c r="G16" s="186"/>
      <c r="H16" s="186"/>
      <c r="I16" s="186"/>
      <c r="J16" s="186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>
      <c r="A17" s="4" t="s">
        <v>139</v>
      </c>
      <c r="B17" s="20"/>
      <c r="C17" s="20"/>
      <c r="D17" s="186"/>
      <c r="E17" s="186"/>
      <c r="F17" s="187"/>
      <c r="G17" s="186"/>
      <c r="H17" s="186"/>
      <c r="I17" s="186"/>
      <c r="J17" s="186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>
      <c r="A18" s="4" t="s">
        <v>140</v>
      </c>
      <c r="B18" s="5"/>
      <c r="C18" s="5"/>
      <c r="D18" s="5"/>
      <c r="E18" s="186"/>
      <c r="F18" s="187"/>
      <c r="G18" s="186"/>
      <c r="H18" s="186"/>
      <c r="I18" s="186"/>
      <c r="J18" s="186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s="19" customFormat="1">
      <c r="A19" s="4" t="s">
        <v>75</v>
      </c>
      <c r="B19" s="5"/>
      <c r="C19" s="5"/>
      <c r="D19" s="60"/>
      <c r="E19" s="60"/>
      <c r="F19" s="6"/>
      <c r="G19" s="5"/>
      <c r="H19" s="5"/>
      <c r="I19" s="5"/>
      <c r="J19" s="5"/>
    </row>
    <row r="20" spans="1:27">
      <c r="A20" s="509" t="s">
        <v>141</v>
      </c>
      <c r="B20" s="219"/>
      <c r="C20" s="60"/>
      <c r="D20" s="186"/>
      <c r="E20" s="186"/>
      <c r="F20" s="187"/>
      <c r="G20" s="186"/>
      <c r="H20" s="186"/>
      <c r="I20" s="186"/>
      <c r="J20" s="186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>
      <c r="A21" s="509" t="s">
        <v>142</v>
      </c>
      <c r="B21" s="5"/>
      <c r="C21" s="58"/>
      <c r="D21" s="186"/>
      <c r="E21" s="186"/>
      <c r="F21" s="187"/>
      <c r="G21" s="186"/>
      <c r="H21" s="186"/>
      <c r="I21" s="186"/>
      <c r="J21" s="186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>
      <c r="A22" s="7" t="s">
        <v>143</v>
      </c>
      <c r="B22" s="468"/>
      <c r="C22" s="8"/>
      <c r="D22" s="508"/>
      <c r="E22" s="184"/>
      <c r="F22" s="185"/>
      <c r="G22" s="186"/>
      <c r="H22" s="186"/>
      <c r="I22" s="186"/>
      <c r="J22" s="186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>
      <c r="A23" s="509" t="s">
        <v>144</v>
      </c>
      <c r="B23" s="20"/>
      <c r="C23" s="20"/>
      <c r="D23" s="186"/>
      <c r="E23" s="186"/>
      <c r="F23" s="187"/>
      <c r="G23" s="186"/>
      <c r="H23" s="186"/>
      <c r="I23" s="186"/>
      <c r="J23" s="186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s="19" customFormat="1">
      <c r="A24" s="510" t="s">
        <v>145</v>
      </c>
      <c r="B24" s="219"/>
      <c r="C24" s="186"/>
      <c r="D24" s="184"/>
      <c r="E24" s="184"/>
      <c r="F24" s="185"/>
      <c r="G24" s="184"/>
      <c r="H24" s="184"/>
      <c r="I24" s="184"/>
      <c r="J24" s="184"/>
    </row>
    <row r="25" spans="1:27" s="19" customFormat="1">
      <c r="A25" s="510" t="s">
        <v>146</v>
      </c>
      <c r="B25" s="8"/>
      <c r="C25" s="184"/>
      <c r="D25" s="184"/>
      <c r="E25" s="184"/>
      <c r="F25" s="185"/>
      <c r="G25" s="184"/>
      <c r="H25" s="184"/>
      <c r="I25" s="184"/>
      <c r="J25" s="184"/>
    </row>
    <row r="26" spans="1:27">
      <c r="A26" s="7" t="s">
        <v>147</v>
      </c>
      <c r="B26" s="468"/>
      <c r="C26" s="182"/>
      <c r="D26" s="182"/>
      <c r="E26" s="182"/>
      <c r="F26" s="183"/>
      <c r="G26" s="184"/>
      <c r="H26" s="184"/>
      <c r="I26" s="184"/>
      <c r="J26" s="184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 s="19" customFormat="1">
      <c r="A27" s="510" t="s">
        <v>148</v>
      </c>
      <c r="B27" s="8"/>
      <c r="C27" s="466"/>
      <c r="D27" s="466"/>
      <c r="E27" s="466"/>
      <c r="F27" s="467"/>
      <c r="G27" s="466"/>
      <c r="H27" s="466"/>
      <c r="I27" s="466"/>
      <c r="J27" s="466"/>
    </row>
    <row r="28" spans="1:27" s="19" customFormat="1">
      <c r="A28" s="510" t="s">
        <v>149</v>
      </c>
      <c r="B28" s="182"/>
      <c r="C28" s="466"/>
      <c r="D28" s="466"/>
      <c r="E28" s="466"/>
      <c r="F28" s="467"/>
      <c r="G28" s="466"/>
      <c r="H28" s="466"/>
      <c r="I28" s="466"/>
      <c r="J28" s="466"/>
    </row>
    <row r="29" spans="1:27" s="19" customFormat="1">
      <c r="A29" s="510" t="s">
        <v>150</v>
      </c>
      <c r="B29" s="182"/>
      <c r="C29" s="466"/>
      <c r="D29" s="466"/>
      <c r="E29" s="466"/>
      <c r="F29" s="467"/>
      <c r="G29" s="466"/>
      <c r="H29" s="466"/>
      <c r="I29" s="466"/>
      <c r="J29" s="466"/>
    </row>
    <row r="30" spans="1:27">
      <c r="A30" s="7" t="s">
        <v>151</v>
      </c>
      <c r="B30" s="182"/>
      <c r="C30" s="8"/>
      <c r="D30" s="466"/>
      <c r="E30" s="466"/>
      <c r="F30" s="467"/>
      <c r="G30" s="466"/>
      <c r="H30" s="466"/>
      <c r="I30" s="466"/>
      <c r="J30" s="466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s="19" customFormat="1"/>
    <row r="32" spans="1:27">
      <c r="A32" s="19"/>
      <c r="B32" s="19"/>
      <c r="C32" s="19"/>
      <c r="D32" s="19"/>
      <c r="E32" s="19"/>
      <c r="F32" s="19"/>
      <c r="G32" s="19"/>
      <c r="H32" s="19"/>
      <c r="I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>
      <c r="A33" s="560" t="s">
        <v>152</v>
      </c>
      <c r="B33" s="560"/>
      <c r="C33" s="560"/>
      <c r="D33" s="19"/>
      <c r="E33" s="19"/>
      <c r="F33" s="19"/>
      <c r="G33" s="19"/>
      <c r="H33" s="19"/>
      <c r="I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s="19" customFormat="1">
      <c r="A34" s="19" t="s">
        <v>153</v>
      </c>
      <c r="B34" s="537" t="s">
        <v>1</v>
      </c>
      <c r="C34" s="19" t="s">
        <v>154</v>
      </c>
      <c r="D34" s="19" t="s">
        <v>155</v>
      </c>
    </row>
    <row r="35" spans="1:27">
      <c r="A35" s="537">
        <v>144</v>
      </c>
      <c r="B35" s="537" t="s">
        <v>156</v>
      </c>
      <c r="C35" s="537">
        <v>5</v>
      </c>
      <c r="D35" s="428"/>
      <c r="E35" s="19"/>
      <c r="F35" s="19"/>
      <c r="G35" s="19"/>
      <c r="H35" s="19"/>
      <c r="I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s="19" customFormat="1">
      <c r="A36" s="537">
        <v>145</v>
      </c>
      <c r="B36" s="537" t="s">
        <v>157</v>
      </c>
      <c r="C36" s="537">
        <v>1</v>
      </c>
      <c r="D36" s="428"/>
    </row>
    <row r="37" spans="1:27">
      <c r="A37" s="537">
        <v>146</v>
      </c>
      <c r="B37" s="537" t="s">
        <v>158</v>
      </c>
      <c r="C37" s="537">
        <v>6</v>
      </c>
      <c r="D37" s="428"/>
      <c r="E37" s="19"/>
      <c r="F37" s="19"/>
      <c r="G37" s="19"/>
      <c r="H37" s="19"/>
      <c r="I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s="19" customFormat="1">
      <c r="A38" s="537">
        <v>147</v>
      </c>
      <c r="B38" s="537" t="s">
        <v>159</v>
      </c>
      <c r="C38" s="537">
        <v>4</v>
      </c>
      <c r="D38" s="428"/>
    </row>
    <row r="39" spans="1:27">
      <c r="A39" s="537">
        <v>148</v>
      </c>
      <c r="B39" s="537" t="s">
        <v>160</v>
      </c>
      <c r="C39" s="537">
        <v>4</v>
      </c>
      <c r="D39" s="428"/>
      <c r="E39" s="19"/>
      <c r="F39" s="19"/>
      <c r="G39" s="19"/>
      <c r="H39" s="19"/>
      <c r="I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:27">
      <c r="A40" s="537">
        <v>149</v>
      </c>
      <c r="B40" s="537" t="s">
        <v>161</v>
      </c>
      <c r="C40" s="537">
        <v>5</v>
      </c>
      <c r="D40" s="428"/>
      <c r="E40" s="19"/>
      <c r="F40" s="19"/>
      <c r="G40" s="19"/>
      <c r="H40" s="19"/>
      <c r="I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>
      <c r="A41" s="537">
        <v>150</v>
      </c>
      <c r="B41" s="537" t="s">
        <v>162</v>
      </c>
      <c r="C41" s="537">
        <v>6</v>
      </c>
      <c r="D41" s="428"/>
      <c r="E41" s="19"/>
      <c r="F41" s="19"/>
      <c r="G41" s="19"/>
      <c r="H41" s="19"/>
      <c r="I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>
      <c r="A42" s="537">
        <v>151</v>
      </c>
      <c r="B42" s="537" t="s">
        <v>163</v>
      </c>
      <c r="C42" s="537">
        <v>2</v>
      </c>
      <c r="D42" s="428"/>
      <c r="E42" s="19"/>
      <c r="F42" s="19"/>
      <c r="G42" s="19"/>
      <c r="H42" s="19"/>
      <c r="I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>
      <c r="A43" s="537">
        <v>152</v>
      </c>
      <c r="B43" s="537" t="s">
        <v>164</v>
      </c>
      <c r="C43" s="537">
        <v>6</v>
      </c>
      <c r="D43" s="428"/>
      <c r="E43" s="19"/>
      <c r="F43" s="19"/>
      <c r="G43" s="19"/>
      <c r="H43" s="19"/>
      <c r="I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>
      <c r="A44" s="537">
        <v>153</v>
      </c>
      <c r="B44" s="537" t="s">
        <v>165</v>
      </c>
      <c r="C44" s="537">
        <v>3</v>
      </c>
      <c r="D44" s="428"/>
      <c r="E44" s="19"/>
      <c r="F44" s="19"/>
      <c r="G44" s="19"/>
      <c r="H44" s="19"/>
      <c r="I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>
      <c r="A45" s="537">
        <v>154</v>
      </c>
      <c r="B45" s="537" t="s">
        <v>166</v>
      </c>
      <c r="C45" s="537"/>
      <c r="D45" s="428"/>
      <c r="E45" s="19"/>
      <c r="F45" s="19"/>
      <c r="G45" s="19"/>
      <c r="H45" s="19"/>
      <c r="I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1:27">
      <c r="A46" s="270">
        <v>144149155</v>
      </c>
      <c r="B46" s="537" t="s">
        <v>167</v>
      </c>
      <c r="C46" s="537">
        <v>4</v>
      </c>
      <c r="D46" s="428"/>
      <c r="E46" s="19"/>
      <c r="F46" s="19"/>
      <c r="G46" s="19"/>
      <c r="H46" s="19"/>
      <c r="I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>
      <c r="A47" s="270">
        <v>153152</v>
      </c>
      <c r="B47" s="537" t="s">
        <v>168</v>
      </c>
      <c r="C47" s="537">
        <v>1</v>
      </c>
      <c r="D47" s="428"/>
      <c r="E47" s="19"/>
      <c r="F47" s="19"/>
      <c r="G47" s="19"/>
      <c r="H47" s="19"/>
      <c r="I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spans="1:27">
      <c r="A48" s="19"/>
      <c r="B48" s="19"/>
      <c r="C48" s="19"/>
      <c r="D48" s="19"/>
      <c r="E48" s="19"/>
      <c r="F48" s="19"/>
      <c r="G48" s="19"/>
      <c r="H48" s="19"/>
      <c r="I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>
      <c r="A49" s="19"/>
      <c r="B49" s="19"/>
      <c r="C49" s="19"/>
      <c r="D49" s="19"/>
      <c r="E49" s="19"/>
      <c r="F49" s="19"/>
      <c r="G49" s="19"/>
      <c r="H49" s="19"/>
      <c r="I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spans="1:27">
      <c r="A50" s="19"/>
      <c r="B50" s="19"/>
      <c r="C50" s="19"/>
      <c r="D50" s="19"/>
      <c r="E50" s="19"/>
      <c r="F50" s="19"/>
      <c r="G50" s="19"/>
      <c r="H50" s="19"/>
      <c r="I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1:27">
      <c r="A51" s="19"/>
      <c r="B51" s="19"/>
      <c r="C51" s="19"/>
      <c r="D51" s="19"/>
      <c r="E51" s="19"/>
      <c r="F51" s="19"/>
      <c r="G51" s="19"/>
      <c r="H51" s="19"/>
      <c r="I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spans="1:27">
      <c r="A52" s="19"/>
      <c r="B52" s="19"/>
      <c r="C52" s="19"/>
      <c r="D52" s="19"/>
      <c r="E52" s="19"/>
      <c r="F52" s="19"/>
      <c r="G52" s="19"/>
      <c r="H52" s="19"/>
      <c r="I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>
      <c r="A53" s="19"/>
      <c r="B53" s="19"/>
      <c r="C53" s="19"/>
      <c r="D53" s="19"/>
      <c r="E53" s="19"/>
      <c r="F53" s="19"/>
      <c r="G53" s="19"/>
      <c r="H53" s="19"/>
      <c r="I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spans="1:27">
      <c r="A54" s="19"/>
      <c r="B54" s="19"/>
      <c r="C54" s="19"/>
      <c r="D54" s="19"/>
      <c r="E54" s="19"/>
      <c r="F54" s="19"/>
      <c r="G54" s="19"/>
      <c r="H54" s="19"/>
      <c r="I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>
      <c r="A55" s="19"/>
      <c r="B55" s="19"/>
      <c r="C55" s="19"/>
      <c r="D55" s="19"/>
      <c r="E55" s="19"/>
      <c r="F55" s="19"/>
      <c r="G55" s="19"/>
      <c r="H55" s="19"/>
      <c r="I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spans="1:27">
      <c r="A56" s="19"/>
      <c r="B56" s="19"/>
      <c r="C56" s="19"/>
      <c r="D56" s="19"/>
      <c r="E56" s="19"/>
      <c r="F56" s="19"/>
      <c r="G56" s="19"/>
      <c r="H56" s="19"/>
      <c r="I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>
      <c r="A57" s="19"/>
      <c r="B57" s="19"/>
      <c r="C57" s="19"/>
      <c r="D57" s="19"/>
      <c r="E57" s="19"/>
      <c r="F57" s="19"/>
      <c r="G57" s="19"/>
      <c r="H57" s="19"/>
      <c r="I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spans="1:27">
      <c r="A58" s="19"/>
      <c r="B58" s="19"/>
      <c r="C58" s="19"/>
      <c r="D58" s="19"/>
      <c r="E58" s="19"/>
      <c r="F58" s="19"/>
      <c r="G58" s="19"/>
      <c r="H58" s="19"/>
      <c r="I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>
      <c r="A59" s="19"/>
      <c r="B59" s="19"/>
      <c r="C59" s="19"/>
      <c r="D59" s="19"/>
      <c r="E59" s="19"/>
      <c r="F59" s="19"/>
      <c r="G59" s="19"/>
      <c r="H59" s="19"/>
      <c r="I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spans="1:27">
      <c r="A60" s="19"/>
      <c r="B60" s="19"/>
      <c r="C60" s="19"/>
      <c r="D60" s="19"/>
      <c r="E60" s="19"/>
      <c r="F60" s="19"/>
      <c r="G60" s="19"/>
      <c r="H60" s="19"/>
      <c r="I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>
      <c r="A61" s="19"/>
      <c r="B61" s="19"/>
      <c r="C61" s="19"/>
      <c r="D61" s="19"/>
      <c r="E61" s="19"/>
      <c r="F61" s="19"/>
      <c r="G61" s="19"/>
      <c r="H61" s="19"/>
      <c r="I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</sheetData>
  <mergeCells count="1">
    <mergeCell ref="A33:C33"/>
  </mergeCells>
  <pageMargins left="0.7" right="0.7" top="0.75" bottom="0.75" header="0.3" footer="0.3"/>
  <pageSetup fitToWidth="0" fitToHeight="0" orientation="landscape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385D-705A-4C64-8E5C-9C9E6459716C}">
  <sheetPr>
    <pageSetUpPr fitToPage="1"/>
  </sheetPr>
  <dimension ref="A1:AO1048576"/>
  <sheetViews>
    <sheetView zoomScale="85" zoomScaleNormal="85" workbookViewId="0">
      <selection activeCell="K12" sqref="K12"/>
    </sheetView>
  </sheetViews>
  <sheetFormatPr defaultRowHeight="15"/>
  <cols>
    <col min="2" max="2" width="13.7109375" bestFit="1" customWidth="1"/>
    <col min="3" max="3" width="9.140625" customWidth="1"/>
    <col min="4" max="4" width="12.85546875" bestFit="1" customWidth="1"/>
    <col min="5" max="5" width="14.28515625" bestFit="1" customWidth="1"/>
    <col min="6" max="6" width="14" bestFit="1" customWidth="1"/>
    <col min="8" max="8" width="3.7109375" bestFit="1" customWidth="1"/>
    <col min="9" max="9" width="16.5703125" customWidth="1"/>
    <col min="10" max="10" width="10.42578125" bestFit="1" customWidth="1"/>
    <col min="11" max="11" width="11.85546875" bestFit="1" customWidth="1"/>
    <col min="12" max="12" width="11.85546875" customWidth="1"/>
    <col min="13" max="13" width="3.28515625" bestFit="1" customWidth="1"/>
    <col min="14" max="14" width="13.7109375" customWidth="1"/>
    <col min="15" max="15" width="10.7109375" customWidth="1"/>
    <col min="16" max="16" width="4.7109375" bestFit="1" customWidth="1"/>
    <col min="17" max="17" width="3.28515625" bestFit="1" customWidth="1"/>
    <col min="18" max="18" width="11.42578125" customWidth="1"/>
    <col min="19" max="19" width="10.42578125" bestFit="1" customWidth="1"/>
    <col min="20" max="20" width="10.7109375" bestFit="1" customWidth="1"/>
    <col min="21" max="21" width="10.7109375" customWidth="1"/>
    <col min="22" max="22" width="7.5703125" style="19" customWidth="1"/>
    <col min="23" max="23" width="10.140625" style="19" customWidth="1"/>
    <col min="24" max="24" width="13.42578125" style="19" bestFit="1" customWidth="1"/>
    <col min="25" max="25" width="9.28515625" style="19" customWidth="1"/>
    <col min="26" max="26" width="3.28515625" style="19" bestFit="1" customWidth="1"/>
    <col min="28" max="28" width="13.7109375" style="19" customWidth="1"/>
    <col min="29" max="31" width="30.7109375" bestFit="1" customWidth="1"/>
    <col min="32" max="32" width="29.42578125" bestFit="1" customWidth="1"/>
    <col min="33" max="33" width="28.85546875" bestFit="1" customWidth="1"/>
  </cols>
  <sheetData>
    <row r="1" spans="1:41">
      <c r="A1" s="201"/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  <c r="AF1" s="201"/>
      <c r="AG1" s="346"/>
      <c r="AH1" s="19"/>
      <c r="AI1" s="19"/>
      <c r="AJ1" s="19"/>
      <c r="AK1" s="19"/>
      <c r="AL1" s="19"/>
      <c r="AM1" s="19"/>
      <c r="AN1" s="19"/>
      <c r="AO1" s="19"/>
    </row>
    <row r="2" spans="1:41" ht="15" customHeight="1">
      <c r="A2" s="201"/>
      <c r="B2" s="583" t="s">
        <v>169</v>
      </c>
      <c r="C2" s="584"/>
      <c r="D2" s="584"/>
      <c r="E2" s="584"/>
      <c r="F2" s="585"/>
      <c r="G2" s="201"/>
      <c r="H2" s="583" t="s">
        <v>170</v>
      </c>
      <c r="I2" s="584"/>
      <c r="J2" s="584"/>
      <c r="K2" s="584"/>
      <c r="L2" s="584"/>
      <c r="M2" s="584"/>
      <c r="N2" s="584"/>
      <c r="O2" s="585"/>
      <c r="P2" s="201"/>
      <c r="Q2" s="583" t="s">
        <v>171</v>
      </c>
      <c r="R2" s="584"/>
      <c r="S2" s="584"/>
      <c r="T2" s="584"/>
      <c r="U2" s="584"/>
      <c r="V2" s="584"/>
      <c r="W2" s="584"/>
      <c r="X2" s="584"/>
      <c r="Y2" s="585"/>
      <c r="Z2" s="201"/>
      <c r="AA2" s="201"/>
      <c r="AB2" s="201"/>
      <c r="AC2" s="589" t="s">
        <v>172</v>
      </c>
      <c r="AD2" s="590"/>
      <c r="AE2" s="590"/>
      <c r="AF2" s="590"/>
      <c r="AG2" s="591"/>
      <c r="AH2" s="19"/>
      <c r="AI2" s="19"/>
      <c r="AJ2" s="19"/>
      <c r="AK2" s="19"/>
      <c r="AL2" s="19"/>
      <c r="AM2" s="19"/>
      <c r="AN2" s="19"/>
      <c r="AO2" s="19"/>
    </row>
    <row r="3" spans="1:41" ht="18.75">
      <c r="A3" s="201"/>
      <c r="B3" s="202" t="s">
        <v>173</v>
      </c>
      <c r="C3" s="203">
        <f>COUNTIFS(RecallTable[GRADE],B3,RecallTable[MOS],"1721")+COUNTIFS(RecallTable[GRADE],B3,RecallTable[MOS],"1700")+COUNTIFS(RecallTable[GRADE],B3,RecallTable[MOS],"0231")</f>
        <v>0</v>
      </c>
      <c r="D3" s="201" t="str">
        <f>_xlfn.CONCAT(REPT("|",COUNTIFS(RecallTable[GRADE],B3,RecallTable[MOS],"1721")),REPT("o",COUNTIFS(RecallTable[GRADE],B3,RecallTable[MOS],"1700")))</f>
        <v/>
      </c>
      <c r="E3" s="201"/>
      <c r="F3" s="201"/>
      <c r="G3" s="201"/>
      <c r="H3" s="203"/>
      <c r="I3" s="204"/>
      <c r="J3" s="205"/>
      <c r="K3" s="205"/>
      <c r="L3" s="206"/>
      <c r="M3" s="201"/>
      <c r="N3" s="201"/>
      <c r="O3" s="201"/>
      <c r="P3" s="201"/>
      <c r="Q3" s="203"/>
      <c r="R3" s="204"/>
      <c r="S3" s="205"/>
      <c r="T3" s="205"/>
      <c r="U3" s="206"/>
      <c r="V3" s="201"/>
      <c r="W3" s="201"/>
      <c r="X3" s="201"/>
      <c r="Y3" s="201"/>
      <c r="Z3" s="201"/>
      <c r="AA3" s="201"/>
      <c r="AB3" s="201"/>
      <c r="AC3" s="592" t="str">
        <f>_xlfn.CONCAT("Recall Roster (", COUNTIFS(RecallTable[NAME],"*"), ")")</f>
        <v>Recall Roster (80)</v>
      </c>
      <c r="AD3" s="592" t="str">
        <f>_xlfn.CONCAT("Whole Marine (", COUNTIFS(WholeMarineTrainingTable[Name],"*"), ")")</f>
        <v>Whole Marine (79)</v>
      </c>
      <c r="AE3" s="594" t="str">
        <f>_xlfn.CONCAT("Hitlist (", COUNTIFS(HitlistTable[Name],"*"), ")")</f>
        <v>Hitlist (79)</v>
      </c>
      <c r="AF3" s="592" t="str">
        <f>_xlfn.CONCAT("Morning Report (", COUNTIFS(MOLTable[Name],"*"), ")")</f>
        <v>Morning Report (79)</v>
      </c>
      <c r="AG3" s="594" t="str">
        <f>_xlfn.CONCAT("View Reports (", COUNTIFS(ViewReports[Name],"*"), ")")</f>
        <v>View Reports (79)</v>
      </c>
      <c r="AH3" s="19"/>
      <c r="AI3" s="19"/>
      <c r="AJ3" s="19"/>
      <c r="AK3" s="19"/>
      <c r="AL3" s="19"/>
      <c r="AM3" s="19"/>
      <c r="AN3" s="19"/>
      <c r="AO3" s="19"/>
    </row>
    <row r="4" spans="1:41">
      <c r="A4" s="201"/>
      <c r="B4" s="202" t="s">
        <v>174</v>
      </c>
      <c r="C4" s="203">
        <f>COUNTIFS(RecallTable[GRADE],B4,RecallTable[MOS],"1721")+COUNTIFS(RecallTable[GRADE],B4,RecallTable[MOS],"1700")+COUNTIFS(RecallTable[GRADE],B4,RecallTable[MOS],"0231")</f>
        <v>0</v>
      </c>
      <c r="D4" s="201" t="str">
        <f>_xlfn.CONCAT(REPT("|",COUNTIFS(RecallTable[GRADE],B4,RecallTable[MOS],"1721")),REPT("o",COUNTIFS(RecallTable[GRADE],B4,RecallTable[MOS],"1700")),REPT("?",COUNTIFS(RecallTable[GRADE],B4,RecallTable[MOS],"0231")))</f>
        <v/>
      </c>
      <c r="E4" s="201"/>
      <c r="F4" s="201"/>
      <c r="G4" s="201"/>
      <c r="H4" s="203"/>
      <c r="I4" s="65" t="s">
        <v>175</v>
      </c>
      <c r="J4" s="64" t="s">
        <v>176</v>
      </c>
      <c r="K4" s="64" t="s">
        <v>177</v>
      </c>
      <c r="L4" s="63" t="s">
        <v>7</v>
      </c>
      <c r="M4" s="201"/>
      <c r="N4" s="203" t="s">
        <v>178</v>
      </c>
      <c r="O4" s="201"/>
      <c r="P4" s="201"/>
      <c r="Q4" s="203"/>
      <c r="R4" s="65" t="s">
        <v>175</v>
      </c>
      <c r="S4" s="64" t="s">
        <v>176</v>
      </c>
      <c r="T4" s="64" t="s">
        <v>177</v>
      </c>
      <c r="U4" s="63" t="s">
        <v>7</v>
      </c>
      <c r="V4" s="201"/>
      <c r="W4" s="201"/>
      <c r="X4" s="203" t="s">
        <v>178</v>
      </c>
      <c r="Y4" s="201"/>
      <c r="Z4" s="201"/>
      <c r="AA4" s="201"/>
      <c r="AB4" s="201"/>
      <c r="AC4" s="593"/>
      <c r="AD4" s="593"/>
      <c r="AE4" s="595"/>
      <c r="AF4" s="593"/>
      <c r="AG4" s="595"/>
      <c r="AH4" s="19"/>
      <c r="AI4" s="19"/>
      <c r="AJ4" s="19"/>
      <c r="AK4" s="19"/>
      <c r="AL4" s="19"/>
      <c r="AM4" s="19"/>
      <c r="AN4" s="19"/>
      <c r="AO4" s="19"/>
    </row>
    <row r="5" spans="1:41" ht="18.75">
      <c r="A5" s="201"/>
      <c r="B5" s="202" t="s">
        <v>179</v>
      </c>
      <c r="C5" s="203">
        <f>COUNTIFS(RecallTable[GRADE],B5,RecallTable[MOS],"1721")+COUNTIFS(RecallTable[GRADE],B5,RecallTable[MOS],"1700")+COUNTIFS(RecallTable[GRADE],B5,RecallTable[MOS],"0231")</f>
        <v>6</v>
      </c>
      <c r="D5" s="201" t="str">
        <f>_xlfn.CONCAT(REPT("|",COUNTIFS(RecallTable[GRADE],B5,RecallTable[MOS],"1721")),REPT("o",COUNTIFS(RecallTable[GRADE],B5,RecallTable[MOS],"1700")),REPT("?",COUNTIFS(RecallTable[GRADE],B5,RecallTable[MOS],"0231")))</f>
        <v>|||||?</v>
      </c>
      <c r="E5" s="201"/>
      <c r="F5" s="201"/>
      <c r="G5" s="201"/>
      <c r="H5" s="203" t="s">
        <v>179</v>
      </c>
      <c r="I5" s="204" t="str">
        <f>REPT("|",COUNTIFS(WholeMarineTrainingTable[[Grade]:[Grade]],$H5, WholeMarineTrainingTable[[LCpl Seminar]:[LCpl Seminar]],I$4))</f>
        <v/>
      </c>
      <c r="J5" s="205" t="str">
        <f>REPT("|",COUNTIFS(WholeMarineTrainingTable[[Grade]:[Grade]],$H5, WholeMarineTrainingTable[[LCpl Seminar]:[LCpl Seminar]],J$4))</f>
        <v/>
      </c>
      <c r="K5" s="205" t="str">
        <f>REPT("|",COUNTIFS(WholeMarineTrainingTable[[Grade]:[Grade]],$H5, WholeMarineTrainingTable[[LCpl Seminar]:[LCpl Seminar]],K$4))</f>
        <v/>
      </c>
      <c r="L5" s="206" t="str">
        <f>REPT("|",COUNTIFS(WholeMarineTrainingTable[[Grade]:[Grade]],$H5, WholeMarineTrainingTable[[LCpl Seminar]:[LCpl Seminar]],L$4))</f>
        <v>||||||</v>
      </c>
      <c r="M5" s="201"/>
      <c r="N5" s="203" t="str">
        <f>_xlfn.CONCAT(COUNTIFS(WholeMarineTrainingTable[Grade],H5, WholeMarineTrainingTable[LCpl Seminar],"Completed"),"/",COUNTIFS(WholeMarineTrainingTable[Grade],H5, WholeMarineTrainingTable[LCpl Seminar],"*"))</f>
        <v>6/6</v>
      </c>
      <c r="O5" s="207">
        <f>COUNTIFS(WholeMarineTrainingTable[Grade],H5, WholeMarineTrainingTable[LCpl Seminar],"Completed")/COUNTIFS(WholeMarineTrainingTable[Grade],H5, WholeMarineTrainingTable[LCpl Seminar],"*")</f>
        <v>1</v>
      </c>
      <c r="P5" s="201"/>
      <c r="Q5" s="203" t="s">
        <v>179</v>
      </c>
      <c r="R5" s="204" t="str">
        <f>REPT("|",COUNTIFS(WholeMarineTrainingTable[Grade],$Q5, WholeMarineTrainingTable[LCpl Dist],R$4))</f>
        <v/>
      </c>
      <c r="S5" s="205" t="str">
        <f>REPT("|",COUNTIFS(WholeMarineTrainingTable[[Grade]:[Grade]],$H5, WholeMarineTrainingTable[[LCpl Dist]:[LCpl Dist]],S$4))</f>
        <v/>
      </c>
      <c r="T5" s="205" t="str">
        <f>REPT("|",COUNTIFS(WholeMarineTrainingTable[[Grade]:[Grade]],$H5, WholeMarineTrainingTable[[LCpl Dist]:[LCpl Dist]],T$4))</f>
        <v/>
      </c>
      <c r="U5" s="206" t="str">
        <f>REPT("|",COUNTIFS(WholeMarineTrainingTable[[Grade]:[Grade]],$H5, WholeMarineTrainingTable[[LCpl Dist]:[LCpl Dist]],U$4))</f>
        <v>||||||</v>
      </c>
      <c r="V5" s="201"/>
      <c r="W5" s="201"/>
      <c r="X5" s="203" t="str">
        <f>_xlfn.CONCAT(COUNTIFS(WholeMarineTrainingTable[Grade],Q5, WholeMarineTrainingTable[LCpl Dist],"Completed"),"/",COUNTIFS(WholeMarineTrainingTable[Grade],Q5, WholeMarineTrainingTable[LCpl Dist],"*"))</f>
        <v>6/6</v>
      </c>
      <c r="Y5" s="207">
        <f>COUNTIFS(WholeMarineTrainingTable[Grade],Q5, WholeMarineTrainingTable[LCpl Dist],"Completed")/COUNTIFS(WholeMarineTrainingTable[Grade],Q5, WholeMarineTrainingTable[LCpl Dist],"*")</f>
        <v>1</v>
      </c>
      <c r="Z5" s="201"/>
      <c r="AA5" s="201"/>
      <c r="AB5" s="201"/>
      <c r="AC5" s="443"/>
      <c r="AD5" s="354" t="str" cm="1">
        <f t="array" ref="AD5">_xlfn._xlws.FILTER(RecallTable[NAME],NOT(COUNTIF(WholeMarineTrainingTable[Name], RecallTable[NAME])))</f>
        <v>JONSON, JOHN A.</v>
      </c>
      <c r="AE5" s="354" t="str" cm="1">
        <f t="array" ref="AE5">_xlfn._xlws.FILTER(RecallTable[NAME],NOT(COUNTIF(HitlistTable[Name], RecallTable[NAME])))</f>
        <v>JONSON, JOHN A.</v>
      </c>
      <c r="AF5" s="346" t="str" cm="1">
        <f t="array" ref="AF5">_xlfn._xlws.FILTER(RecallTable[NAME],NOT(COUNTIF(MOLTable[Name], RecallTable[NAME])))</f>
        <v>JONSON, JOHN A.</v>
      </c>
      <c r="AG5" s="346" t="e" cm="1" vm="1">
        <f t="array" ref="AG5">_xlfn._xlws.FILTER(ViewReports[Name],NOT(COUNTIF(RecallTable[NAME], ViewReports[Name])))</f>
        <v>#VALUE!</v>
      </c>
      <c r="AH5" s="19"/>
      <c r="AI5" s="19"/>
      <c r="AJ5" s="19"/>
      <c r="AK5" s="19"/>
      <c r="AL5" s="19"/>
      <c r="AM5" s="19"/>
      <c r="AN5" s="19"/>
      <c r="AO5" s="19"/>
    </row>
    <row r="6" spans="1:41" ht="18.75">
      <c r="A6" s="201"/>
      <c r="B6" s="202" t="s">
        <v>180</v>
      </c>
      <c r="C6" s="203">
        <f>COUNTIFS(RecallTable[GRADE],B6,RecallTable[MOS],"1721")+COUNTIFS(RecallTable[GRADE],B6,RecallTable[MOS],"1700")+COUNTIFS(RecallTable[GRADE],B6,RecallTable[MOS],"0231")</f>
        <v>29</v>
      </c>
      <c r="D6" s="201" t="str">
        <f>_xlfn.CONCAT(REPT("|",COUNTIFS(RecallTable[GRADE],B6,RecallTable[MOS],"1721")),REPT("o",COUNTIFS(RecallTable[GRADE],B6,RecallTable[MOS],"1700")),REPT("?",COUNTIFS(RecallTable[GRADE],B6,RecallTable[MOS],"0231")))</f>
        <v>|||||||||||||||||||||||||||||</v>
      </c>
      <c r="E6" s="201"/>
      <c r="F6" s="201"/>
      <c r="G6" s="201"/>
      <c r="H6" s="203" t="s">
        <v>180</v>
      </c>
      <c r="I6" s="204" t="str">
        <f>REPT("|",COUNTIFS(WholeMarineTrainingTable[[Grade]:[Grade]],$H6, WholeMarineTrainingTable[[Cpls Crs Res]:[Cpls Crs Res]],I$4))</f>
        <v>|</v>
      </c>
      <c r="J6" s="205" t="str">
        <f>REPT("|",COUNTIFS(WholeMarineTrainingTable[[Grade]:[Grade]],$H6, WholeMarineTrainingTable[[Cpls Crs Res]:[Cpls Crs Res]],J$4))</f>
        <v>|</v>
      </c>
      <c r="K6" s="205" t="str">
        <f>REPT("|",COUNTIFS(WholeMarineTrainingTable[[Grade]:[Grade]],$H6, WholeMarineTrainingTable[[Cpls Crs Res]:[Cpls Crs Res]],K$4))</f>
        <v/>
      </c>
      <c r="L6" s="206" t="str">
        <f>REPT("|",COUNTIFS(WholeMarineTrainingTable[[Grade]:[Grade]],$H6, WholeMarineTrainingTable[[Cpls Crs Res]:[Cpls Crs Res]],L$4))</f>
        <v>|||||||||||||||||</v>
      </c>
      <c r="M6" s="201"/>
      <c r="N6" s="203" t="str">
        <f>_xlfn.CONCAT(COUNTIFS(WholeMarineTrainingTable[Grade],H6, WholeMarineTrainingTable[Cpls Crs Res],"Completed"),"/",COUNTIFS(WholeMarineTrainingTable[Grade],H6, WholeMarineTrainingTable[Cpls Crs Res],"*"))</f>
        <v>17/19</v>
      </c>
      <c r="O6" s="207">
        <f>COUNTIFS(WholeMarineTrainingTable[Grade],H6, WholeMarineTrainingTable[Cpls Crs Res],"Completed")/COUNTIFS(WholeMarineTrainingTable[Grade],H6, WholeMarineTrainingTable[Cpls Crs Res],"*")</f>
        <v>0.89473684210526316</v>
      </c>
      <c r="P6" s="201"/>
      <c r="Q6" s="203" t="s">
        <v>180</v>
      </c>
      <c r="R6" s="204" t="str">
        <f>REPT("|",COUNTIFS(WholeMarineTrainingTable[Grade],$Q6, WholeMarineTrainingTable[Cpls Crs Dist],R$4))</f>
        <v/>
      </c>
      <c r="S6" s="205" t="str">
        <f>REPT("|",COUNTIFS(WholeMarineTrainingTable[[Grade]:[Grade]],$H6, WholeMarineTrainingTable[[Cpls Crs Dist]:[Cpls Crs Dist]],S$4))</f>
        <v/>
      </c>
      <c r="T6" s="205" t="str">
        <f>REPT("|",COUNTIFS(WholeMarineTrainingTable[[Grade]:[Grade]],$H6, WholeMarineTrainingTable[[Cpls Crs Dist]:[Cpls Crs Dist]],T$4))</f>
        <v>|</v>
      </c>
      <c r="U6" s="206" t="str">
        <f>REPT("|",COUNTIFS(WholeMarineTrainingTable[[Grade]:[Grade]],$H6, WholeMarineTrainingTable[[Cpls Crs Dist]:[Cpls Crs Dist]],U$4))</f>
        <v>|||||||||||||||||</v>
      </c>
      <c r="V6" s="201"/>
      <c r="W6" s="201"/>
      <c r="X6" s="203" t="str">
        <f>_xlfn.CONCAT(COUNTIFS(WholeMarineTrainingTable[Grade],Q6, WholeMarineTrainingTable[Cpls Crs Dist],"Completed"),"/",COUNTIFS(WholeMarineTrainingTable[Grade],Q6, WholeMarineTrainingTable[Cpls Crs Dist],"*"))</f>
        <v>17/18</v>
      </c>
      <c r="Y6" s="207">
        <f>COUNTIFS(WholeMarineTrainingTable[Grade],Q6, WholeMarineTrainingTable[Cpls Crs Dist],"Completed")/COUNTIFS(WholeMarineTrainingTable[Grade],Q6, WholeMarineTrainingTable[Cpls Crs Dist],"*")</f>
        <v>0.94444444444444442</v>
      </c>
      <c r="Z6" s="201"/>
      <c r="AA6" s="201"/>
      <c r="AB6" s="201"/>
      <c r="AC6" s="346"/>
      <c r="AD6" s="346"/>
      <c r="AE6" s="346"/>
      <c r="AF6" s="346"/>
      <c r="AG6" s="346"/>
      <c r="AH6" s="19"/>
      <c r="AI6" s="19"/>
      <c r="AJ6" s="19"/>
      <c r="AK6" s="19"/>
      <c r="AL6" s="19"/>
      <c r="AM6" s="19"/>
      <c r="AN6" s="19"/>
      <c r="AO6" s="19"/>
    </row>
    <row r="7" spans="1:41" ht="18.75">
      <c r="A7" s="201"/>
      <c r="B7" s="202" t="s">
        <v>181</v>
      </c>
      <c r="C7" s="203">
        <f>COUNTIFS(RecallTable[GRADE],B7,RecallTable[MOS],"1721")+COUNTIFS(RecallTable[GRADE],B7,RecallTable[MOS],"1700")+COUNTIFS(RecallTable[GRADE],B7,RecallTable[MOS],"0231")</f>
        <v>16</v>
      </c>
      <c r="D7" s="201" t="str">
        <f>_xlfn.CONCAT(REPT("|",COUNTIFS(RecallTable[GRADE],B7,RecallTable[MOS],"1721")),REPT("o",COUNTIFS(RecallTable[GRADE],B7,RecallTable[MOS],"1700")),REPT("?",COUNTIFS(RecallTable[GRADE],B7,RecallTable[MOS],"0231")))</f>
        <v>||||||||||||oooo</v>
      </c>
      <c r="E7" s="201"/>
      <c r="F7" s="201"/>
      <c r="G7" s="201"/>
      <c r="H7" s="203" t="s">
        <v>181</v>
      </c>
      <c r="I7" s="204" t="str">
        <f>REPT("|",COUNTIFS(WholeMarineTrainingTable[Grade],$H7, WholeMarineTrainingTable[Sgt Sch Res],I$4))</f>
        <v>|</v>
      </c>
      <c r="J7" s="205" t="str">
        <f>REPT("|",COUNTIFS(WholeMarineTrainingTable[[Grade]:[Grade]],$H7, WholeMarineTrainingTable[[Sgt Sch Res]:[Sgt Sch Res]],J$4))</f>
        <v>|</v>
      </c>
      <c r="K7" s="205" t="str">
        <f>REPT("|",COUNTIFS(WholeMarineTrainingTable[[Grade]:[Grade]],$H7, WholeMarineTrainingTable[[Sgt Sch Res]:[Sgt Sch Res]],K$4))</f>
        <v>|</v>
      </c>
      <c r="L7" s="206" t="str">
        <f>REPT("|",COUNTIFS(WholeMarineTrainingTable[[Grade]:[Grade]],$H7, WholeMarineTrainingTable[[Sgt Sch Res]:[Sgt Sch Res]],L$4))</f>
        <v>|||||</v>
      </c>
      <c r="M7" s="201"/>
      <c r="N7" s="203" t="str">
        <f>_xlfn.CONCAT(COUNTIFS(WholeMarineTrainingTable[Grade],H7, WholeMarineTrainingTable[Sgt Sch Res],"Completed"),"/",COUNTIF(WholeMarineTrainingTable[Grade],H7))</f>
        <v>5/16</v>
      </c>
      <c r="O7" s="207">
        <f>COUNTIFS(WholeMarineTrainingTable[Grade],H7, WholeMarineTrainingTable[Sgt Sch Res],"Completed")/COUNTIFS(WholeMarineTrainingTable[Grade],H7, WholeMarineTrainingTable[Sgt Sch Res],"*")</f>
        <v>0.625</v>
      </c>
      <c r="P7" s="201"/>
      <c r="Q7" s="203" t="s">
        <v>181</v>
      </c>
      <c r="R7" s="204" t="str">
        <f>REPT("|",COUNTIFS(WholeMarineTrainingTable[Grade],$Q7, WholeMarineTrainingTable[Sgt Sch Dist],R$4))</f>
        <v/>
      </c>
      <c r="S7" s="205" t="str">
        <f>REPT("|",COUNTIFS(WholeMarineTrainingTable[[Grade]:[Grade]],$H7, WholeMarineTrainingTable[[Sgt Sch Dist]:[Sgt Sch Dist]],S$4))</f>
        <v/>
      </c>
      <c r="T7" s="205" t="str">
        <f>REPT("|",COUNTIFS(WholeMarineTrainingTable[[Grade]:[Grade]],$H7, WholeMarineTrainingTable[[Sgt Sch Dist]:[Sgt Sch Dist]],T$4))</f>
        <v/>
      </c>
      <c r="U7" s="206" t="str">
        <f>REPT("|",COUNTIFS(WholeMarineTrainingTable[[Grade]:[Grade]],$H7, WholeMarineTrainingTable[[Sgt Sch Dist]:[Sgt Sch Dist]],U$4))</f>
        <v>||||||||</v>
      </c>
      <c r="V7" s="201"/>
      <c r="W7" s="201"/>
      <c r="X7" s="203" t="str">
        <f>_xlfn.CONCAT(COUNTIFS(WholeMarineTrainingTable[Grade],Q7, WholeMarineTrainingTable[Sgt Sch Dist],"Completed"),"/",COUNTIF(WholeMarineTrainingTable[Grade],Q7))</f>
        <v>8/16</v>
      </c>
      <c r="Y7" s="207">
        <f>COUNTIFS(WholeMarineTrainingTable[Grade],Q7, WholeMarineTrainingTable[Sgt Sch Dist],"Completed")/COUNTIFS(WholeMarineTrainingTable[Grade],Q7, WholeMarineTrainingTable[Sgt Sch Dist],"*")</f>
        <v>1</v>
      </c>
      <c r="Z7" s="201"/>
      <c r="AA7" s="201"/>
      <c r="AB7" s="201"/>
      <c r="AC7" s="346"/>
      <c r="AD7" s="346"/>
      <c r="AE7" s="346"/>
      <c r="AF7" s="346"/>
      <c r="AG7" s="346"/>
      <c r="AH7" s="19"/>
      <c r="AI7" s="19"/>
      <c r="AJ7" s="19"/>
      <c r="AK7" s="19"/>
      <c r="AL7" s="19"/>
      <c r="AM7" s="19"/>
      <c r="AN7" s="19"/>
      <c r="AO7" s="19"/>
    </row>
    <row r="8" spans="1:41" ht="18.75">
      <c r="A8" s="201"/>
      <c r="B8" s="202" t="s">
        <v>182</v>
      </c>
      <c r="C8" s="203">
        <f>COUNTIFS(RecallTable[GRADE],B8,RecallTable[MOS],"1721")+COUNTIFS(RecallTable[GRADE],B8,RecallTable[MOS],"1700")+COUNTIFS(RecallTable[GRADE],B8,RecallTable[MOS],"0231")</f>
        <v>11</v>
      </c>
      <c r="D8" s="201" t="str">
        <f>_xlfn.CONCAT(REPT("|",COUNTIFS(RecallTable[GRADE],B8,RecallTable[MOS],"1721")),REPT("o",COUNTIFS(RecallTable[GRADE],B8,RecallTable[MOS],"1700")),REPT("?",COUNTIFS(RecallTable[GRADE],B8,RecallTable[MOS],"0231")))</f>
        <v>|||||||||||</v>
      </c>
      <c r="E8" s="201"/>
      <c r="F8" s="201"/>
      <c r="G8" s="201"/>
      <c r="H8" s="203" t="s">
        <v>182</v>
      </c>
      <c r="I8" s="204" t="str">
        <f>REPT("|",COUNTIFS(WholeMarineTrainingTable[[Grade]:[Grade]],$H8, WholeMarineTrainingTable[[Career Crs Res]:[Career Crs Res]],I$4))</f>
        <v/>
      </c>
      <c r="J8" s="205" t="str">
        <f>REPT("|",COUNTIFS(WholeMarineTrainingTable[[Grade]:[Grade]],$H8, WholeMarineTrainingTable[[Career Crs Res]:[Career Crs Res]],J$4))</f>
        <v>|</v>
      </c>
      <c r="K8" s="205" t="str">
        <f>REPT("|",COUNTIFS(WholeMarineTrainingTable[[Grade]:[Grade]],$H8, WholeMarineTrainingTable[[Career Crs Res]:[Career Crs Res]],K$4))</f>
        <v>||</v>
      </c>
      <c r="L8" s="206" t="str">
        <f>REPT("|",COUNTIFS(WholeMarineTrainingTable[[Grade]:[Grade]],$H8, WholeMarineTrainingTable[[Career Crs Res]:[Career Crs Res]],L$4))</f>
        <v>|</v>
      </c>
      <c r="M8" s="201"/>
      <c r="N8" s="203" t="str">
        <f>_xlfn.CONCAT(COUNTIFS(WholeMarineTrainingTable[Grade],H8, WholeMarineTrainingTable[Career Crs Res],"Completed"),"/",COUNTIFS(WholeMarineTrainingTable[Grade],H8, WholeMarineTrainingTable[Career Crs Res],"*"))</f>
        <v>1/4</v>
      </c>
      <c r="O8" s="207">
        <f>COUNTIFS(WholeMarineTrainingTable[Grade],H8, WholeMarineTrainingTable[Career Crs Res],"Completed")/COUNTIFS(WholeMarineTrainingTable[Grade],H8, WholeMarineTrainingTable[Career Crs Res],"*")</f>
        <v>0.25</v>
      </c>
      <c r="P8" s="201"/>
      <c r="Q8" s="203" t="s">
        <v>182</v>
      </c>
      <c r="R8" s="204" t="str">
        <f>REPT("|",COUNTIFS(WholeMarineTrainingTable[Grade],$Q8, WholeMarineTrainingTable[Career Crs Dist],R$4))</f>
        <v/>
      </c>
      <c r="S8" s="205" t="str">
        <f>REPT("|",COUNTIFS(WholeMarineTrainingTable[[Grade]:[Grade]],$H8, WholeMarineTrainingTable[[Career Crs Dist]:[Career Crs Dist]],S$4))</f>
        <v/>
      </c>
      <c r="T8" s="205" t="str">
        <f>REPT("|",COUNTIFS(WholeMarineTrainingTable[[Grade]:[Grade]],$H8, WholeMarineTrainingTable[[Career Crs Dist]:[Career Crs Dist]],T$4))</f>
        <v/>
      </c>
      <c r="U8" s="206" t="str">
        <f>REPT("|",COUNTIFS(WholeMarineTrainingTable[[Grade]:[Grade]],$H8, WholeMarineTrainingTable[[Career Crs Dist]:[Career Crs Dist]],U$4))</f>
        <v>||||</v>
      </c>
      <c r="V8" s="201"/>
      <c r="W8" s="201"/>
      <c r="X8" s="203" t="str">
        <f>_xlfn.CONCAT(COUNTIFS(WholeMarineTrainingTable[Grade],Q8, WholeMarineTrainingTable[Career Crs Dist],"Completed"),"/",COUNTIFS(WholeMarineTrainingTable[Grade],Q8, WholeMarineTrainingTable[Career Crs Dist],"*"))</f>
        <v>4/4</v>
      </c>
      <c r="Y8" s="207">
        <f>COUNTIFS(WholeMarineTrainingTable[Grade],Q8, WholeMarineTrainingTable[Career Crs Dist],"Completed")/COUNTIFS(WholeMarineTrainingTable[Grade],Q8, WholeMarineTrainingTable[Career Crs Dist],"*")</f>
        <v>1</v>
      </c>
      <c r="Z8" s="201"/>
      <c r="AA8" s="201"/>
      <c r="AB8" s="201"/>
      <c r="AC8" s="346"/>
      <c r="AD8" s="346"/>
      <c r="AE8" s="346"/>
      <c r="AF8" s="346"/>
      <c r="AG8" s="346"/>
      <c r="AH8" s="19"/>
      <c r="AI8" s="19"/>
      <c r="AJ8" s="19"/>
      <c r="AK8" s="19"/>
      <c r="AL8" s="19"/>
      <c r="AM8" s="19"/>
      <c r="AN8" s="19"/>
      <c r="AO8" s="19"/>
    </row>
    <row r="9" spans="1:41" ht="18.75">
      <c r="A9" s="201"/>
      <c r="B9" s="202" t="s">
        <v>183</v>
      </c>
      <c r="C9" s="203">
        <f>COUNTIFS(RecallTable[GRADE],B9,RecallTable[MOS],"1721")+COUNTIFS(RecallTable[GRADE],B9,RecallTable[MOS],"1700")+COUNTIFS(RecallTable[GRADE],B9,RecallTable[MOS],"0231")</f>
        <v>6</v>
      </c>
      <c r="D9" s="201" t="str">
        <f>_xlfn.CONCAT(REPT("|",COUNTIFS(RecallTable[GRADE],B9,RecallTable[MOS],"1721")),REPT("o",COUNTIFS(RecallTable[GRADE],B9,RecallTable[MOS],"1700")),REPT("?",COUNTIFS(RecallTable[GRADE],B9,RecallTable[MOS],"0231")))</f>
        <v>||||||</v>
      </c>
      <c r="E9" s="201"/>
      <c r="F9" s="201"/>
      <c r="G9" s="201"/>
      <c r="H9" s="203" t="s">
        <v>183</v>
      </c>
      <c r="I9" s="204" t="str">
        <f>REPT("|",COUNTIFS(WholeMarineTrainingTable[[Grade]:[Grade]],$H9, WholeMarineTrainingTable[[Advanced Crs Res]:[Advanced Crs Res]],I$4))</f>
        <v>|</v>
      </c>
      <c r="J9" s="205" t="str">
        <f>REPT("|",COUNTIFS(WholeMarineTrainingTable[[Grade]:[Grade]],$H9, WholeMarineTrainingTable[[Advanced Crs Res]:[Advanced Crs Res]],J$4))</f>
        <v/>
      </c>
      <c r="K9" s="205" t="str">
        <f>REPT("|",COUNTIFS(WholeMarineTrainingTable[[Grade]:[Grade]],$H9, WholeMarineTrainingTable[[Advanced Crs Res]:[Advanced Crs Res]],K$4))</f>
        <v/>
      </c>
      <c r="L9" s="206" t="str">
        <f>REPT("|",COUNTIFS(WholeMarineTrainingTable[[Grade]:[Grade]],$H9, WholeMarineTrainingTable[[Advanced Crs Res]:[Advanced Crs Res]],L$4))</f>
        <v>|</v>
      </c>
      <c r="M9" s="201"/>
      <c r="N9" s="203" t="str">
        <f>_xlfn.CONCAT(COUNTIFS(WholeMarineTrainingTable[Grade],H9, WholeMarineTrainingTable[Advanced Crs Res],"Completed"),"/",COUNTIFS(WholeMarineTrainingTable[Grade],H9, WholeMarineTrainingTable[Advanced Crs Res],"*"))</f>
        <v>1/2</v>
      </c>
      <c r="O9" s="207">
        <f>COUNTIFS(WholeMarineTrainingTable[Grade],H9, WholeMarineTrainingTable[Advanced Crs Res],"Completed")/COUNTIFS(WholeMarineTrainingTable[Grade],H9, WholeMarineTrainingTable[Advanced Crs Res],"*")</f>
        <v>0.5</v>
      </c>
      <c r="P9" s="201"/>
      <c r="Q9" s="203" t="s">
        <v>183</v>
      </c>
      <c r="R9" s="204" t="str">
        <f>REPT("|",COUNTIFS(WholeMarineTrainingTable[Grade],$Q9, WholeMarineTrainingTable[Advanced Crs Dist],R$4))</f>
        <v/>
      </c>
      <c r="S9" s="205" t="str">
        <f>REPT("|",COUNTIFS(WholeMarineTrainingTable[[Grade]:[Grade]],$H9, WholeMarineTrainingTable[[Advanced Crs Dist]:[Advanced Crs Dist]],S$4))</f>
        <v/>
      </c>
      <c r="T9" s="205" t="str">
        <f>REPT("|",COUNTIFS(WholeMarineTrainingTable[[Grade]:[Grade]],$H9, WholeMarineTrainingTable[[Advanced Crs Dist]:[Advanced Crs Dist]],T$4))</f>
        <v/>
      </c>
      <c r="U9" s="206" t="str">
        <f>REPT("|",COUNTIFS(WholeMarineTrainingTable[[Grade]:[Grade]],$H9, WholeMarineTrainingTable[[Advanced Crs Dist]:[Advanced Crs Dist]],U$4))</f>
        <v>||</v>
      </c>
      <c r="V9" s="201"/>
      <c r="W9" s="201"/>
      <c r="X9" s="203" t="str">
        <f>_xlfn.CONCAT(COUNTIFS(WholeMarineTrainingTable[Grade],Q9, WholeMarineTrainingTable[Advanced Crs Dist],"Completed"),"/",COUNTIFS(WholeMarineTrainingTable[Grade],Q9, WholeMarineTrainingTable[Advanced Crs Dist],"*"))</f>
        <v>2/2</v>
      </c>
      <c r="Y9" s="207">
        <f>COUNTIFS(WholeMarineTrainingTable[Grade],Q9, WholeMarineTrainingTable[Advanced Crs Dist],"Completed")/COUNTIFS(WholeMarineTrainingTable[Grade],Q9, WholeMarineTrainingTable[Advanced Crs Dist],"*")</f>
        <v>1</v>
      </c>
      <c r="Z9" s="201"/>
      <c r="AA9" s="201"/>
      <c r="AB9" s="201"/>
      <c r="AC9" s="346"/>
      <c r="AD9" s="346"/>
      <c r="AE9" s="346"/>
      <c r="AF9" s="346"/>
      <c r="AG9" s="346"/>
      <c r="AH9" s="19"/>
      <c r="AI9" s="19"/>
      <c r="AJ9" s="19"/>
      <c r="AK9" s="19"/>
      <c r="AL9" s="19"/>
      <c r="AM9" s="19"/>
      <c r="AN9" s="19"/>
      <c r="AO9" s="19"/>
    </row>
    <row r="10" spans="1:41" ht="18.75">
      <c r="A10" s="201"/>
      <c r="B10" s="202" t="s">
        <v>184</v>
      </c>
      <c r="C10" s="203">
        <f>COUNTIFS(HitlistTable[Grade],B10)</f>
        <v>2</v>
      </c>
      <c r="D10" s="201" t="str">
        <f>_xlfn.CONCAT(REPT("|",COUNTIFS(RecallTable[GRADE],B10,RecallTable[MOS],"1721")),REPT("o",COUNTIFS(RecallTable[GRADE],B10,RecallTable[MOS],"1700")),REPT("?",COUNTIFS(RecallTable[GRADE],B10,RecallTable[MOS],"0231")))</f>
        <v/>
      </c>
      <c r="E10" s="201"/>
      <c r="F10" s="201"/>
      <c r="G10" s="201"/>
      <c r="H10" s="203" t="s">
        <v>184</v>
      </c>
      <c r="I10" s="204" t="str">
        <f>REPT("|",COUNTIFS(WholeMarineTrainingTable[[Grade]:[Grade]],$H10, WholeMarineTrainingTable[[E-8 Seminar]:[E-8 Seminar]],I$4))</f>
        <v>|</v>
      </c>
      <c r="J10" s="205" t="str">
        <f>REPT("|",COUNTIFS(WholeMarineTrainingTable[[Grade]:[Grade]],$H10, WholeMarineTrainingTable[[E-8 Seminar]:[E-8 Seminar]],J$4))</f>
        <v/>
      </c>
      <c r="K10" s="205" t="str">
        <f>REPT("|",COUNTIFS(WholeMarineTrainingTable[[Grade]:[Grade]],$H10, WholeMarineTrainingTable[[E-8 Seminar]:[E-8 Seminar]],K$4))</f>
        <v/>
      </c>
      <c r="L10" s="206" t="str">
        <f>REPT("|",COUNTIFS(WholeMarineTrainingTable[[Grade]:[Grade]],$H10, WholeMarineTrainingTable[[E-8 Seminar]:[E-8 Seminar]],L$4))</f>
        <v>|</v>
      </c>
      <c r="M10" s="201"/>
      <c r="N10" s="203" t="str">
        <f>_xlfn.CONCAT(COUNTIFS(WholeMarineTrainingTable[Grade],H10, WholeMarineTrainingTable[E-8 Seminar],"Completed"),"/",COUNTIFS(WholeMarineTrainingTable[Grade],H10, WholeMarineTrainingTable[E-8 Seminar],"*"))</f>
        <v>1/2</v>
      </c>
      <c r="O10" s="207">
        <f>COUNTIFS(WholeMarineTrainingTable[Grade],H10, WholeMarineTrainingTable[E-8 Seminar],"Completed")/COUNTIFS(WholeMarineTrainingTable[Grade],H10, WholeMarineTrainingTable[E-8 Seminar],"*")</f>
        <v>0.5</v>
      </c>
      <c r="P10" s="201"/>
      <c r="Q10" s="201" t="s">
        <v>185</v>
      </c>
      <c r="R10" s="204" t="str">
        <f>REPT("|",COUNTIFS(WholeMarineTrainingTable[Grade],"O3*", WholeMarineTrainingTable[EWS],R$4))</f>
        <v/>
      </c>
      <c r="S10" s="205" t="str">
        <f>REPT("|",COUNTIFS(WholeMarineTrainingTable[Grade],"O3*", WholeMarineTrainingTable[EWS],S$4))</f>
        <v/>
      </c>
      <c r="T10" s="205" t="str">
        <f>REPT("|",COUNTIFS(WholeMarineTrainingTable[Grade],"O3*", WholeMarineTrainingTable[EWS],T$4))</f>
        <v/>
      </c>
      <c r="U10" s="206" t="str">
        <f>REPT("|",COUNTIFS(WholeMarineTrainingTable[Grade],"O3*", WholeMarineTrainingTable[EWS],U$4))</f>
        <v/>
      </c>
      <c r="V10" s="201"/>
      <c r="W10" s="201"/>
      <c r="X10" s="203" t="str">
        <f>_xlfn.CONCAT(COUNTIFS(WholeMarineTrainingTable[Grade],"O3*", WholeMarineTrainingTable[EWS],"Completed"),"/",COUNTIFS(WholeMarineTrainingTable[Grade],"O3*", WholeMarineTrainingTable[EWS],"*"))</f>
        <v>0/0</v>
      </c>
      <c r="Y10" s="207" t="e">
        <f>COUNTIFS(WholeMarineTrainingTable[Grade],"O3*", WholeMarineTrainingTable[EWS],"Completed")/COUNTIFS(WholeMarineTrainingTable[Grade],"O3*", WholeMarineTrainingTable[EWS],"*")</f>
        <v>#DIV/0!</v>
      </c>
      <c r="Z10" s="201"/>
      <c r="AA10" s="203"/>
      <c r="AB10" s="203"/>
      <c r="AC10" s="346"/>
      <c r="AD10" s="346"/>
      <c r="AE10" s="346"/>
      <c r="AF10" s="346"/>
      <c r="AG10" s="346"/>
      <c r="AH10" s="19"/>
      <c r="AI10" s="19"/>
      <c r="AJ10" s="19"/>
      <c r="AK10" s="19"/>
      <c r="AL10" s="19"/>
      <c r="AM10" s="19"/>
      <c r="AN10" s="19"/>
      <c r="AO10" s="19"/>
    </row>
    <row r="11" spans="1:41" ht="18.75">
      <c r="A11" s="201"/>
      <c r="B11" s="202" t="s">
        <v>186</v>
      </c>
      <c r="C11" s="203">
        <f>COUNTIFS(RecallTable[GRADE],B11)</f>
        <v>0</v>
      </c>
      <c r="D11" s="201" t="str">
        <f t="shared" ref="D11" si="0">REPT("|",C11)</f>
        <v/>
      </c>
      <c r="E11" s="201"/>
      <c r="F11" s="201"/>
      <c r="G11" s="201"/>
      <c r="H11" s="203"/>
      <c r="I11" s="245" t="str">
        <f ca="1">_xlfn.CONCAT("Delinquencies: ", COUNTIFS(WholeMarineTrainingTable[Grade],"E*",WholeMarineTrainingTable[Res Days Left],"&lt;0"))</f>
        <v>Delinquencies: 28</v>
      </c>
      <c r="J11" s="205"/>
      <c r="K11" s="475" t="str">
        <f>_xlfn.CONCAT(COUNTA(ResPMETable[School Date Requested]), " getting scheduled now")</f>
        <v>19 getting scheduled now</v>
      </c>
      <c r="L11" s="206"/>
      <c r="M11" s="201"/>
      <c r="N11" s="201"/>
      <c r="O11" s="201"/>
      <c r="P11" s="201"/>
      <c r="Q11" s="201"/>
      <c r="R11" s="245" t="str">
        <f ca="1">_xlfn.CONCAT("Delinquencies: ", COUNTIFS(WholeMarineTrainingTable[Grade],"E*",WholeMarineTrainingTable[Dist Days Left],"&lt;0"))</f>
        <v>Delinquencies: 31</v>
      </c>
      <c r="S11" s="201"/>
      <c r="T11" s="201"/>
      <c r="U11" s="201"/>
      <c r="V11" s="201"/>
      <c r="W11" s="201"/>
      <c r="X11" s="201"/>
      <c r="Y11" s="201"/>
      <c r="Z11" s="201"/>
      <c r="AA11" s="203"/>
      <c r="AB11" s="203"/>
      <c r="AC11" s="346"/>
      <c r="AD11" s="346"/>
      <c r="AE11" s="346"/>
      <c r="AF11" s="346"/>
      <c r="AG11" s="346"/>
      <c r="AH11" s="19"/>
      <c r="AI11" s="19"/>
      <c r="AJ11" s="19"/>
      <c r="AK11" s="19"/>
      <c r="AL11" s="19"/>
      <c r="AM11" s="19"/>
      <c r="AN11" s="19"/>
      <c r="AO11" s="19"/>
    </row>
    <row r="12" spans="1:41">
      <c r="A12" s="201"/>
      <c r="B12" s="202" t="s">
        <v>187</v>
      </c>
      <c r="C12" s="203">
        <f>COUNTIFS(RecallTable[GRADE],B12)</f>
        <v>0</v>
      </c>
      <c r="D12" s="201" t="str">
        <f>REPT("|",C12)</f>
        <v/>
      </c>
      <c r="E12" s="201"/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3"/>
      <c r="AB12" s="203"/>
      <c r="AC12" s="346"/>
      <c r="AD12" s="346"/>
      <c r="AE12" s="346"/>
      <c r="AF12" s="346"/>
      <c r="AG12" s="346"/>
      <c r="AH12" s="19"/>
      <c r="AI12" s="19"/>
      <c r="AJ12" s="19"/>
      <c r="AK12" s="19"/>
      <c r="AL12" s="19"/>
      <c r="AM12" s="19"/>
      <c r="AN12" s="19"/>
      <c r="AO12" s="19"/>
    </row>
    <row r="13" spans="1:41">
      <c r="A13" s="201"/>
      <c r="B13" s="202" t="s">
        <v>188</v>
      </c>
      <c r="C13" s="203">
        <f>COUNTIFS(RecallTable[GRADE],B13)</f>
        <v>7</v>
      </c>
      <c r="D13" s="201" t="str">
        <f>REPT("|",C13)</f>
        <v>|||||||</v>
      </c>
      <c r="E13" s="201"/>
      <c r="F13" s="201"/>
      <c r="G13" s="201"/>
      <c r="H13" s="201"/>
      <c r="I13" s="599" t="s">
        <v>189</v>
      </c>
      <c r="J13" s="600"/>
      <c r="K13" s="600"/>
      <c r="L13" s="601"/>
      <c r="M13" s="201"/>
      <c r="N13" s="201"/>
      <c r="O13" s="561" t="s">
        <v>190</v>
      </c>
      <c r="P13" s="561"/>
      <c r="Q13" s="561"/>
      <c r="R13" s="561"/>
      <c r="S13" s="561"/>
      <c r="T13" s="561"/>
      <c r="U13" s="561"/>
      <c r="V13" s="561"/>
      <c r="W13" s="561"/>
      <c r="X13" s="561"/>
      <c r="Y13" s="561"/>
      <c r="Z13" s="561"/>
      <c r="AA13" s="203"/>
      <c r="AB13" s="203"/>
      <c r="AC13" s="346"/>
      <c r="AD13" s="346"/>
      <c r="AE13" s="346"/>
      <c r="AF13" s="346"/>
      <c r="AG13" s="346"/>
      <c r="AH13" s="19"/>
      <c r="AI13" s="19"/>
      <c r="AJ13" s="19"/>
      <c r="AK13" s="19"/>
      <c r="AL13" s="19"/>
      <c r="AM13" s="19"/>
      <c r="AN13" s="19"/>
      <c r="AO13" s="19"/>
    </row>
    <row r="14" spans="1:41" ht="15" customHeight="1">
      <c r="A14" s="201"/>
      <c r="B14" s="202" t="s">
        <v>185</v>
      </c>
      <c r="C14" s="203">
        <f>COUNTIFS(RecallTable[GRADE],B14)</f>
        <v>1</v>
      </c>
      <c r="D14" s="201" t="str">
        <f>REPT("|",C14)</f>
        <v>|</v>
      </c>
      <c r="E14" s="201"/>
      <c r="F14" s="201"/>
      <c r="G14" s="201"/>
      <c r="H14" s="201"/>
      <c r="I14" s="42" t="s">
        <v>191</v>
      </c>
      <c r="J14" s="213" t="s">
        <v>192</v>
      </c>
      <c r="K14" s="214" t="s">
        <v>193</v>
      </c>
      <c r="L14" s="213" t="s">
        <v>194</v>
      </c>
      <c r="M14" s="201"/>
      <c r="N14" s="201"/>
      <c r="O14" s="346" t="s">
        <v>195</v>
      </c>
      <c r="P14" s="598" t="s">
        <v>196</v>
      </c>
      <c r="Q14" s="598"/>
      <c r="R14" s="535" t="s">
        <v>197</v>
      </c>
      <c r="S14" s="535" t="s">
        <v>198</v>
      </c>
      <c r="T14" s="535" t="s">
        <v>199</v>
      </c>
      <c r="U14" s="535" t="s">
        <v>200</v>
      </c>
      <c r="V14" s="535" t="s">
        <v>201</v>
      </c>
      <c r="W14" s="535" t="s">
        <v>202</v>
      </c>
      <c r="X14" s="535" t="s">
        <v>203</v>
      </c>
      <c r="Y14" s="535" t="s">
        <v>204</v>
      </c>
      <c r="Z14" s="535" t="s">
        <v>205</v>
      </c>
      <c r="AA14" s="201"/>
      <c r="AB14" s="201"/>
      <c r="AC14" s="201"/>
      <c r="AD14" s="201"/>
      <c r="AE14" s="201"/>
      <c r="AF14" s="201"/>
      <c r="AG14" s="346"/>
      <c r="AH14" s="19"/>
      <c r="AI14" s="19"/>
      <c r="AJ14" s="19"/>
      <c r="AK14" s="19"/>
      <c r="AL14" s="19"/>
      <c r="AM14" s="19"/>
      <c r="AN14" s="19"/>
      <c r="AO14" s="19"/>
    </row>
    <row r="15" spans="1:41" ht="15" customHeight="1">
      <c r="A15" s="201"/>
      <c r="B15" s="202" t="s">
        <v>206</v>
      </c>
      <c r="C15" s="203">
        <f>COUNTIFS(RecallTable[GRADE],B15)</f>
        <v>1</v>
      </c>
      <c r="D15" s="201" t="str">
        <f>REPT("|",C15)</f>
        <v>|</v>
      </c>
      <c r="E15" s="201"/>
      <c r="F15" s="201"/>
      <c r="G15" s="201"/>
      <c r="H15" s="201"/>
      <c r="I15" s="211" t="s">
        <v>207</v>
      </c>
      <c r="J15" s="15">
        <f>COUNTIF(HitlistTable[S-1 Check-in],"X")</f>
        <v>0</v>
      </c>
      <c r="K15" s="15"/>
      <c r="L15" s="212" t="str">
        <f>IF(K15,(ReadinessTbale[[#This Row],[Bn '#''s]]-ReadinessTbale[[#This Row],[Co '#''s]])/ReadinessTbale[[#This Row],[Bn '#''s]],"")</f>
        <v/>
      </c>
      <c r="M15" s="201"/>
      <c r="N15" s="201"/>
      <c r="O15" s="346" t="s">
        <v>108</v>
      </c>
      <c r="P15" s="564">
        <f t="shared" ref="P15:P20" si="1">SUM(R15:Z15)</f>
        <v>0</v>
      </c>
      <c r="Q15" s="564"/>
      <c r="R15" s="535">
        <f>COUNTIFS(HitlistTable[Section],$O15,HitlistTable[Dental],"X")</f>
        <v>0</v>
      </c>
      <c r="S15" s="535">
        <f>COUNTIFS(HitlistTable[Section],$O15,HitlistTable[Audio],"X")</f>
        <v>0</v>
      </c>
      <c r="T15" s="535">
        <f>COUNTIFS(HitlistTable[Section],$O15,HitlistTable[Blood],"X")</f>
        <v>0</v>
      </c>
      <c r="U15" s="535">
        <f>COUNTIFS(HitlistTable[Section],$O15,HitlistTable[PDHRA],"X")</f>
        <v>0</v>
      </c>
      <c r="V15" s="535">
        <f>COUNTIFS(HitlistTable[Section],$O15,HitlistTable[PHA],"X")</f>
        <v>0</v>
      </c>
      <c r="W15" s="535">
        <f>COUNTIFS(HitlistTable[Section],$O15,HitlistTable[PPD TEST],"X")</f>
        <v>0</v>
      </c>
      <c r="X15" s="535">
        <f>COUNTIFS(HitlistTable[Section],$O15,HitlistTable[IMMUN],"X")</f>
        <v>0</v>
      </c>
      <c r="Y15" s="535">
        <f>COUNTIFS(HitlistTable[Section],$O15,HitlistTable[Specs],"X")</f>
        <v>0</v>
      </c>
      <c r="Z15" s="535">
        <f>COUNTIFS(HitlistTable[Section],$O15,HitlistTable[Flu],"X")</f>
        <v>0</v>
      </c>
      <c r="AA15" s="201"/>
      <c r="AB15" s="201"/>
      <c r="AC15" s="201"/>
      <c r="AD15" s="201"/>
      <c r="AE15" s="201"/>
      <c r="AF15" s="201"/>
      <c r="AG15" s="346"/>
      <c r="AH15" s="19"/>
      <c r="AI15" s="19"/>
      <c r="AJ15" s="19"/>
      <c r="AK15" s="19"/>
      <c r="AL15" s="19"/>
      <c r="AM15" s="19"/>
      <c r="AN15" s="19"/>
      <c r="AO15" s="19"/>
    </row>
    <row r="16" spans="1:41">
      <c r="A16" s="201"/>
      <c r="B16" s="201"/>
      <c r="C16" s="201"/>
      <c r="D16" s="201"/>
      <c r="E16" s="201"/>
      <c r="F16" s="201"/>
      <c r="G16" s="201"/>
      <c r="H16" s="201"/>
      <c r="I16" s="211" t="s">
        <v>208</v>
      </c>
      <c r="J16" s="15">
        <f ca="1">COUNTIF(HitlistTable[TRS],"X")</f>
        <v>2</v>
      </c>
      <c r="K16" s="15"/>
      <c r="L16" s="212" t="str">
        <f>IF(K16,(ReadinessTbale[[#This Row],[Bn '#''s]]-ReadinessTbale[[#This Row],[Co '#''s]])/ReadinessTbale[[#This Row],[Bn '#''s]],"")</f>
        <v/>
      </c>
      <c r="M16" s="201"/>
      <c r="N16" s="201"/>
      <c r="O16" s="346" t="s">
        <v>209</v>
      </c>
      <c r="P16" s="564">
        <f t="shared" si="1"/>
        <v>1</v>
      </c>
      <c r="Q16" s="564"/>
      <c r="R16" s="535">
        <f>COUNTIFS(HitlistTable[Section],$O16,HitlistTable[Dental],"X")</f>
        <v>0</v>
      </c>
      <c r="S16" s="535">
        <f>COUNTIFS(HitlistTable[Section],$O16,HitlistTable[Audio],"X")</f>
        <v>1</v>
      </c>
      <c r="T16" s="535">
        <f>COUNTIFS(HitlistTable[Section],$O16,HitlistTable[Blood],"X")</f>
        <v>0</v>
      </c>
      <c r="U16" s="535">
        <f>COUNTIFS(HitlistTable[Section],$O16,HitlistTable[PDHRA],"X")</f>
        <v>0</v>
      </c>
      <c r="V16" s="535">
        <f>COUNTIFS(HitlistTable[Section],$O16,HitlistTable[PHA],"X")</f>
        <v>0</v>
      </c>
      <c r="W16" s="535">
        <f>COUNTIFS(HitlistTable[Section],$O16,HitlistTable[PPD TEST],"X")</f>
        <v>0</v>
      </c>
      <c r="X16" s="535">
        <f>COUNTIFS(HitlistTable[Section],$O16,HitlistTable[IMMUN],"X")</f>
        <v>0</v>
      </c>
      <c r="Y16" s="535">
        <f>COUNTIFS(HitlistTable[Section],$O16,HitlistTable[Specs],"X")</f>
        <v>0</v>
      </c>
      <c r="Z16" s="535">
        <f>COUNTIFS(HitlistTable[Section],$O16,HitlistTable[Flu],"X")</f>
        <v>0</v>
      </c>
      <c r="AA16" s="201"/>
      <c r="AB16" s="201"/>
      <c r="AC16" s="201"/>
      <c r="AD16" s="201"/>
      <c r="AE16" s="201"/>
      <c r="AF16" s="201"/>
      <c r="AG16" s="346"/>
      <c r="AH16" s="19"/>
      <c r="AI16" s="19"/>
      <c r="AJ16" s="19"/>
      <c r="AK16" s="19"/>
      <c r="AL16" s="19"/>
      <c r="AM16" s="19"/>
      <c r="AN16" s="19"/>
      <c r="AO16" s="19"/>
    </row>
    <row r="17" spans="1:41">
      <c r="A17" s="201"/>
      <c r="B17" s="208" t="s">
        <v>210</v>
      </c>
      <c r="C17" s="201"/>
      <c r="D17" s="201"/>
      <c r="E17" s="201"/>
      <c r="F17" s="201"/>
      <c r="G17" s="201"/>
      <c r="H17" s="201"/>
      <c r="I17" s="211" t="s">
        <v>211</v>
      </c>
      <c r="J17" s="15">
        <f>COUNTIF(HitlistTable[PRS],"X")</f>
        <v>0</v>
      </c>
      <c r="K17" s="15">
        <f>COUNTIF(WholeMarineTrainingTable[Name],"*")</f>
        <v>79</v>
      </c>
      <c r="L17" s="212">
        <f>IF(K17,(ReadinessTbale[[#This Row],[Bn '#''s]]-ReadinessTbale[[#This Row],[Co '#''s]])/ReadinessTbale[[#This Row],[Bn '#''s]],"")</f>
        <v>1</v>
      </c>
      <c r="M17" s="201"/>
      <c r="N17" s="201"/>
      <c r="O17" s="346" t="s">
        <v>79</v>
      </c>
      <c r="P17" s="564">
        <f t="shared" si="1"/>
        <v>0</v>
      </c>
      <c r="Q17" s="564"/>
      <c r="R17" s="535">
        <f>COUNTIFS(HitlistTable[Section],$O17,HitlistTable[Dental],"X")</f>
        <v>0</v>
      </c>
      <c r="S17" s="535">
        <f>COUNTIFS(HitlistTable[Section],$O17,HitlistTable[Audio],"X")</f>
        <v>0</v>
      </c>
      <c r="T17" s="535">
        <f>COUNTIFS(HitlistTable[Section],$O17,HitlistTable[Blood],"X")</f>
        <v>0</v>
      </c>
      <c r="U17" s="535">
        <f>COUNTIFS(HitlistTable[Section],$O17,HitlistTable[PDHRA],"X")</f>
        <v>0</v>
      </c>
      <c r="V17" s="535">
        <f>COUNTIFS(HitlistTable[Section],$O17,HitlistTable[PHA],"X")</f>
        <v>0</v>
      </c>
      <c r="W17" s="535">
        <f>COUNTIFS(HitlistTable[Section],$O17,HitlistTable[PPD TEST],"X")</f>
        <v>0</v>
      </c>
      <c r="X17" s="535">
        <f>COUNTIFS(HitlistTable[Section],$O17,HitlistTable[IMMUN],"X")</f>
        <v>0</v>
      </c>
      <c r="Y17" s="535">
        <f>COUNTIFS(HitlistTable[Section],$O17,HitlistTable[Specs],"X")</f>
        <v>0</v>
      </c>
      <c r="Z17" s="535">
        <f>COUNTIFS(HitlistTable[Section],$O17,HitlistTable[Flu],"X")</f>
        <v>0</v>
      </c>
      <c r="AA17" s="201"/>
      <c r="AB17" s="201"/>
      <c r="AC17" s="201"/>
      <c r="AD17" s="201"/>
      <c r="AE17" s="201"/>
      <c r="AF17" s="201"/>
      <c r="AG17" s="346"/>
      <c r="AH17" s="19"/>
      <c r="AI17" s="19"/>
      <c r="AJ17" s="19"/>
      <c r="AK17" s="19"/>
      <c r="AL17" s="19"/>
      <c r="AM17" s="19"/>
      <c r="AN17" s="19"/>
      <c r="AO17" s="19"/>
    </row>
    <row r="18" spans="1:41">
      <c r="A18" s="201"/>
      <c r="B18" s="209" t="str">
        <f>_xlfn.CONCAT(SUM(COUNTIF(WholeMarineTrainingTable[Bachelors],"In Progress"),COUNTIF(WholeMarineTrainingTable[Masters],"In Progress")), " (",ROUND(100*SUM(COUNTIF(WholeMarineTrainingTable[Bachelors],"In Progress"),COUNTIF(WholeMarineTrainingTable[Masters],"In Progress"))/COUNTIF(WholeMarineTrainingTable[Name],"*"),0),"% of the company) currently in university and ", SUM(COUNTIF(WholeMarineTrainingTable[Bachelors],"Completed"),COUNTIF(WholeMarineTrainingTable[Masters],"Completed")), " (",ROUND(100*SUM(COUNTIF(WholeMarineTrainingTable[Bachelors],"Completed"),COUNTIF(WholeMarineTrainingTable[Masters],"Completed"))/COUNTIF(WholeMarineTrainingTable[Name],"*"),0),"%) completed already")</f>
        <v>12 (15% of the company) currently in university and 8 (10%) completed already</v>
      </c>
      <c r="C18" s="201"/>
      <c r="D18" s="201"/>
      <c r="E18" s="201"/>
      <c r="F18" s="201"/>
      <c r="G18" s="201"/>
      <c r="H18" s="201"/>
      <c r="I18" s="211" t="s">
        <v>212</v>
      </c>
      <c r="J18" s="15">
        <f>COUNTIF(HitlistTable[SGLI],"X")</f>
        <v>0</v>
      </c>
      <c r="K18" s="15"/>
      <c r="L18" s="212" t="str">
        <f>IF(K18,(ReadinessTbale[[#This Row],[Bn '#''s]]-ReadinessTbale[[#This Row],[Co '#''s]])/ReadinessTbale[[#This Row],[Bn '#''s]],"")</f>
        <v/>
      </c>
      <c r="M18" s="201"/>
      <c r="N18" s="201"/>
      <c r="O18" s="346" t="s">
        <v>213</v>
      </c>
      <c r="P18" s="564">
        <f t="shared" si="1"/>
        <v>1</v>
      </c>
      <c r="Q18" s="564"/>
      <c r="R18" s="535">
        <f>COUNTIFS(HitlistTable[Section],$O18,HitlistTable[Dental],"X")</f>
        <v>0</v>
      </c>
      <c r="S18" s="535">
        <f>COUNTIFS(HitlistTable[Section],$O18,HitlistTable[Audio],"X")</f>
        <v>1</v>
      </c>
      <c r="T18" s="535">
        <f>COUNTIFS(HitlistTable[Section],$O18,HitlistTable[Blood],"X")</f>
        <v>0</v>
      </c>
      <c r="U18" s="535">
        <f>COUNTIFS(HitlistTable[Section],$O18,HitlistTable[PDHRA],"X")</f>
        <v>0</v>
      </c>
      <c r="V18" s="535">
        <f>COUNTIFS(HitlistTable[Section],$O18,HitlistTable[PHA],"X")</f>
        <v>0</v>
      </c>
      <c r="W18" s="535">
        <f>COUNTIFS(HitlistTable[Section],$O18,HitlistTable[PPD TEST],"X")</f>
        <v>0</v>
      </c>
      <c r="X18" s="535">
        <f>COUNTIFS(HitlistTable[Section],$O18,HitlistTable[IMMUN],"X")</f>
        <v>0</v>
      </c>
      <c r="Y18" s="535">
        <f>COUNTIFS(HitlistTable[Section],$O18,HitlistTable[Specs],"X")</f>
        <v>0</v>
      </c>
      <c r="Z18" s="535">
        <f>COUNTIFS(HitlistTable[Section],$O18,HitlistTable[Flu],"X")</f>
        <v>0</v>
      </c>
      <c r="AA18" s="201"/>
      <c r="AB18" s="201"/>
      <c r="AC18" s="201"/>
      <c r="AD18" s="201"/>
      <c r="AE18" s="201"/>
      <c r="AF18" s="201"/>
      <c r="AG18" s="346"/>
      <c r="AH18" s="19"/>
      <c r="AI18" s="19"/>
      <c r="AJ18" s="19"/>
      <c r="AK18" s="19"/>
      <c r="AL18" s="19"/>
      <c r="AM18" s="19"/>
      <c r="AN18" s="19"/>
      <c r="AO18" s="19"/>
    </row>
    <row r="19" spans="1:41">
      <c r="A19" s="201"/>
      <c r="B19" s="209" t="str">
        <f>_xlfn.CONCAT(COUNTIF(WholeMarineTrainingTable[Bachelors], "Completed"), " have a bachelor's and ",COUNTIF(WholeMarineTrainingTable[Bachelors], "In Progress"), " are working towards one")</f>
        <v>8 have a bachelor's and 9 are working towards one</v>
      </c>
      <c r="C19" s="201"/>
      <c r="D19" s="201"/>
      <c r="E19" s="201"/>
      <c r="F19" s="201"/>
      <c r="G19" s="201"/>
      <c r="H19" s="201"/>
      <c r="I19" s="211" t="s">
        <v>214</v>
      </c>
      <c r="J19" s="15">
        <f>COUNTIF(HitlistTable[CACO],"X")</f>
        <v>2</v>
      </c>
      <c r="K19" s="15">
        <v>37</v>
      </c>
      <c r="L19" s="212">
        <f>IF(NOT(ISBLANK(K19)),(ReadinessTbale[[#This Row],[Bn '#''s]]-ReadinessTbale[[#This Row],[Co '#''s]])/ReadinessTbale[[#This Row],[Bn '#''s]],"")</f>
        <v>0.94594594594594594</v>
      </c>
      <c r="M19" s="201"/>
      <c r="N19" s="201"/>
      <c r="O19" s="346" t="s">
        <v>215</v>
      </c>
      <c r="P19" s="564">
        <f t="shared" si="1"/>
        <v>0</v>
      </c>
      <c r="Q19" s="564"/>
      <c r="R19" s="535">
        <f>COUNTIFS(HitlistTable[Section],$O19,HitlistTable[Dental],"X")</f>
        <v>0</v>
      </c>
      <c r="S19" s="535">
        <f>COUNTIFS(HitlistTable[Section],$O19,HitlistTable[Audio],"X")</f>
        <v>0</v>
      </c>
      <c r="T19" s="535">
        <f>COUNTIFS(HitlistTable[Section],$O19,HitlistTable[Blood],"X")</f>
        <v>0</v>
      </c>
      <c r="U19" s="535">
        <f>COUNTIFS(HitlistTable[Section],$O19,HitlistTable[PDHRA],"X")</f>
        <v>0</v>
      </c>
      <c r="V19" s="535">
        <f>COUNTIFS(HitlistTable[Section],$O19,HitlistTable[PHA],"X")</f>
        <v>0</v>
      </c>
      <c r="W19" s="535">
        <f>COUNTIFS(HitlistTable[Section],$O19,HitlistTable[PPD TEST],"X")</f>
        <v>0</v>
      </c>
      <c r="X19" s="535">
        <f>COUNTIFS(HitlistTable[Section],$O19,HitlistTable[IMMUN],"X")</f>
        <v>0</v>
      </c>
      <c r="Y19" s="535">
        <f>COUNTIFS(HitlistTable[Section],$O19,HitlistTable[Specs],"X")</f>
        <v>0</v>
      </c>
      <c r="Z19" s="535">
        <f>COUNTIFS(HitlistTable[Section],$O19,HitlistTable[Flu],"X")</f>
        <v>0</v>
      </c>
      <c r="AA19" s="201"/>
      <c r="AB19" s="201"/>
      <c r="AC19" s="201"/>
      <c r="AD19" s="201"/>
      <c r="AE19" s="201"/>
      <c r="AF19" s="201"/>
      <c r="AG19" s="346"/>
      <c r="AH19" s="19"/>
      <c r="AI19" s="19"/>
      <c r="AJ19" s="19"/>
      <c r="AK19" s="19"/>
      <c r="AL19" s="19"/>
      <c r="AM19" s="19"/>
      <c r="AN19" s="19"/>
      <c r="AO19" s="19"/>
    </row>
    <row r="20" spans="1:41">
      <c r="A20" s="201"/>
      <c r="B20" s="209" t="str">
        <f>_xlfn.CONCAT(COUNTIF(WholeMarineTrainingTable[Masters], "Completed"), " have a master's and ",COUNTIF(WholeMarineTrainingTable[Masters], "In Progress"), " are working towards one")</f>
        <v>0 have a master's and 3 are working towards one</v>
      </c>
      <c r="C20" s="201"/>
      <c r="D20" s="201"/>
      <c r="E20" s="201"/>
      <c r="F20" s="201"/>
      <c r="G20" s="201"/>
      <c r="H20" s="201"/>
      <c r="I20" s="211" t="s">
        <v>197</v>
      </c>
      <c r="J20" s="15">
        <f>COUNTIF(HitlistTable[Dental],"X")</f>
        <v>1</v>
      </c>
      <c r="K20" s="15">
        <v>17</v>
      </c>
      <c r="L20" s="212">
        <f>IF(NOT(ISBLANK(K20)),(ReadinessTbale[[#This Row],[Bn '#''s]]-ReadinessTbale[[#This Row],[Co '#''s]])/ReadinessTbale[[#This Row],[Bn '#''s]],"")</f>
        <v>0.94117647058823528</v>
      </c>
      <c r="M20" s="201"/>
      <c r="N20" s="346"/>
      <c r="O20" s="346" t="s">
        <v>60</v>
      </c>
      <c r="P20" s="564">
        <f t="shared" si="1"/>
        <v>2</v>
      </c>
      <c r="Q20" s="564"/>
      <c r="R20" s="535">
        <f>COUNTIFS(HitlistTable[Section],$O20,HitlistTable[Dental],"X")</f>
        <v>1</v>
      </c>
      <c r="S20" s="535">
        <f>COUNTIFS(HitlistTable[Section],$O20,HitlistTable[Audio],"X")</f>
        <v>1</v>
      </c>
      <c r="T20" s="535">
        <f>COUNTIFS(HitlistTable[Section],$O20,HitlistTable[Blood],"X")</f>
        <v>0</v>
      </c>
      <c r="U20" s="535">
        <f>COUNTIFS(HitlistTable[Section],$O20,HitlistTable[PDHRA],"X")</f>
        <v>0</v>
      </c>
      <c r="V20" s="535">
        <f>COUNTIFS(HitlistTable[Section],$O20,HitlistTable[PHA],"X")</f>
        <v>0</v>
      </c>
      <c r="W20" s="535">
        <f>COUNTIFS(HitlistTable[Section],$O20,HitlistTable[PPD TEST],"X")</f>
        <v>0</v>
      </c>
      <c r="X20" s="535">
        <f>COUNTIFS(HitlistTable[Section],$O20,HitlistTable[IMMUN],"X")</f>
        <v>0</v>
      </c>
      <c r="Y20" s="535">
        <f>COUNTIFS(HitlistTable[Section],$O20,HitlistTable[Specs],"X")</f>
        <v>0</v>
      </c>
      <c r="Z20" s="535">
        <f>COUNTIFS(HitlistTable[Section],$O20,HitlistTable[Flu],"X")</f>
        <v>0</v>
      </c>
      <c r="AA20" s="201"/>
      <c r="AB20" s="201"/>
      <c r="AC20" s="201"/>
      <c r="AD20" s="201"/>
      <c r="AE20" s="201"/>
      <c r="AF20" s="201"/>
      <c r="AG20" s="346"/>
      <c r="AH20" s="19"/>
      <c r="AI20" s="19"/>
      <c r="AJ20" s="19"/>
      <c r="AK20" s="19"/>
      <c r="AL20" s="19"/>
      <c r="AM20" s="19"/>
      <c r="AN20" s="19"/>
      <c r="AO20" s="19"/>
    </row>
    <row r="21" spans="1:41">
      <c r="A21" s="201"/>
      <c r="B21" s="244" t="str">
        <f>_xlfn.CONCAT(COUNTIF(WholeMarineTrainingTable[[A+]:[CEH]], "Completed"), " completed certifications, and ", COUNTIF(WholeMarineTrainingTable[[A+]:[CEH]], "In Progress"), " in progress")</f>
        <v>87 completed certifications, and 7 in progress</v>
      </c>
      <c r="C21" s="201"/>
      <c r="D21" s="201"/>
      <c r="E21" s="201"/>
      <c r="F21" s="201"/>
      <c r="G21" s="201"/>
      <c r="H21" s="201"/>
      <c r="I21" s="211" t="s">
        <v>198</v>
      </c>
      <c r="J21" s="15">
        <f>COUNTIF(HitlistTable[Audio],"X")</f>
        <v>3</v>
      </c>
      <c r="K21" s="15">
        <v>23</v>
      </c>
      <c r="L21" s="212">
        <f>IF(NOT(ISBLANK(K21)),(ReadinessTbale[[#This Row],[Bn '#''s]]-ReadinessTbale[[#This Row],[Co '#''s]])/ReadinessTbale[[#This Row],[Bn '#''s]],"")</f>
        <v>0.86956521739130432</v>
      </c>
      <c r="M21" s="201"/>
      <c r="N21" s="201"/>
      <c r="O21" s="346"/>
      <c r="P21" s="598">
        <f>SUM(P15:Q20)</f>
        <v>4</v>
      </c>
      <c r="Q21" s="598"/>
      <c r="R21" s="201"/>
      <c r="S21" s="201"/>
      <c r="T21" s="201"/>
      <c r="U21" s="201"/>
      <c r="V21" s="201"/>
      <c r="W21" s="201"/>
      <c r="X21" s="201"/>
      <c r="Y21" s="201"/>
      <c r="Z21" s="201"/>
      <c r="AA21" s="201"/>
      <c r="AB21" s="201"/>
      <c r="AC21" s="201"/>
      <c r="AD21" s="201"/>
      <c r="AE21" s="201"/>
      <c r="AF21" s="201"/>
      <c r="AG21" s="346"/>
      <c r="AH21" s="19"/>
      <c r="AI21" s="19"/>
      <c r="AJ21" s="19"/>
      <c r="AK21" s="19"/>
      <c r="AL21" s="19"/>
      <c r="AM21" s="19"/>
      <c r="AN21" s="19"/>
      <c r="AO21" s="19"/>
    </row>
    <row r="22" spans="1:41">
      <c r="A22" s="201"/>
      <c r="B22" s="201"/>
      <c r="C22" s="201"/>
      <c r="D22" s="201"/>
      <c r="E22" s="201"/>
      <c r="F22" s="201"/>
      <c r="G22" s="201"/>
      <c r="H22" s="201"/>
      <c r="I22" s="211" t="s">
        <v>199</v>
      </c>
      <c r="J22" s="15">
        <f>COUNTIF(HitlistTable[Blood],"X")</f>
        <v>0</v>
      </c>
      <c r="K22" s="15">
        <v>11</v>
      </c>
      <c r="L22" s="212">
        <f>IF(NOT(ISBLANK(K22)),(ReadinessTbale[[#This Row],[Bn '#''s]]-ReadinessTbale[[#This Row],[Co '#''s]])/ReadinessTbale[[#This Row],[Bn '#''s]],"")</f>
        <v>1</v>
      </c>
      <c r="M22" s="201"/>
      <c r="N22" s="201"/>
      <c r="O22" s="346"/>
      <c r="P22" s="346"/>
      <c r="Q22" s="346"/>
      <c r="R22" s="535"/>
      <c r="S22" s="535"/>
      <c r="T22" s="535"/>
      <c r="U22" s="535"/>
      <c r="V22" s="535"/>
      <c r="W22" s="535"/>
      <c r="X22" s="535"/>
      <c r="Y22" s="535"/>
      <c r="Z22" s="535"/>
      <c r="AA22" s="201"/>
      <c r="AB22" s="201"/>
      <c r="AC22" s="201"/>
      <c r="AD22" s="201"/>
      <c r="AE22" s="201"/>
      <c r="AF22" s="201"/>
      <c r="AG22" s="346"/>
      <c r="AH22" s="19"/>
      <c r="AI22" s="19"/>
      <c r="AJ22" s="19"/>
      <c r="AK22" s="19"/>
      <c r="AL22" s="19"/>
      <c r="AM22" s="19"/>
      <c r="AN22" s="19"/>
      <c r="AO22" s="19"/>
    </row>
    <row r="23" spans="1:41">
      <c r="A23" s="201"/>
      <c r="B23" s="210" t="s">
        <v>216</v>
      </c>
      <c r="C23" s="201"/>
      <c r="D23" s="201"/>
      <c r="E23" s="201"/>
      <c r="F23" s="201"/>
      <c r="G23" s="201"/>
      <c r="H23" s="201"/>
      <c r="I23" s="211" t="s">
        <v>200</v>
      </c>
      <c r="J23" s="15">
        <f>COUNTIF(HitlistTable[PDHRA],"X")</f>
        <v>0</v>
      </c>
      <c r="K23" s="15">
        <v>1</v>
      </c>
      <c r="L23" s="212">
        <f>IF(NOT(ISBLANK(K23)),(ReadinessTbale[[#This Row],[Bn '#''s]]-ReadinessTbale[[#This Row],[Co '#''s]])/ReadinessTbale[[#This Row],[Bn '#''s]],"")</f>
        <v>1</v>
      </c>
      <c r="M23" s="201"/>
      <c r="N23" s="201"/>
      <c r="O23" s="463" t="s">
        <v>217</v>
      </c>
      <c r="P23" s="201"/>
      <c r="Q23" s="201"/>
      <c r="R23" s="201"/>
      <c r="S23" s="462">
        <f>AVERAGE((COUNTIF(RecallTable[NAME],"*")-J20),(COUNTIF(RecallTable[NAME],"*")-J21),(COUNTIF(RecallTable[NAME],"*")-J22),(COUNTIF(RecallTable[NAME],"*")-J23),(COUNTIF(RecallTable[NAME],"*")-J24),(COUNTIF(RecallTable[NAME],"*")-J25),(COUNTIF(RecallTable[NAME],"*")-J26),(COUNTIF(RecallTable[NAME],"*")-J27),(COUNTIF(RecallTable[NAME],"*")-J28))/COUNTIF(RecallTable[NAME],"*")</f>
        <v>0.99444444444444446</v>
      </c>
      <c r="T23" s="535"/>
      <c r="U23" s="535"/>
      <c r="V23" s="535"/>
      <c r="W23" s="535"/>
      <c r="X23" s="535"/>
      <c r="Y23" s="201"/>
      <c r="Z23" s="201"/>
      <c r="AA23" s="201"/>
      <c r="AB23" s="201"/>
      <c r="AC23" s="201"/>
      <c r="AD23" s="201"/>
      <c r="AE23" s="201"/>
      <c r="AF23" s="201"/>
      <c r="AG23" s="346"/>
      <c r="AH23" s="19"/>
      <c r="AI23" s="19"/>
      <c r="AJ23" s="19"/>
      <c r="AK23" s="19"/>
      <c r="AL23" s="19"/>
      <c r="AM23" s="19"/>
      <c r="AN23" s="19"/>
      <c r="AO23" s="19"/>
    </row>
    <row r="24" spans="1:41">
      <c r="A24" s="201"/>
      <c r="B24" s="201" t="str" cm="1">
        <f t="array" ref="B24">_xlfn.CONCAT(COUNTIFS(RecallTable[ADDRESS],"*WC123*"), " Marines in ",COUNTA(_xlfn.UNIQUE(_xlfn._xlws.FILTER(RecallTable[ADDRESS],ISNUMBER(SEARCH("BEQ",RecallTable[ADDRESS]))))), " rooms in the WC123 barracks")</f>
        <v>51 Marines in 28 rooms in the WC123 barracks</v>
      </c>
      <c r="C24" s="201"/>
      <c r="D24" s="201"/>
      <c r="E24" s="201"/>
      <c r="F24" s="201"/>
      <c r="G24" s="201"/>
      <c r="H24" s="201"/>
      <c r="I24" s="211" t="s">
        <v>201</v>
      </c>
      <c r="J24" s="15">
        <f>COUNTIF(HitlistTable[PHA],"X")</f>
        <v>0</v>
      </c>
      <c r="K24" s="15">
        <v>24</v>
      </c>
      <c r="L24" s="212">
        <f>IF(NOT(ISBLANK(K24)),(ReadinessTbale[[#This Row],[Bn '#''s]]-ReadinessTbale[[#This Row],[Co '#''s]])/ReadinessTbale[[#This Row],[Bn '#''s]],"")</f>
        <v>1</v>
      </c>
      <c r="M24" s="201"/>
      <c r="N24" s="201"/>
      <c r="O24" s="346" t="s">
        <v>218</v>
      </c>
      <c r="P24" s="201"/>
      <c r="Q24" s="201"/>
      <c r="R24" s="201"/>
      <c r="S24" s="424">
        <f>(COUNTIFS(RecallTable[NAME],"*")-ReadinessTbale[[#This Row],[Co '#''s]])/COUNTIFS(RecallTable[NAME],"*")</f>
        <v>1</v>
      </c>
      <c r="T24" s="535"/>
      <c r="U24" s="535"/>
      <c r="V24" s="535"/>
      <c r="W24" s="535"/>
      <c r="X24" s="535"/>
      <c r="Y24" s="201"/>
      <c r="Z24" s="201"/>
      <c r="AA24" s="201"/>
      <c r="AB24" s="201"/>
      <c r="AC24" s="201"/>
      <c r="AD24" s="201"/>
      <c r="AE24" s="201"/>
      <c r="AF24" s="201"/>
      <c r="AG24" s="346"/>
      <c r="AH24" s="19"/>
      <c r="AI24" s="19"/>
      <c r="AJ24" s="19"/>
      <c r="AK24" s="19"/>
      <c r="AL24" s="19"/>
      <c r="AM24" s="19"/>
      <c r="AN24" s="19"/>
      <c r="AO24" s="19"/>
    </row>
    <row r="25" spans="1:41">
      <c r="A25" s="201"/>
      <c r="B25" s="437" t="str">
        <f>_xlfn.CONCAT(COUNTIFS(RecallTable[ADDRESS],"*WC123*",RecallTable[GRADE],"E3"), " LCpls, ", COUNTIFS(RecallTable[ADDRESS],"*WC123*",RecallTable[GRADE],"E4"), " Cpls, and ",COUNTIFS(RecallTable[ADDRESS],"*WC123*",RecallTable[GRADE],"E5"), " Sgts in the WC123 barracks")</f>
        <v>6 LCpls, 29 Cpls, and 16 Sgts in the WC123 barracks</v>
      </c>
      <c r="C25" s="201"/>
      <c r="D25" s="201"/>
      <c r="E25" s="201"/>
      <c r="F25" s="201"/>
      <c r="G25" s="201"/>
      <c r="H25" s="201"/>
      <c r="I25" s="211" t="s">
        <v>202</v>
      </c>
      <c r="J25" s="15">
        <f>COUNTIF(HitlistTable[PPD TEST],"X")</f>
        <v>0</v>
      </c>
      <c r="K25" s="15">
        <v>1</v>
      </c>
      <c r="L25" s="212">
        <f>IF(NOT(ISBLANK(K25)),(ReadinessTbale[[#This Row],[Bn '#''s]]-ReadinessTbale[[#This Row],[Co '#''s]])/ReadinessTbale[[#This Row],[Bn '#''s]],"")</f>
        <v>1</v>
      </c>
      <c r="M25" s="201"/>
      <c r="N25" s="201"/>
      <c r="O25" s="346" t="s">
        <v>219</v>
      </c>
      <c r="P25" s="201"/>
      <c r="Q25" s="201"/>
      <c r="R25" s="201"/>
      <c r="S25" s="464">
        <f>(SUM(K20:K28)-SUM(J20:J28))/SUM(K20:K28)</f>
        <v>0.978494623655914</v>
      </c>
      <c r="T25" s="535"/>
      <c r="U25" s="535"/>
      <c r="V25" s="535"/>
      <c r="W25" s="535"/>
      <c r="X25" s="535"/>
      <c r="Y25" s="201"/>
      <c r="Z25" s="201"/>
      <c r="AA25" s="201"/>
      <c r="AB25" s="201"/>
      <c r="AC25" s="201"/>
      <c r="AD25" s="201"/>
      <c r="AE25" s="201"/>
      <c r="AF25" s="201"/>
      <c r="AG25" s="346"/>
      <c r="AH25" s="19"/>
      <c r="AI25" s="19"/>
      <c r="AJ25" s="19"/>
      <c r="AK25" s="19"/>
      <c r="AL25" s="19"/>
      <c r="AM25" s="19"/>
      <c r="AN25" s="19"/>
      <c r="AO25" s="19"/>
    </row>
    <row r="26" spans="1:41">
      <c r="A26" s="201"/>
      <c r="B26" s="201"/>
      <c r="C26" s="201"/>
      <c r="D26" s="201"/>
      <c r="E26" s="201"/>
      <c r="F26" s="254"/>
      <c r="G26" s="201"/>
      <c r="H26" s="201"/>
      <c r="I26" s="211" t="s">
        <v>203</v>
      </c>
      <c r="J26" s="15">
        <f>COUNTIF(HitlistTable[IMMUN],"X")</f>
        <v>0</v>
      </c>
      <c r="K26" s="15">
        <v>4</v>
      </c>
      <c r="L26" s="212">
        <f>IF(NOT(ISBLANK(K26)),(ReadinessTbale[[#This Row],[Bn '#''s]]-ReadinessTbale[[#This Row],[Co '#''s]])/ReadinessTbale[[#This Row],[Bn '#''s]],"")</f>
        <v>1</v>
      </c>
      <c r="M26" s="201"/>
      <c r="N26" s="201"/>
      <c r="O26" s="201"/>
      <c r="P26" s="201"/>
      <c r="Q26" s="201"/>
      <c r="R26" s="201"/>
      <c r="S26" s="201"/>
      <c r="T26" s="535"/>
      <c r="U26" s="535"/>
      <c r="V26" s="535"/>
      <c r="W26" s="535"/>
      <c r="X26" s="535"/>
      <c r="Y26" s="201"/>
      <c r="Z26" s="201"/>
      <c r="AA26" s="201"/>
      <c r="AB26" s="201"/>
      <c r="AC26" s="201"/>
      <c r="AD26" s="201"/>
      <c r="AE26" s="201"/>
      <c r="AF26" s="201"/>
      <c r="AG26" s="346"/>
      <c r="AH26" s="19"/>
      <c r="AI26" s="19"/>
      <c r="AJ26" s="19"/>
      <c r="AK26" s="19"/>
      <c r="AL26" s="19"/>
      <c r="AM26" s="19"/>
      <c r="AN26" s="19"/>
      <c r="AO26" s="19"/>
    </row>
    <row r="27" spans="1:41">
      <c r="A27" s="201"/>
      <c r="B27" s="210" t="s">
        <v>220</v>
      </c>
      <c r="C27" s="201"/>
      <c r="D27" s="201"/>
      <c r="E27" s="496" t="s">
        <v>221</v>
      </c>
      <c r="F27" s="495" t="s">
        <v>222</v>
      </c>
      <c r="G27" s="254"/>
      <c r="H27" s="201"/>
      <c r="I27" s="211" t="s">
        <v>204</v>
      </c>
      <c r="J27" s="15">
        <f>COUNTIF(HitlistTable[Specs],"X")</f>
        <v>0</v>
      </c>
      <c r="K27" s="15"/>
      <c r="L27" s="212" t="str">
        <f>IF(NOT(ISBLANK(K27)),(ReadinessTbale[[#This Row],[Bn '#''s]]-ReadinessTbale[[#This Row],[Co '#''s]])/ReadinessTbale[[#This Row],[Bn '#''s]],"")</f>
        <v/>
      </c>
      <c r="M27" s="201"/>
      <c r="N27" s="201"/>
      <c r="O27" s="201"/>
      <c r="P27" s="201"/>
      <c r="Q27" s="201"/>
      <c r="R27" s="201"/>
      <c r="S27" s="201"/>
      <c r="T27" s="535"/>
      <c r="U27" s="535"/>
      <c r="V27" s="535"/>
      <c r="W27" s="535"/>
      <c r="X27" s="535"/>
      <c r="Y27" s="201"/>
      <c r="Z27" s="201"/>
      <c r="AA27" s="201"/>
      <c r="AB27" s="201"/>
      <c r="AC27" s="201"/>
      <c r="AD27" s="201"/>
      <c r="AE27" s="201"/>
      <c r="AF27" s="201"/>
      <c r="AG27" s="346"/>
      <c r="AH27" s="19"/>
      <c r="AI27" s="19"/>
      <c r="AJ27" s="19"/>
      <c r="AK27" s="19"/>
      <c r="AL27" s="19"/>
      <c r="AM27" s="19"/>
      <c r="AN27" s="19"/>
      <c r="AO27" s="19"/>
    </row>
    <row r="28" spans="1:41" ht="15" customHeight="1">
      <c r="A28" s="201"/>
      <c r="B28" s="201" t="str">
        <f>_xlfn.CONCAT(SUM(F28), " Officers (at the company, 4 TAD)")</f>
        <v>9 Officers (at the company, 4 TAD)</v>
      </c>
      <c r="C28" s="201"/>
      <c r="D28" s="201"/>
      <c r="E28" s="279" t="str" cm="1">
        <f t="array" ref="E28:E33">TEXT(_xlfn.UNIQUE(MOLTable[MOS]),"0000")</f>
        <v>1702</v>
      </c>
      <c r="F28" s="465">
        <f>COUNTIF(MOLTable[MOS],E28)</f>
        <v>9</v>
      </c>
      <c r="G28" s="254"/>
      <c r="H28" s="201"/>
      <c r="I28" s="211" t="s">
        <v>205</v>
      </c>
      <c r="J28" s="15">
        <f>COUNTIF(HitlistTable[Flu],"X")</f>
        <v>0</v>
      </c>
      <c r="K28" s="15">
        <f>110-5</f>
        <v>105</v>
      </c>
      <c r="L28" s="212">
        <f>IF(NOT(ISBLANK(K28)),(ReadinessTbale[[#This Row],[Bn '#''s]]-ReadinessTbale[[#This Row],[Co '#''s]])/ReadinessTbale[[#This Row],[Bn '#''s]],"")</f>
        <v>1</v>
      </c>
      <c r="M28" s="201"/>
      <c r="N28" s="201"/>
      <c r="O28" s="201"/>
      <c r="P28" s="201"/>
      <c r="Q28" s="201"/>
      <c r="R28" s="201"/>
      <c r="S28" s="201"/>
      <c r="T28" s="535"/>
      <c r="U28" s="535"/>
      <c r="V28" s="535"/>
      <c r="W28" s="535"/>
      <c r="X28" s="535"/>
      <c r="Y28" s="201"/>
      <c r="Z28" s="201"/>
      <c r="AA28" s="201"/>
      <c r="AB28" s="201"/>
      <c r="AC28" s="201"/>
      <c r="AD28" s="201"/>
      <c r="AE28" s="201"/>
      <c r="AF28" s="201"/>
      <c r="AG28" s="346"/>
      <c r="AH28" s="19"/>
      <c r="AI28" s="19"/>
      <c r="AJ28" s="19"/>
      <c r="AK28" s="19"/>
      <c r="AL28" s="19"/>
      <c r="AM28" s="19"/>
      <c r="AN28" s="19"/>
      <c r="AO28" s="19"/>
    </row>
    <row r="29" spans="1:41" ht="15.75" customHeight="1">
      <c r="A29" s="201"/>
      <c r="B29" s="201" t="str">
        <f>_xlfn.CONCAT(F30, " OJT-ers")</f>
        <v>4 OJT-ers</v>
      </c>
      <c r="C29" s="201"/>
      <c r="D29" s="201"/>
      <c r="E29" s="279" t="str">
        <v>1721</v>
      </c>
      <c r="F29" s="465">
        <f>COUNTIF(MOLTable[MOS],E29)</f>
        <v>63</v>
      </c>
      <c r="G29" s="254"/>
      <c r="H29" s="201"/>
      <c r="I29" s="288" t="s">
        <v>223</v>
      </c>
      <c r="J29" s="15">
        <f>COUNTIF(WholeMarineTrainingTable[GTCC],"*")</f>
        <v>72</v>
      </c>
      <c r="K29" s="15">
        <f>COUNTIF(WholeMarineTrainingTable[Name],"*")</f>
        <v>79</v>
      </c>
      <c r="L29" s="212">
        <f>ReadinessTbale[[#This Row],[Co '#''s]]/ReadinessTbale[[#This Row],[Bn '#''s]]</f>
        <v>0.91139240506329111</v>
      </c>
      <c r="M29" s="201"/>
      <c r="N29" s="201"/>
      <c r="O29" s="201"/>
      <c r="P29" s="201"/>
      <c r="Q29" s="201"/>
      <c r="R29" s="201"/>
      <c r="S29" s="201"/>
      <c r="T29" s="535"/>
      <c r="U29" s="535"/>
      <c r="V29" s="535"/>
      <c r="W29" s="535"/>
      <c r="X29" s="535"/>
      <c r="Y29" s="201"/>
      <c r="Z29" s="201"/>
      <c r="AA29" s="201"/>
      <c r="AB29" s="201"/>
      <c r="AC29" s="346"/>
      <c r="AD29" s="346"/>
      <c r="AE29" s="346"/>
      <c r="AF29" s="346"/>
      <c r="AG29" s="346"/>
      <c r="AH29" s="19"/>
      <c r="AI29" s="19"/>
      <c r="AJ29" s="19"/>
      <c r="AK29" s="19"/>
      <c r="AL29" s="19"/>
      <c r="AM29" s="19"/>
      <c r="AN29" s="19"/>
      <c r="AO29" s="19"/>
    </row>
    <row r="30" spans="1:41">
      <c r="A30" s="201"/>
      <c r="B30" s="346" t="str">
        <f>_xlfn.CONCAT(SUM(F28,F31), " fully trained")</f>
        <v>10 fully trained</v>
      </c>
      <c r="C30" s="201"/>
      <c r="D30" s="201"/>
      <c r="E30" s="279" t="str">
        <v>1700</v>
      </c>
      <c r="F30" s="465">
        <f>COUNTIF(MOLTable[MOS],E30)</f>
        <v>4</v>
      </c>
      <c r="G30" s="254"/>
      <c r="H30" s="201"/>
      <c r="I30" s="201"/>
      <c r="J30" s="201"/>
      <c r="K30" s="201"/>
      <c r="L30" s="201"/>
      <c r="M30" s="201"/>
      <c r="N30" s="201"/>
      <c r="O30" s="201"/>
      <c r="P30" s="201"/>
      <c r="Q30" s="201"/>
      <c r="R30" s="201"/>
      <c r="S30" s="201"/>
      <c r="T30" s="535"/>
      <c r="U30" s="535"/>
      <c r="V30" s="535"/>
      <c r="W30" s="535"/>
      <c r="X30" s="535"/>
      <c r="Y30" s="201"/>
      <c r="Z30" s="201"/>
      <c r="AA30" s="201"/>
      <c r="AB30" s="201"/>
      <c r="AC30" s="346"/>
      <c r="AD30" s="346"/>
      <c r="AE30" s="346"/>
      <c r="AF30" s="346"/>
      <c r="AG30" s="346"/>
      <c r="AH30" s="19"/>
      <c r="AI30" s="19"/>
      <c r="AJ30" s="19"/>
      <c r="AK30" s="19"/>
      <c r="AL30" s="19"/>
      <c r="AM30" s="19"/>
      <c r="AN30" s="19"/>
      <c r="AO30" s="19"/>
    </row>
    <row r="31" spans="1:41">
      <c r="A31" s="201"/>
      <c r="B31" s="346" t="str">
        <f>_xlfn.CONCAT((100*ROUNDDOWN(COUNTIF(MOLTable[Sex],"F")/COUNTIF(MOLTable[Sex],"*"),3)), "% females (",COUNTIF(MOLTable[Sex],"F"),") and ",(100*ROUNDDOWN(COUNTIF(MOLTable[Sex],"M")/COUNTIF(MOLTable[Sex],"*"),3)), "% males")</f>
        <v>8.8% females (7) and 91.1% males</v>
      </c>
      <c r="C31" s="201"/>
      <c r="D31" s="201"/>
      <c r="E31" s="279" t="str">
        <v>1799</v>
      </c>
      <c r="F31" s="465">
        <f>COUNTIF(MOLTable[MOS],E31)</f>
        <v>1</v>
      </c>
      <c r="G31" s="254"/>
      <c r="H31" s="201"/>
      <c r="I31" s="346"/>
      <c r="J31" s="346"/>
      <c r="K31" s="346"/>
      <c r="L31" s="346"/>
      <c r="M31" s="201"/>
      <c r="N31" s="207"/>
      <c r="O31" s="201"/>
      <c r="P31" s="201"/>
      <c r="Q31" s="201"/>
      <c r="R31" s="201"/>
      <c r="S31" s="201"/>
      <c r="T31" s="535"/>
      <c r="U31" s="535"/>
      <c r="V31" s="535"/>
      <c r="W31" s="535"/>
      <c r="X31" s="535"/>
      <c r="Y31" s="201"/>
      <c r="Z31" s="201"/>
      <c r="AA31" s="201"/>
      <c r="AB31" s="201"/>
      <c r="AC31" s="346"/>
      <c r="AD31" s="346"/>
      <c r="AE31" s="346"/>
      <c r="AF31" s="346"/>
      <c r="AG31" s="346"/>
      <c r="AH31" s="19"/>
      <c r="AI31" s="19"/>
      <c r="AJ31" s="19"/>
      <c r="AK31" s="19"/>
      <c r="AL31" s="19"/>
      <c r="AM31" s="19"/>
      <c r="AN31" s="19"/>
      <c r="AO31" s="19"/>
    </row>
    <row r="32" spans="1:41">
      <c r="A32" s="201"/>
      <c r="B32" s="354" t="str">
        <f>_xlfn.CONCAT(COUNTIFS(InboundRoster[Name],"*",InboundRoster[Checked In?],"")," on the inbound roster")</f>
        <v>7 on the inbound roster</v>
      </c>
      <c r="C32" s="201"/>
      <c r="D32" s="201"/>
      <c r="E32" s="279" t="str">
        <v>0231</v>
      </c>
      <c r="F32" s="465">
        <f>COUNTIF(MOLTable[MOS],E32)</f>
        <v>1</v>
      </c>
      <c r="G32" s="254"/>
      <c r="H32" s="201"/>
      <c r="I32" s="346"/>
      <c r="J32" s="346"/>
      <c r="K32" s="346"/>
      <c r="L32" s="346"/>
      <c r="M32" s="201"/>
      <c r="N32" s="424"/>
      <c r="O32" s="201"/>
      <c r="P32" s="201"/>
      <c r="Q32" s="201"/>
      <c r="R32" s="201"/>
      <c r="S32" s="201"/>
      <c r="T32" s="535"/>
      <c r="U32" s="535"/>
      <c r="V32" s="535"/>
      <c r="W32" s="535"/>
      <c r="X32" s="535"/>
      <c r="Y32" s="201"/>
      <c r="Z32" s="201"/>
      <c r="AA32" s="201"/>
      <c r="AB32" s="201"/>
      <c r="AC32" s="346"/>
      <c r="AD32" s="346"/>
      <c r="AE32" s="346"/>
      <c r="AF32" s="346"/>
      <c r="AG32" s="346"/>
      <c r="AH32" s="19"/>
      <c r="AI32" s="19"/>
      <c r="AJ32" s="19"/>
      <c r="AK32" s="19"/>
      <c r="AL32" s="19"/>
      <c r="AM32" s="19"/>
      <c r="AN32" s="19"/>
      <c r="AO32" s="19"/>
    </row>
    <row r="33" spans="1:41" ht="15" customHeight="1">
      <c r="A33" s="201"/>
      <c r="B33" s="201" t="str">
        <f>_xlfn.CONCAT(COUNTIFS(RecallTable[Current Status], "TAD"), " Marines on TAD")</f>
        <v>15 Marines on TAD</v>
      </c>
      <c r="C33" s="201"/>
      <c r="D33" s="201"/>
      <c r="E33" s="279" t="str">
        <v>8999</v>
      </c>
      <c r="F33" s="465">
        <f>COUNTIF(MOLTable[MOS],E33)</f>
        <v>1</v>
      </c>
      <c r="G33" s="254"/>
      <c r="H33" s="573" t="s">
        <v>224</v>
      </c>
      <c r="I33" s="574"/>
      <c r="J33" s="574"/>
      <c r="K33" s="574"/>
      <c r="L33" s="574"/>
      <c r="M33" s="574"/>
      <c r="N33" s="574"/>
      <c r="O33" s="574"/>
      <c r="P33" s="574"/>
      <c r="Q33" s="574"/>
      <c r="R33" s="574"/>
      <c r="S33" s="574"/>
      <c r="T33" s="574"/>
      <c r="U33" s="574"/>
      <c r="V33" s="574"/>
      <c r="W33" s="575"/>
      <c r="X33" s="346"/>
      <c r="Y33" s="346"/>
      <c r="Z33" s="346"/>
      <c r="AA33" s="596" t="s">
        <v>225</v>
      </c>
      <c r="AB33" s="597"/>
      <c r="AC33" s="346"/>
      <c r="AD33" s="346"/>
      <c r="AE33" s="346"/>
      <c r="AF33" s="346"/>
      <c r="AG33" s="346"/>
      <c r="AH33" s="19"/>
      <c r="AI33" s="19"/>
      <c r="AJ33" s="19"/>
      <c r="AK33" s="19"/>
      <c r="AL33" s="19"/>
      <c r="AM33" s="19"/>
      <c r="AN33" s="19"/>
      <c r="AO33" s="19"/>
    </row>
    <row r="34" spans="1:41" ht="15" customHeight="1">
      <c r="A34" s="201"/>
      <c r="B34" s="201"/>
      <c r="C34" s="201"/>
      <c r="D34" s="201"/>
      <c r="E34" s="201"/>
      <c r="F34" s="254"/>
      <c r="G34" s="254"/>
      <c r="H34" s="576"/>
      <c r="I34" s="577"/>
      <c r="J34" s="577"/>
      <c r="K34" s="577"/>
      <c r="L34" s="577"/>
      <c r="M34" s="577"/>
      <c r="N34" s="577"/>
      <c r="O34" s="577"/>
      <c r="P34" s="577"/>
      <c r="Q34" s="577"/>
      <c r="R34" s="577"/>
      <c r="S34" s="577"/>
      <c r="T34" s="577"/>
      <c r="U34" s="577"/>
      <c r="V34" s="577"/>
      <c r="W34" s="578"/>
      <c r="X34" s="346"/>
      <c r="Y34" s="346"/>
      <c r="Z34" s="346"/>
      <c r="AA34" s="376" t="s">
        <v>155</v>
      </c>
      <c r="AB34" s="456" t="s">
        <v>1094</v>
      </c>
      <c r="AC34" s="346"/>
      <c r="AD34" s="346"/>
      <c r="AE34" s="346"/>
      <c r="AF34" s="346"/>
      <c r="AG34" s="346"/>
      <c r="AH34" s="19"/>
      <c r="AI34" s="19"/>
      <c r="AJ34" s="19"/>
      <c r="AK34" s="19"/>
      <c r="AL34" s="19"/>
      <c r="AM34" s="19"/>
      <c r="AN34" s="19"/>
      <c r="AO34" s="19"/>
    </row>
    <row r="35" spans="1:41">
      <c r="A35" s="201"/>
      <c r="B35" s="586" t="s">
        <v>227</v>
      </c>
      <c r="C35" s="587"/>
      <c r="D35" s="588"/>
      <c r="E35" s="346"/>
      <c r="F35" s="346"/>
      <c r="G35" s="254"/>
      <c r="H35" s="579" t="s">
        <v>108</v>
      </c>
      <c r="I35" s="580"/>
      <c r="J35" s="580"/>
      <c r="K35" s="581"/>
      <c r="L35" s="562" t="s">
        <v>209</v>
      </c>
      <c r="M35" s="562"/>
      <c r="N35" s="562"/>
      <c r="O35" s="562"/>
      <c r="P35" s="579" t="s">
        <v>79</v>
      </c>
      <c r="Q35" s="580"/>
      <c r="R35" s="580"/>
      <c r="S35" s="581"/>
      <c r="T35" s="562" t="s">
        <v>228</v>
      </c>
      <c r="U35" s="562"/>
      <c r="V35" s="562"/>
      <c r="W35" s="563"/>
      <c r="X35" s="346"/>
      <c r="Y35" s="346"/>
      <c r="Z35" s="346"/>
      <c r="AA35" s="367" t="s">
        <v>229</v>
      </c>
      <c r="AB35" s="460">
        <f>_xlfn.XLOOKUP(AB34,RecallTable[NAME],RecallTable[EDIPI],"Not Found")</f>
        <v>4741999075</v>
      </c>
      <c r="AC35" s="346"/>
      <c r="AD35" s="346"/>
      <c r="AE35" s="346"/>
      <c r="AF35" s="346"/>
      <c r="AG35" s="346"/>
      <c r="AH35" s="19"/>
      <c r="AI35" s="19"/>
      <c r="AJ35" s="19"/>
      <c r="AK35" s="19"/>
      <c r="AL35" s="19"/>
      <c r="AM35" s="19"/>
      <c r="AN35" s="19"/>
      <c r="AO35" s="19"/>
    </row>
    <row r="36" spans="1:41">
      <c r="A36" s="201"/>
      <c r="B36" s="346" t="s">
        <v>230</v>
      </c>
      <c r="C36" s="346"/>
      <c r="D36" s="433">
        <v>45319</v>
      </c>
      <c r="E36" s="346"/>
      <c r="F36" s="346"/>
      <c r="G36" s="254"/>
      <c r="H36" s="444" t="s">
        <v>173</v>
      </c>
      <c r="I36" s="279">
        <f>COUNTIFS(RecallTable[GRADE],H36,RecallTable[SECTION],$H$35)</f>
        <v>0</v>
      </c>
      <c r="J36" s="445" t="str">
        <f>_xlfn.CONCAT(REPT("|",COUNTIFS(RecallTable[MOS],"1721", RecallTable[GRADE],H36,RecallTable[SECTION],$H$35)),REPT("o",COUNTIFS(RecallTable[MOS],"1700", RecallTable[GRADE],H36,RecallTable[SECTION],$H$35)))</f>
        <v/>
      </c>
      <c r="K36" s="446" t="s">
        <v>231</v>
      </c>
      <c r="L36" s="514" t="s">
        <v>173</v>
      </c>
      <c r="M36" s="534">
        <f>COUNTIFS(RecallTable[GRADE],L36,RecallTable[SECTION],$L$35)</f>
        <v>0</v>
      </c>
      <c r="N36" s="515" t="str">
        <f>_xlfn.CONCAT(REPT("|",COUNTIFS(RecallTable[MOS],"1721", RecallTable[GRADE],L36,RecallTable[SECTION],$L$35)),REPT("o",COUNTIFS(RecallTable[MOS],"1700", RecallTable[GRADE],L36,RecallTable[SECTION],$L$35)))</f>
        <v/>
      </c>
      <c r="O36" s="516" t="s">
        <v>231</v>
      </c>
      <c r="P36" s="280" t="s">
        <v>173</v>
      </c>
      <c r="Q36" s="279">
        <f>COUNTIFS(RecallTable[GRADE],P36,RecallTable[SECTION],$P$35)</f>
        <v>0</v>
      </c>
      <c r="R36" s="445" t="str">
        <f>_xlfn.CONCAT(REPT("|",COUNTIFS(RecallTable[MOS],"1721", RecallTable[GRADE],P36,RecallTable[SECTION],$P$35)),REPT("o",COUNTIFS(RecallTable[MOS],"1700", RecallTable[GRADE],P36,RecallTable[SECTION],$P$35)))</f>
        <v/>
      </c>
      <c r="S36" s="446" t="s">
        <v>231</v>
      </c>
      <c r="T36" s="514" t="s">
        <v>173</v>
      </c>
      <c r="U36" s="534">
        <f>COUNTIFS(RecallTable[GRADE],T36,RecallTable[SECTION],$T$35)</f>
        <v>0</v>
      </c>
      <c r="V36" s="515" t="str">
        <f>_xlfn.CONCAT(REPT("|",COUNTIFS(RecallTable[MOS],"1721", RecallTable[GRADE],T36,RecallTable[SECTION],$T$35)),REPT("o",COUNTIFS(RecallTable[MOS],"1700", RecallTable[GRADE],T36,RecallTable[SECTION],$T$35)))</f>
        <v/>
      </c>
      <c r="W36" s="516" t="s">
        <v>231</v>
      </c>
      <c r="X36" s="346"/>
      <c r="Y36" s="346"/>
      <c r="Z36" s="346"/>
      <c r="AA36" s="367"/>
      <c r="AB36" s="456"/>
      <c r="AC36" s="346"/>
      <c r="AD36" s="346"/>
      <c r="AE36" s="346"/>
      <c r="AF36" s="346"/>
      <c r="AG36" s="346"/>
      <c r="AH36" s="19"/>
      <c r="AI36" s="19"/>
      <c r="AJ36" s="19"/>
      <c r="AK36" s="19"/>
      <c r="AL36" s="19"/>
      <c r="AM36" s="19"/>
      <c r="AN36" s="19"/>
      <c r="AO36" s="19"/>
    </row>
    <row r="37" spans="1:41">
      <c r="A37" s="201"/>
      <c r="B37" s="346" t="s">
        <v>232</v>
      </c>
      <c r="C37" s="346"/>
      <c r="D37" s="434">
        <f ca="1">_xlfn.DAYS(TODAY(),D36)</f>
        <v>79</v>
      </c>
      <c r="E37" s="346"/>
      <c r="F37" s="346"/>
      <c r="G37" s="254"/>
      <c r="H37" s="444" t="s">
        <v>174</v>
      </c>
      <c r="I37" s="279">
        <f>COUNTIFS(RecallTable[GRADE],H37,RecallTable[SECTION],$H$35)</f>
        <v>0</v>
      </c>
      <c r="J37" s="445" t="str">
        <f>_xlfn.CONCAT(REPT("|",COUNTIFS(RecallTable[MOS],"1721", RecallTable[GRADE],H37,RecallTable[SECTION],$H$35)),REPT("o",COUNTIFS(RecallTable[MOS],"1700", RecallTable[GRADE],H37,RecallTable[SECTION],$H$35)))</f>
        <v/>
      </c>
      <c r="K37" s="447" t="str">
        <f>_xlfn.CONCAT(COUNTIFS(InboundRoster[Section],$H$35, InboundRoster[Rank], _xlfn.XLOOKUP(H37,RankTable[Code],RankTable[Abbr])),"              ",COUNTIFS(OutboundRoster[Section],$H$35, OutboundRoster[Rank], _xlfn.XLOOKUP(H37,RankTable[Code],RankTable[Abbr])))</f>
        <v>0              0</v>
      </c>
      <c r="L37" s="444" t="s">
        <v>174</v>
      </c>
      <c r="M37" s="279">
        <f>COUNTIFS(RecallTable[GRADE],L37,RecallTable[SECTION],$L$35)</f>
        <v>0</v>
      </c>
      <c r="N37" s="445" t="str">
        <f>_xlfn.CONCAT(REPT("|",COUNTIFS(RecallTable[MOS],"1721", RecallTable[GRADE],L37,RecallTable[SECTION],$L$35)),REPT("o",COUNTIFS(RecallTable[MOS],"1700", RecallTable[GRADE],L37,RecallTable[SECTION],$L$35)))</f>
        <v/>
      </c>
      <c r="O37" s="511" t="str">
        <f>_xlfn.CONCAT(COUNTIFS(InboundRoster[Section],$L$35, InboundRoster[Rank], _xlfn.XLOOKUP(L37,RankTable[Code],RankTable[Abbr])),"              ",COUNTIFS(OutboundRoster[Section],$L$35, OutboundRoster[Rank], _xlfn.XLOOKUP(L37,RankTable[Code],RankTable[Abbr])))</f>
        <v>0              0</v>
      </c>
      <c r="P37" s="280" t="s">
        <v>174</v>
      </c>
      <c r="Q37" s="279">
        <f>COUNTIFS(RecallTable[GRADE],P37,RecallTable[SECTION],$P$35)</f>
        <v>0</v>
      </c>
      <c r="R37" s="445" t="str">
        <f>_xlfn.CONCAT(REPT("|",COUNTIFS(RecallTable[MOS],"1721", RecallTable[GRADE],P37,RecallTable[SECTION],$P$35)),REPT("o",COUNTIFS(RecallTable[MOS],"1700", RecallTable[GRADE],P37,RecallTable[SECTION],$P$35)))</f>
        <v/>
      </c>
      <c r="S37" s="447" t="str">
        <f>_xlfn.CONCAT(COUNTIFS(InboundRoster[Section],$P$35, InboundRoster[Rank], _xlfn.XLOOKUP(P37,RankTable[Code],RankTable[Abbr])),"              ",COUNTIFS(OutboundRoster[Section],$P$35, OutboundRoster[Rank], _xlfn.XLOOKUP(P37,RankTable[Code],RankTable[Abbr])))</f>
        <v>0              0</v>
      </c>
      <c r="T37" s="444" t="s">
        <v>174</v>
      </c>
      <c r="U37" s="279">
        <f>COUNTIFS(RecallTable[GRADE],T37,RecallTable[SECTION],$T$35)</f>
        <v>0</v>
      </c>
      <c r="V37" s="445" t="str">
        <f>_xlfn.CONCAT(REPT("|",COUNTIFS(RecallTable[MOS],"1721", RecallTable[GRADE],T37,RecallTable[SECTION],$T$35)),REPT("o",COUNTIFS(RecallTable[MOS],"1700", RecallTable[GRADE],T37,RecallTable[SECTION],$T$35)))</f>
        <v/>
      </c>
      <c r="W37" s="511" t="str">
        <f>_xlfn.CONCAT(COUNTIFS(InboundRoster[Section],$T$35, InboundRoster[Rank], _xlfn.XLOOKUP(T37,RankTable[Code],RankTable[Abbr])),"              ",COUNTIFS(OutboundRoster[Section],$T$35, OutboundRoster[Rank], _xlfn.XLOOKUP(T37,RankTable[Code],RankTable[Abbr])))</f>
        <v>0              0</v>
      </c>
      <c r="X37" s="346"/>
      <c r="Y37" s="346"/>
      <c r="Z37" s="346"/>
      <c r="AA37" s="367" t="s">
        <v>195</v>
      </c>
      <c r="AB37" s="456" t="str">
        <f>_xlfn.CONCAT("DCO ",_xlfn.XLOOKUP(AB35, RecallTable[EDIPI],RecallTable[SECTION], "Not Found"))</f>
        <v>DCO 1PLT</v>
      </c>
      <c r="AC37" s="346"/>
      <c r="AD37" s="346"/>
      <c r="AE37" s="201"/>
      <c r="AF37" s="201"/>
      <c r="AG37" s="346"/>
      <c r="AH37" s="19"/>
      <c r="AI37" s="19"/>
      <c r="AJ37" s="19"/>
      <c r="AK37" s="19"/>
      <c r="AL37" s="19"/>
      <c r="AM37" s="19"/>
      <c r="AN37" s="19"/>
      <c r="AO37" s="19"/>
    </row>
    <row r="38" spans="1:41">
      <c r="A38" s="201"/>
      <c r="B38" s="346" t="s">
        <v>233</v>
      </c>
      <c r="C38" s="346"/>
      <c r="D38" s="434" t="str">
        <f ca="1">_xlfn.CONCAT(IF((D37/72)&gt;=1,"yes","no"), " (", ROUNDDOWN(D37/72,0),")")</f>
        <v>yes (1)</v>
      </c>
      <c r="E38" s="346"/>
      <c r="F38" s="346"/>
      <c r="G38" s="254"/>
      <c r="H38" s="444" t="s">
        <v>179</v>
      </c>
      <c r="I38" s="279">
        <f>COUNTIFS(RecallTable[GRADE],H38,RecallTable[SECTION],$H$35)</f>
        <v>1</v>
      </c>
      <c r="J38" s="445" t="str">
        <f>_xlfn.CONCAT(REPT("|",COUNTIFS(RecallTable[MOS],"1721", RecallTable[GRADE],H38,RecallTable[SECTION],$H$35)),REPT("o",COUNTIFS(RecallTable[MOS],"1700", RecallTable[GRADE],H38,RecallTable[SECTION],$H$35)))</f>
        <v>|</v>
      </c>
      <c r="K38" s="447" t="str">
        <f>_xlfn.CONCAT(COUNTIFS(InboundRoster[Section],$H$35, InboundRoster[Rank], _xlfn.XLOOKUP(H38,RankTable[Code],RankTable[Abbr])),"              ",COUNTIFS(OutboundRoster[Section],$H$35, OutboundRoster[Rank], _xlfn.XLOOKUP(H38,RankTable[Code],RankTable[Abbr])))</f>
        <v>0              1</v>
      </c>
      <c r="L38" s="444" t="s">
        <v>179</v>
      </c>
      <c r="M38" s="279">
        <f>COUNTIFS(RecallTable[GRADE],L38,RecallTable[SECTION],$L$35)</f>
        <v>1</v>
      </c>
      <c r="N38" s="445" t="str">
        <f>_xlfn.CONCAT(REPT("|",COUNTIFS(RecallTable[MOS],"1721", RecallTable[GRADE],L38,RecallTable[SECTION],$L$35)),REPT("o",COUNTIFS(RecallTable[MOS],"1700", RecallTable[GRADE],L38,RecallTable[SECTION],$L$35)))</f>
        <v>|</v>
      </c>
      <c r="O38" s="511" t="str">
        <f>_xlfn.CONCAT(COUNTIFS(InboundRoster[Section],$L$35, InboundRoster[Rank], _xlfn.XLOOKUP(L38,RankTable[Code],RankTable[Abbr])),"              ",COUNTIFS(OutboundRoster[Section],$L$35, OutboundRoster[Rank], _xlfn.XLOOKUP(L38,RankTable[Code],RankTable[Abbr])))</f>
        <v>1              0</v>
      </c>
      <c r="P38" s="280" t="s">
        <v>179</v>
      </c>
      <c r="Q38" s="279">
        <f>COUNTIFS(RecallTable[GRADE],P38,RecallTable[SECTION],$P$35)</f>
        <v>2</v>
      </c>
      <c r="R38" s="445" t="str">
        <f>_xlfn.CONCAT(REPT("|",COUNTIFS(RecallTable[MOS],"1721", RecallTable[GRADE],P38,RecallTable[SECTION],$P$35)),REPT("o",COUNTIFS(RecallTable[MOS],"1700", RecallTable[GRADE],P38,RecallTable[SECTION],$P$35)))</f>
        <v>||</v>
      </c>
      <c r="S38" s="447" t="str">
        <f>_xlfn.CONCAT(COUNTIFS(InboundRoster[Section],$P$35, InboundRoster[Rank], _xlfn.XLOOKUP(P38,RankTable[Code],RankTable[Abbr])),"              ",COUNTIFS(OutboundRoster[Section],$P$35, OutboundRoster[Rank], _xlfn.XLOOKUP(P38,RankTable[Code],RankTable[Abbr])))</f>
        <v>1              0</v>
      </c>
      <c r="T38" s="444" t="s">
        <v>179</v>
      </c>
      <c r="U38" s="279">
        <f>COUNTIFS(RecallTable[GRADE],T38,RecallTable[SECTION],$T$35)</f>
        <v>0</v>
      </c>
      <c r="V38" s="445" t="str">
        <f>_xlfn.CONCAT(REPT("|",COUNTIFS(RecallTable[MOS],"1721", RecallTable[GRADE],T38,RecallTable[SECTION],$T$35)),REPT("o",COUNTIFS(RecallTable[MOS],"1700", RecallTable[GRADE],T38,RecallTable[SECTION],$T$35)))</f>
        <v/>
      </c>
      <c r="W38" s="511" t="str">
        <f>_xlfn.CONCAT(COUNTIFS(InboundRoster[Section],$T$35, InboundRoster[Rank], _xlfn.XLOOKUP(T38,RankTable[Code],RankTable[Abbr])),"              ",COUNTIFS(OutboundRoster[Section],$T$35, OutboundRoster[Rank], _xlfn.XLOOKUP(T38,RankTable[Code],RankTable[Abbr])))</f>
        <v>0              0</v>
      </c>
      <c r="X38" s="346"/>
      <c r="Y38" s="346"/>
      <c r="Z38" s="346"/>
      <c r="AA38" s="367" t="s">
        <v>221</v>
      </c>
      <c r="AB38" s="456">
        <f>_xlfn.XLOOKUP(AB35, RecallTable[EDIPI], RecallTable[MOS], "Not Found")</f>
        <v>1702</v>
      </c>
      <c r="AC38" s="346"/>
      <c r="AD38" s="346"/>
      <c r="AE38" s="201"/>
      <c r="AF38" s="201"/>
      <c r="AG38" s="346"/>
      <c r="AH38" s="19"/>
      <c r="AI38" s="19"/>
      <c r="AJ38" s="19"/>
      <c r="AK38" s="19"/>
      <c r="AL38" s="19"/>
      <c r="AM38" s="19"/>
      <c r="AN38" s="19"/>
      <c r="AO38" s="19"/>
    </row>
    <row r="39" spans="1:41">
      <c r="A39" s="201"/>
      <c r="B39" s="346" t="s">
        <v>234</v>
      </c>
      <c r="C39" s="346"/>
      <c r="D39" s="435">
        <f>D36+72</f>
        <v>45391</v>
      </c>
      <c r="E39" s="346"/>
      <c r="F39" s="346"/>
      <c r="G39" s="254"/>
      <c r="H39" s="444" t="s">
        <v>180</v>
      </c>
      <c r="I39" s="279">
        <f>COUNTIFS(RecallTable[GRADE],H39,RecallTable[SECTION],$H$35)</f>
        <v>7</v>
      </c>
      <c r="J39" s="445" t="str">
        <f>_xlfn.CONCAT(REPT("|",COUNTIFS(RecallTable[MOS],"1721", RecallTable[GRADE],H39,RecallTable[SECTION],$H$35)),REPT("o",COUNTIFS(RecallTable[MOS],"1700", RecallTable[GRADE],H39,RecallTable[SECTION],$H$35)))</f>
        <v>|||||||</v>
      </c>
      <c r="K39" s="447" t="str">
        <f>_xlfn.CONCAT(COUNTIFS(InboundRoster[Section],$H$35, InboundRoster[Rank], _xlfn.XLOOKUP(H39,RankTable[Code],RankTable[Abbr])),"              ",COUNTIFS(OutboundRoster[Section],$H$35, OutboundRoster[Rank], _xlfn.XLOOKUP(H39,RankTable[Code],RankTable[Abbr])))</f>
        <v>0              3</v>
      </c>
      <c r="L39" s="444" t="s">
        <v>180</v>
      </c>
      <c r="M39" s="279">
        <f>COUNTIFS(RecallTable[GRADE],L39,RecallTable[SECTION],$L$35)</f>
        <v>7</v>
      </c>
      <c r="N39" s="445" t="str">
        <f>_xlfn.CONCAT(REPT("|",COUNTIFS(RecallTable[MOS],"1721", RecallTable[GRADE],L39,RecallTable[SECTION],$L$35)),REPT("o",COUNTIFS(RecallTable[MOS],"1700", RecallTable[GRADE],L39,RecallTable[SECTION],$L$35)))</f>
        <v>|||||||</v>
      </c>
      <c r="O39" s="511" t="str">
        <f>_xlfn.CONCAT(COUNTIFS(InboundRoster[Section],$L$35, InboundRoster[Rank], _xlfn.XLOOKUP(L39,RankTable[Code],RankTable[Abbr])),"              ",COUNTIFS(OutboundRoster[Section],$L$35, OutboundRoster[Rank], _xlfn.XLOOKUP(L39,RankTable[Code],RankTable[Abbr])))</f>
        <v>0              0</v>
      </c>
      <c r="P39" s="280" t="s">
        <v>180</v>
      </c>
      <c r="Q39" s="279">
        <f>COUNTIFS(RecallTable[GRADE],P39,RecallTable[SECTION],$P$35)</f>
        <v>7</v>
      </c>
      <c r="R39" s="445" t="str">
        <f>_xlfn.CONCAT(REPT("|",COUNTIFS(RecallTable[MOS],"1721", RecallTable[GRADE],P39,RecallTable[SECTION],$P$35)),REPT("o",COUNTIFS(RecallTable[MOS],"1700", RecallTable[GRADE],P39,RecallTable[SECTION],$P$35)))</f>
        <v>|||||||</v>
      </c>
      <c r="S39" s="447" t="str">
        <f>_xlfn.CONCAT(COUNTIFS(InboundRoster[Section],$P$35, InboundRoster[Rank], _xlfn.XLOOKUP(P39,RankTable[Code],RankTable[Abbr])),"              ",COUNTIFS(OutboundRoster[Section],$P$35, OutboundRoster[Rank], _xlfn.XLOOKUP(P39,RankTable[Code],RankTable[Abbr])))</f>
        <v>0              0</v>
      </c>
      <c r="T39" s="444" t="s">
        <v>180</v>
      </c>
      <c r="U39" s="279">
        <f>COUNTIFS(RecallTable[GRADE],T39,RecallTable[SECTION],$T$35)</f>
        <v>6</v>
      </c>
      <c r="V39" s="445" t="str">
        <f>_xlfn.CONCAT(REPT("|",COUNTIFS(RecallTable[MOS],"1721", RecallTable[GRADE],T39,RecallTable[SECTION],$T$35)),REPT("o",COUNTIFS(RecallTable[MOS],"1700", RecallTable[GRADE],T39,RecallTable[SECTION],$T$35)))</f>
        <v>||||||</v>
      </c>
      <c r="W39" s="511" t="str">
        <f>_xlfn.CONCAT(COUNTIFS(InboundRoster[Section],$T$35, InboundRoster[Rank], _xlfn.XLOOKUP(T39,RankTable[Code],RankTable[Abbr])),"              ",COUNTIFS(OutboundRoster[Section],$T$35, OutboundRoster[Rank], _xlfn.XLOOKUP(T39,RankTable[Code],RankTable[Abbr])))</f>
        <v>0              0</v>
      </c>
      <c r="X39" s="346"/>
      <c r="Y39" s="346"/>
      <c r="Z39" s="346"/>
      <c r="AA39" s="367" t="s">
        <v>235</v>
      </c>
      <c r="AB39" s="457" t="str">
        <f>TEXT(_xlfn.XLOOKUP(AB35, RecallTable[EDIPI], RecallTable[PHONE], "Not Found"), "(###) ###-####")</f>
        <v>(604) 562-4339</v>
      </c>
      <c r="AC39" s="346"/>
      <c r="AD39" s="346"/>
      <c r="AE39" s="201"/>
      <c r="AF39" s="201"/>
      <c r="AG39" s="346"/>
      <c r="AH39" s="19"/>
      <c r="AI39" s="19"/>
      <c r="AJ39" s="19"/>
      <c r="AK39" s="19"/>
      <c r="AL39" s="19"/>
      <c r="AM39" s="19"/>
      <c r="AN39" s="19"/>
      <c r="AO39" s="19"/>
    </row>
    <row r="40" spans="1:41">
      <c r="A40" s="201"/>
      <c r="B40" s="346"/>
      <c r="C40" s="346"/>
      <c r="D40" s="346"/>
      <c r="E40" s="346"/>
      <c r="F40" s="346"/>
      <c r="G40" s="254"/>
      <c r="H40" s="444" t="s">
        <v>181</v>
      </c>
      <c r="I40" s="279">
        <f>COUNTIFS(RecallTable[GRADE],H40,RecallTable[SECTION],$H$35)</f>
        <v>3</v>
      </c>
      <c r="J40" s="445" t="str">
        <f>_xlfn.CONCAT(REPT("|",COUNTIFS(RecallTable[MOS],"1721", RecallTable[GRADE],H40,RecallTable[SECTION],$H$35)),REPT("o",COUNTIFS(RecallTable[MOS],"1700", RecallTable[GRADE],H40,RecallTable[SECTION],$H$35)))</f>
        <v>||o</v>
      </c>
      <c r="K40" s="447" t="str">
        <f>_xlfn.CONCAT(COUNTIFS(InboundRoster[Section],$H$35, InboundRoster[Rank], _xlfn.XLOOKUP(H40,RankTable[Code],RankTable[Abbr])),"              ",COUNTIFS(OutboundRoster[Section],$H$35, OutboundRoster[Rank], _xlfn.XLOOKUP(H40,RankTable[Code],RankTable[Abbr])))</f>
        <v>1              4</v>
      </c>
      <c r="L40" s="444" t="s">
        <v>181</v>
      </c>
      <c r="M40" s="279">
        <f>COUNTIFS(RecallTable[GRADE],L40,RecallTable[SECTION],$L$35)</f>
        <v>3</v>
      </c>
      <c r="N40" s="445" t="str">
        <f>_xlfn.CONCAT(REPT("|",COUNTIFS(RecallTable[MOS],"1721", RecallTable[GRADE],L40,RecallTable[SECTION],$L$35)),REPT("o",COUNTIFS(RecallTable[MOS],"1700", RecallTable[GRADE],L40,RecallTable[SECTION],$L$35)))</f>
        <v>||o</v>
      </c>
      <c r="O40" s="511" t="str">
        <f>_xlfn.CONCAT(COUNTIFS(InboundRoster[Section],$L$35, InboundRoster[Rank], _xlfn.XLOOKUP(L40,RankTable[Code],RankTable[Abbr])),"              ",COUNTIFS(OutboundRoster[Section],$L$35, OutboundRoster[Rank], _xlfn.XLOOKUP(L40,RankTable[Code],RankTable[Abbr])))</f>
        <v>0              0</v>
      </c>
      <c r="P40" s="280" t="s">
        <v>181</v>
      </c>
      <c r="Q40" s="279">
        <f>COUNTIFS(RecallTable[GRADE],P40,RecallTable[SECTION],$P$35)</f>
        <v>4</v>
      </c>
      <c r="R40" s="445" t="str">
        <f>_xlfn.CONCAT(REPT("|",COUNTIFS(RecallTable[MOS],"1721", RecallTable[GRADE],P40,RecallTable[SECTION],$P$35)),REPT("o",COUNTIFS(RecallTable[MOS],"1700", RecallTable[GRADE],P40,RecallTable[SECTION],$P$35)))</f>
        <v>|||o</v>
      </c>
      <c r="S40" s="447" t="str">
        <f>_xlfn.CONCAT(COUNTIFS(InboundRoster[Section],$P$35, InboundRoster[Rank], _xlfn.XLOOKUP(P40,RankTable[Code],RankTable[Abbr])),"              ",COUNTIFS(OutboundRoster[Section],$P$35, OutboundRoster[Rank], _xlfn.XLOOKUP(P40,RankTable[Code],RankTable[Abbr])))</f>
        <v>0              0</v>
      </c>
      <c r="T40" s="444" t="s">
        <v>181</v>
      </c>
      <c r="U40" s="279">
        <f>COUNTIFS(RecallTable[GRADE],T40,RecallTable[SECTION],$T$35)</f>
        <v>3</v>
      </c>
      <c r="V40" s="445" t="str">
        <f>_xlfn.CONCAT(REPT("|",COUNTIFS(RecallTable[MOS],"1721", RecallTable[GRADE],T40,RecallTable[SECTION],$T$35)),REPT("o",COUNTIFS(RecallTable[MOS],"1700", RecallTable[GRADE],T40,RecallTable[SECTION],$T$35)))</f>
        <v>||o</v>
      </c>
      <c r="W40" s="511" t="str">
        <f>_xlfn.CONCAT(COUNTIFS(InboundRoster[Section],$T$35, InboundRoster[Rank], _xlfn.XLOOKUP(T40,RankTable[Code],RankTable[Abbr])),"              ",COUNTIFS(OutboundRoster[Section],$T$35, OutboundRoster[Rank], _xlfn.XLOOKUP(T40,RankTable[Code],RankTable[Abbr])))</f>
        <v>0              0</v>
      </c>
      <c r="X40" s="346"/>
      <c r="Y40" s="346"/>
      <c r="Z40" s="346"/>
      <c r="AA40" s="367" t="s">
        <v>236</v>
      </c>
      <c r="AB40" s="457" t="str">
        <f ca="1">TEXT(TODAY()-_xlfn.XLOOKUP(AB35, RecallTable[EDIPI], RecallTable[DOB],"Not Found"), "y")</f>
        <v>24</v>
      </c>
      <c r="AC40" s="346"/>
      <c r="AD40" s="346"/>
      <c r="AE40" s="201"/>
      <c r="AF40" s="201"/>
      <c r="AG40" s="346"/>
      <c r="AH40" s="19"/>
      <c r="AI40" s="19"/>
      <c r="AJ40" s="19"/>
      <c r="AK40" s="19"/>
      <c r="AL40" s="19"/>
      <c r="AM40" s="19"/>
      <c r="AN40" s="19"/>
      <c r="AO40" s="19"/>
    </row>
    <row r="41" spans="1:41">
      <c r="A41" s="201"/>
      <c r="B41" s="201" t="s">
        <v>237</v>
      </c>
      <c r="C41" s="201"/>
      <c r="D41" s="203">
        <v>1</v>
      </c>
      <c r="E41" s="346"/>
      <c r="F41" s="346"/>
      <c r="G41" s="201"/>
      <c r="H41" s="444" t="s">
        <v>182</v>
      </c>
      <c r="I41" s="279">
        <f>COUNTIFS(RecallTable[GRADE],H41,RecallTable[SECTION],$H$35)</f>
        <v>2</v>
      </c>
      <c r="J41" s="445" t="str">
        <f>_xlfn.CONCAT(REPT("|",COUNTIFS(RecallTable[MOS],"1721", RecallTable[GRADE],H41,RecallTable[SECTION],$H$35)),REPT("o",COUNTIFS(RecallTable[MOS],"1700", RecallTable[GRADE],H41,RecallTable[SECTION],$H$35)))</f>
        <v>||</v>
      </c>
      <c r="K41" s="447" t="str">
        <f>_xlfn.CONCAT(COUNTIFS(InboundRoster[Section],$H$35, InboundRoster[Rank], _xlfn.XLOOKUP(H41,RankTable[Code],RankTable[Abbr])),"              ",COUNTIFS(OutboundRoster[Section],$H$35, OutboundRoster[Rank], _xlfn.XLOOKUP(H41,RankTable[Code],RankTable[Abbr])))</f>
        <v>0              0</v>
      </c>
      <c r="L41" s="444" t="s">
        <v>182</v>
      </c>
      <c r="M41" s="279">
        <f>COUNTIFS(RecallTable[GRADE],L41,RecallTable[SECTION],$L$35)</f>
        <v>2</v>
      </c>
      <c r="N41" s="445" t="str">
        <f>_xlfn.CONCAT(REPT("|",COUNTIFS(RecallTable[MOS],"1721", RecallTable[GRADE],L41,RecallTable[SECTION],$L$35)),REPT("o",COUNTIFS(RecallTable[MOS],"1700", RecallTable[GRADE],L41,RecallTable[SECTION],$L$35)))</f>
        <v>||</v>
      </c>
      <c r="O41" s="511" t="str">
        <f>_xlfn.CONCAT(COUNTIFS(InboundRoster[Section],$L$35, InboundRoster[Rank], _xlfn.XLOOKUP(L41,RankTable[Code],RankTable[Abbr])),"              ",COUNTIFS(OutboundRoster[Section],$L$35, OutboundRoster[Rank], _xlfn.XLOOKUP(L41,RankTable[Code],RankTable[Abbr])))</f>
        <v>0              0</v>
      </c>
      <c r="P41" s="280" t="s">
        <v>182</v>
      </c>
      <c r="Q41" s="279">
        <f>COUNTIFS(RecallTable[GRADE],P41,RecallTable[SECTION],$P$35)</f>
        <v>2</v>
      </c>
      <c r="R41" s="445" t="str">
        <f>_xlfn.CONCAT(REPT("|",COUNTIFS(RecallTable[MOS],"1721", RecallTable[GRADE],P41,RecallTable[SECTION],$P$35)),REPT("o",COUNTIFS(RecallTable[MOS],"1700", RecallTable[GRADE],P41,RecallTable[SECTION],$P$35)))</f>
        <v>||</v>
      </c>
      <c r="S41" s="447" t="str">
        <f>_xlfn.CONCAT(COUNTIFS(InboundRoster[Section],$P$35, InboundRoster[Rank], _xlfn.XLOOKUP(P41,RankTable[Code],RankTable[Abbr])),"              ",COUNTIFS(OutboundRoster[Section],$P$35, OutboundRoster[Rank], _xlfn.XLOOKUP(P41,RankTable[Code],RankTable[Abbr])))</f>
        <v>0              0</v>
      </c>
      <c r="T41" s="444" t="s">
        <v>182</v>
      </c>
      <c r="U41" s="279">
        <f>COUNTIFS(RecallTable[GRADE],T41,RecallTable[SECTION],$T$35)</f>
        <v>2</v>
      </c>
      <c r="V41" s="445" t="str">
        <f>_xlfn.CONCAT(REPT("|",COUNTIFS(RecallTable[MOS],"1721", RecallTable[GRADE],T41,RecallTable[SECTION],$T$35)),REPT("o",COUNTIFS(RecallTable[MOS],"1700", RecallTable[GRADE],T41,RecallTable[SECTION],$T$35)))</f>
        <v>||</v>
      </c>
      <c r="W41" s="511" t="str">
        <f>_xlfn.CONCAT(COUNTIFS(InboundRoster[Section],$T$35, InboundRoster[Rank], _xlfn.XLOOKUP(T41,RankTable[Code],RankTable[Abbr])),"              ",COUNTIFS(OutboundRoster[Section],$T$35, OutboundRoster[Rank], _xlfn.XLOOKUP(T41,RankTable[Code],RankTable[Abbr])))</f>
        <v>0              0</v>
      </c>
      <c r="X41" s="346"/>
      <c r="Y41" s="346"/>
      <c r="Z41" s="346"/>
      <c r="AA41" s="377"/>
      <c r="AB41" s="458"/>
      <c r="AC41" s="346"/>
      <c r="AD41" s="346"/>
      <c r="AE41" s="201"/>
      <c r="AF41" s="201"/>
      <c r="AG41" s="346"/>
      <c r="AH41" s="19"/>
      <c r="AI41" s="19"/>
      <c r="AJ41" s="19"/>
      <c r="AK41" s="19"/>
      <c r="AL41" s="19"/>
      <c r="AM41" s="19"/>
      <c r="AN41" s="19"/>
      <c r="AO41" s="19"/>
    </row>
    <row r="42" spans="1:41">
      <c r="A42" s="201"/>
      <c r="B42" s="201" t="s">
        <v>238</v>
      </c>
      <c r="C42" s="201"/>
      <c r="D42" s="203">
        <v>4</v>
      </c>
      <c r="E42" s="254"/>
      <c r="F42" s="254"/>
      <c r="G42" s="201"/>
      <c r="H42" s="444" t="s">
        <v>183</v>
      </c>
      <c r="I42" s="279">
        <f>COUNTIFS(RecallTable[GRADE],H42,RecallTable[SECTION],$H$35)</f>
        <v>1</v>
      </c>
      <c r="J42" s="445" t="str">
        <f>_xlfn.CONCAT(REPT("|",COUNTIFS(RecallTable[MOS],"1721", RecallTable[GRADE],H42,RecallTable[SECTION],$H$35)),REPT("o",COUNTIFS(RecallTable[MOS],"1700", RecallTable[GRADE],H42,RecallTable[SECTION],$H$35)))</f>
        <v>|</v>
      </c>
      <c r="K42" s="447" t="str">
        <f>_xlfn.CONCAT(COUNTIFS(InboundRoster[Section],$H$35, InboundRoster[Rank], _xlfn.XLOOKUP(H42,RankTable[Code],RankTable[Abbr])),"              ",COUNTIFS(OutboundRoster[Section],$H$35, OutboundRoster[Rank], _xlfn.XLOOKUP(H42,RankTable[Code],RankTable[Abbr])))</f>
        <v>0              0</v>
      </c>
      <c r="L42" s="444" t="s">
        <v>183</v>
      </c>
      <c r="M42" s="279">
        <f>COUNTIFS(RecallTable[GRADE],L42,RecallTable[SECTION],$L$35)</f>
        <v>1</v>
      </c>
      <c r="N42" s="445" t="str">
        <f>_xlfn.CONCAT(REPT("|",COUNTIFS(RecallTable[MOS],"1721", RecallTable[GRADE],L42,RecallTable[SECTION],$L$35)),REPT("o",COUNTIFS(RecallTable[MOS],"1700", RecallTable[GRADE],L42,RecallTable[SECTION],$L$35)))</f>
        <v>|</v>
      </c>
      <c r="O42" s="511" t="str">
        <f>_xlfn.CONCAT(COUNTIFS(InboundRoster[Section],$L$35, InboundRoster[Rank], _xlfn.XLOOKUP(L42,RankTable[Code],RankTable[Abbr])),"              ",COUNTIFS(OutboundRoster[Section],$L$35, OutboundRoster[Rank], _xlfn.XLOOKUP(L42,RankTable[Code],RankTable[Abbr])))</f>
        <v>0              0</v>
      </c>
      <c r="P42" s="280" t="s">
        <v>183</v>
      </c>
      <c r="Q42" s="279">
        <f>COUNTIFS(RecallTable[GRADE],P42,RecallTable[SECTION],$P$35)</f>
        <v>1</v>
      </c>
      <c r="R42" s="445" t="str">
        <f>_xlfn.CONCAT(REPT("|",COUNTIFS(RecallTable[MOS],"1721", RecallTable[GRADE],P42,RecallTable[SECTION],$P$35)),REPT("o",COUNTIFS(RecallTable[MOS],"1700", RecallTable[GRADE],P42,RecallTable[SECTION],$P$35)))</f>
        <v>|</v>
      </c>
      <c r="S42" s="447" t="str">
        <f>_xlfn.CONCAT(COUNTIFS(InboundRoster[Section],$P$35, InboundRoster[Rank], _xlfn.XLOOKUP(P42,RankTable[Code],RankTable[Abbr])),"              ",COUNTIFS(OutboundRoster[Section],$P$35, OutboundRoster[Rank], _xlfn.XLOOKUP(P42,RankTable[Code],RankTable[Abbr])))</f>
        <v>0              0</v>
      </c>
      <c r="T42" s="444" t="s">
        <v>183</v>
      </c>
      <c r="U42" s="279">
        <f>COUNTIFS(RecallTable[GRADE],T42,RecallTable[SECTION],$T$35)</f>
        <v>1</v>
      </c>
      <c r="V42" s="445" t="str">
        <f>_xlfn.CONCAT(REPT("|",COUNTIFS(RecallTable[MOS],"1721", RecallTable[GRADE],T42,RecallTable[SECTION],$T$35)),REPT("o",COUNTIFS(RecallTable[MOS],"1700", RecallTable[GRADE],T42,RecallTable[SECTION],$T$35)))</f>
        <v>|</v>
      </c>
      <c r="W42" s="511" t="str">
        <f>_xlfn.CONCAT(COUNTIFS(InboundRoster[Section],$T$35, InboundRoster[Rank], _xlfn.XLOOKUP(T42,RankTable[Code],RankTable[Abbr])),"              ",COUNTIFS(OutboundRoster[Section],$T$35, OutboundRoster[Rank], _xlfn.XLOOKUP(T42,RankTable[Code],RankTable[Abbr])))</f>
        <v>0              0</v>
      </c>
      <c r="X42" s="346"/>
      <c r="Y42" s="346"/>
      <c r="Z42" s="346"/>
      <c r="AA42" s="367" t="s">
        <v>239</v>
      </c>
      <c r="AB42" s="459">
        <f>_xlfn.XLOOKUP(AB35,RecallTable[EDIPI],RecallTable[Arrival Date],"Not Found")</f>
        <v>44813</v>
      </c>
      <c r="AC42" s="346"/>
      <c r="AD42" s="346"/>
      <c r="AE42" s="201"/>
      <c r="AF42" s="201"/>
      <c r="AG42" s="346"/>
      <c r="AH42" s="19"/>
      <c r="AI42" s="19"/>
      <c r="AJ42" s="19"/>
      <c r="AK42" s="19"/>
      <c r="AL42" s="19"/>
      <c r="AM42" s="19"/>
      <c r="AN42" s="19"/>
      <c r="AO42" s="19"/>
    </row>
    <row r="43" spans="1:41">
      <c r="A43" s="201"/>
      <c r="B43" s="201" t="s">
        <v>240</v>
      </c>
      <c r="C43" s="201"/>
      <c r="D43" s="203">
        <f>5</f>
        <v>5</v>
      </c>
      <c r="E43" s="254"/>
      <c r="F43" s="254"/>
      <c r="G43" s="201"/>
      <c r="H43" s="444" t="s">
        <v>184</v>
      </c>
      <c r="I43" s="279">
        <f>COUNTIFS(RecallTable[GRADE],H43,RecallTable[SECTION],$H$35)</f>
        <v>0</v>
      </c>
      <c r="J43" s="445" t="str">
        <f>_xlfn.CONCAT(REPT("|",COUNTIFS(RecallTable[MOS],"1799", RecallTable[GRADE],H43,RecallTable[SECTION],$H$35)),REPT("o",COUNTIFS(RecallTable[MOS],"1700", RecallTable[GRADE],H43,RecallTable[SECTION],$H$35)))</f>
        <v/>
      </c>
      <c r="K43" s="447" t="str">
        <f>_xlfn.CONCAT(COUNTIFS(InboundRoster[Section],$H$35, InboundRoster[Rank], _xlfn.XLOOKUP(H43,RankTable[Code],RankTable[Abbr])),"              ",COUNTIFS(OutboundRoster[Section],$H$35, OutboundRoster[Rank], _xlfn.XLOOKUP(H43,RankTable[Code],RankTable[Abbr])))</f>
        <v>0              0</v>
      </c>
      <c r="L43" s="444" t="s">
        <v>184</v>
      </c>
      <c r="M43" s="279">
        <f>COUNTIFS(RecallTable[GRADE],L43,RecallTable[SECTION],$L$35)</f>
        <v>0</v>
      </c>
      <c r="N43" s="445" t="str">
        <f>_xlfn.CONCAT(REPT("|",COUNTIFS(RecallTable[MOS],"1799", RecallTable[GRADE],L43,RecallTable[SECTION],$L$35)),REPT("o",COUNTIFS(RecallTable[MOS],"1700", RecallTable[GRADE],L43,RecallTable[SECTION],$L$35)))</f>
        <v/>
      </c>
      <c r="O43" s="511" t="str">
        <f>_xlfn.CONCAT(COUNTIFS(InboundRoster[Section],$L$35, InboundRoster[Rank], _xlfn.XLOOKUP(L43,RankTable[Code],RankTable[Abbr])),"              ",COUNTIFS(OutboundRoster[Section],$L$35, OutboundRoster[Rank], _xlfn.XLOOKUP(L43,RankTable[Code],RankTable[Abbr])))</f>
        <v>0              0</v>
      </c>
      <c r="P43" s="280" t="s">
        <v>184</v>
      </c>
      <c r="Q43" s="279">
        <f>COUNTIFS(RecallTable[GRADE],P43,RecallTable[SECTION],$P$35)</f>
        <v>0</v>
      </c>
      <c r="R43" s="445" t="str">
        <f>_xlfn.CONCAT(REPT("|",COUNTIFS(RecallTable[MOS],"1799", RecallTable[GRADE],P43,RecallTable[SECTION],$P$35)),REPT("o",COUNTIFS(RecallTable[MOS],"1700", RecallTable[GRADE],P43,RecallTable[SECTION],$P$35)))</f>
        <v/>
      </c>
      <c r="S43" s="447" t="str">
        <f>_xlfn.CONCAT(COUNTIFS(InboundRoster[Section],$P$35, InboundRoster[Rank], _xlfn.XLOOKUP(P43,RankTable[Code],RankTable[Abbr])),"              ",COUNTIFS(OutboundRoster[Section],$P$35, OutboundRoster[Rank], _xlfn.XLOOKUP(P43,RankTable[Code],RankTable[Abbr])))</f>
        <v>0              0</v>
      </c>
      <c r="T43" s="444" t="s">
        <v>184</v>
      </c>
      <c r="U43" s="279">
        <f>COUNTIFS(RecallTable[GRADE],T43,RecallTable[SECTION],$T$35)</f>
        <v>0</v>
      </c>
      <c r="V43" s="445" t="str">
        <f>_xlfn.CONCAT(REPT("|",COUNTIFS(RecallTable[MOS],"1799", RecallTable[GRADE],T43,RecallTable[SECTION],$T$35)),REPT("o",COUNTIFS(RecallTable[MOS],"1700", RecallTable[GRADE],T43,RecallTable[SECTION],$T$35)))</f>
        <v/>
      </c>
      <c r="W43" s="511" t="str">
        <f>_xlfn.CONCAT(COUNTIFS(InboundRoster[Section],$T$35, InboundRoster[Rank], _xlfn.XLOOKUP(T43,RankTable[Code],RankTable[Abbr])),"              ",COUNTIFS(OutboundRoster[Section],$T$35, OutboundRoster[Rank], _xlfn.XLOOKUP(T43,RankTable[Code],RankTable[Abbr])))</f>
        <v>0              0</v>
      </c>
      <c r="X43" s="346"/>
      <c r="Y43" s="346"/>
      <c r="Z43" s="346"/>
      <c r="AA43" s="367" t="s">
        <v>241</v>
      </c>
      <c r="AB43" s="456" t="str">
        <f ca="1">_xlfn.CONCAT(DATEDIF(_xlfn.XLOOKUP(AB35, RecallTable[EDIPI],RecallTable[Arrival Date]), TODAY(),"y"), " yrs ", DATEDIF(_xlfn.XLOOKUP(AB35, RecallTable[EDIPI],RecallTable[Arrival Date]), TODAY(),"ym"), " mons")</f>
        <v>1 yrs 7 mons</v>
      </c>
      <c r="AC43" s="346"/>
      <c r="AD43" s="346"/>
      <c r="AE43" s="201"/>
      <c r="AF43" s="201"/>
      <c r="AG43" s="346"/>
      <c r="AH43" s="19"/>
      <c r="AI43" s="19"/>
      <c r="AJ43" s="19"/>
      <c r="AK43" s="19"/>
      <c r="AL43" s="19"/>
      <c r="AM43" s="19"/>
      <c r="AN43" s="19"/>
      <c r="AO43" s="19"/>
    </row>
    <row r="44" spans="1:41">
      <c r="A44" s="201"/>
      <c r="B44" s="346" t="s">
        <v>242</v>
      </c>
      <c r="C44" s="346"/>
      <c r="D44" s="535">
        <v>0</v>
      </c>
      <c r="E44" s="201"/>
      <c r="F44" s="201"/>
      <c r="G44" s="201"/>
      <c r="H44" s="444" t="s">
        <v>187</v>
      </c>
      <c r="I44" s="279">
        <f>COUNTIFS(RecallTable[GRADE],H44,RecallTable[SECTION],$H$35)</f>
        <v>0</v>
      </c>
      <c r="J44" s="445" t="str">
        <f>_xlfn.CONCAT(REPT("|",COUNTIFS(RecallTable[MOS],"1702", RecallTable[GRADE],H44,RecallTable[SECTION],$H$35)),REPT("o",COUNTIFS(RecallTable[MOS],"1700", RecallTable[GRADE],H44,RecallTable[SECTION],$H$35)))</f>
        <v/>
      </c>
      <c r="K44" s="447" t="str">
        <f>_xlfn.CONCAT(COUNTIFS(InboundRoster[Section],$H$35, InboundRoster[Rank], _xlfn.XLOOKUP(H44,RankTable[Code],RankTable[Abbr])),"              ",COUNTIFS(OutboundRoster[Section],$H$35, OutboundRoster[Rank], _xlfn.XLOOKUP(H44,RankTable[Code],RankTable[Abbr])))</f>
        <v>0              0</v>
      </c>
      <c r="L44" s="444" t="s">
        <v>187</v>
      </c>
      <c r="M44" s="279">
        <f>COUNTIFS(RecallTable[GRADE],L44,RecallTable[SECTION],$L$35)</f>
        <v>0</v>
      </c>
      <c r="N44" s="445" t="str">
        <f>_xlfn.CONCAT(REPT("|",COUNTIFS(RecallTable[MOS],"1702", RecallTable[GRADE],L44,RecallTable[SECTION],$L$35)),REPT("o",COUNTIFS(RecallTable[MOS],"1700", RecallTable[GRADE],L44,RecallTable[SECTION],$L$35)))</f>
        <v/>
      </c>
      <c r="O44" s="511" t="str">
        <f>_xlfn.CONCAT(COUNTIFS(InboundRoster[Section],$L$35, InboundRoster[Rank], _xlfn.XLOOKUP(L44,RankTable[Code],RankTable[Abbr])),"              ",COUNTIFS(OutboundRoster[Section],$L$35, OutboundRoster[Rank], _xlfn.XLOOKUP(L44,RankTable[Code],RankTable[Abbr])))</f>
        <v>1              0</v>
      </c>
      <c r="P44" s="280" t="s">
        <v>187</v>
      </c>
      <c r="Q44" s="279">
        <f>COUNTIFS(RecallTable[GRADE],P44,RecallTable[SECTION],$P$35)</f>
        <v>0</v>
      </c>
      <c r="R44" s="445" t="str">
        <f>_xlfn.CONCAT(REPT("|",COUNTIFS(RecallTable[MOS],"1702", RecallTable[GRADE],P44,RecallTable[SECTION],$P$35)),REPT("o",COUNTIFS(RecallTable[MOS],"1700", RecallTable[GRADE],P44,RecallTable[SECTION],$P$35)))</f>
        <v/>
      </c>
      <c r="S44" s="447" t="str">
        <f>_xlfn.CONCAT(COUNTIFS(InboundRoster[Section],$P$35, InboundRoster[Rank], _xlfn.XLOOKUP(P44,RankTable[Code],RankTable[Abbr])),"              ",COUNTIFS(OutboundRoster[Section],$P$35, OutboundRoster[Rank], _xlfn.XLOOKUP(P44,RankTable[Code],RankTable[Abbr])))</f>
        <v>1              0</v>
      </c>
      <c r="T44" s="444" t="s">
        <v>187</v>
      </c>
      <c r="U44" s="279">
        <f>COUNTIFS(RecallTable[GRADE],T44,RecallTable[SECTION],$T$35)</f>
        <v>0</v>
      </c>
      <c r="V44" s="445" t="str">
        <f>_xlfn.CONCAT(REPT("|",COUNTIFS(RecallTable[MOS],"1702", RecallTable[GRADE],T44,RecallTable[SECTION],$T$35)),REPT("o",COUNTIFS(RecallTable[MOS],"1700", RecallTable[GRADE],T44,RecallTable[SECTION],$T$35)))</f>
        <v/>
      </c>
      <c r="W44" s="511" t="str">
        <f>_xlfn.CONCAT(COUNTIFS(InboundRoster[Section],$T$35, InboundRoster[Rank], _xlfn.XLOOKUP(T44,RankTable[Code],RankTable[Abbr])),"              ",COUNTIFS(OutboundRoster[Section],$T$35, OutboundRoster[Rank], _xlfn.XLOOKUP(T44,RankTable[Code],RankTable[Abbr])))</f>
        <v>0              0</v>
      </c>
      <c r="X44" s="346"/>
      <c r="Y44" s="346"/>
      <c r="Z44" s="346"/>
      <c r="AA44" s="367"/>
      <c r="AB44" s="456"/>
      <c r="AC44" s="346"/>
      <c r="AD44" s="346"/>
      <c r="AE44" s="201"/>
      <c r="AF44" s="201"/>
      <c r="AG44" s="346"/>
      <c r="AH44" s="19"/>
      <c r="AI44" s="19"/>
      <c r="AJ44" s="19"/>
      <c r="AK44" s="19"/>
      <c r="AL44" s="19"/>
      <c r="AM44" s="19"/>
      <c r="AN44" s="19"/>
      <c r="AO44" s="19"/>
    </row>
    <row r="45" spans="1:41">
      <c r="A45" s="201"/>
      <c r="B45" s="201" t="s">
        <v>243</v>
      </c>
      <c r="C45" s="201"/>
      <c r="D45" s="209" t="s">
        <v>244</v>
      </c>
      <c r="E45" s="201"/>
      <c r="F45" s="201"/>
      <c r="G45" s="201"/>
      <c r="H45" s="444" t="s">
        <v>188</v>
      </c>
      <c r="I45" s="279">
        <f>COUNTIFS(RecallTable[GRADE],H45,RecallTable[SECTION],$H$35)</f>
        <v>1</v>
      </c>
      <c r="J45" s="445" t="str">
        <f>_xlfn.CONCAT(REPT("|",COUNTIFS(RecallTable[MOS],"1702", RecallTable[GRADE],H45,RecallTable[SECTION],$H$35)),REPT("o",COUNTIFS(RecallTable[MOS],"1700", RecallTable[GRADE],H45,RecallTable[SECTION],$H$35)))</f>
        <v>|</v>
      </c>
      <c r="K45" s="447" t="str">
        <f>_xlfn.CONCAT(COUNTIFS(InboundRoster[Section],$H$35, InboundRoster[Rank], _xlfn.XLOOKUP(H45,RankTable[Code],RankTable[Abbr])),"              ",COUNTIFS(OutboundRoster[Section],$H$35, OutboundRoster[Rank], _xlfn.XLOOKUP(H45,RankTable[Code],RankTable[Abbr])))</f>
        <v>0              0</v>
      </c>
      <c r="L45" s="444" t="s">
        <v>188</v>
      </c>
      <c r="M45" s="279">
        <f>COUNTIFS(RecallTable[GRADE],L45,RecallTable[SECTION],$L$35)</f>
        <v>1</v>
      </c>
      <c r="N45" s="445" t="str">
        <f>_xlfn.CONCAT(REPT("|",COUNTIFS(RecallTable[MOS],"1702", RecallTable[GRADE],L45,RecallTable[SECTION],$L$35)),REPT("o",COUNTIFS(RecallTable[MOS],"1700", RecallTable[GRADE],L45,RecallTable[SECTION],$L$35)))</f>
        <v>|</v>
      </c>
      <c r="O45" s="511" t="str">
        <f>_xlfn.CONCAT(COUNTIFS(InboundRoster[Section],$L$35, InboundRoster[Rank], _xlfn.XLOOKUP(L45,RankTable[Code],RankTable[Abbr])),"              ",COUNTIFS(OutboundRoster[Section],$L$35, OutboundRoster[Rank], _xlfn.XLOOKUP(L45,RankTable[Code],RankTable[Abbr])))</f>
        <v>0              0</v>
      </c>
      <c r="P45" s="280" t="s">
        <v>188</v>
      </c>
      <c r="Q45" s="279">
        <f>COUNTIFS(RecallTable[GRADE],P45,RecallTable[SECTION],$P$35)</f>
        <v>1</v>
      </c>
      <c r="R45" s="445" t="str">
        <f>_xlfn.CONCAT(REPT("|",COUNTIFS(RecallTable[MOS],"1702", RecallTable[GRADE],P45,RecallTable[SECTION],$P$35)),REPT("o",COUNTIFS(RecallTable[MOS],"1700", RecallTable[GRADE],P45,RecallTable[SECTION],$P$35)))</f>
        <v>|</v>
      </c>
      <c r="S45" s="447" t="str">
        <f>_xlfn.CONCAT(COUNTIFS(InboundRoster[Section],$P$35, InboundRoster[Rank], _xlfn.XLOOKUP(P45,RankTable[Code],RankTable[Abbr])),"              ",COUNTIFS(OutboundRoster[Section],$P$35, OutboundRoster[Rank], _xlfn.XLOOKUP(P45,RankTable[Code],RankTable[Abbr])))</f>
        <v>0              0</v>
      </c>
      <c r="T45" s="444" t="s">
        <v>188</v>
      </c>
      <c r="U45" s="279">
        <f>COUNTIFS(RecallTable[GRADE],T45,RecallTable[SECTION],$T$35)</f>
        <v>1</v>
      </c>
      <c r="V45" s="445" t="str">
        <f>_xlfn.CONCAT(REPT("|",COUNTIFS(RecallTable[MOS],"1702", RecallTable[GRADE],T45,RecallTable[SECTION],$T$35)),REPT("o",COUNTIFS(RecallTable[MOS],"1700", RecallTable[GRADE],T45,RecallTable[SECTION],$T$35)))</f>
        <v>|</v>
      </c>
      <c r="W45" s="511" t="str">
        <f>_xlfn.CONCAT(COUNTIFS(InboundRoster[Section],$T$35, InboundRoster[Rank], _xlfn.XLOOKUP(T45,RankTable[Code],RankTable[Abbr])),"              ",COUNTIFS(OutboundRoster[Section],$T$35, OutboundRoster[Rank], _xlfn.XLOOKUP(T45,RankTable[Code],RankTable[Abbr])))</f>
        <v>0              0</v>
      </c>
      <c r="X45" s="346"/>
      <c r="Y45" s="346"/>
      <c r="Z45" s="346"/>
      <c r="AA45" s="367" t="s">
        <v>245</v>
      </c>
      <c r="AB45" s="456" t="str">
        <f ca="1">_xlfn.CONCAT(DATEDIF(_xlfn.XLOOKUP(AB35, RecallTable[EDIPI],RecallTable[AFADBD]), TODAY(),"y"), " yrs ", DATEDIF(_xlfn.XLOOKUP(AB35, RecallTable[EDIPI],RecallTable[AFADBD]), TODAY(),"ym"), " mons")</f>
        <v>3 yrs 3 mons</v>
      </c>
      <c r="AC45" s="346"/>
      <c r="AD45" s="346"/>
      <c r="AE45" s="201"/>
      <c r="AF45" s="201"/>
      <c r="AG45" s="346"/>
      <c r="AH45" s="19"/>
      <c r="AI45" s="19"/>
      <c r="AJ45" s="19"/>
      <c r="AK45" s="19"/>
      <c r="AL45" s="19"/>
      <c r="AM45" s="19"/>
      <c r="AN45" s="19"/>
      <c r="AO45" s="19"/>
    </row>
    <row r="46" spans="1:41">
      <c r="A46" s="201"/>
      <c r="B46" s="201"/>
      <c r="C46" s="201"/>
      <c r="D46" s="201"/>
      <c r="E46" s="201"/>
      <c r="F46" s="201"/>
      <c r="G46" s="201"/>
      <c r="H46" s="444" t="s">
        <v>185</v>
      </c>
      <c r="I46" s="279">
        <f>COUNTIFS(RecallTable[GRADE],H46,RecallTable[SECTION],$H$35)</f>
        <v>0</v>
      </c>
      <c r="J46" s="445" t="str">
        <f>_xlfn.CONCAT(REPT("|",COUNTIFS(RecallTable[MOS],"1702", RecallTable[GRADE],H46,RecallTable[SECTION],$H$35)),REPT("o",COUNTIFS(RecallTable[MOS],"1700", RecallTable[GRADE],H46,RecallTable[SECTION],$H$35)))</f>
        <v/>
      </c>
      <c r="K46" s="447" t="str">
        <f>_xlfn.CONCAT(COUNTIFS(InboundRoster[Section],$H$35, InboundRoster[Rank], _xlfn.XLOOKUP(H46,RankTable[Code],RankTable[Abbr])),"              ",COUNTIFS(OutboundRoster[Section],$H$35, OutboundRoster[Rank], _xlfn.XLOOKUP(H46,RankTable[Code],RankTable[Abbr])))</f>
        <v>0              0</v>
      </c>
      <c r="L46" s="444" t="s">
        <v>185</v>
      </c>
      <c r="M46" s="279">
        <f>COUNTIFS(RecallTable[GRADE],L46,RecallTable[SECTION],$L$35)</f>
        <v>0</v>
      </c>
      <c r="N46" s="445" t="str">
        <f>_xlfn.CONCAT(REPT("|",COUNTIFS(RecallTable[MOS],"1702", RecallTable[GRADE],L46,RecallTable[SECTION],$L$35)),REPT("o",COUNTIFS(RecallTable[MOS],"1700", RecallTable[GRADE],L46,RecallTable[SECTION],$L$35)))</f>
        <v/>
      </c>
      <c r="O46" s="511" t="str">
        <f>_xlfn.CONCAT(COUNTIFS(InboundRoster[Section],$L$35, InboundRoster[Rank], _xlfn.XLOOKUP(L46,RankTable[Code],RankTable[Abbr])),"              ",COUNTIFS(OutboundRoster[Section],$L$35, OutboundRoster[Rank], _xlfn.XLOOKUP(L46,RankTable[Code],RankTable[Abbr])))</f>
        <v>0              0</v>
      </c>
      <c r="P46" s="280" t="s">
        <v>185</v>
      </c>
      <c r="Q46" s="279">
        <f>COUNTIFS(RecallTable[GRADE],P46,RecallTable[SECTION],$P$35)</f>
        <v>0</v>
      </c>
      <c r="R46" s="445" t="str">
        <f>_xlfn.CONCAT(REPT("|",COUNTIFS(RecallTable[MOS],"1702", RecallTable[GRADE],P46,RecallTable[SECTION],$P$35)),REPT("o",COUNTIFS(RecallTable[MOS],"1700", RecallTable[GRADE],P46,RecallTable[SECTION],$P$35)))</f>
        <v/>
      </c>
      <c r="S46" s="447" t="str">
        <f>_xlfn.CONCAT(COUNTIFS(InboundRoster[Section],$P$35, InboundRoster[Rank], _xlfn.XLOOKUP(P46,RankTable[Code],RankTable[Abbr])),"              ",COUNTIFS(OutboundRoster[Section],$P$35, OutboundRoster[Rank], _xlfn.XLOOKUP(P46,RankTable[Code],RankTable[Abbr])))</f>
        <v>0              0</v>
      </c>
      <c r="T46" s="444" t="s">
        <v>185</v>
      </c>
      <c r="U46" s="279">
        <f>COUNTIFS(RecallTable[GRADE],T46,RecallTable[SECTION],$T$35)</f>
        <v>0</v>
      </c>
      <c r="V46" s="445" t="str">
        <f>_xlfn.CONCAT(REPT("|",COUNTIFS(RecallTable[MOS],"1702", RecallTable[GRADE],T46,RecallTable[SECTION],$T$35)),REPT("o",COUNTIFS(RecallTable[MOS],"1700", RecallTable[GRADE],T46,RecallTable[SECTION],$T$35)))</f>
        <v/>
      </c>
      <c r="W46" s="511" t="str">
        <f>_xlfn.CONCAT(COUNTIFS(InboundRoster[Section],$T$35, InboundRoster[Rank], _xlfn.XLOOKUP(T46,RankTable[Code],RankTable[Abbr])),"              ",COUNTIFS(OutboundRoster[Section],$T$35, OutboundRoster[Rank], _xlfn.XLOOKUP(T46,RankTable[Code],RankTable[Abbr])))</f>
        <v>0              0</v>
      </c>
      <c r="X46" s="346"/>
      <c r="Y46" s="346"/>
      <c r="Z46" s="346"/>
      <c r="AA46" s="367" t="s">
        <v>246</v>
      </c>
      <c r="AB46" s="456" t="str">
        <f ca="1">_xlfn.CONCAT(DATEDIF(_xlfn.XLOOKUP(AB35, RecallTable[EDIPI],RecallTable[PEBD]), TODAY(),"y"), " yrs ", DATEDIF(_xlfn.XLOOKUP(AB35, RecallTable[EDIPI],RecallTable[PEBD]), TODAY(),"ym"), " mons")</f>
        <v>12 yrs 4 mons</v>
      </c>
      <c r="AC46" s="346"/>
      <c r="AD46" s="346"/>
      <c r="AE46" s="201"/>
      <c r="AF46" s="201"/>
      <c r="AG46" s="346"/>
      <c r="AH46" s="19"/>
      <c r="AI46" s="19"/>
      <c r="AJ46" s="19"/>
      <c r="AK46" s="19"/>
      <c r="AL46" s="19"/>
      <c r="AM46" s="19"/>
      <c r="AN46" s="19"/>
      <c r="AO46" s="19"/>
    </row>
    <row r="47" spans="1:41">
      <c r="A47" s="201"/>
      <c r="B47" s="201"/>
      <c r="C47" s="201"/>
      <c r="D47" s="201"/>
      <c r="E47" s="201"/>
      <c r="F47" s="201"/>
      <c r="G47" s="201"/>
      <c r="H47" s="444" t="s">
        <v>206</v>
      </c>
      <c r="I47" s="279">
        <f>COUNTIFS(RecallTable[GRADE],H47,RecallTable[SECTION],$H$35)</f>
        <v>0</v>
      </c>
      <c r="J47" s="445" t="str">
        <f>_xlfn.CONCAT(REPT("|",COUNTIFS(RecallTable[MOS],"1702", RecallTable[GRADE],H47,RecallTable[SECTION],$H$35)),REPT("o",COUNTIFS(RecallTable[MOS],"1700", RecallTable[GRADE],H47,RecallTable[SECTION],$H$35)))</f>
        <v/>
      </c>
      <c r="K47" s="447" t="str">
        <f>_xlfn.CONCAT(COUNTIFS(InboundRoster[Section],$H$35, InboundRoster[Rank], _xlfn.XLOOKUP(H47,RankTable[Code],RankTable[Abbr])),"              ",COUNTIFS(OutboundRoster[Section],$H$35, OutboundRoster[Rank], _xlfn.XLOOKUP(H47,RankTable[Code],RankTable[Abbr])))</f>
        <v>0              0</v>
      </c>
      <c r="L47" s="444" t="s">
        <v>206</v>
      </c>
      <c r="M47" s="279">
        <f>COUNTIFS(RecallTable[GRADE],L47,RecallTable[SECTION],$L$35)</f>
        <v>0</v>
      </c>
      <c r="N47" s="445" t="str">
        <f>_xlfn.CONCAT(REPT("|",COUNTIFS(RecallTable[MOS],"1702", RecallTable[GRADE],L47,RecallTable[SECTION],$L$35)),REPT("o",COUNTIFS(RecallTable[MOS],"1700", RecallTable[GRADE],L47,RecallTable[SECTION],$L$35)))</f>
        <v/>
      </c>
      <c r="O47" s="511" t="str">
        <f>_xlfn.CONCAT(COUNTIFS(InboundRoster[Section],$L$35, InboundRoster[Rank], _xlfn.XLOOKUP(L47,RankTable[Code],RankTable[Abbr])),"              ",COUNTIFS(OutboundRoster[Section],$L$35, OutboundRoster[Rank], _xlfn.XLOOKUP(L47,RankTable[Code],RankTable[Abbr])))</f>
        <v>0              0</v>
      </c>
      <c r="P47" s="280" t="s">
        <v>206</v>
      </c>
      <c r="Q47" s="279">
        <f>COUNTIFS(RecallTable[GRADE],P47,RecallTable[SECTION],$P$35)</f>
        <v>0</v>
      </c>
      <c r="R47" s="445" t="str">
        <f>_xlfn.CONCAT(REPT("|",COUNTIFS(RecallTable[MOS],"1702", RecallTable[GRADE],P47,RecallTable[SECTION],$P$35)),REPT("o",COUNTIFS(RecallTable[MOS],"1700", RecallTable[GRADE],P47,RecallTable[SECTION],$P$35)))</f>
        <v/>
      </c>
      <c r="S47" s="447" t="str">
        <f>_xlfn.CONCAT(COUNTIFS(InboundRoster[Section],$P$35, InboundRoster[Rank], _xlfn.XLOOKUP(P47,RankTable[Code],RankTable[Abbr])),"              ",COUNTIFS(OutboundRoster[Section],$P$35, OutboundRoster[Rank], _xlfn.XLOOKUP(P47,RankTable[Code],RankTable[Abbr])))</f>
        <v>0              0</v>
      </c>
      <c r="T47" s="444" t="s">
        <v>206</v>
      </c>
      <c r="U47" s="279">
        <f>COUNTIFS(RecallTable[GRADE],T47,RecallTable[SECTION],$T$35)</f>
        <v>0</v>
      </c>
      <c r="V47" s="445" t="str">
        <f>_xlfn.CONCAT(REPT("|",COUNTIFS(RecallTable[MOS],"1702", RecallTable[GRADE],T47,RecallTable[SECTION],$T$35)),REPT("o",COUNTIFS(RecallTable[MOS],"1700", RecallTable[GRADE],T47,RecallTable[SECTION],$T$35)))</f>
        <v/>
      </c>
      <c r="W47" s="511" t="str">
        <f>_xlfn.CONCAT(COUNTIFS(InboundRoster[Section],$T$35, InboundRoster[Rank], _xlfn.XLOOKUP(T47,RankTable[Code],RankTable[Abbr])),"              ",COUNTIFS(OutboundRoster[Section],$T$35, OutboundRoster[Rank], _xlfn.XLOOKUP(T47,RankTable[Code],RankTable[Abbr])))</f>
        <v>0              0</v>
      </c>
      <c r="X47" s="346"/>
      <c r="Y47" s="346"/>
      <c r="Z47" s="346"/>
      <c r="AA47" s="367" t="s">
        <v>247</v>
      </c>
      <c r="AB47" s="456" t="str">
        <f>TEXT(_xlfn.XLOOKUP(AB35, RecallTable[EDIPI], RecallTable[EAS], "Not Found"), "mm/dd/yyyy")</f>
        <v>07/09/2025</v>
      </c>
      <c r="AC47" s="346"/>
      <c r="AD47" s="346"/>
      <c r="AE47" s="201"/>
      <c r="AF47" s="201"/>
      <c r="AG47" s="346"/>
      <c r="AH47" s="19"/>
      <c r="AI47" s="19"/>
      <c r="AJ47" s="19"/>
      <c r="AK47" s="19"/>
      <c r="AL47" s="19"/>
      <c r="AM47" s="19"/>
      <c r="AN47" s="19"/>
      <c r="AO47" s="19"/>
    </row>
    <row r="48" spans="1:41">
      <c r="A48" s="201"/>
      <c r="B48" s="201"/>
      <c r="C48" s="201"/>
      <c r="D48" s="201"/>
      <c r="E48" s="201"/>
      <c r="F48" s="201"/>
      <c r="G48" s="201"/>
      <c r="H48" s="448"/>
      <c r="I48" s="261">
        <f>SUM(I36:I47)</f>
        <v>15</v>
      </c>
      <c r="J48" s="449">
        <f>I48+COUNTIFS(InboundRoster[Section],$H$35)-COUNTIFS(OutboundRoster[Section],$H$35)</f>
        <v>8</v>
      </c>
      <c r="K48" s="353" t="str">
        <f>_xlfn.CONCAT(COUNTIFS(InboundRoster[Section],$H$35),"              ",COUNTIFS(OutboundRoster[Section],$H$35))</f>
        <v>1              8</v>
      </c>
      <c r="L48" s="465"/>
      <c r="M48" s="261">
        <f>SUM(M36:M47)</f>
        <v>15</v>
      </c>
      <c r="N48" s="449">
        <f>M48+COUNTIFS(InboundRoster[Section],$L$35)-COUNTIFS(OutboundRoster[Section],$L$35)</f>
        <v>17</v>
      </c>
      <c r="O48" s="512" t="str">
        <f>_xlfn.CONCAT(COUNTIFS(InboundRoster[Section],$L$35),"              ",COUNTIFS(OutboundRoster[Section],$L$35))</f>
        <v>2              0</v>
      </c>
      <c r="P48" s="279"/>
      <c r="Q48" s="261">
        <f>SUM(Q36:Q47)</f>
        <v>17</v>
      </c>
      <c r="R48" s="449">
        <f>Q48+COUNTIFS(InboundRoster[Section],$P$35)-COUNTIFS(OutboundRoster[Section],$P$35)</f>
        <v>19</v>
      </c>
      <c r="S48" s="353" t="str">
        <f>_xlfn.CONCAT(COUNTIFS(InboundRoster[Section],$P$35),"              ",COUNTIFS(OutboundRoster[Section],$P$35))</f>
        <v>2              0</v>
      </c>
      <c r="T48" s="465"/>
      <c r="U48" s="261">
        <f>SUM(U36:U47)</f>
        <v>13</v>
      </c>
      <c r="V48" s="449">
        <f>U48+COUNTIFS(InboundRoster[Section],$T$35)-COUNTIFS(OutboundRoster[Section],$T$35)</f>
        <v>13</v>
      </c>
      <c r="W48" s="512" t="str">
        <f>_xlfn.CONCAT(COUNTIFS(InboundRoster[Section],$T$35),"              ",COUNTIFS(OutboundRoster[Section],$T$35))</f>
        <v>0              0</v>
      </c>
      <c r="X48" s="346"/>
      <c r="Y48" s="346"/>
      <c r="Z48" s="346"/>
      <c r="AA48" s="367"/>
      <c r="AB48" s="456"/>
      <c r="AC48" s="346"/>
      <c r="AD48" s="346"/>
      <c r="AE48" s="201"/>
      <c r="AF48" s="201"/>
      <c r="AG48" s="346"/>
      <c r="AH48" s="19"/>
      <c r="AI48" s="19"/>
      <c r="AJ48" s="19"/>
      <c r="AK48" s="19"/>
      <c r="AL48" s="19"/>
      <c r="AM48" s="19"/>
      <c r="AN48" s="19"/>
      <c r="AO48" s="19"/>
    </row>
    <row r="49" spans="1:41">
      <c r="A49" s="201"/>
      <c r="B49" s="201"/>
      <c r="C49" s="201"/>
      <c r="D49" s="201"/>
      <c r="E49" s="201"/>
      <c r="F49" s="201"/>
      <c r="G49" s="201"/>
      <c r="H49" s="454"/>
      <c r="I49" s="455"/>
      <c r="J49" s="455"/>
      <c r="K49" s="455"/>
      <c r="L49" s="454"/>
      <c r="M49" s="455"/>
      <c r="N49" s="518"/>
      <c r="O49" s="517"/>
      <c r="P49" s="455"/>
      <c r="Q49" s="455"/>
      <c r="R49" s="455"/>
      <c r="S49" s="455"/>
      <c r="T49" s="454"/>
      <c r="U49" s="455"/>
      <c r="V49" s="455"/>
      <c r="W49" s="517"/>
      <c r="X49" s="346"/>
      <c r="Y49" s="346"/>
      <c r="Z49" s="346"/>
      <c r="AA49" s="367" t="s">
        <v>248</v>
      </c>
      <c r="AB49" s="456" t="str">
        <f>_xlfn.XLOOKUP(AB35, RecallTable[EDIPI], RecallTable[GRADE], "Not Found")</f>
        <v>O2</v>
      </c>
      <c r="AC49" s="346"/>
      <c r="AD49" s="346"/>
      <c r="AE49" s="201"/>
      <c r="AF49" s="201"/>
      <c r="AG49" s="346"/>
      <c r="AH49" s="19"/>
      <c r="AI49" s="19"/>
      <c r="AJ49" s="19"/>
      <c r="AK49" s="19"/>
      <c r="AL49" s="19"/>
      <c r="AM49" s="19"/>
      <c r="AN49" s="19"/>
      <c r="AO49" s="19"/>
    </row>
    <row r="50" spans="1:41">
      <c r="A50" s="201"/>
      <c r="B50" s="201"/>
      <c r="C50" s="201"/>
      <c r="D50" s="201"/>
      <c r="E50" s="201"/>
      <c r="F50" s="201"/>
      <c r="G50" s="201"/>
      <c r="H50" s="448"/>
      <c r="I50" s="254"/>
      <c r="J50" s="254"/>
      <c r="K50" s="254"/>
      <c r="L50" s="254"/>
      <c r="M50" s="254"/>
      <c r="N50" s="346"/>
      <c r="O50" s="451"/>
      <c r="P50" s="254"/>
      <c r="Q50" s="254"/>
      <c r="R50" s="254"/>
      <c r="S50" s="254"/>
      <c r="T50" s="254"/>
      <c r="U50" s="254"/>
      <c r="V50" s="254"/>
      <c r="W50" s="377"/>
      <c r="X50" s="346"/>
      <c r="Y50" s="346"/>
      <c r="Z50" s="346"/>
      <c r="AA50" s="367" t="s">
        <v>249</v>
      </c>
      <c r="AB50" s="456" t="str">
        <f ca="1">_xlfn.CONCAT(DATEDIF(_xlfn.XLOOKUP(AB35, RecallTable[EDIPI],RecallTable[DOR]), TODAY(),"y"), " yrs ", DATEDIF(_xlfn.XLOOKUP(AB35, RecallTable[EDIPI],RecallTable[DOR]), TODAY(),"ym"), " mons")</f>
        <v>0 yrs 4 mons</v>
      </c>
      <c r="AC50" s="346"/>
      <c r="AD50" s="346"/>
      <c r="AE50" s="201"/>
      <c r="AF50" s="201"/>
      <c r="AG50" s="346"/>
      <c r="AH50" s="19"/>
      <c r="AI50" s="19"/>
      <c r="AJ50" s="19"/>
      <c r="AK50" s="19"/>
      <c r="AL50" s="19"/>
      <c r="AM50" s="19"/>
      <c r="AN50" s="19"/>
      <c r="AO50" s="19"/>
    </row>
    <row r="51" spans="1:41">
      <c r="A51" s="201"/>
      <c r="B51" s="201"/>
      <c r="C51" s="201"/>
      <c r="D51" s="201"/>
      <c r="E51" s="201"/>
      <c r="F51" s="201"/>
      <c r="G51" s="201"/>
      <c r="H51" s="448"/>
      <c r="I51" s="254"/>
      <c r="J51" s="254"/>
      <c r="K51" s="254"/>
      <c r="L51" s="254"/>
      <c r="M51" s="254"/>
      <c r="N51" s="346"/>
      <c r="O51" s="452"/>
      <c r="P51" s="254"/>
      <c r="Q51" s="254"/>
      <c r="R51" s="254"/>
      <c r="S51" s="254"/>
      <c r="T51" s="254"/>
      <c r="U51" s="254"/>
      <c r="V51" s="254"/>
      <c r="W51" s="377"/>
      <c r="X51" s="346"/>
      <c r="Y51" s="346"/>
      <c r="Z51" s="346"/>
      <c r="AA51" s="367"/>
      <c r="AB51" s="456"/>
      <c r="AC51" s="346"/>
      <c r="AD51" s="346"/>
      <c r="AE51" s="201"/>
      <c r="AF51" s="201"/>
      <c r="AG51" s="346"/>
      <c r="AH51" s="19"/>
      <c r="AI51" s="19"/>
      <c r="AJ51" s="19"/>
      <c r="AK51" s="19"/>
      <c r="AL51" s="19"/>
      <c r="AM51" s="19"/>
      <c r="AN51" s="19"/>
      <c r="AO51" s="19"/>
    </row>
    <row r="52" spans="1:41">
      <c r="A52" s="201"/>
      <c r="B52" s="201"/>
      <c r="C52" s="201"/>
      <c r="D52" s="201"/>
      <c r="E52" s="201"/>
      <c r="F52" s="201"/>
      <c r="G52" s="201"/>
      <c r="H52" s="448"/>
      <c r="I52" s="254"/>
      <c r="J52" s="254"/>
      <c r="K52" s="254"/>
      <c r="L52" s="254"/>
      <c r="M52" s="254"/>
      <c r="N52" s="254"/>
      <c r="O52" s="254"/>
      <c r="P52" s="254"/>
      <c r="Q52" s="254"/>
      <c r="R52" s="254"/>
      <c r="S52" s="254"/>
      <c r="T52" s="254"/>
      <c r="U52" s="254"/>
      <c r="V52" s="254"/>
      <c r="W52" s="377"/>
      <c r="X52" s="346"/>
      <c r="Y52" s="346"/>
      <c r="Z52" s="346"/>
      <c r="AA52" s="367" t="s">
        <v>250</v>
      </c>
      <c r="AB52" s="456" t="str">
        <f>IF(COUNTIF(_xlfn.XLOOKUP(AB35, RecallTable[EDIPI], RecallTable[ADDRESS], "Not Found"), "*WC300*") = 1, "WC300", _xlfn.XLOOKUP(AB35, RecallTable[EDIPI], RecallTable[ADDRESS], "Not Found"))</f>
        <v>123 Main Street, Jacksonville, NC 28542</v>
      </c>
      <c r="AC52" s="346"/>
      <c r="AD52" s="346"/>
      <c r="AE52" s="201"/>
      <c r="AF52" s="201"/>
      <c r="AG52" s="346"/>
      <c r="AH52" s="19"/>
      <c r="AI52" s="19"/>
      <c r="AJ52" s="19"/>
      <c r="AK52" s="19"/>
      <c r="AL52" s="19"/>
      <c r="AM52" s="19"/>
      <c r="AN52" s="19"/>
      <c r="AO52" s="19"/>
    </row>
    <row r="53" spans="1:41">
      <c r="A53" s="201"/>
      <c r="B53" s="567" t="s">
        <v>251</v>
      </c>
      <c r="C53" s="567"/>
      <c r="D53" s="567"/>
      <c r="E53" s="567"/>
      <c r="F53" s="567"/>
      <c r="G53" s="201"/>
      <c r="H53" s="579" t="s">
        <v>60</v>
      </c>
      <c r="I53" s="580"/>
      <c r="J53" s="580"/>
      <c r="K53" s="580"/>
      <c r="L53" s="582" t="s">
        <v>215</v>
      </c>
      <c r="M53" s="562"/>
      <c r="N53" s="562"/>
      <c r="O53" s="563"/>
      <c r="P53" s="562" t="s">
        <v>213</v>
      </c>
      <c r="Q53" s="562"/>
      <c r="R53" s="563"/>
      <c r="S53" s="254"/>
      <c r="T53" s="280" t="s">
        <v>252</v>
      </c>
      <c r="U53" s="523" t="s">
        <v>253</v>
      </c>
      <c r="V53" s="254"/>
      <c r="W53" s="377"/>
      <c r="X53" s="346"/>
      <c r="Y53" s="346"/>
      <c r="Z53" s="346"/>
      <c r="AA53" s="367"/>
      <c r="AB53" s="456"/>
      <c r="AC53" s="346"/>
      <c r="AD53" s="346"/>
      <c r="AE53" s="201"/>
      <c r="AF53" s="201"/>
      <c r="AG53" s="346"/>
      <c r="AH53" s="19"/>
      <c r="AI53" s="19"/>
      <c r="AJ53" s="19"/>
      <c r="AK53" s="19"/>
      <c r="AL53" s="19"/>
      <c r="AM53" s="19"/>
      <c r="AN53" s="19"/>
      <c r="AO53" s="19"/>
    </row>
    <row r="54" spans="1:41">
      <c r="A54" s="201"/>
      <c r="B54" s="567"/>
      <c r="C54" s="567"/>
      <c r="D54" s="567"/>
      <c r="E54" s="567"/>
      <c r="F54" s="567"/>
      <c r="G54" s="201"/>
      <c r="H54" s="444" t="s">
        <v>173</v>
      </c>
      <c r="I54" s="279">
        <f>COUNTIFS(RecallTable[GRADE],H54,RecallTable[SECTION],$H$53)</f>
        <v>0</v>
      </c>
      <c r="J54" s="254" t="str">
        <f>_xlfn.CONCAT(REPT("|",COUNTIFS(RecallTable[MOS],"1721", RecallTable[GRADE],H54,RecallTable[SECTION],$H$53)),REPT("o",COUNTIFS(RecallTable[MOS],"1700", RecallTable[GRADE],H54,RecallTable[SECTION],$H$53)))</f>
        <v/>
      </c>
      <c r="K54" s="446" t="s">
        <v>231</v>
      </c>
      <c r="L54" s="514" t="s">
        <v>173</v>
      </c>
      <c r="M54" s="534">
        <f>COUNTIFS(RecallTable[GRADE],L54,RecallTable[SECTION],$L$53)</f>
        <v>0</v>
      </c>
      <c r="N54" s="519" t="str">
        <f>_xlfn.CONCAT(REPT("|",COUNTIFS(RecallTable[MOS],"1721", RecallTable[GRADE],L54,RecallTable[SECTION],$L$53)),REPT("o",COUNTIFS(RecallTable[MOS],"1700", RecallTable[GRADE],L54,RecallTable[SECTION],$L$53)))</f>
        <v/>
      </c>
      <c r="O54" s="522" t="s">
        <v>231</v>
      </c>
      <c r="P54" s="514" t="s">
        <v>173</v>
      </c>
      <c r="Q54" s="534">
        <f>COUNTIFS(RecallTable[GRADE],P54,RecallTable[SECTION],$P$53)</f>
        <v>0</v>
      </c>
      <c r="R54" s="520" t="str">
        <f>_xlfn.CONCAT(REPT("|",COUNTIFS(RecallTable[MOS],"1721", RecallTable[GRADE],P54,RecallTable[SECTION],$P$53)),REPT("o",COUNTIFS(RecallTable[MOS],"1700", RecallTable[GRADE],P54,RecallTable[SECTION],$P$53)),REPT("?",COUNTIFS(RecallTable[MOS],"0231", RecallTable[GRADE],P54,RecallTable[SECTION],$P$53)))</f>
        <v/>
      </c>
      <c r="S54" s="254"/>
      <c r="T54" s="280" t="s">
        <v>254</v>
      </c>
      <c r="U54" s="523" t="s">
        <v>255</v>
      </c>
      <c r="V54" s="254"/>
      <c r="W54" s="377"/>
      <c r="X54" s="346"/>
      <c r="Y54" s="346"/>
      <c r="Z54" s="346"/>
      <c r="AA54" s="367" t="s">
        <v>256</v>
      </c>
      <c r="AB54" s="456" t="str">
        <f>_xlfn.XLOOKUP(AB34, DutyStatusTable[Name], DutyStatusTable[Duty Status], "Not Found")</f>
        <v>LIMDU</v>
      </c>
      <c r="AC54" s="346"/>
      <c r="AD54" s="346"/>
      <c r="AE54" s="201"/>
      <c r="AF54" s="201"/>
      <c r="AG54" s="346"/>
      <c r="AH54" s="19"/>
      <c r="AI54" s="19"/>
      <c r="AJ54" s="19"/>
      <c r="AK54" s="19"/>
      <c r="AL54" s="19"/>
      <c r="AM54" s="19"/>
      <c r="AN54" s="19"/>
      <c r="AO54" s="19"/>
    </row>
    <row r="55" spans="1:41">
      <c r="A55" s="201"/>
      <c r="B55" s="239" t="s">
        <v>248</v>
      </c>
      <c r="C55" s="201" t="s">
        <v>257</v>
      </c>
      <c r="D55" s="201" t="s">
        <v>258</v>
      </c>
      <c r="E55" s="201" t="s">
        <v>259</v>
      </c>
      <c r="F55" s="201" t="s">
        <v>260</v>
      </c>
      <c r="G55" s="201"/>
      <c r="H55" s="444" t="s">
        <v>174</v>
      </c>
      <c r="I55" s="279">
        <f>COUNTIFS(RecallTable[GRADE],H55,RecallTable[SECTION],$H$53)</f>
        <v>0</v>
      </c>
      <c r="J55" s="254" t="str">
        <f>_xlfn.CONCAT(REPT("|",COUNTIFS(RecallTable[MOS],"1721", RecallTable[GRADE],H55,RecallTable[SECTION],$H$53)),REPT("o",COUNTIFS(RecallTable[MOS],"1700", RecallTable[GRADE],H55,RecallTable[SECTION],$H$53)))</f>
        <v/>
      </c>
      <c r="K55" s="447" t="str">
        <f>_xlfn.CONCAT(COUNTIFS(InboundRoster[Section],$H$55, InboundRoster[Rank], _xlfn.XLOOKUP(H55,RankTable[Code],RankTable[Abbr])),"              ",COUNTIFS(OutboundRoster[Section],$H$53, OutboundRoster[Rank], _xlfn.XLOOKUP(H55,RankTable[Code],RankTable[Abbr])))</f>
        <v>0              0</v>
      </c>
      <c r="L55" s="444" t="s">
        <v>174</v>
      </c>
      <c r="M55" s="279">
        <f>COUNTIFS(RecallTable[GRADE],L55,RecallTable[SECTION],$L$53)</f>
        <v>0</v>
      </c>
      <c r="N55" s="254" t="str">
        <f>_xlfn.CONCAT(REPT("|",COUNTIFS(RecallTable[MOS],"1721", RecallTable[GRADE],L55,RecallTable[SECTION],$L$53)),REPT("o",COUNTIFS(RecallTable[MOS],"1700", RecallTable[GRADE],L55,RecallTable[SECTION],$L$53)))</f>
        <v/>
      </c>
      <c r="O55" s="447" t="str">
        <f>_xlfn.CONCAT(COUNTIFS(InboundRoster[Section],$L$55, InboundRoster[Rank], _xlfn.XLOOKUP(L55,RankTable[Code],RankTable[Abbr])),"              ",COUNTIFS(OutboundRoster[Section],$L$53, OutboundRoster[Rank], _xlfn.XLOOKUP(L55,RankTable[Code],RankTable[Abbr])))</f>
        <v>0              0</v>
      </c>
      <c r="P55" s="444" t="s">
        <v>174</v>
      </c>
      <c r="Q55" s="279">
        <f>COUNTIFS(RecallTable[GRADE],P55,RecallTable[SECTION],$P$53)</f>
        <v>0</v>
      </c>
      <c r="R55" s="521" t="str">
        <f>_xlfn.CONCAT(REPT("|",COUNTIFS(RecallTable[MOS],"1721", RecallTable[GRADE],P55,RecallTable[SECTION],$P$53)),REPT("o",COUNTIFS(RecallTable[MOS],"1700", RecallTable[GRADE],P55,RecallTable[SECTION],$P$53)),REPT("?",COUNTIFS(RecallTable[MOS],"0231", RecallTable[GRADE],P55,RecallTable[SECTION],$P$53)))</f>
        <v/>
      </c>
      <c r="S55" s="254"/>
      <c r="T55" s="280" t="s">
        <v>261</v>
      </c>
      <c r="U55" s="523" t="s">
        <v>262</v>
      </c>
      <c r="V55" s="254"/>
      <c r="W55" s="377"/>
      <c r="X55" s="346"/>
      <c r="Y55" s="346"/>
      <c r="Z55" s="346"/>
      <c r="AA55" s="367" t="s">
        <v>263</v>
      </c>
      <c r="AB55" s="456" t="str">
        <f>IFERROR(_xlfn.CONCAT(TEXT(_xlfn.XLOOKUP(AB34, DutyStatusTable[Name], DutyStatusTable[Start Date]), "mm/dd/yyyy"), " - ", TEXT(_xlfn.XLOOKUP(AB34, DutyStatusTable[Name], DutyStatusTable[End Date]), "mm/dd/yyyy")), "N/A")</f>
        <v>01/01/2023 - 08/01/2024</v>
      </c>
      <c r="AC55" s="346"/>
      <c r="AD55" s="346"/>
      <c r="AE55" s="201"/>
      <c r="AF55" s="201"/>
      <c r="AG55" s="346"/>
      <c r="AH55" s="19"/>
      <c r="AI55" s="19"/>
      <c r="AJ55" s="19"/>
      <c r="AK55" s="19"/>
      <c r="AL55" s="19"/>
      <c r="AM55" s="19"/>
      <c r="AN55" s="19"/>
      <c r="AO55" s="19"/>
    </row>
    <row r="56" spans="1:41">
      <c r="A56" s="201"/>
      <c r="B56" s="240" t="s">
        <v>174</v>
      </c>
      <c r="C56" s="201"/>
      <c r="D56" s="201"/>
      <c r="E56" s="201"/>
      <c r="F56" s="201"/>
      <c r="G56" s="201"/>
      <c r="H56" s="444" t="s">
        <v>179</v>
      </c>
      <c r="I56" s="279">
        <f>COUNTIFS(RecallTable[GRADE],H56,RecallTable[SECTION],$H$53)</f>
        <v>0</v>
      </c>
      <c r="J56" s="254" t="str">
        <f>_xlfn.CONCAT(REPT("|",COUNTIFS(RecallTable[MOS],"1721", RecallTable[GRADE],H56,RecallTable[SECTION],$H$53)),REPT("o",COUNTIFS(RecallTable[MOS],"1700", RecallTable[GRADE],H56,RecallTable[SECTION],$H$53)))</f>
        <v/>
      </c>
      <c r="K56" s="447" t="str">
        <f>_xlfn.CONCAT(COUNTIFS(InboundRoster[Section],$H$55, InboundRoster[Rank], _xlfn.XLOOKUP(H56,RankTable[Code],RankTable[Abbr])),"              ",COUNTIFS(OutboundRoster[Section],$H$53, OutboundRoster[Rank], _xlfn.XLOOKUP(H56,RankTable[Code],RankTable[Abbr])))</f>
        <v>0              0</v>
      </c>
      <c r="L56" s="444" t="s">
        <v>179</v>
      </c>
      <c r="M56" s="279">
        <f>COUNTIFS(RecallTable[GRADE],L56,RecallTable[SECTION],$L$53)</f>
        <v>0</v>
      </c>
      <c r="N56" s="254" t="str">
        <f>_xlfn.CONCAT(REPT("|",COUNTIFS(RecallTable[MOS],"1721", RecallTable[GRADE],L56,RecallTable[SECTION],$L$53)),REPT("o",COUNTIFS(RecallTable[MOS],"1700", RecallTable[GRADE],L56,RecallTable[SECTION],$L$53)))</f>
        <v/>
      </c>
      <c r="O56" s="447" t="str">
        <f>_xlfn.CONCAT(COUNTIFS(InboundRoster[Section],$L$55, InboundRoster[Rank], _xlfn.XLOOKUP(L56,RankTable[Code],RankTable[Abbr])),"              ",COUNTIFS(OutboundRoster[Section],$L$53, OutboundRoster[Rank], _xlfn.XLOOKUP(L56,RankTable[Code],RankTable[Abbr])))</f>
        <v>0              0</v>
      </c>
      <c r="P56" s="444" t="s">
        <v>179</v>
      </c>
      <c r="Q56" s="279">
        <f>COUNTIFS(RecallTable[GRADE],P56,RecallTable[SECTION],$P$53)</f>
        <v>2</v>
      </c>
      <c r="R56" s="521" t="str">
        <f>_xlfn.CONCAT(REPT("|",COUNTIFS(RecallTable[MOS],"1721", RecallTable[GRADE],P56,RecallTable[SECTION],$P$53)),REPT("o",COUNTIFS(RecallTable[MOS],"1700", RecallTable[GRADE],P56,RecallTable[SECTION],$P$53)),REPT("?",COUNTIFS(RecallTable[MOS],"0231", RecallTable[GRADE],P56,RecallTable[SECTION],$P$53)))</f>
        <v>|?</v>
      </c>
      <c r="S56" s="254"/>
      <c r="T56" s="346"/>
      <c r="U56" s="346"/>
      <c r="V56" s="254"/>
      <c r="W56" s="377"/>
      <c r="X56" s="346"/>
      <c r="Y56" s="346"/>
      <c r="Z56" s="346"/>
      <c r="AA56" s="367"/>
      <c r="AB56" s="456"/>
      <c r="AC56" s="346"/>
      <c r="AD56" s="346"/>
      <c r="AE56" s="201"/>
      <c r="AF56" s="201"/>
      <c r="AG56" s="346"/>
      <c r="AH56" s="19"/>
      <c r="AI56" s="19"/>
      <c r="AJ56" s="19"/>
      <c r="AK56" s="19"/>
      <c r="AL56" s="19"/>
      <c r="AM56" s="19"/>
      <c r="AN56" s="19"/>
      <c r="AO56" s="19"/>
    </row>
    <row r="57" spans="1:41">
      <c r="A57" s="201"/>
      <c r="B57" s="240" t="s">
        <v>179</v>
      </c>
      <c r="C57" s="201" t="s">
        <v>264</v>
      </c>
      <c r="D57" s="201" t="s">
        <v>265</v>
      </c>
      <c r="E57" s="203">
        <v>1</v>
      </c>
      <c r="F57" s="203">
        <v>3</v>
      </c>
      <c r="G57" s="201"/>
      <c r="H57" s="444" t="s">
        <v>180</v>
      </c>
      <c r="I57" s="279">
        <f>COUNTIFS(RecallTable[GRADE],H57,RecallTable[SECTION],$H$53)</f>
        <v>1</v>
      </c>
      <c r="J57" s="254" t="str">
        <f>_xlfn.CONCAT(REPT("|",COUNTIFS(RecallTable[MOS],"1721", RecallTable[GRADE],H57,RecallTable[SECTION],$H$53)),REPT("o",COUNTIFS(RecallTable[MOS],"1700", RecallTable[GRADE],H57,RecallTable[SECTION],$H$53)))</f>
        <v>|</v>
      </c>
      <c r="K57" s="447" t="str">
        <f>_xlfn.CONCAT(COUNTIFS(InboundRoster[Section],$H$55, InboundRoster[Rank], _xlfn.XLOOKUP(H57,RankTable[Code],RankTable[Abbr])),"              ",COUNTIFS(OutboundRoster[Section],$H$53, OutboundRoster[Rank], _xlfn.XLOOKUP(H57,RankTable[Code],RankTable[Abbr])))</f>
        <v>0              0</v>
      </c>
      <c r="L57" s="444" t="s">
        <v>180</v>
      </c>
      <c r="M57" s="279">
        <f>COUNTIFS(RecallTable[GRADE],L57,RecallTable[SECTION],$L$53)</f>
        <v>0</v>
      </c>
      <c r="N57" s="254" t="str">
        <f>_xlfn.CONCAT(REPT("|",COUNTIFS(RecallTable[MOS],"1721", RecallTable[GRADE],L57,RecallTable[SECTION],$L$53)),REPT("o",COUNTIFS(RecallTable[MOS],"1700", RecallTable[GRADE],L57,RecallTable[SECTION],$L$53)))</f>
        <v/>
      </c>
      <c r="O57" s="447" t="str">
        <f>_xlfn.CONCAT(COUNTIFS(InboundRoster[Section],$L$55, InboundRoster[Rank], _xlfn.XLOOKUP(L57,RankTable[Code],RankTable[Abbr])),"              ",COUNTIFS(OutboundRoster[Section],$L$53, OutboundRoster[Rank], _xlfn.XLOOKUP(L57,RankTable[Code],RankTable[Abbr])))</f>
        <v>0              0</v>
      </c>
      <c r="P57" s="444" t="s">
        <v>180</v>
      </c>
      <c r="Q57" s="279">
        <f>COUNTIFS(RecallTable[GRADE],P57,RecallTable[SECTION],$P$53)</f>
        <v>1</v>
      </c>
      <c r="R57" s="521" t="str">
        <f>_xlfn.CONCAT(REPT("|",COUNTIFS(RecallTable[MOS],"1721", RecallTable[GRADE],P57,RecallTable[SECTION],$P$53)),REPT("o",COUNTIFS(RecallTable[MOS],"1700", RecallTable[GRADE],P57,RecallTable[SECTION],$P$53)),REPT("?",COUNTIFS(RecallTable[MOS],"0231", RecallTable[GRADE],P57,RecallTable[SECTION],$P$53)))</f>
        <v>|</v>
      </c>
      <c r="S57" s="254"/>
      <c r="T57" s="524">
        <f>SUM(I42:I47,M42:M47,Q42:Q47)</f>
        <v>6</v>
      </c>
      <c r="U57" s="366" t="s">
        <v>266</v>
      </c>
      <c r="V57" s="254"/>
      <c r="W57" s="377"/>
      <c r="X57" s="346"/>
      <c r="Y57" s="346"/>
      <c r="Z57" s="346"/>
      <c r="AA57" s="367" t="s">
        <v>267</v>
      </c>
      <c r="AB57" s="456" t="str">
        <f>_xlfn.XLOOKUP(AB34, CareGiverTable[Name], CareGiverTable[On Now],"Not Found")</f>
        <v>No</v>
      </c>
      <c r="AC57" s="346"/>
      <c r="AD57" s="346"/>
      <c r="AE57" s="201"/>
      <c r="AF57" s="201"/>
      <c r="AG57" s="346"/>
      <c r="AH57" s="19"/>
      <c r="AI57" s="19"/>
      <c r="AJ57" s="19"/>
      <c r="AK57" s="19"/>
      <c r="AL57" s="19"/>
      <c r="AM57" s="19"/>
      <c r="AN57" s="19"/>
      <c r="AO57" s="19"/>
    </row>
    <row r="58" spans="1:41">
      <c r="A58" s="201"/>
      <c r="B58" s="240" t="s">
        <v>180</v>
      </c>
      <c r="C58" s="201" t="s">
        <v>268</v>
      </c>
      <c r="D58" s="201" t="s">
        <v>269</v>
      </c>
      <c r="E58" s="203">
        <v>3</v>
      </c>
      <c r="F58" s="203">
        <v>12</v>
      </c>
      <c r="G58" s="201"/>
      <c r="H58" s="444" t="s">
        <v>181</v>
      </c>
      <c r="I58" s="279">
        <f>COUNTIFS(RecallTable[GRADE],H58,RecallTable[SECTION],$H$53)</f>
        <v>0</v>
      </c>
      <c r="J58" s="254" t="str">
        <f>_xlfn.CONCAT(REPT("|",COUNTIFS(RecallTable[MOS],"1721", RecallTable[GRADE],H58,RecallTable[SECTION],$H$53)),REPT("o",COUNTIFS(RecallTable[MOS],"1700", RecallTable[GRADE],H58,RecallTable[SECTION],$H$53)))</f>
        <v/>
      </c>
      <c r="K58" s="447" t="str">
        <f>_xlfn.CONCAT(COUNTIFS(InboundRoster[Section],$H$55, InboundRoster[Rank], _xlfn.XLOOKUP(H58,RankTable[Code],RankTable[Abbr])),"              ",COUNTIFS(OutboundRoster[Section],$H$53, OutboundRoster[Rank], _xlfn.XLOOKUP(H58,RankTable[Code],RankTable[Abbr])))</f>
        <v>0              0</v>
      </c>
      <c r="L58" s="444" t="s">
        <v>181</v>
      </c>
      <c r="M58" s="279">
        <f>COUNTIFS(RecallTable[GRADE],L58,RecallTable[SECTION],$L$53)</f>
        <v>2</v>
      </c>
      <c r="N58" s="254" t="str">
        <f>_xlfn.CONCAT(REPT("|",COUNTIFS(RecallTable[MOS],"1721", RecallTable[GRADE],L58,RecallTable[SECTION],$L$53)),REPT("o",COUNTIFS(RecallTable[MOS],"1700", RecallTable[GRADE],L58,RecallTable[SECTION],$L$53)))</f>
        <v>||</v>
      </c>
      <c r="O58" s="447" t="str">
        <f>_xlfn.CONCAT(COUNTIFS(InboundRoster[Section],$L$55, InboundRoster[Rank], _xlfn.XLOOKUP(L58,RankTable[Code],RankTable[Abbr])),"              ",COUNTIFS(OutboundRoster[Section],$L$53, OutboundRoster[Rank], _xlfn.XLOOKUP(L58,RankTable[Code],RankTable[Abbr])))</f>
        <v>0              0</v>
      </c>
      <c r="P58" s="444" t="s">
        <v>181</v>
      </c>
      <c r="Q58" s="279">
        <f>COUNTIFS(RecallTable[GRADE],P58,RecallTable[SECTION],$P$53)</f>
        <v>2</v>
      </c>
      <c r="R58" s="521" t="str">
        <f>_xlfn.CONCAT(REPT("|",COUNTIFS(RecallTable[MOS],"1721", RecallTable[GRADE],P58,RecallTable[SECTION],$P$53)),REPT("o",COUNTIFS(RecallTable[MOS],"1700", RecallTable[GRADE],P58,RecallTable[SECTION],$P$53)),REPT("?",COUNTIFS(RecallTable[MOS],"0231", RecallTable[GRADE],P58,RecallTable[SECTION],$P$53)))</f>
        <v>|</v>
      </c>
      <c r="S58" s="254"/>
      <c r="T58" s="524">
        <f>I48+M48+Q48</f>
        <v>47</v>
      </c>
      <c r="U58" s="366" t="s">
        <v>270</v>
      </c>
      <c r="V58" s="254"/>
      <c r="W58" s="377"/>
      <c r="X58" s="346"/>
      <c r="Y58" s="346"/>
      <c r="Z58" s="346"/>
      <c r="AA58" s="367" t="s">
        <v>271</v>
      </c>
      <c r="AB58" s="456" t="str">
        <f>_xlfn.XLOOKUP(AB34, SkillbridgeTable[Name], SkillbridgeTable[On Now],"Not Found")</f>
        <v>Yes</v>
      </c>
      <c r="AC58" s="346"/>
      <c r="AD58" s="346"/>
      <c r="AE58" s="201"/>
      <c r="AF58" s="201"/>
      <c r="AG58" s="346"/>
      <c r="AH58" s="19"/>
      <c r="AI58" s="19"/>
      <c r="AJ58" s="19"/>
      <c r="AK58" s="19"/>
      <c r="AL58" s="19"/>
      <c r="AM58" s="19"/>
      <c r="AN58" s="19"/>
      <c r="AO58" s="19"/>
    </row>
    <row r="59" spans="1:41">
      <c r="A59" s="201"/>
      <c r="B59" s="240" t="s">
        <v>181</v>
      </c>
      <c r="C59" s="201" t="s">
        <v>272</v>
      </c>
      <c r="D59" s="201" t="s">
        <v>273</v>
      </c>
      <c r="E59" s="203">
        <v>3</v>
      </c>
      <c r="F59" s="203">
        <v>12</v>
      </c>
      <c r="G59" s="201"/>
      <c r="H59" s="444" t="s">
        <v>182</v>
      </c>
      <c r="I59" s="279">
        <f>COUNTIFS(RecallTable[GRADE],H59,RecallTable[SECTION],$H$53)</f>
        <v>1</v>
      </c>
      <c r="J59" s="254" t="str">
        <f>_xlfn.CONCAT(REPT("|",COUNTIFS(RecallTable[MOS],"1721", RecallTable[GRADE],H59,RecallTable[SECTION],$H$53)),REPT("o",COUNTIFS(RecallTable[MOS],"1700", RecallTable[GRADE],H59,RecallTable[SECTION],$H$53)))</f>
        <v>|</v>
      </c>
      <c r="K59" s="447" t="str">
        <f>_xlfn.CONCAT(COUNTIFS(InboundRoster[Section],$H$55, InboundRoster[Rank], _xlfn.XLOOKUP(H59,RankTable[Code],RankTable[Abbr])),"              ",COUNTIFS(OutboundRoster[Section],$H$53, OutboundRoster[Rank], _xlfn.XLOOKUP(H59,RankTable[Code],RankTable[Abbr])))</f>
        <v>0              0</v>
      </c>
      <c r="L59" s="444" t="s">
        <v>182</v>
      </c>
      <c r="M59" s="279">
        <f>COUNTIFS(RecallTable[GRADE],L59,RecallTable[SECTION],$L$53)</f>
        <v>2</v>
      </c>
      <c r="N59" s="254" t="str">
        <f>_xlfn.CONCAT(REPT("|",COUNTIFS(RecallTable[MOS],"1721", RecallTable[GRADE],L59,RecallTable[SECTION],$L$53)),REPT("o",COUNTIFS(RecallTable[MOS],"1700", RecallTable[GRADE],L59,RecallTable[SECTION],$L$53)))</f>
        <v>||</v>
      </c>
      <c r="O59" s="447" t="str">
        <f>_xlfn.CONCAT(COUNTIFS(InboundRoster[Section],$L$55, InboundRoster[Rank], _xlfn.XLOOKUP(L59,RankTable[Code],RankTable[Abbr])),"              ",COUNTIFS(OutboundRoster[Section],$L$53, OutboundRoster[Rank], _xlfn.XLOOKUP(L59,RankTable[Code],RankTable[Abbr])))</f>
        <v>0              0</v>
      </c>
      <c r="P59" s="444" t="s">
        <v>182</v>
      </c>
      <c r="Q59" s="279">
        <f>COUNTIFS(RecallTable[GRADE],P59,RecallTable[SECTION],$P$53)</f>
        <v>0</v>
      </c>
      <c r="R59" s="521" t="str">
        <f>_xlfn.CONCAT(REPT("|",COUNTIFS(RecallTable[MOS],"1721", RecallTable[GRADE],P59,RecallTable[SECTION],$P$53)),REPT("o",COUNTIFS(RecallTable[MOS],"1700", RecallTable[GRADE],P59,RecallTable[SECTION],$P$53)),REPT("?",COUNTIFS(RecallTable[MOS],"0231", RecallTable[GRADE],P59,RecallTable[SECTION],$P$53)))</f>
        <v/>
      </c>
      <c r="S59" s="254"/>
      <c r="T59" s="524">
        <f>AVERAGE(J48,N48,R48)</f>
        <v>14.666666666666666</v>
      </c>
      <c r="U59" s="366" t="s">
        <v>274</v>
      </c>
      <c r="V59" s="254"/>
      <c r="W59" s="377"/>
      <c r="X59" s="346"/>
      <c r="Y59" s="346"/>
      <c r="Z59" s="346"/>
      <c r="AA59" s="367"/>
      <c r="AB59" s="456"/>
      <c r="AC59" s="346"/>
      <c r="AD59" s="346"/>
      <c r="AE59" s="201"/>
      <c r="AF59" s="201"/>
      <c r="AG59" s="346"/>
      <c r="AH59" s="19"/>
      <c r="AI59" s="19"/>
      <c r="AJ59" s="19"/>
      <c r="AK59" s="19"/>
      <c r="AL59" s="19"/>
      <c r="AM59" s="19"/>
      <c r="AN59" s="19"/>
      <c r="AO59" s="19"/>
    </row>
    <row r="60" spans="1:41">
      <c r="A60" s="201"/>
      <c r="B60" s="240" t="s">
        <v>182</v>
      </c>
      <c r="C60" s="201" t="s">
        <v>275</v>
      </c>
      <c r="D60" s="201" t="s">
        <v>276</v>
      </c>
      <c r="E60" s="203">
        <v>3</v>
      </c>
      <c r="F60" s="203">
        <v>12</v>
      </c>
      <c r="G60" s="201"/>
      <c r="H60" s="444" t="s">
        <v>183</v>
      </c>
      <c r="I60" s="279">
        <f>COUNTIFS(RecallTable[GRADE],H60,RecallTable[SECTION],$H$53)</f>
        <v>0</v>
      </c>
      <c r="J60" s="254" t="str">
        <f>_xlfn.CONCAT(REPT("|",COUNTIFS(RecallTable[MOS],"1721", RecallTable[GRADE],H60,RecallTable[SECTION],$H$53)),REPT("o",COUNTIFS(RecallTable[MOS],"1700", RecallTable[GRADE],H60,RecallTable[SECTION],$H$53)))</f>
        <v/>
      </c>
      <c r="K60" s="447" t="str">
        <f>_xlfn.CONCAT(COUNTIFS(InboundRoster[Section],$H$55, InboundRoster[Rank], _xlfn.XLOOKUP(H60,RankTable[Code],RankTable[Abbr])),"              ",COUNTIFS(OutboundRoster[Section],$H$53, OutboundRoster[Rank], _xlfn.XLOOKUP(H60,RankTable[Code],RankTable[Abbr])))</f>
        <v>0              0</v>
      </c>
      <c r="L60" s="444" t="s">
        <v>183</v>
      </c>
      <c r="M60" s="279">
        <f>COUNTIFS(RecallTable[GRADE],L60,RecallTable[SECTION],$L$53)</f>
        <v>1</v>
      </c>
      <c r="N60" s="254" t="str">
        <f>_xlfn.CONCAT(REPT("|",COUNTIFS(RecallTable[MOS],"1721", RecallTable[GRADE],L60,RecallTable[SECTION],$L$53)),REPT("o",COUNTIFS(RecallTable[MOS],"1700", RecallTable[GRADE],L60,RecallTable[SECTION],$L$53)))</f>
        <v>|</v>
      </c>
      <c r="O60" s="447" t="str">
        <f>_xlfn.CONCAT(COUNTIFS(InboundRoster[Section],$L$55, InboundRoster[Rank], _xlfn.XLOOKUP(L60,RankTable[Code],RankTable[Abbr])),"              ",COUNTIFS(OutboundRoster[Section],$L$53, OutboundRoster[Rank], _xlfn.XLOOKUP(L60,RankTable[Code],RankTable[Abbr])))</f>
        <v>0              0</v>
      </c>
      <c r="P60" s="444" t="s">
        <v>183</v>
      </c>
      <c r="Q60" s="279">
        <f>COUNTIFS(RecallTable[GRADE],P60,RecallTable[SECTION],$P$53)</f>
        <v>1</v>
      </c>
      <c r="R60" s="521" t="str">
        <f>_xlfn.CONCAT(REPT("|",COUNTIFS(RecallTable[MOS],"1721", RecallTable[GRADE],P60,RecallTable[SECTION],$P$53)),REPT("o",COUNTIFS(RecallTable[MOS],"1700", RecallTable[GRADE],P60,RecallTable[SECTION],$P$53)),REPT("?",COUNTIFS(RecallTable[MOS],"0231", RecallTable[GRADE],P60,RecallTable[SECTION],$P$53)))</f>
        <v>|</v>
      </c>
      <c r="S60" s="254"/>
      <c r="T60" s="450"/>
      <c r="U60" s="254"/>
      <c r="V60" s="254"/>
      <c r="W60" s="377"/>
      <c r="X60" s="346"/>
      <c r="Y60" s="346"/>
      <c r="Z60" s="346"/>
      <c r="AA60" s="367" t="s">
        <v>277</v>
      </c>
      <c r="AB60" s="456" t="str">
        <f>IF(_xlfn.XLOOKUP(AB34, WholeMarineTrainingTable[Name], WholeMarineTrainingTable[Res Due Date], "Not Found")="", "Complete", "Not Complete")</f>
        <v>Complete</v>
      </c>
      <c r="AC60" s="346"/>
      <c r="AD60" s="346"/>
      <c r="AE60" s="201"/>
      <c r="AF60" s="201"/>
      <c r="AG60" s="346"/>
      <c r="AH60" s="19"/>
      <c r="AI60" s="19"/>
      <c r="AJ60" s="19"/>
      <c r="AK60" s="19"/>
      <c r="AL60" s="19"/>
      <c r="AM60" s="19"/>
      <c r="AN60" s="19"/>
      <c r="AO60" s="19"/>
    </row>
    <row r="61" spans="1:41">
      <c r="A61" s="201"/>
      <c r="B61" s="240" t="s">
        <v>183</v>
      </c>
      <c r="C61" s="201" t="s">
        <v>278</v>
      </c>
      <c r="D61" s="201" t="s">
        <v>279</v>
      </c>
      <c r="E61" s="203">
        <v>3</v>
      </c>
      <c r="F61" s="203">
        <v>12</v>
      </c>
      <c r="G61" s="201"/>
      <c r="H61" s="444" t="s">
        <v>184</v>
      </c>
      <c r="I61" s="279">
        <f>COUNTIFS(RecallTable[GRADE],H61,RecallTable[SECTION],$H$53)</f>
        <v>1</v>
      </c>
      <c r="J61" s="254" t="str">
        <f>_xlfn.CONCAT(REPT("|",COUNTIFS(RecallTable[MOS],"1799", RecallTable[GRADE],H61,RecallTable[SECTION],$H$53)),REPT("o",COUNTIFS(RecallTable[MOS],"1700", RecallTable[GRADE],H61,RecallTable[SECTION],$H$53)))</f>
        <v/>
      </c>
      <c r="K61" s="447" t="str">
        <f>_xlfn.CONCAT(COUNTIFS(InboundRoster[Section],$H$55, InboundRoster[Rank], _xlfn.XLOOKUP(H61,RankTable[Code],RankTable[Abbr])),"              ",COUNTIFS(OutboundRoster[Section],$H$53, OutboundRoster[Rank], _xlfn.XLOOKUP(H61,RankTable[Code],RankTable[Abbr])))</f>
        <v>0              0</v>
      </c>
      <c r="L61" s="444" t="s">
        <v>184</v>
      </c>
      <c r="M61" s="279">
        <f>COUNTIFS(RecallTable[GRADE],L61,RecallTable[SECTION],$L$53)</f>
        <v>1</v>
      </c>
      <c r="N61" s="254" t="str">
        <f>_xlfn.CONCAT(REPT("|",COUNTIFS(RecallTable[MOS],"1799", RecallTable[GRADE],L61,RecallTable[SECTION],$L$53)),REPT("o",COUNTIFS(RecallTable[MOS],"1700", RecallTable[GRADE],L61,RecallTable[SECTION],$L$53)))</f>
        <v>|</v>
      </c>
      <c r="O61" s="447" t="str">
        <f>_xlfn.CONCAT(COUNTIFS(InboundRoster[Section],$L$55, InboundRoster[Rank], _xlfn.XLOOKUP(L61,RankTable[Code],RankTable[Abbr])),"              ",COUNTIFS(OutboundRoster[Section],$L$53, OutboundRoster[Rank], _xlfn.XLOOKUP(L61,RankTable[Code],RankTable[Abbr])))</f>
        <v>0              0</v>
      </c>
      <c r="P61" s="444" t="s">
        <v>184</v>
      </c>
      <c r="Q61" s="279">
        <f>COUNTIFS(RecallTable[GRADE],P61,RecallTable[SECTION],$P$53)</f>
        <v>0</v>
      </c>
      <c r="R61" s="521" t="str">
        <f>_xlfn.CONCAT(REPT("|",COUNTIFS(RecallTable[MOS],"1799", RecallTable[GRADE],P61,RecallTable[SECTION],$P$53)),REPT("o",COUNTIFS(RecallTable[MOS],"1700", RecallTable[GRADE],P61,RecallTable[SECTION],$P$53)),REPT("?",COUNTIFS(RecallTable[MOS],"0231", RecallTable[GRADE],P61,RecallTable[SECTION],$P$53)))</f>
        <v/>
      </c>
      <c r="S61" s="254"/>
      <c r="T61" s="450"/>
      <c r="U61" s="254"/>
      <c r="V61" s="254"/>
      <c r="W61" s="377"/>
      <c r="X61" s="346"/>
      <c r="Y61" s="346"/>
      <c r="Z61" s="346"/>
      <c r="AA61" s="367" t="s">
        <v>280</v>
      </c>
      <c r="AB61" s="456">
        <f>COUNTIF(_xlfn.XLOOKUP(AB34, WholeMarineTrainingTable[Name], WholeMarineTrainingTable[[A+]:[OSCP]], "None"), "Completed")</f>
        <v>1</v>
      </c>
      <c r="AC61" s="346"/>
      <c r="AD61" s="346"/>
      <c r="AE61" s="201"/>
      <c r="AF61" s="201"/>
      <c r="AG61" s="346"/>
      <c r="AH61" s="19"/>
      <c r="AI61" s="19"/>
      <c r="AJ61" s="19"/>
      <c r="AK61" s="19"/>
      <c r="AL61" s="19"/>
      <c r="AM61" s="19"/>
      <c r="AN61" s="19"/>
      <c r="AO61" s="19"/>
    </row>
    <row r="62" spans="1:41">
      <c r="A62" s="201"/>
      <c r="B62" s="240" t="s">
        <v>184</v>
      </c>
      <c r="C62" s="201" t="s">
        <v>281</v>
      </c>
      <c r="D62" s="201" t="s">
        <v>281</v>
      </c>
      <c r="E62" s="203"/>
      <c r="F62" s="203">
        <v>12</v>
      </c>
      <c r="G62" s="201"/>
      <c r="H62" s="444" t="s">
        <v>187</v>
      </c>
      <c r="I62" s="279">
        <f>COUNTIFS(RecallTable[GRADE],H62,RecallTable[SECTION],$H$53)</f>
        <v>0</v>
      </c>
      <c r="J62" s="254" t="str">
        <f>_xlfn.CONCAT(REPT("|",COUNTIFS(RecallTable[MOS],"1702", RecallTable[GRADE],H62,RecallTable[SECTION],$H$53)),REPT("o",COUNTIFS(RecallTable[MOS],"1700", RecallTable[GRADE],H62,RecallTable[SECTION],$H$53)))</f>
        <v/>
      </c>
      <c r="K62" s="447" t="str">
        <f>_xlfn.CONCAT(COUNTIFS(InboundRoster[Section],$H$55, InboundRoster[Rank], _xlfn.XLOOKUP(H62,RankTable[Code],RankTable[Abbr])),"              ",COUNTIFS(OutboundRoster[Section],$H$53, OutboundRoster[Rank], _xlfn.XLOOKUP(H62,RankTable[Code],RankTable[Abbr])))</f>
        <v>0              0</v>
      </c>
      <c r="L62" s="444" t="s">
        <v>187</v>
      </c>
      <c r="M62" s="279">
        <f>COUNTIFS(RecallTable[GRADE],L62,RecallTable[SECTION],$L$53)</f>
        <v>0</v>
      </c>
      <c r="N62" s="254" t="str">
        <f>_xlfn.CONCAT(REPT("|",COUNTIFS(RecallTable[MOS],"1702", RecallTable[GRADE],L62,RecallTable[SECTION],$L$53)),REPT("o",COUNTIFS(RecallTable[MOS],"1700", RecallTable[GRADE],L62,RecallTable[SECTION],$L$53)))</f>
        <v/>
      </c>
      <c r="O62" s="447" t="str">
        <f>_xlfn.CONCAT(COUNTIFS(InboundRoster[Section],$L$55, InboundRoster[Rank], _xlfn.XLOOKUP(L62,RankTable[Code],RankTable[Abbr])),"              ",COUNTIFS(OutboundRoster[Section],$L$53, OutboundRoster[Rank], _xlfn.XLOOKUP(L62,RankTable[Code],RankTable[Abbr])))</f>
        <v>0              0</v>
      </c>
      <c r="P62" s="444" t="s">
        <v>187</v>
      </c>
      <c r="Q62" s="279">
        <f>COUNTIFS(RecallTable[GRADE],P62,RecallTable[SECTION],$P$53)</f>
        <v>0</v>
      </c>
      <c r="R62" s="521" t="str">
        <f>_xlfn.CONCAT(REPT("|",COUNTIFS(RecallTable[MOS],"1702", RecallTable[GRADE],P62,RecallTable[SECTION],$P$53)),REPT("o",COUNTIFS(RecallTable[MOS],"1700", RecallTable[GRADE],P62,RecallTable[SECTION],$P$53)),REPT("?",COUNTIFS(RecallTable[MOS],"0202", RecallTable[GRADE],P62,RecallTable[SECTION],$P$53)))</f>
        <v/>
      </c>
      <c r="S62" s="254"/>
      <c r="T62" s="254"/>
      <c r="U62" s="254"/>
      <c r="V62" s="254"/>
      <c r="W62" s="377"/>
      <c r="X62" s="346"/>
      <c r="Y62" s="346"/>
      <c r="Z62" s="346"/>
      <c r="AA62" s="367" t="s">
        <v>282</v>
      </c>
      <c r="AB62" s="456" t="str">
        <f>_xlfn.CONCAT(IF(_xlfn.XLOOKUP(AB34, WholeMarineTrainingTable[Name],WholeMarineTrainingTable[Bachelors], "Not Found")="", "None", _xlfn.CONCAT("Bachelors ",_xlfn.XLOOKUP(AB34, WholeMarineTrainingTable[Name],WholeMarineTrainingTable[Bachelors], "None"))), IF(_xlfn.XLOOKUP(AB34, WholeMarineTrainingTable[Name],WholeMarineTrainingTable[Masters], "Not Found")="", "", _xlfn.CONCAT(" &amp; Masters ", _xlfn.XLOOKUP(AB34, WholeMarineTrainingTable[Name],WholeMarineTrainingTable[Masters], "Not Found"))))</f>
        <v>None</v>
      </c>
      <c r="AC62" s="346"/>
      <c r="AD62" s="346"/>
      <c r="AE62" s="201"/>
      <c r="AF62" s="201"/>
      <c r="AG62" s="346"/>
      <c r="AH62" s="19"/>
      <c r="AI62" s="19"/>
      <c r="AJ62" s="19"/>
      <c r="AK62" s="19"/>
      <c r="AL62" s="19"/>
      <c r="AM62" s="19"/>
      <c r="AN62" s="19"/>
      <c r="AO62" s="19"/>
    </row>
    <row r="63" spans="1:41">
      <c r="A63" s="201"/>
      <c r="B63" s="240" t="s">
        <v>187</v>
      </c>
      <c r="C63" s="201"/>
      <c r="D63" s="201"/>
      <c r="E63" s="203"/>
      <c r="F63" s="203"/>
      <c r="G63" s="201"/>
      <c r="H63" s="444" t="s">
        <v>188</v>
      </c>
      <c r="I63" s="279">
        <f>COUNTIFS(RecallTable[GRADE],H63,RecallTable[SECTION],$H$53)</f>
        <v>1</v>
      </c>
      <c r="J63" s="254" t="str">
        <f>_xlfn.CONCAT(REPT("|",COUNTIFS(RecallTable[MOS],"1702", RecallTable[GRADE],H63,RecallTable[SECTION],$H$53)),REPT("o",COUNTIFS(RecallTable[MOS],"1700", RecallTable[GRADE],H63,RecallTable[SECTION],$H$53)))</f>
        <v>|</v>
      </c>
      <c r="K63" s="447" t="str">
        <f>_xlfn.CONCAT(COUNTIFS(InboundRoster[Section],$H$55, InboundRoster[Rank], _xlfn.XLOOKUP(H63,RankTable[Code],RankTable[Abbr])),"              ",COUNTIFS(OutboundRoster[Section],$H$53, OutboundRoster[Rank], _xlfn.XLOOKUP(H63,RankTable[Code],RankTable[Abbr])))</f>
        <v>0              0</v>
      </c>
      <c r="L63" s="444" t="s">
        <v>188</v>
      </c>
      <c r="M63" s="279">
        <f>COUNTIFS(RecallTable[GRADE],L63,RecallTable[SECTION],$L$53)</f>
        <v>1</v>
      </c>
      <c r="N63" s="254" t="str">
        <f>_xlfn.CONCAT(REPT("|",COUNTIFS(RecallTable[MOS],"1702", RecallTable[GRADE],L63,RecallTable[SECTION],$L$53)),REPT("o",COUNTIFS(RecallTable[MOS],"1700", RecallTable[GRADE],L63,RecallTable[SECTION],$L$53)))</f>
        <v>|</v>
      </c>
      <c r="O63" s="447" t="str">
        <f>_xlfn.CONCAT(COUNTIFS(InboundRoster[Section],$L$55, InboundRoster[Rank], _xlfn.XLOOKUP(L63,RankTable[Code],RankTable[Abbr])),"              ",COUNTIFS(OutboundRoster[Section],$L$53, OutboundRoster[Rank], _xlfn.XLOOKUP(L63,RankTable[Code],RankTable[Abbr])))</f>
        <v>0              0</v>
      </c>
      <c r="P63" s="444" t="s">
        <v>188</v>
      </c>
      <c r="Q63" s="279">
        <f>COUNTIFS(RecallTable[GRADE],P63,RecallTable[SECTION],$P$53)</f>
        <v>1</v>
      </c>
      <c r="R63" s="521" t="str">
        <f>_xlfn.CONCAT(REPT("|",COUNTIFS(RecallTable[MOS],"1702", RecallTable[GRADE],P63,RecallTable[SECTION],$P$53)),REPT("o",COUNTIFS(RecallTable[MOS],"1700", RecallTable[GRADE],P63,RecallTable[SECTION],$P$53)),REPT("?",COUNTIFS(RecallTable[MOS],"0202", RecallTable[GRADE],P63,RecallTable[SECTION],$P$53)))</f>
        <v>|</v>
      </c>
      <c r="S63" s="254"/>
      <c r="T63" s="254"/>
      <c r="U63" s="254"/>
      <c r="V63" s="254"/>
      <c r="W63" s="377"/>
      <c r="X63" s="346"/>
      <c r="Y63" s="346"/>
      <c r="Z63" s="346"/>
      <c r="AA63" s="367" t="s">
        <v>283</v>
      </c>
      <c r="AB63" s="456" t="str">
        <f>IF(_xlfn.XLOOKUP(AB34, WholeMarineTrainingTable[Name], WholeMarineTrainingTable[Motorcycle], "Not found")=0, "No")</f>
        <v>No</v>
      </c>
      <c r="AC63" s="346"/>
      <c r="AD63" s="346"/>
      <c r="AE63" s="201"/>
      <c r="AF63" s="201"/>
      <c r="AG63" s="346"/>
      <c r="AH63" s="19"/>
      <c r="AI63" s="19"/>
      <c r="AJ63" s="19"/>
      <c r="AK63" s="19"/>
      <c r="AL63" s="19"/>
      <c r="AM63" s="19"/>
      <c r="AN63" s="19"/>
      <c r="AO63" s="19"/>
    </row>
    <row r="64" spans="1:41">
      <c r="A64" s="201"/>
      <c r="B64" s="240" t="s">
        <v>188</v>
      </c>
      <c r="C64" s="201"/>
      <c r="D64" s="201"/>
      <c r="E64" s="203"/>
      <c r="F64" s="203"/>
      <c r="G64" s="201"/>
      <c r="H64" s="444" t="s">
        <v>185</v>
      </c>
      <c r="I64" s="279">
        <f>COUNTIFS(RecallTable[GRADE],H64,RecallTable[SECTION],$H$53)</f>
        <v>0</v>
      </c>
      <c r="J64" s="254" t="str">
        <f>_xlfn.CONCAT(REPT("|",COUNTIFS(RecallTable[MOS],"1702", RecallTable[GRADE],H64,RecallTable[SECTION],$H$53)),REPT("o",COUNTIFS(RecallTable[MOS],"1700", RecallTable[GRADE],H64,RecallTable[SECTION],$H$53)))</f>
        <v/>
      </c>
      <c r="K64" s="447" t="str">
        <f>_xlfn.CONCAT(COUNTIFS(InboundRoster[Section],$H$55, InboundRoster[Rank], _xlfn.XLOOKUP(H64,RankTable[Code],RankTable[Abbr])),"              ",COUNTIFS(OutboundRoster[Section],$H$53, OutboundRoster[Rank], _xlfn.XLOOKUP(H64,RankTable[Code],RankTable[Abbr])))</f>
        <v>0              0</v>
      </c>
      <c r="L64" s="444" t="s">
        <v>185</v>
      </c>
      <c r="M64" s="279">
        <f>COUNTIFS(RecallTable[GRADE],L64,RecallTable[SECTION],$L$53)</f>
        <v>1</v>
      </c>
      <c r="N64" s="254" t="str">
        <f>_xlfn.CONCAT(REPT("|",COUNTIFS(RecallTable[MOS],"1702", RecallTable[GRADE],L64,RecallTable[SECTION],$L$53)),REPT("o",COUNTIFS(RecallTable[MOS],"1700", RecallTable[GRADE],L64,RecallTable[SECTION],$L$53)))</f>
        <v>|</v>
      </c>
      <c r="O64" s="447" t="str">
        <f>_xlfn.CONCAT(COUNTIFS(InboundRoster[Section],$L$55, InboundRoster[Rank], _xlfn.XLOOKUP(L64,RankTable[Code],RankTable[Abbr])),"              ",COUNTIFS(OutboundRoster[Section],$L$53, OutboundRoster[Rank], _xlfn.XLOOKUP(L64,RankTable[Code],RankTable[Abbr])))</f>
        <v>0              0</v>
      </c>
      <c r="P64" s="444" t="s">
        <v>185</v>
      </c>
      <c r="Q64" s="279">
        <f>COUNTIFS(RecallTable[GRADE],P64,RecallTable[SECTION],$P$53)</f>
        <v>0</v>
      </c>
      <c r="R64" s="521" t="str">
        <f>_xlfn.CONCAT(REPT("|",COUNTIFS(RecallTable[MOS],"1702", RecallTable[GRADE],P64,RecallTable[SECTION],$P$53)),REPT("o",COUNTIFS(RecallTable[MOS],"1700", RecallTable[GRADE],P64,RecallTable[SECTION],$P$53)),REPT("?",COUNTIFS(RecallTable[MOS],"0202", RecallTable[GRADE],P64,RecallTable[SECTION],$P$53)))</f>
        <v/>
      </c>
      <c r="S64" s="254"/>
      <c r="T64" s="254"/>
      <c r="U64" s="254"/>
      <c r="V64" s="254"/>
      <c r="W64" s="521"/>
      <c r="X64" s="201"/>
      <c r="Y64" s="201"/>
      <c r="Z64" s="201"/>
      <c r="AA64" s="201"/>
      <c r="AB64" s="201"/>
      <c r="AC64" s="346"/>
      <c r="AD64" s="346"/>
      <c r="AE64" s="346"/>
      <c r="AF64" s="346"/>
      <c r="AG64" s="346"/>
      <c r="AH64" s="19"/>
      <c r="AI64" s="19"/>
      <c r="AJ64" s="19"/>
      <c r="AK64" s="19"/>
      <c r="AL64" s="19"/>
      <c r="AM64" s="19"/>
      <c r="AN64" s="19"/>
      <c r="AO64" s="19"/>
    </row>
    <row r="65" spans="1:41">
      <c r="A65" s="201"/>
      <c r="B65" s="240" t="s">
        <v>284</v>
      </c>
      <c r="C65" s="201"/>
      <c r="D65" s="201"/>
      <c r="E65" s="203"/>
      <c r="F65" s="203"/>
      <c r="G65" s="201"/>
      <c r="H65" s="444" t="s">
        <v>206</v>
      </c>
      <c r="I65" s="279">
        <f>COUNTIFS(RecallTable[GRADE],H65,RecallTable[SECTION],$H$53)</f>
        <v>1</v>
      </c>
      <c r="J65" s="254" t="str">
        <f>_xlfn.CONCAT(REPT("|",COUNTIFS(RecallTable[MOS],"1702", RecallTable[GRADE],H65,RecallTable[SECTION],$H$53)),REPT("o",COUNTIFS(RecallTable[MOS],"1700", RecallTable[GRADE],H65,RecallTable[SECTION],$H$53)))</f>
        <v>|</v>
      </c>
      <c r="K65" s="447" t="str">
        <f>_xlfn.CONCAT(COUNTIFS(InboundRoster[Section],$H$55, InboundRoster[Rank], _xlfn.XLOOKUP(H65,RankTable[Code],RankTable[Abbr])),"              ",COUNTIFS(OutboundRoster[Section],$H$53, OutboundRoster[Rank], _xlfn.XLOOKUP(H65,RankTable[Code],RankTable[Abbr])))</f>
        <v>0              0</v>
      </c>
      <c r="L65" s="444" t="s">
        <v>186</v>
      </c>
      <c r="M65" s="279">
        <f>COUNTIFS(RecallTable[GRADE],L65,RecallTable[SECTION],$L$53)</f>
        <v>0</v>
      </c>
      <c r="N65" s="254" t="str">
        <f t="shared" ref="N65" si="2">REPT("|",M65)</f>
        <v/>
      </c>
      <c r="O65" s="447" t="str">
        <f>_xlfn.CONCAT(COUNTIFS(InboundRoster[Section],$L$55, InboundRoster[Rank], _xlfn.XLOOKUP(L65,RankTable[Code],RankTable[Abbr])),"              ",COUNTIFS(OutboundRoster[Section],$L$53, OutboundRoster[Rank], _xlfn.XLOOKUP(L65,RankTable[Code],RankTable[Abbr])))</f>
        <v>0              0</v>
      </c>
      <c r="P65" s="444" t="s">
        <v>206</v>
      </c>
      <c r="Q65" s="279">
        <f>COUNTIFS(RecallTable[GRADE],P65,RecallTable[SECTION],$P$53)</f>
        <v>0</v>
      </c>
      <c r="R65" s="521" t="str">
        <f>_xlfn.CONCAT(REPT("|",COUNTIFS(RecallTable[MOS],"1702", RecallTable[GRADE],P65,RecallTable[SECTION],$P$53)),REPT("o",COUNTIFS(RecallTable[MOS],"1700", RecallTable[GRADE],P65,RecallTable[SECTION],$P$53)),REPT("?",COUNTIFS(RecallTable[MOS],"0202", RecallTable[GRADE],P65,RecallTable[SECTION],$P$53)))</f>
        <v/>
      </c>
      <c r="S65" s="254"/>
      <c r="T65" s="254"/>
      <c r="U65" s="254"/>
      <c r="V65" s="254"/>
      <c r="W65" s="521"/>
      <c r="X65" s="201"/>
      <c r="Y65" s="201"/>
      <c r="Z65" s="201"/>
      <c r="AA65" s="201"/>
      <c r="AB65" s="201"/>
      <c r="AC65" s="346"/>
      <c r="AD65" s="346"/>
      <c r="AE65" s="346"/>
      <c r="AF65" s="346"/>
      <c r="AG65" s="346"/>
      <c r="AH65" s="19"/>
      <c r="AI65" s="19"/>
      <c r="AJ65" s="19"/>
      <c r="AK65" s="19"/>
      <c r="AL65" s="19"/>
      <c r="AM65" s="19"/>
      <c r="AN65" s="19"/>
      <c r="AO65" s="19"/>
    </row>
    <row r="66" spans="1:41">
      <c r="A66" s="201"/>
      <c r="B66" s="240" t="s">
        <v>185</v>
      </c>
      <c r="C66" s="201" t="s">
        <v>285</v>
      </c>
      <c r="D66" s="201" t="s">
        <v>285</v>
      </c>
      <c r="E66" s="203"/>
      <c r="F66" s="203"/>
      <c r="G66" s="201"/>
      <c r="H66" s="448"/>
      <c r="I66" s="453">
        <f>SUM(I54:I65)</f>
        <v>5</v>
      </c>
      <c r="J66" s="449">
        <f>I66+COUNTIFS(InboundRoster[Section],$H$53)-COUNTIFS(OutboundRoster[Section],$H$53)</f>
        <v>8</v>
      </c>
      <c r="K66" s="353" t="str">
        <f>_xlfn.CONCAT(COUNTIFS(InboundRoster[Section],$H$53),"              ",COUNTIFS(OutboundRoster[Section],$H$53))</f>
        <v>3              0</v>
      </c>
      <c r="L66" s="448"/>
      <c r="M66" s="453">
        <f>SUM(M54:M65)</f>
        <v>8</v>
      </c>
      <c r="N66" s="449">
        <f>M66+COUNTIFS(InboundRoster[Section],$L$53)-COUNTIFS(OutboundRoster[Section],$L$53)</f>
        <v>8</v>
      </c>
      <c r="O66" s="353" t="str">
        <f>_xlfn.CONCAT(COUNTIFS(InboundRoster[Section],$L$53),"              ",COUNTIFS(OutboundRoster[Section],$L$53))</f>
        <v>0              0</v>
      </c>
      <c r="P66" s="448"/>
      <c r="Q66" s="453">
        <f>SUM(Q54:Q65)</f>
        <v>7</v>
      </c>
      <c r="R66" s="521"/>
      <c r="S66" s="254"/>
      <c r="T66" s="254"/>
      <c r="U66" s="254"/>
      <c r="V66" s="254"/>
      <c r="W66" s="521"/>
      <c r="X66" s="201"/>
      <c r="Y66" s="201"/>
      <c r="Z66" s="201"/>
      <c r="AA66" s="565" t="s">
        <v>286</v>
      </c>
      <c r="AB66" s="566"/>
      <c r="AC66" s="346"/>
      <c r="AD66" s="346"/>
      <c r="AE66" s="346"/>
      <c r="AF66" s="346"/>
      <c r="AG66" s="346"/>
      <c r="AH66" s="19"/>
      <c r="AI66" s="19"/>
      <c r="AJ66" s="19"/>
      <c r="AK66" s="19"/>
      <c r="AL66" s="19"/>
      <c r="AM66" s="19"/>
      <c r="AN66" s="19"/>
      <c r="AO66" s="19"/>
    </row>
    <row r="67" spans="1:41">
      <c r="A67" s="201"/>
      <c r="B67" s="240" t="s">
        <v>287</v>
      </c>
      <c r="C67" s="201" t="s">
        <v>285</v>
      </c>
      <c r="D67" s="201" t="s">
        <v>285</v>
      </c>
      <c r="E67" s="203"/>
      <c r="F67" s="203"/>
      <c r="G67" s="201"/>
      <c r="H67" s="454"/>
      <c r="I67" s="455"/>
      <c r="J67" s="455"/>
      <c r="K67" s="455"/>
      <c r="L67" s="454"/>
      <c r="M67" s="455"/>
      <c r="N67" s="455"/>
      <c r="O67" s="455"/>
      <c r="P67" s="454"/>
      <c r="Q67" s="455"/>
      <c r="R67" s="513"/>
      <c r="S67" s="455"/>
      <c r="T67" s="455"/>
      <c r="U67" s="455"/>
      <c r="V67" s="455"/>
      <c r="W67" s="513"/>
      <c r="X67" s="201"/>
      <c r="Y67" s="201"/>
      <c r="Z67" s="201"/>
      <c r="AA67" s="491" t="s">
        <v>288</v>
      </c>
      <c r="AB67" s="557">
        <v>6045624339</v>
      </c>
      <c r="AC67" s="346"/>
      <c r="AD67" s="346"/>
      <c r="AE67" s="346"/>
      <c r="AF67" s="346"/>
      <c r="AG67" s="346"/>
      <c r="AH67" s="19"/>
      <c r="AI67" s="19"/>
      <c r="AJ67" s="19"/>
      <c r="AK67" s="19"/>
      <c r="AL67" s="19"/>
      <c r="AM67" s="19"/>
      <c r="AN67" s="19"/>
      <c r="AO67" s="19"/>
    </row>
    <row r="68" spans="1:41">
      <c r="A68" s="201"/>
      <c r="B68" s="240" t="s">
        <v>206</v>
      </c>
      <c r="C68" s="201" t="s">
        <v>289</v>
      </c>
      <c r="D68" s="201" t="s">
        <v>290</v>
      </c>
      <c r="E68" s="203"/>
      <c r="F68" s="203"/>
      <c r="G68" s="201"/>
      <c r="H68" s="201"/>
      <c r="I68" s="201"/>
      <c r="J68" s="201"/>
      <c r="K68" s="201"/>
      <c r="L68" s="201"/>
      <c r="M68" s="201"/>
      <c r="N68" s="201"/>
      <c r="O68" s="201"/>
      <c r="P68" s="201"/>
      <c r="Q68" s="201"/>
      <c r="R68" s="201"/>
      <c r="S68" s="201"/>
      <c r="T68" s="201"/>
      <c r="U68" s="201"/>
      <c r="V68" s="201"/>
      <c r="W68" s="201"/>
      <c r="X68" s="201"/>
      <c r="Y68" s="201"/>
      <c r="Z68" s="201"/>
      <c r="AA68" s="491" t="s">
        <v>155</v>
      </c>
      <c r="AB68" s="346" t="str">
        <f>_xlfn.XLOOKUP(AB67,RecallTable[PHONE],RecallTable[NAME],"Not Found")</f>
        <v>SUMMERS, DOMINIC A.</v>
      </c>
      <c r="AC68" s="346"/>
      <c r="AD68" s="346"/>
      <c r="AE68" s="346"/>
      <c r="AF68" s="346"/>
      <c r="AG68" s="346"/>
      <c r="AH68" s="19"/>
      <c r="AI68" s="19"/>
      <c r="AJ68" s="19"/>
      <c r="AK68" s="19"/>
      <c r="AL68" s="19"/>
      <c r="AM68" s="19"/>
      <c r="AN68" s="19"/>
      <c r="AO68" s="19"/>
    </row>
    <row r="69" spans="1:41">
      <c r="A69" s="201"/>
      <c r="B69" s="240" t="s">
        <v>186</v>
      </c>
      <c r="C69" s="201"/>
      <c r="D69" s="201"/>
      <c r="E69" s="203"/>
      <c r="F69" s="203"/>
      <c r="G69" s="201"/>
      <c r="H69" s="201"/>
      <c r="I69" s="201"/>
      <c r="J69" s="201"/>
      <c r="K69" s="201"/>
      <c r="L69" s="201"/>
      <c r="M69" s="201"/>
      <c r="N69" s="201"/>
      <c r="O69" s="201"/>
      <c r="P69" s="201"/>
      <c r="Q69" s="201"/>
      <c r="R69" s="201"/>
      <c r="S69" s="201"/>
      <c r="T69" s="201"/>
      <c r="U69" s="201"/>
      <c r="V69" s="201"/>
      <c r="W69" s="201"/>
      <c r="X69" s="201"/>
      <c r="Y69" s="201"/>
      <c r="Z69" s="201"/>
      <c r="AA69" s="201"/>
      <c r="AB69" s="201"/>
      <c r="AC69" s="346"/>
      <c r="AD69" s="346"/>
      <c r="AE69" s="346"/>
      <c r="AF69" s="346"/>
      <c r="AG69" s="346"/>
      <c r="AH69" s="19"/>
      <c r="AI69" s="19"/>
      <c r="AJ69" s="19"/>
      <c r="AK69" s="19"/>
      <c r="AL69" s="19"/>
      <c r="AM69" s="19"/>
      <c r="AN69" s="19"/>
      <c r="AO69" s="19"/>
    </row>
    <row r="70" spans="1:41">
      <c r="A70" s="201"/>
      <c r="B70" s="240" t="s">
        <v>291</v>
      </c>
      <c r="C70" s="201"/>
      <c r="D70" s="201"/>
      <c r="E70" s="203"/>
      <c r="F70" s="203"/>
      <c r="G70" s="201"/>
      <c r="H70" s="201"/>
      <c r="I70" s="201"/>
      <c r="J70" s="201"/>
      <c r="K70" s="201"/>
      <c r="L70" s="201"/>
      <c r="M70" s="201"/>
      <c r="N70" s="201"/>
      <c r="O70" s="201"/>
      <c r="P70" s="201"/>
      <c r="Q70" s="201"/>
      <c r="R70" s="201"/>
      <c r="S70" s="201"/>
      <c r="T70" s="201"/>
      <c r="U70" s="201"/>
      <c r="V70" s="201"/>
      <c r="W70" s="201"/>
      <c r="X70" s="201"/>
      <c r="Y70" s="201"/>
      <c r="Z70" s="201"/>
      <c r="AA70" s="201"/>
      <c r="AB70" s="201"/>
      <c r="AC70" s="346"/>
      <c r="AD70" s="346"/>
      <c r="AE70" s="346"/>
      <c r="AF70" s="346"/>
      <c r="AG70" s="346"/>
      <c r="AH70" s="19"/>
      <c r="AI70" s="19"/>
      <c r="AJ70" s="19"/>
      <c r="AK70" s="19"/>
      <c r="AL70" s="19"/>
      <c r="AM70" s="19"/>
      <c r="AN70" s="19"/>
      <c r="AO70" s="19"/>
    </row>
    <row r="71" spans="1:41">
      <c r="A71" s="201"/>
      <c r="B71" s="240" t="s">
        <v>292</v>
      </c>
      <c r="C71" s="201" t="s">
        <v>293</v>
      </c>
      <c r="D71" s="201"/>
      <c r="E71" s="203"/>
      <c r="F71" s="203"/>
      <c r="G71" s="201"/>
      <c r="H71" s="201"/>
      <c r="I71" s="201"/>
      <c r="J71" s="201"/>
      <c r="K71" s="201"/>
      <c r="L71" s="201"/>
      <c r="M71" s="201"/>
      <c r="N71" s="201"/>
      <c r="O71" s="201"/>
      <c r="P71" s="201"/>
      <c r="Q71" s="201"/>
      <c r="R71" s="201"/>
      <c r="S71" s="201"/>
      <c r="T71" s="201"/>
      <c r="U71" s="201"/>
      <c r="V71" s="201"/>
      <c r="W71" s="201"/>
      <c r="X71" s="201"/>
      <c r="Y71" s="201"/>
      <c r="Z71" s="201"/>
      <c r="AA71" s="201"/>
      <c r="AB71" s="201"/>
      <c r="AC71" s="346"/>
      <c r="AD71" s="346"/>
      <c r="AE71" s="346"/>
      <c r="AF71" s="346"/>
      <c r="AG71" s="346"/>
      <c r="AH71" s="19"/>
      <c r="AI71" s="19"/>
      <c r="AJ71" s="19"/>
      <c r="AK71" s="19"/>
      <c r="AL71" s="19"/>
      <c r="AM71" s="19"/>
      <c r="AN71" s="19"/>
      <c r="AO71" s="19"/>
    </row>
    <row r="72" spans="1:41">
      <c r="A72" s="201"/>
      <c r="B72" s="201"/>
      <c r="C72" s="201"/>
      <c r="D72" s="201"/>
      <c r="E72" s="201"/>
      <c r="F72" s="201"/>
      <c r="G72" s="201"/>
      <c r="H72" s="201"/>
      <c r="I72" s="201"/>
      <c r="J72" s="201"/>
      <c r="K72" s="201"/>
      <c r="L72" s="201"/>
      <c r="M72" s="201"/>
      <c r="N72" s="201"/>
      <c r="O72" s="201"/>
      <c r="P72" s="201"/>
      <c r="Q72" s="201"/>
      <c r="R72" s="201"/>
      <c r="S72" s="201"/>
      <c r="T72" s="201"/>
      <c r="U72" s="201"/>
      <c r="V72" s="201"/>
      <c r="W72" s="201"/>
      <c r="X72" s="201"/>
      <c r="Y72" s="201"/>
      <c r="Z72" s="201"/>
      <c r="AA72" s="201"/>
      <c r="AB72" s="201"/>
      <c r="AC72" s="346"/>
      <c r="AD72" s="346"/>
      <c r="AE72" s="346"/>
      <c r="AF72" s="346"/>
      <c r="AG72" s="346"/>
      <c r="AH72" s="19"/>
      <c r="AI72" s="19"/>
      <c r="AJ72" s="19"/>
      <c r="AK72" s="19"/>
      <c r="AL72" s="19"/>
      <c r="AM72" s="19"/>
      <c r="AN72" s="19"/>
      <c r="AO72" s="19"/>
    </row>
    <row r="73" spans="1:41">
      <c r="A73" s="201"/>
      <c r="B73" s="201" t="s">
        <v>294</v>
      </c>
      <c r="C73" s="347">
        <v>45005</v>
      </c>
      <c r="D73" s="201"/>
      <c r="E73" s="201"/>
      <c r="F73" s="201"/>
      <c r="G73" s="201"/>
      <c r="H73" s="201"/>
      <c r="I73" s="201"/>
      <c r="J73" s="201"/>
      <c r="K73" s="201"/>
      <c r="L73" s="201"/>
      <c r="M73" s="201"/>
      <c r="N73" s="201"/>
      <c r="O73" s="201"/>
      <c r="P73" s="201"/>
      <c r="Q73" s="201"/>
      <c r="R73" s="201"/>
      <c r="S73" s="201"/>
      <c r="T73" s="201"/>
      <c r="U73" s="201"/>
      <c r="V73" s="201"/>
      <c r="W73" s="201"/>
      <c r="X73" s="201"/>
      <c r="Y73" s="201"/>
      <c r="Z73" s="201"/>
      <c r="AA73" s="201"/>
      <c r="AB73" s="201"/>
      <c r="AC73" s="346"/>
      <c r="AD73" s="346"/>
      <c r="AE73" s="346"/>
      <c r="AF73" s="346"/>
      <c r="AG73" s="346"/>
      <c r="AH73" s="19"/>
      <c r="AI73" s="19"/>
      <c r="AJ73" s="19"/>
      <c r="AK73" s="19"/>
      <c r="AL73" s="19"/>
      <c r="AM73" s="19"/>
      <c r="AN73" s="19"/>
      <c r="AO73" s="19"/>
    </row>
    <row r="74" spans="1:41">
      <c r="A74" s="201"/>
      <c r="B74" s="201"/>
      <c r="C74" s="201"/>
      <c r="D74" s="201"/>
      <c r="E74" s="201"/>
      <c r="F74" s="201"/>
      <c r="G74" s="201"/>
      <c r="H74" s="201"/>
      <c r="I74" s="201"/>
      <c r="J74" s="201"/>
      <c r="K74" s="201"/>
      <c r="L74" s="201"/>
      <c r="M74" s="201"/>
      <c r="N74" s="201"/>
      <c r="O74" s="201"/>
      <c r="P74" s="201"/>
      <c r="Q74" s="201"/>
      <c r="R74" s="201"/>
      <c r="S74" s="201"/>
      <c r="T74" s="201"/>
      <c r="U74" s="201"/>
      <c r="V74" s="201"/>
      <c r="W74" s="201"/>
      <c r="X74" s="201"/>
      <c r="Y74" s="201"/>
      <c r="Z74" s="201"/>
      <c r="AA74" s="201"/>
      <c r="AB74" s="201"/>
      <c r="AC74" s="346"/>
      <c r="AD74" s="346"/>
      <c r="AE74" s="346"/>
      <c r="AF74" s="346"/>
      <c r="AG74" s="346"/>
      <c r="AH74" s="19"/>
      <c r="AI74" s="19"/>
      <c r="AJ74" s="19"/>
      <c r="AK74" s="19"/>
      <c r="AL74" s="19"/>
      <c r="AM74" s="19"/>
      <c r="AN74" s="19"/>
      <c r="AO74" s="19"/>
    </row>
    <row r="75" spans="1:41">
      <c r="A75" s="201"/>
      <c r="B75" s="535" t="s">
        <v>295</v>
      </c>
      <c r="C75" s="535" t="s">
        <v>296</v>
      </c>
      <c r="D75" s="346"/>
      <c r="E75" s="255" t="s">
        <v>297</v>
      </c>
      <c r="F75" s="256" t="s">
        <v>298</v>
      </c>
      <c r="G75" s="201"/>
      <c r="H75" s="201"/>
      <c r="I75" s="568" t="s">
        <v>299</v>
      </c>
      <c r="J75" s="569"/>
      <c r="K75" s="201"/>
      <c r="L75" s="570" t="s">
        <v>300</v>
      </c>
      <c r="M75" s="571"/>
      <c r="N75" s="572"/>
      <c r="O75" s="201"/>
      <c r="P75" s="570" t="str">
        <f>_xlfn.CONCAT("Promotion Panel Required:", COUNTIF(_xlfn.ANCHORARRAY(P76), "*"))</f>
        <v>Promotion Panel Required:5</v>
      </c>
      <c r="Q75" s="571"/>
      <c r="R75" s="571"/>
      <c r="S75" s="572"/>
      <c r="T75" s="201"/>
      <c r="U75" s="201"/>
      <c r="V75" s="201"/>
      <c r="W75" s="201"/>
      <c r="X75" s="201"/>
      <c r="Y75" s="201"/>
      <c r="Z75" s="201"/>
      <c r="AA75" s="201"/>
      <c r="AB75" s="201"/>
      <c r="AC75" s="346"/>
      <c r="AD75" s="346"/>
      <c r="AE75" s="346"/>
      <c r="AF75" s="346"/>
      <c r="AG75" s="346"/>
      <c r="AH75" s="19"/>
      <c r="AI75" s="19"/>
      <c r="AJ75" s="19"/>
      <c r="AK75" s="19"/>
      <c r="AL75" s="19"/>
      <c r="AM75" s="19"/>
      <c r="AN75" s="19"/>
      <c r="AO75" s="19"/>
    </row>
    <row r="76" spans="1:41">
      <c r="A76" s="201"/>
      <c r="B76" s="535" t="s">
        <v>173</v>
      </c>
      <c r="C76" s="535" t="s">
        <v>301</v>
      </c>
      <c r="D76" s="346"/>
      <c r="E76" s="257" t="s">
        <v>302</v>
      </c>
      <c r="F76" s="258" t="s">
        <v>108</v>
      </c>
      <c r="G76" s="201"/>
      <c r="H76" s="201"/>
      <c r="I76" s="346" t="s">
        <v>155</v>
      </c>
      <c r="J76" s="535" t="s">
        <v>303</v>
      </c>
      <c r="K76" s="201"/>
      <c r="L76" s="461">
        <v>45139</v>
      </c>
      <c r="M76" s="346">
        <f>COUNTIFS(B100:B150,"*")</f>
        <v>0</v>
      </c>
      <c r="N76" s="346"/>
      <c r="O76" s="201"/>
      <c r="P76" s="346" t="str" cm="1">
        <f t="array" ref="P76:P80">_xlfn._xlws.FILTER(WholeMarineTrainingTable[Name], WholeMarineTrainingTable[Promotion Panel]="Required")</f>
        <v>CARSON, BROOKS A.</v>
      </c>
      <c r="Q76" s="346"/>
      <c r="R76" s="346"/>
      <c r="S76" s="346"/>
      <c r="T76" s="201"/>
      <c r="U76" s="201"/>
      <c r="V76" s="201"/>
      <c r="W76" s="201"/>
      <c r="X76" s="201"/>
      <c r="Y76" s="201"/>
      <c r="Z76" s="201"/>
      <c r="AA76" s="201"/>
      <c r="AB76" s="201"/>
      <c r="AC76" s="346"/>
      <c r="AD76" s="346"/>
      <c r="AE76" s="346"/>
      <c r="AF76" s="346"/>
      <c r="AG76" s="346"/>
      <c r="AH76" s="19"/>
      <c r="AI76" s="19"/>
      <c r="AJ76" s="19"/>
      <c r="AK76" s="19"/>
      <c r="AL76" s="19"/>
      <c r="AM76" s="19"/>
      <c r="AN76" s="19"/>
      <c r="AO76" s="19"/>
    </row>
    <row r="77" spans="1:41">
      <c r="A77" s="346"/>
      <c r="B77" s="535" t="s">
        <v>174</v>
      </c>
      <c r="C77" s="535" t="s">
        <v>304</v>
      </c>
      <c r="D77" s="346"/>
      <c r="E77" s="259" t="s">
        <v>305</v>
      </c>
      <c r="F77" s="260" t="s">
        <v>209</v>
      </c>
      <c r="G77" s="346"/>
      <c r="H77" s="346"/>
      <c r="I77" s="346" t="str" cm="1">
        <f t="array" aca="1" ref="I77:I82" ca="1">_xlfn._xlws.FILTER(RecallTable[NAME], MONTH(RecallTable[DOB])=MONTH(TODAY()), "nb")</f>
        <v>DUARTE, SILAS A.</v>
      </c>
      <c r="J77" s="535">
        <f ca="1">DAY(_xlfn.XLOOKUP(I77,RecallTable[NAME], RecallTable[DOB],"Not Found"))</f>
        <v>25</v>
      </c>
      <c r="K77" s="346"/>
      <c r="L77" s="346" t="str" cm="1">
        <f t="array" ref="L77:L91">_xlfn._xlws.FILTER(RecallTable[NAME], RecallTable[Arrival Date]&gt;L76)</f>
        <v>COFFEY, GIOVANI A.</v>
      </c>
      <c r="M77" s="346"/>
      <c r="N77" s="346"/>
      <c r="O77" s="346"/>
      <c r="P77" s="346" t="str">
        <v>DUARTE, SILAS A.</v>
      </c>
      <c r="Q77" s="346"/>
      <c r="R77" s="346"/>
      <c r="S77" s="346"/>
      <c r="T77" s="346"/>
      <c r="U77" s="346"/>
      <c r="V77" s="346"/>
      <c r="W77" s="346"/>
      <c r="X77" s="346"/>
      <c r="Y77" s="346"/>
      <c r="Z77" s="346"/>
      <c r="AA77" s="346"/>
      <c r="AB77" s="346"/>
      <c r="AC77" s="346"/>
      <c r="AD77" s="346"/>
      <c r="AE77" s="346"/>
      <c r="AF77" s="346"/>
      <c r="AG77" s="346"/>
      <c r="AH77" s="19"/>
      <c r="AI77" s="19"/>
      <c r="AJ77" s="19"/>
      <c r="AK77" s="19"/>
      <c r="AL77" s="19"/>
      <c r="AM77" s="19"/>
      <c r="AN77" s="19"/>
      <c r="AO77" s="19"/>
    </row>
    <row r="78" spans="1:41">
      <c r="A78" s="346"/>
      <c r="B78" s="535" t="s">
        <v>179</v>
      </c>
      <c r="C78" s="535" t="s">
        <v>306</v>
      </c>
      <c r="D78" s="346"/>
      <c r="E78" s="348" t="s">
        <v>307</v>
      </c>
      <c r="F78" s="349" t="s">
        <v>79</v>
      </c>
      <c r="G78" s="346"/>
      <c r="H78" s="346"/>
      <c r="I78" s="346" t="str">
        <f ca="1"/>
        <v>CHANDLER, TREVON A.</v>
      </c>
      <c r="J78" s="535">
        <f ca="1">DAY(_xlfn.XLOOKUP(I78,RecallTable[NAME], RecallTable[DOB],"Not Found"))</f>
        <v>11</v>
      </c>
      <c r="K78" s="346"/>
      <c r="L78" s="346" t="str">
        <v>DUARTE, SILAS A.</v>
      </c>
      <c r="M78" s="346"/>
      <c r="N78" s="346"/>
      <c r="O78" s="346"/>
      <c r="P78" s="346" t="str">
        <v>CLEMENTS, ALISSON A.</v>
      </c>
      <c r="Q78" s="346"/>
      <c r="R78" s="346"/>
      <c r="S78" s="346"/>
      <c r="T78" s="346"/>
      <c r="U78" s="346"/>
      <c r="V78" s="346"/>
      <c r="W78" s="346"/>
      <c r="X78" s="346"/>
      <c r="Y78" s="346"/>
      <c r="Z78" s="346"/>
      <c r="AA78" s="346"/>
      <c r="AB78" s="346"/>
      <c r="AC78" s="346"/>
      <c r="AD78" s="346"/>
      <c r="AE78" s="346"/>
      <c r="AF78" s="346"/>
      <c r="AG78" s="346"/>
      <c r="AH78" s="19"/>
      <c r="AI78" s="19"/>
      <c r="AJ78" s="19"/>
      <c r="AK78" s="19"/>
      <c r="AL78" s="19"/>
      <c r="AM78" s="19"/>
      <c r="AN78" s="19"/>
      <c r="AO78" s="19"/>
    </row>
    <row r="79" spans="1:41">
      <c r="A79" s="346"/>
      <c r="B79" s="535" t="s">
        <v>180</v>
      </c>
      <c r="C79" s="535" t="s">
        <v>308</v>
      </c>
      <c r="D79" s="346"/>
      <c r="E79" s="348" t="s">
        <v>309</v>
      </c>
      <c r="F79" s="260" t="s">
        <v>228</v>
      </c>
      <c r="G79" s="346"/>
      <c r="H79" s="346"/>
      <c r="I79" s="346" t="str">
        <f ca="1"/>
        <v>LARSEN, JENSEN A.</v>
      </c>
      <c r="J79" s="535">
        <f ca="1">DAY(_xlfn.XLOOKUP(I79,RecallTable[NAME], RecallTable[DOB],"Not Found"))</f>
        <v>30</v>
      </c>
      <c r="K79" s="346"/>
      <c r="L79" s="346" t="str">
        <v>HODGES, ROSELYN A.</v>
      </c>
      <c r="M79" s="346"/>
      <c r="N79" s="346"/>
      <c r="O79" s="346"/>
      <c r="P79" s="346" t="str">
        <v>MOODY, TIANNA A.</v>
      </c>
      <c r="Q79" s="346"/>
      <c r="R79" s="346"/>
      <c r="S79" s="346"/>
      <c r="T79" s="346"/>
      <c r="U79" s="346"/>
      <c r="V79" s="346"/>
      <c r="W79" s="346"/>
      <c r="X79" s="346"/>
      <c r="Y79" s="346"/>
      <c r="Z79" s="346"/>
      <c r="AA79" s="346"/>
      <c r="AB79" s="346"/>
      <c r="AC79" s="346"/>
      <c r="AD79" s="346"/>
      <c r="AE79" s="346"/>
      <c r="AF79" s="346"/>
      <c r="AG79" s="346"/>
      <c r="AH79" s="19"/>
      <c r="AI79" s="19"/>
      <c r="AJ79" s="19"/>
      <c r="AK79" s="19"/>
      <c r="AL79" s="19"/>
      <c r="AM79" s="19"/>
      <c r="AN79" s="19"/>
      <c r="AO79" s="19"/>
    </row>
    <row r="80" spans="1:41">
      <c r="A80" s="346"/>
      <c r="B80" s="535" t="s">
        <v>181</v>
      </c>
      <c r="C80" s="535" t="s">
        <v>310</v>
      </c>
      <c r="D80" s="346"/>
      <c r="E80" s="348" t="s">
        <v>311</v>
      </c>
      <c r="F80" s="349" t="s">
        <v>215</v>
      </c>
      <c r="G80" s="346"/>
      <c r="H80" s="346"/>
      <c r="I80" s="346" t="str">
        <f ca="1"/>
        <v>NASH, LEONARDO A.</v>
      </c>
      <c r="J80" s="535">
        <f ca="1">DAY(_xlfn.XLOOKUP(I80,RecallTable[NAME], RecallTable[DOB],"Not Found"))</f>
        <v>26</v>
      </c>
      <c r="K80" s="346"/>
      <c r="L80" s="346" t="str">
        <v>DAVENPORT, IMMANUEL A.</v>
      </c>
      <c r="M80" s="346"/>
      <c r="N80" s="346"/>
      <c r="O80" s="346"/>
      <c r="P80" s="346" t="str">
        <v>HOPKINS, NICK A.</v>
      </c>
      <c r="Q80" s="346"/>
      <c r="R80" s="346"/>
      <c r="S80" s="346"/>
      <c r="T80" s="346"/>
      <c r="U80" s="346"/>
      <c r="V80" s="346"/>
      <c r="W80" s="346"/>
      <c r="X80" s="346"/>
      <c r="Y80" s="346"/>
      <c r="Z80" s="346"/>
      <c r="AA80" s="346"/>
      <c r="AB80" s="346"/>
      <c r="AC80" s="346"/>
      <c r="AD80" s="346"/>
      <c r="AE80" s="346"/>
      <c r="AF80" s="346"/>
      <c r="AG80" s="346"/>
      <c r="AH80" s="19"/>
      <c r="AI80" s="19"/>
      <c r="AJ80" s="19"/>
      <c r="AK80" s="19"/>
      <c r="AL80" s="19"/>
      <c r="AM80" s="19"/>
      <c r="AN80" s="19"/>
      <c r="AO80" s="19"/>
    </row>
    <row r="81" spans="1:41">
      <c r="A81" s="346"/>
      <c r="B81" s="535" t="s">
        <v>182</v>
      </c>
      <c r="C81" s="535" t="s">
        <v>312</v>
      </c>
      <c r="D81" s="346"/>
      <c r="E81" s="350" t="s">
        <v>313</v>
      </c>
      <c r="F81" s="351" t="s">
        <v>60</v>
      </c>
      <c r="G81" s="346"/>
      <c r="H81" s="346"/>
      <c r="I81" s="346" t="str">
        <f ca="1"/>
        <v>VELAZQUEZ, EMILIE A.</v>
      </c>
      <c r="J81" s="535">
        <f ca="1">DAY(_xlfn.XLOOKUP(I81,RecallTable[NAME], RecallTable[DOB],"Not Found"))</f>
        <v>18</v>
      </c>
      <c r="K81" s="346"/>
      <c r="L81" s="346" t="str">
        <v>CHANDLER, TREVON A.</v>
      </c>
      <c r="M81" s="346"/>
      <c r="N81" s="346"/>
      <c r="O81" s="346"/>
      <c r="P81" s="346"/>
      <c r="Q81" s="346"/>
      <c r="R81" s="346"/>
      <c r="S81" s="346"/>
      <c r="T81" s="346"/>
      <c r="U81" s="346"/>
      <c r="V81" s="346"/>
      <c r="W81" s="346"/>
      <c r="X81" s="346"/>
      <c r="Y81" s="346"/>
      <c r="Z81" s="346"/>
      <c r="AA81" s="346"/>
      <c r="AB81" s="346"/>
      <c r="AC81" s="346"/>
      <c r="AD81" s="346"/>
      <c r="AE81" s="346"/>
      <c r="AF81" s="346"/>
      <c r="AG81" s="346"/>
      <c r="AH81" s="19"/>
      <c r="AI81" s="19"/>
      <c r="AJ81" s="19"/>
      <c r="AK81" s="19"/>
      <c r="AL81" s="19"/>
      <c r="AM81" s="19"/>
      <c r="AN81" s="19"/>
      <c r="AO81" s="19"/>
    </row>
    <row r="82" spans="1:41">
      <c r="A82" s="346"/>
      <c r="B82" s="535" t="s">
        <v>183</v>
      </c>
      <c r="C82" s="535" t="s">
        <v>314</v>
      </c>
      <c r="D82" s="346"/>
      <c r="E82" s="350" t="s">
        <v>315</v>
      </c>
      <c r="F82" s="351" t="s">
        <v>213</v>
      </c>
      <c r="G82" s="346"/>
      <c r="H82" s="346"/>
      <c r="I82" s="346" t="str">
        <f ca="1"/>
        <v>WALKER, ANAYA A.</v>
      </c>
      <c r="J82" s="535">
        <f ca="1">DAY(_xlfn.XLOOKUP(I82,RecallTable[NAME], RecallTable[DOB],"Not Found"))</f>
        <v>26</v>
      </c>
      <c r="K82" s="346"/>
      <c r="L82" s="346" t="str">
        <v>CHEN, ANGELINE A.</v>
      </c>
      <c r="M82" s="346"/>
      <c r="N82" s="346"/>
      <c r="O82" s="346"/>
      <c r="P82" s="346"/>
      <c r="Q82" s="346"/>
      <c r="R82" s="346"/>
      <c r="S82" s="346"/>
      <c r="T82" s="346"/>
      <c r="U82" s="346"/>
      <c r="V82" s="346"/>
      <c r="W82" s="346"/>
      <c r="X82" s="346"/>
      <c r="Y82" s="346"/>
      <c r="Z82" s="346"/>
      <c r="AA82" s="346"/>
      <c r="AB82" s="346"/>
      <c r="AC82" s="346"/>
      <c r="AD82" s="346"/>
      <c r="AE82" s="346"/>
      <c r="AF82" s="346"/>
      <c r="AG82" s="346"/>
      <c r="AH82" s="19"/>
      <c r="AI82" s="19"/>
      <c r="AJ82" s="19"/>
      <c r="AK82" s="19"/>
      <c r="AL82" s="19"/>
      <c r="AM82" s="19"/>
      <c r="AN82" s="19"/>
      <c r="AO82" s="19"/>
    </row>
    <row r="83" spans="1:41">
      <c r="A83" s="346"/>
      <c r="B83" s="535" t="s">
        <v>184</v>
      </c>
      <c r="C83" s="535" t="s">
        <v>316</v>
      </c>
      <c r="D83" s="346"/>
      <c r="E83" s="346"/>
      <c r="F83" s="346"/>
      <c r="G83" s="346"/>
      <c r="H83" s="346"/>
      <c r="I83" s="346"/>
      <c r="J83" s="535" t="e">
        <f>DAY(_xlfn.XLOOKUP(I83,RecallTable[NAME], RecallTable[DOB],"Not Found"))</f>
        <v>#VALUE!</v>
      </c>
      <c r="K83" s="346"/>
      <c r="L83" s="346" t="str">
        <v>MCBRIDE, ZION A.</v>
      </c>
      <c r="M83" s="346"/>
      <c r="N83" s="346"/>
      <c r="O83" s="346"/>
      <c r="P83" s="346"/>
      <c r="Q83" s="346"/>
      <c r="R83" s="346"/>
      <c r="S83" s="346"/>
      <c r="T83" s="346"/>
      <c r="U83" s="346"/>
      <c r="V83" s="346"/>
      <c r="W83" s="346"/>
      <c r="X83" s="346"/>
      <c r="Y83" s="346"/>
      <c r="Z83" s="346"/>
      <c r="AA83" s="346"/>
      <c r="AB83" s="346"/>
      <c r="AC83" s="346"/>
      <c r="AD83" s="346"/>
      <c r="AE83" s="346"/>
      <c r="AF83" s="346"/>
      <c r="AG83" s="346"/>
      <c r="AH83" s="19"/>
      <c r="AI83" s="19"/>
      <c r="AJ83" s="19"/>
      <c r="AK83" s="19"/>
      <c r="AL83" s="19"/>
      <c r="AM83" s="19"/>
      <c r="AN83" s="19"/>
      <c r="AO83" s="19"/>
    </row>
    <row r="84" spans="1:41">
      <c r="A84" s="346"/>
      <c r="B84" s="535" t="s">
        <v>184</v>
      </c>
      <c r="C84" s="535" t="s">
        <v>317</v>
      </c>
      <c r="D84" s="346"/>
      <c r="E84" s="346"/>
      <c r="F84" s="346"/>
      <c r="G84" s="346"/>
      <c r="H84" s="346"/>
      <c r="I84" s="346"/>
      <c r="J84" s="535" t="e">
        <f>DAY(_xlfn.XLOOKUP(I84,RecallTable[NAME], RecallTable[DOB],"Not Found"))</f>
        <v>#VALUE!</v>
      </c>
      <c r="K84" s="346"/>
      <c r="L84" s="346" t="str">
        <v>BECK, LEVI A.</v>
      </c>
      <c r="M84" s="346"/>
      <c r="N84" s="346"/>
      <c r="O84" s="346"/>
      <c r="P84" s="346"/>
      <c r="Q84" s="346"/>
      <c r="R84" s="346"/>
      <c r="S84" s="346"/>
      <c r="T84" s="346"/>
      <c r="U84" s="346"/>
      <c r="V84" s="346"/>
      <c r="W84" s="346"/>
      <c r="X84" s="346"/>
      <c r="Y84" s="346"/>
      <c r="Z84" s="346"/>
      <c r="AA84" s="346"/>
      <c r="AB84" s="346"/>
      <c r="AC84" s="346"/>
      <c r="AD84" s="346"/>
      <c r="AE84" s="346"/>
      <c r="AF84" s="346"/>
      <c r="AG84" s="346"/>
      <c r="AH84" s="19"/>
      <c r="AI84" s="19"/>
      <c r="AJ84" s="19"/>
      <c r="AK84" s="19"/>
      <c r="AL84" s="19"/>
      <c r="AM84" s="19"/>
      <c r="AN84" s="19"/>
      <c r="AO84" s="19"/>
    </row>
    <row r="85" spans="1:41">
      <c r="A85" s="346"/>
      <c r="B85" s="535" t="s">
        <v>187</v>
      </c>
      <c r="C85" s="535" t="s">
        <v>318</v>
      </c>
      <c r="D85" s="346"/>
      <c r="E85" s="346"/>
      <c r="F85" s="346"/>
      <c r="G85" s="346"/>
      <c r="H85" s="346"/>
      <c r="I85" s="346"/>
      <c r="J85" s="535" t="e">
        <f>DAY(_xlfn.XLOOKUP(I85,RecallTable[NAME], RecallTable[DOB],"Not Found"))</f>
        <v>#VALUE!</v>
      </c>
      <c r="K85" s="346"/>
      <c r="L85" s="346" t="str">
        <v>CONWAY, TATIANA A.</v>
      </c>
      <c r="M85" s="346"/>
      <c r="N85" s="346"/>
      <c r="O85" s="346"/>
      <c r="P85" s="346"/>
      <c r="Q85" s="346"/>
      <c r="R85" s="346"/>
      <c r="S85" s="346"/>
      <c r="T85" s="346"/>
      <c r="U85" s="346"/>
      <c r="V85" s="346"/>
      <c r="W85" s="346"/>
      <c r="X85" s="346"/>
      <c r="Y85" s="346"/>
      <c r="Z85" s="346"/>
      <c r="AA85" s="346"/>
      <c r="AB85" s="346"/>
      <c r="AC85" s="346"/>
      <c r="AD85" s="346"/>
      <c r="AE85" s="346"/>
      <c r="AF85" s="346"/>
      <c r="AG85" s="346"/>
      <c r="AH85" s="19"/>
      <c r="AI85" s="19"/>
      <c r="AJ85" s="19"/>
      <c r="AK85" s="19"/>
      <c r="AL85" s="19"/>
      <c r="AM85" s="19"/>
      <c r="AN85" s="19"/>
      <c r="AO85" s="19"/>
    </row>
    <row r="86" spans="1:41">
      <c r="A86" s="346"/>
      <c r="B86" s="535" t="s">
        <v>188</v>
      </c>
      <c r="C86" s="535" t="s">
        <v>319</v>
      </c>
      <c r="D86" s="346"/>
      <c r="E86" s="346"/>
      <c r="F86" s="346"/>
      <c r="G86" s="346"/>
      <c r="H86" s="346"/>
      <c r="I86" s="346"/>
      <c r="J86" s="346"/>
      <c r="K86" s="346"/>
      <c r="L86" s="346" t="str">
        <v>HUGHES, GILBERTO A.</v>
      </c>
      <c r="M86" s="346"/>
      <c r="N86" s="346"/>
      <c r="O86" s="346"/>
      <c r="P86" s="346"/>
      <c r="Q86" s="346"/>
      <c r="R86" s="346"/>
      <c r="S86" s="346"/>
      <c r="T86" s="346"/>
      <c r="U86" s="346"/>
      <c r="V86" s="346"/>
      <c r="W86" s="346"/>
      <c r="X86" s="346"/>
      <c r="Y86" s="346"/>
      <c r="Z86" s="346"/>
      <c r="AA86" s="346"/>
      <c r="AB86" s="346"/>
      <c r="AC86" s="346"/>
      <c r="AD86" s="346"/>
      <c r="AE86" s="346"/>
      <c r="AF86" s="346"/>
      <c r="AG86" s="346"/>
      <c r="AH86" s="19"/>
      <c r="AI86" s="19"/>
      <c r="AJ86" s="19"/>
      <c r="AK86" s="19"/>
      <c r="AL86" s="19"/>
      <c r="AM86" s="19"/>
      <c r="AN86" s="19"/>
      <c r="AO86" s="19"/>
    </row>
    <row r="87" spans="1:41">
      <c r="A87" s="346"/>
      <c r="B87" s="535" t="s">
        <v>185</v>
      </c>
      <c r="C87" s="535" t="s">
        <v>320</v>
      </c>
      <c r="D87" s="346"/>
      <c r="E87" s="352" t="s">
        <v>321</v>
      </c>
      <c r="F87" s="352" t="s">
        <v>322</v>
      </c>
      <c r="G87" s="346"/>
      <c r="H87" s="346"/>
      <c r="I87" s="346"/>
      <c r="J87" s="346"/>
      <c r="K87" s="346"/>
      <c r="L87" s="346" t="str">
        <v>FOWLER, DEVYN A.</v>
      </c>
      <c r="M87" s="346"/>
      <c r="N87" s="346"/>
      <c r="O87" s="346"/>
      <c r="P87" s="346"/>
      <c r="Q87" s="346"/>
      <c r="R87" s="346"/>
      <c r="S87" s="346"/>
      <c r="T87" s="346"/>
      <c r="U87" s="346"/>
      <c r="V87" s="346"/>
      <c r="W87" s="346"/>
      <c r="X87" s="346"/>
      <c r="Y87" s="346"/>
      <c r="Z87" s="346"/>
      <c r="AA87" s="346"/>
      <c r="AB87" s="346"/>
      <c r="AC87" s="346"/>
      <c r="AD87" s="346"/>
      <c r="AE87" s="346"/>
      <c r="AF87" s="346"/>
      <c r="AG87" s="346"/>
      <c r="AH87" s="19"/>
      <c r="AI87" s="19"/>
      <c r="AJ87" s="19"/>
      <c r="AK87" s="19"/>
      <c r="AL87" s="19"/>
      <c r="AM87" s="19"/>
      <c r="AN87" s="19"/>
      <c r="AO87" s="19"/>
    </row>
    <row r="88" spans="1:41">
      <c r="A88" s="346"/>
      <c r="B88" s="535" t="s">
        <v>206</v>
      </c>
      <c r="C88" s="535" t="s">
        <v>323</v>
      </c>
      <c r="D88" s="346"/>
      <c r="E88" s="346" t="s">
        <v>3</v>
      </c>
      <c r="F88" s="346">
        <f>COLUMNS(RecallTable[])</f>
        <v>23</v>
      </c>
      <c r="G88" s="346"/>
      <c r="H88" s="346"/>
      <c r="I88" s="346"/>
      <c r="J88" s="346"/>
      <c r="K88" s="346"/>
      <c r="L88" s="346" t="str">
        <v>SCHAEFER, JAYLA A.</v>
      </c>
      <c r="M88" s="346"/>
      <c r="N88" s="346"/>
      <c r="O88" s="346"/>
      <c r="P88" s="346"/>
      <c r="Q88" s="346"/>
      <c r="R88" s="346"/>
      <c r="S88" s="346"/>
      <c r="T88" s="346"/>
      <c r="U88" s="346"/>
      <c r="V88" s="346"/>
      <c r="W88" s="346"/>
      <c r="X88" s="346"/>
      <c r="Y88" s="346"/>
      <c r="Z88" s="346"/>
      <c r="AA88" s="346"/>
      <c r="AB88" s="346"/>
      <c r="AC88" s="346"/>
      <c r="AD88" s="346"/>
      <c r="AE88" s="346"/>
      <c r="AF88" s="346"/>
      <c r="AG88" s="346"/>
      <c r="AH88" s="19"/>
      <c r="AI88" s="19"/>
      <c r="AJ88" s="19"/>
      <c r="AK88" s="19"/>
      <c r="AL88" s="19"/>
      <c r="AM88" s="19"/>
      <c r="AN88" s="19"/>
      <c r="AO88" s="19"/>
    </row>
    <row r="89" spans="1:41">
      <c r="A89" s="346"/>
      <c r="B89" s="535" t="s">
        <v>186</v>
      </c>
      <c r="C89" s="535" t="s">
        <v>186</v>
      </c>
      <c r="D89" s="346"/>
      <c r="E89" s="346" t="s">
        <v>4</v>
      </c>
      <c r="F89" s="346">
        <f>COLUMNS(WholeMarineTrainingTable[])</f>
        <v>60</v>
      </c>
      <c r="G89" s="346"/>
      <c r="H89" s="346"/>
      <c r="I89" s="346"/>
      <c r="J89" s="346"/>
      <c r="K89" s="346"/>
      <c r="L89" s="346" t="str">
        <v>DAWSON, DEMARION A.</v>
      </c>
      <c r="M89" s="346"/>
      <c r="N89" s="346"/>
      <c r="O89" s="346"/>
      <c r="P89" s="346"/>
      <c r="Q89" s="346"/>
      <c r="R89" s="346"/>
      <c r="S89" s="346"/>
      <c r="T89" s="346"/>
      <c r="U89" s="346"/>
      <c r="V89" s="346"/>
      <c r="W89" s="346"/>
      <c r="X89" s="346"/>
      <c r="Y89" s="346"/>
      <c r="Z89" s="346"/>
      <c r="AA89" s="346"/>
      <c r="AB89" s="346"/>
      <c r="AC89" s="346"/>
      <c r="AD89" s="346"/>
      <c r="AE89" s="346"/>
      <c r="AF89" s="346"/>
      <c r="AG89" s="346"/>
      <c r="AH89" s="19"/>
      <c r="AI89" s="19"/>
      <c r="AJ89" s="19"/>
      <c r="AK89" s="19"/>
      <c r="AL89" s="19"/>
      <c r="AM89" s="19"/>
      <c r="AN89" s="19"/>
      <c r="AO89" s="19"/>
    </row>
    <row r="90" spans="1:41">
      <c r="A90" s="346"/>
      <c r="B90" s="535" t="s">
        <v>291</v>
      </c>
      <c r="C90" s="535" t="s">
        <v>291</v>
      </c>
      <c r="D90" s="346"/>
      <c r="E90" s="346" t="s">
        <v>5</v>
      </c>
      <c r="F90" s="346">
        <f>COLUMNS(HitlistTable[])</f>
        <v>22</v>
      </c>
      <c r="G90" s="346"/>
      <c r="H90" s="346"/>
      <c r="I90" s="346"/>
      <c r="J90" s="346"/>
      <c r="K90" s="346"/>
      <c r="L90" s="346" t="str">
        <v>HARRINGTON, TODD A.</v>
      </c>
      <c r="M90" s="346"/>
      <c r="N90" s="346"/>
      <c r="O90" s="346"/>
      <c r="P90" s="346"/>
      <c r="Q90" s="346"/>
      <c r="R90" s="346"/>
      <c r="S90" s="346"/>
      <c r="T90" s="346"/>
      <c r="U90" s="346"/>
      <c r="V90" s="346"/>
      <c r="W90" s="346"/>
      <c r="X90" s="346"/>
      <c r="Y90" s="346"/>
      <c r="Z90" s="346"/>
      <c r="AA90" s="346"/>
      <c r="AB90" s="346"/>
      <c r="AC90" s="346"/>
      <c r="AD90" s="346"/>
      <c r="AE90" s="346"/>
      <c r="AF90" s="346"/>
      <c r="AG90" s="346"/>
      <c r="AH90" s="19"/>
      <c r="AI90" s="19"/>
      <c r="AJ90" s="19"/>
      <c r="AK90" s="19"/>
      <c r="AL90" s="19"/>
      <c r="AM90" s="19"/>
      <c r="AN90" s="19"/>
      <c r="AO90" s="19"/>
    </row>
    <row r="91" spans="1:41">
      <c r="A91" s="346"/>
      <c r="B91" s="535" t="s">
        <v>292</v>
      </c>
      <c r="C91" s="535" t="s">
        <v>292</v>
      </c>
      <c r="D91" s="346"/>
      <c r="E91" s="346" t="s">
        <v>324</v>
      </c>
      <c r="F91" s="346">
        <v>30</v>
      </c>
      <c r="G91" s="346"/>
      <c r="H91" s="346"/>
      <c r="I91" s="346"/>
      <c r="J91" s="346"/>
      <c r="K91" s="346"/>
      <c r="L91" s="346" t="str">
        <v>THOMAS, AVA A.</v>
      </c>
      <c r="M91" s="346"/>
      <c r="N91" s="346"/>
      <c r="O91" s="346"/>
      <c r="P91" s="346"/>
      <c r="Q91" s="346"/>
      <c r="R91" s="346"/>
      <c r="S91" s="346"/>
      <c r="T91" s="346"/>
      <c r="U91" s="346"/>
      <c r="V91" s="346"/>
      <c r="W91" s="346"/>
      <c r="X91" s="346"/>
      <c r="Y91" s="346"/>
      <c r="Z91" s="346"/>
      <c r="AA91" s="346"/>
      <c r="AB91" s="346"/>
      <c r="AC91" s="346"/>
      <c r="AD91" s="346"/>
      <c r="AE91" s="346"/>
      <c r="AF91" s="346"/>
      <c r="AG91" s="346"/>
      <c r="AH91" s="19"/>
      <c r="AI91" s="19"/>
      <c r="AJ91" s="19"/>
      <c r="AK91" s="19"/>
      <c r="AL91" s="19"/>
      <c r="AM91" s="19"/>
      <c r="AN91" s="19"/>
      <c r="AO91" s="19"/>
    </row>
    <row r="92" spans="1:41">
      <c r="A92" s="346"/>
      <c r="B92" s="535" t="s">
        <v>325</v>
      </c>
      <c r="C92" s="535" t="s">
        <v>325</v>
      </c>
      <c r="D92" s="346"/>
      <c r="E92" s="346" t="s">
        <v>326</v>
      </c>
      <c r="F92" s="346">
        <v>2</v>
      </c>
      <c r="G92" s="346"/>
      <c r="H92" s="346"/>
      <c r="I92" s="346"/>
      <c r="J92" s="346"/>
      <c r="K92" s="346"/>
      <c r="L92" s="346"/>
      <c r="M92" s="346"/>
      <c r="N92" s="346"/>
      <c r="O92" s="346"/>
      <c r="P92" s="346"/>
      <c r="Q92" s="346"/>
      <c r="R92" s="346"/>
      <c r="S92" s="346"/>
      <c r="T92" s="346"/>
      <c r="U92" s="346"/>
      <c r="V92" s="346"/>
      <c r="W92" s="346"/>
      <c r="X92" s="346"/>
      <c r="Y92" s="346"/>
      <c r="Z92" s="346"/>
      <c r="AA92" s="346"/>
      <c r="AB92" s="346"/>
      <c r="AC92" s="346"/>
      <c r="AD92" s="346"/>
      <c r="AE92" s="346"/>
      <c r="AF92" s="346"/>
      <c r="AG92" s="346"/>
      <c r="AH92" s="19"/>
      <c r="AI92" s="19"/>
      <c r="AJ92" s="19"/>
      <c r="AK92" s="19"/>
      <c r="AL92" s="19"/>
      <c r="AM92" s="19"/>
      <c r="AN92" s="19"/>
      <c r="AO92" s="19"/>
    </row>
    <row r="93" spans="1:41">
      <c r="A93" s="346"/>
      <c r="B93" s="346"/>
      <c r="C93" s="346"/>
      <c r="D93" s="346"/>
      <c r="E93" s="346" t="s">
        <v>327</v>
      </c>
      <c r="F93" s="346">
        <f>SUBTOTAL(109,ColumnTable[Attributes])</f>
        <v>137</v>
      </c>
      <c r="G93" s="346"/>
      <c r="H93" s="346"/>
      <c r="I93" s="346"/>
      <c r="J93" s="346"/>
      <c r="K93" s="346"/>
      <c r="L93" s="346"/>
      <c r="M93" s="346"/>
      <c r="N93" s="346"/>
      <c r="O93" s="346"/>
      <c r="P93" s="346"/>
      <c r="Q93" s="346"/>
      <c r="R93" s="346"/>
      <c r="S93" s="346"/>
      <c r="T93" s="346"/>
      <c r="U93" s="346"/>
      <c r="V93" s="346"/>
      <c r="W93" s="346"/>
      <c r="X93" s="346"/>
      <c r="Y93" s="346"/>
      <c r="Z93" s="346"/>
      <c r="AA93" s="346"/>
      <c r="AB93" s="346"/>
      <c r="AC93" s="346"/>
      <c r="AD93" s="346"/>
      <c r="AE93" s="346"/>
      <c r="AF93" s="346"/>
      <c r="AG93" s="346"/>
      <c r="AH93" s="19"/>
      <c r="AI93" s="19"/>
      <c r="AJ93" s="19"/>
      <c r="AK93" s="19"/>
      <c r="AL93" s="19"/>
      <c r="AM93" s="19"/>
      <c r="AN93" s="19"/>
      <c r="AO93" s="19"/>
    </row>
    <row r="94" spans="1:41">
      <c r="A94" s="346"/>
      <c r="B94" s="346"/>
      <c r="C94" s="346"/>
      <c r="D94" s="346"/>
      <c r="E94" s="346"/>
      <c r="F94" s="346"/>
      <c r="G94" s="346"/>
      <c r="H94" s="346"/>
      <c r="I94" s="346"/>
      <c r="J94" s="346"/>
      <c r="K94" s="346"/>
      <c r="L94" s="346"/>
      <c r="M94" s="346"/>
      <c r="N94" s="346"/>
      <c r="O94" s="346"/>
      <c r="P94" s="346"/>
      <c r="Q94" s="346"/>
      <c r="R94" s="346"/>
      <c r="S94" s="346"/>
      <c r="T94" s="346"/>
      <c r="U94" s="346"/>
      <c r="V94" s="346"/>
      <c r="W94" s="346"/>
      <c r="X94" s="346"/>
      <c r="Y94" s="346"/>
      <c r="Z94" s="346"/>
      <c r="AA94" s="346"/>
      <c r="AB94" s="346"/>
      <c r="AC94" s="346"/>
      <c r="AD94" s="346"/>
      <c r="AE94" s="346"/>
      <c r="AF94" s="346"/>
      <c r="AG94" s="346"/>
      <c r="AH94" s="19"/>
      <c r="AI94" s="19"/>
      <c r="AJ94" s="19"/>
      <c r="AK94" s="19"/>
      <c r="AL94" s="19"/>
      <c r="AM94" s="19"/>
      <c r="AN94" s="19"/>
      <c r="AO94" s="19"/>
    </row>
    <row r="95" spans="1:41">
      <c r="A95" s="346"/>
      <c r="B95" s="346"/>
      <c r="C95" s="346"/>
      <c r="D95" s="346"/>
      <c r="E95" s="346"/>
      <c r="F95" s="346"/>
      <c r="G95" s="346"/>
      <c r="H95" s="346"/>
      <c r="I95" s="346"/>
      <c r="J95" s="346"/>
      <c r="K95" s="346"/>
      <c r="L95" s="346"/>
      <c r="M95" s="346"/>
      <c r="N95" s="346"/>
      <c r="O95" s="346"/>
      <c r="P95" s="346"/>
      <c r="Q95" s="346"/>
      <c r="R95" s="346"/>
      <c r="S95" s="346"/>
      <c r="T95" s="346"/>
      <c r="U95" s="346"/>
      <c r="V95" s="346"/>
      <c r="W95" s="346"/>
      <c r="X95" s="346"/>
      <c r="Y95" s="346"/>
      <c r="Z95" s="346"/>
      <c r="AA95" s="346"/>
      <c r="AB95" s="346"/>
      <c r="AC95" s="346"/>
      <c r="AD95" s="346"/>
      <c r="AE95" s="346"/>
      <c r="AF95" s="346"/>
      <c r="AG95" s="346"/>
      <c r="AH95" s="19"/>
      <c r="AI95" s="19"/>
      <c r="AJ95" s="19"/>
      <c r="AK95" s="19"/>
      <c r="AL95" s="19"/>
      <c r="AM95" s="19"/>
      <c r="AN95" s="19"/>
      <c r="AO95" s="19"/>
    </row>
    <row r="96" spans="1:41">
      <c r="A96" s="346"/>
      <c r="B96" s="346"/>
      <c r="C96" s="346"/>
      <c r="D96" s="346"/>
      <c r="E96" s="346"/>
      <c r="F96" s="346"/>
      <c r="G96" s="346"/>
      <c r="H96" s="346"/>
      <c r="I96" s="346"/>
      <c r="J96" s="346"/>
      <c r="K96" s="346"/>
      <c r="L96" s="346"/>
      <c r="M96" s="346"/>
      <c r="N96" s="346"/>
      <c r="O96" s="346"/>
      <c r="P96" s="346"/>
      <c r="Q96" s="346"/>
      <c r="R96" s="346"/>
      <c r="S96" s="346"/>
      <c r="T96" s="346"/>
      <c r="U96" s="346"/>
      <c r="V96" s="346"/>
      <c r="W96" s="346"/>
      <c r="X96" s="346"/>
      <c r="Y96" s="346"/>
      <c r="Z96" s="346"/>
      <c r="AA96" s="346"/>
      <c r="AB96" s="346"/>
      <c r="AC96" s="346"/>
      <c r="AD96" s="346"/>
      <c r="AE96" s="346"/>
      <c r="AF96" s="346"/>
      <c r="AG96" s="346"/>
      <c r="AH96" s="19"/>
      <c r="AI96" s="19"/>
      <c r="AJ96" s="19"/>
      <c r="AK96" s="19"/>
      <c r="AL96" s="19"/>
      <c r="AM96" s="19"/>
      <c r="AN96" s="19"/>
      <c r="AO96" s="19"/>
    </row>
    <row r="97" spans="1:41">
      <c r="A97" s="346"/>
      <c r="B97" s="346"/>
      <c r="C97" s="346"/>
      <c r="D97" s="346"/>
      <c r="E97" s="346"/>
      <c r="F97" s="346"/>
      <c r="G97" s="346"/>
      <c r="H97" s="346"/>
      <c r="I97" s="346"/>
      <c r="J97" s="346"/>
      <c r="K97" s="346"/>
      <c r="L97" s="346"/>
      <c r="M97" s="346"/>
      <c r="N97" s="346"/>
      <c r="O97" s="346"/>
      <c r="P97" s="346"/>
      <c r="Q97" s="346"/>
      <c r="R97" s="346"/>
      <c r="S97" s="346"/>
      <c r="T97" s="346"/>
      <c r="U97" s="346"/>
      <c r="V97" s="346"/>
      <c r="W97" s="346"/>
      <c r="X97" s="346"/>
      <c r="Y97" s="346"/>
      <c r="Z97" s="346"/>
      <c r="AA97" s="346"/>
      <c r="AB97" s="346"/>
      <c r="AC97" s="346"/>
      <c r="AD97" s="346"/>
      <c r="AE97" s="346"/>
      <c r="AF97" s="346"/>
      <c r="AG97" s="346"/>
      <c r="AH97" s="19"/>
      <c r="AI97" s="19"/>
      <c r="AJ97" s="19"/>
      <c r="AK97" s="19"/>
      <c r="AL97" s="19"/>
      <c r="AM97" s="19"/>
      <c r="AN97" s="19"/>
      <c r="AO97" s="19"/>
    </row>
    <row r="98" spans="1:41">
      <c r="A98" s="346"/>
      <c r="B98" s="346"/>
      <c r="C98" s="346"/>
      <c r="D98" s="346"/>
      <c r="E98" s="346"/>
      <c r="F98" s="346"/>
      <c r="G98" s="346"/>
      <c r="H98" s="346"/>
      <c r="I98" s="346"/>
      <c r="J98" s="346"/>
      <c r="K98" s="346"/>
      <c r="L98" s="346"/>
      <c r="M98" s="346"/>
      <c r="N98" s="346"/>
      <c r="O98" s="346"/>
      <c r="P98" s="346"/>
      <c r="Q98" s="346"/>
      <c r="R98" s="346"/>
      <c r="S98" s="346"/>
      <c r="T98" s="346"/>
      <c r="U98" s="346"/>
      <c r="V98" s="346"/>
      <c r="W98" s="346"/>
      <c r="X98" s="346"/>
      <c r="Y98" s="346"/>
      <c r="Z98" s="346"/>
      <c r="AA98" s="346"/>
      <c r="AB98" s="346"/>
      <c r="AC98" s="346"/>
      <c r="AD98" s="346"/>
      <c r="AE98" s="346"/>
      <c r="AF98" s="346"/>
      <c r="AG98" s="346"/>
      <c r="AH98" s="19"/>
      <c r="AI98" s="19"/>
      <c r="AJ98" s="19"/>
      <c r="AK98" s="19"/>
      <c r="AL98" s="19"/>
      <c r="AM98" s="19"/>
      <c r="AN98" s="19"/>
      <c r="AO98" s="19"/>
    </row>
    <row r="99" spans="1:41">
      <c r="A99" s="346"/>
      <c r="B99" s="346"/>
      <c r="C99" s="346"/>
      <c r="D99" s="366"/>
      <c r="E99" s="346"/>
      <c r="F99" s="346"/>
      <c r="G99" s="346"/>
      <c r="H99" s="346"/>
      <c r="I99" s="346"/>
      <c r="J99" s="346"/>
      <c r="K99" s="346"/>
      <c r="L99" s="346"/>
      <c r="M99" s="346"/>
      <c r="N99" s="346"/>
      <c r="O99" s="346"/>
      <c r="P99" s="346"/>
      <c r="Q99" s="346"/>
      <c r="R99" s="346"/>
      <c r="S99" s="346"/>
      <c r="T99" s="346"/>
      <c r="U99" s="346"/>
      <c r="V99" s="346"/>
      <c r="W99" s="346"/>
      <c r="X99" s="346"/>
      <c r="Y99" s="346"/>
      <c r="Z99" s="346"/>
      <c r="AA99" s="346"/>
      <c r="AB99" s="346"/>
      <c r="AC99" s="346"/>
      <c r="AD99" s="346"/>
      <c r="AE99" s="346"/>
      <c r="AF99" s="346"/>
      <c r="AG99" s="346"/>
      <c r="AH99" s="19"/>
      <c r="AI99" s="19"/>
      <c r="AJ99" s="19"/>
      <c r="AK99" s="19"/>
      <c r="AL99" s="19"/>
      <c r="AM99" s="19"/>
      <c r="AN99" s="19"/>
      <c r="AO99" s="19"/>
    </row>
    <row r="100" spans="1:41">
      <c r="A100" s="346"/>
      <c r="B100" s="346"/>
      <c r="C100" s="346"/>
      <c r="D100" s="366"/>
      <c r="E100" s="346"/>
      <c r="F100" s="346"/>
      <c r="G100" s="346"/>
      <c r="H100" s="346"/>
      <c r="I100" s="346"/>
      <c r="J100" s="346"/>
      <c r="K100" s="346"/>
      <c r="L100" s="346"/>
      <c r="M100" s="346"/>
      <c r="N100" s="346"/>
      <c r="O100" s="346"/>
      <c r="P100" s="346"/>
      <c r="Q100" s="346"/>
      <c r="R100" s="346"/>
      <c r="S100" s="346"/>
      <c r="T100" s="346"/>
      <c r="U100" s="346" t="s">
        <v>328</v>
      </c>
      <c r="V100" s="346"/>
      <c r="W100" s="346"/>
      <c r="X100" s="346"/>
      <c r="Y100" s="346"/>
      <c r="Z100" s="346"/>
      <c r="AA100" s="346"/>
      <c r="AB100" s="346"/>
      <c r="AC100" s="346"/>
      <c r="AD100" s="346"/>
      <c r="AE100" s="346"/>
      <c r="AF100" s="346"/>
      <c r="AG100" s="346"/>
      <c r="AH100" s="19"/>
      <c r="AI100" s="19"/>
      <c r="AJ100" s="19"/>
      <c r="AK100" s="19"/>
      <c r="AL100" s="19"/>
      <c r="AM100" s="19"/>
      <c r="AN100" s="19"/>
      <c r="AO100" s="19"/>
    </row>
    <row r="101" spans="1:41">
      <c r="A101" s="346"/>
      <c r="B101" s="346"/>
      <c r="C101" s="346"/>
      <c r="D101" s="366"/>
      <c r="E101" s="346"/>
      <c r="F101" s="346"/>
      <c r="G101" s="346"/>
      <c r="H101" s="346"/>
      <c r="I101" s="346"/>
      <c r="J101" s="346"/>
      <c r="K101" s="346"/>
      <c r="L101" s="346"/>
      <c r="M101" s="346"/>
      <c r="N101" s="346"/>
      <c r="O101" s="346"/>
      <c r="P101" s="346"/>
      <c r="Q101" s="346"/>
      <c r="R101" s="346"/>
      <c r="S101" s="346"/>
      <c r="T101" s="346"/>
      <c r="U101" s="346" t="s">
        <v>328</v>
      </c>
      <c r="V101" s="346"/>
      <c r="W101" s="346"/>
      <c r="X101" s="346"/>
      <c r="Y101" s="346"/>
      <c r="Z101" s="346"/>
      <c r="AA101" s="346"/>
      <c r="AB101" s="346"/>
      <c r="AC101" s="346"/>
      <c r="AD101" s="346"/>
      <c r="AE101" s="346"/>
      <c r="AF101" s="346"/>
      <c r="AG101" s="346"/>
      <c r="AH101" s="19"/>
      <c r="AI101" s="19"/>
      <c r="AJ101" s="19"/>
      <c r="AK101" s="19"/>
      <c r="AL101" s="19"/>
      <c r="AM101" s="19"/>
      <c r="AN101" s="19"/>
      <c r="AO101" s="19"/>
    </row>
    <row r="102" spans="1:41">
      <c r="A102" s="346"/>
      <c r="B102" s="346"/>
      <c r="C102" s="346"/>
      <c r="D102" s="366"/>
      <c r="E102" s="346"/>
      <c r="F102" s="346"/>
      <c r="G102" s="346"/>
      <c r="H102" s="346"/>
      <c r="I102" s="346"/>
      <c r="J102" s="346"/>
      <c r="K102" s="346"/>
      <c r="L102" s="346"/>
      <c r="M102" s="346"/>
      <c r="N102" s="346"/>
      <c r="O102" s="346"/>
      <c r="P102" s="346"/>
      <c r="Q102" s="346"/>
      <c r="R102" s="346"/>
      <c r="S102" s="346"/>
      <c r="T102" s="346"/>
      <c r="U102" s="346" t="s">
        <v>328</v>
      </c>
      <c r="V102" s="346"/>
      <c r="W102" s="346"/>
      <c r="X102" s="346"/>
      <c r="Y102" s="346"/>
      <c r="Z102" s="346"/>
      <c r="AA102" s="346"/>
      <c r="AB102" s="346"/>
      <c r="AC102" s="346"/>
      <c r="AD102" s="346"/>
      <c r="AE102" s="346"/>
      <c r="AF102" s="346"/>
      <c r="AG102" s="346"/>
      <c r="AH102" s="19"/>
      <c r="AI102" s="19"/>
      <c r="AJ102" s="19"/>
      <c r="AK102" s="19"/>
      <c r="AL102" s="19"/>
      <c r="AM102" s="19"/>
      <c r="AN102" s="19"/>
      <c r="AO102" s="19"/>
    </row>
    <row r="103" spans="1:41">
      <c r="A103" s="346"/>
      <c r="B103" s="346"/>
      <c r="C103" s="346"/>
      <c r="D103" s="366"/>
      <c r="E103" s="346"/>
      <c r="F103" s="346"/>
      <c r="G103" s="346"/>
      <c r="H103" s="346"/>
      <c r="I103" s="346"/>
      <c r="J103" s="346"/>
      <c r="K103" s="346"/>
      <c r="L103" s="346"/>
      <c r="M103" s="346"/>
      <c r="N103" s="346"/>
      <c r="O103" s="346"/>
      <c r="P103" s="346"/>
      <c r="Q103" s="346"/>
      <c r="R103" s="346"/>
      <c r="S103" s="346"/>
      <c r="T103" s="346"/>
      <c r="U103" s="346" t="s">
        <v>328</v>
      </c>
      <c r="V103" s="346"/>
      <c r="W103" s="346"/>
      <c r="X103" s="346"/>
      <c r="Y103" s="346"/>
      <c r="Z103" s="346"/>
      <c r="AA103" s="346"/>
      <c r="AB103" s="346"/>
      <c r="AC103" s="346"/>
      <c r="AD103" s="346"/>
      <c r="AE103" s="346"/>
      <c r="AF103" s="346"/>
      <c r="AG103" s="346"/>
      <c r="AH103" s="19"/>
      <c r="AI103" s="19"/>
      <c r="AJ103" s="19"/>
      <c r="AK103" s="19"/>
      <c r="AL103" s="19"/>
      <c r="AM103" s="19"/>
      <c r="AN103" s="19"/>
      <c r="AO103" s="19"/>
    </row>
    <row r="104" spans="1:41">
      <c r="A104" s="346"/>
      <c r="B104" s="346"/>
      <c r="C104" s="346"/>
      <c r="D104" s="366"/>
      <c r="E104" s="346"/>
      <c r="F104" s="346"/>
      <c r="G104" s="346"/>
      <c r="H104" s="346"/>
      <c r="I104" s="346"/>
      <c r="J104" s="346"/>
      <c r="K104" s="346"/>
      <c r="L104" s="346"/>
      <c r="M104" s="346"/>
      <c r="N104" s="346"/>
      <c r="O104" s="346"/>
      <c r="P104" s="346"/>
      <c r="Q104" s="346"/>
      <c r="R104" s="346"/>
      <c r="S104" s="346"/>
      <c r="T104" s="346"/>
      <c r="U104" s="346" t="s">
        <v>328</v>
      </c>
      <c r="V104" s="346"/>
      <c r="W104" s="346"/>
      <c r="X104" s="346"/>
      <c r="Y104" s="346"/>
      <c r="Z104" s="346"/>
      <c r="AA104" s="346"/>
      <c r="AB104" s="346"/>
      <c r="AC104" s="346"/>
      <c r="AD104" s="346"/>
      <c r="AE104" s="346"/>
      <c r="AF104" s="346"/>
      <c r="AG104" s="346"/>
      <c r="AH104" s="19"/>
      <c r="AI104" s="19"/>
      <c r="AJ104" s="19"/>
      <c r="AK104" s="19"/>
      <c r="AL104" s="19"/>
      <c r="AM104" s="19"/>
      <c r="AN104" s="19"/>
      <c r="AO104" s="19"/>
    </row>
    <row r="105" spans="1:41">
      <c r="A105" s="346"/>
      <c r="B105" s="346"/>
      <c r="C105" s="346"/>
      <c r="D105" s="366"/>
      <c r="E105" s="346"/>
      <c r="F105" s="346"/>
      <c r="G105" s="346"/>
      <c r="H105" s="346"/>
      <c r="I105" s="346"/>
      <c r="J105" s="346"/>
      <c r="K105" s="346"/>
      <c r="L105" s="346"/>
      <c r="M105" s="346"/>
      <c r="N105" s="346"/>
      <c r="O105" s="346"/>
      <c r="P105" s="346"/>
      <c r="Q105" s="346"/>
      <c r="R105" s="346"/>
      <c r="S105" s="346"/>
      <c r="T105" s="346"/>
      <c r="U105" s="346" t="s">
        <v>328</v>
      </c>
      <c r="V105" s="346"/>
      <c r="W105" s="346"/>
      <c r="X105" s="346"/>
      <c r="Y105" s="346"/>
      <c r="Z105" s="346"/>
      <c r="AA105" s="346"/>
      <c r="AB105" s="346"/>
      <c r="AC105" s="346"/>
      <c r="AD105" s="346"/>
      <c r="AE105" s="346"/>
      <c r="AF105" s="346"/>
      <c r="AG105" s="346"/>
      <c r="AH105" s="19"/>
      <c r="AI105" s="19"/>
      <c r="AJ105" s="19"/>
      <c r="AK105" s="19"/>
      <c r="AL105" s="19"/>
      <c r="AM105" s="19"/>
      <c r="AN105" s="19"/>
      <c r="AO105" s="19"/>
    </row>
    <row r="106" spans="1:41">
      <c r="A106" s="346"/>
      <c r="B106" s="346"/>
      <c r="C106" s="346"/>
      <c r="D106" s="366"/>
      <c r="E106" s="346"/>
      <c r="F106" s="346"/>
      <c r="G106" s="346"/>
      <c r="H106" s="346"/>
      <c r="I106" s="346"/>
      <c r="J106" s="346"/>
      <c r="K106" s="346"/>
      <c r="L106" s="346"/>
      <c r="M106" s="346"/>
      <c r="N106" s="346"/>
      <c r="O106" s="346"/>
      <c r="P106" s="346"/>
      <c r="Q106" s="346"/>
      <c r="R106" s="346"/>
      <c r="S106" s="346"/>
      <c r="T106" s="346"/>
      <c r="U106" s="346" t="s">
        <v>328</v>
      </c>
      <c r="V106" s="346"/>
      <c r="W106" s="346"/>
      <c r="X106" s="346"/>
      <c r="Y106" s="346"/>
      <c r="Z106" s="346"/>
      <c r="AA106" s="346"/>
      <c r="AB106" s="346"/>
      <c r="AC106" s="346"/>
      <c r="AD106" s="346"/>
      <c r="AE106" s="346"/>
      <c r="AF106" s="346"/>
      <c r="AG106" s="346"/>
      <c r="AH106" s="19"/>
      <c r="AI106" s="19"/>
      <c r="AJ106" s="19"/>
      <c r="AK106" s="19"/>
      <c r="AL106" s="19"/>
      <c r="AM106" s="19"/>
      <c r="AN106" s="19"/>
      <c r="AO106" s="19"/>
    </row>
    <row r="107" spans="1:41">
      <c r="A107" s="346"/>
      <c r="B107" s="346"/>
      <c r="C107" s="346"/>
      <c r="D107" s="366"/>
      <c r="E107" s="346"/>
      <c r="F107" s="346"/>
      <c r="G107" s="346"/>
      <c r="H107" s="346"/>
      <c r="I107" s="346"/>
      <c r="J107" s="346"/>
      <c r="K107" s="346"/>
      <c r="L107" s="346"/>
      <c r="M107" s="346"/>
      <c r="N107" s="346"/>
      <c r="O107" s="346"/>
      <c r="P107" s="346"/>
      <c r="Q107" s="346"/>
      <c r="R107" s="346"/>
      <c r="S107" s="346"/>
      <c r="T107" s="346"/>
      <c r="U107" s="346" t="s">
        <v>328</v>
      </c>
      <c r="V107" s="346"/>
      <c r="W107" s="346"/>
      <c r="X107" s="346"/>
      <c r="Y107" s="346"/>
      <c r="Z107" s="346"/>
      <c r="AA107" s="346"/>
      <c r="AB107" s="346"/>
      <c r="AC107" s="346"/>
      <c r="AD107" s="346"/>
      <c r="AE107" s="346"/>
      <c r="AF107" s="346"/>
      <c r="AG107" s="346"/>
      <c r="AH107" s="19"/>
      <c r="AI107" s="19"/>
      <c r="AJ107" s="19"/>
      <c r="AK107" s="19"/>
      <c r="AL107" s="19"/>
      <c r="AM107" s="19"/>
      <c r="AN107" s="19"/>
      <c r="AO107" s="19"/>
    </row>
    <row r="108" spans="1:41">
      <c r="A108" s="346"/>
      <c r="B108" s="346"/>
      <c r="C108" s="346"/>
      <c r="D108" s="366"/>
      <c r="E108" s="346"/>
      <c r="F108" s="346"/>
      <c r="G108" s="346"/>
      <c r="H108" s="346"/>
      <c r="I108" s="346"/>
      <c r="J108" s="346"/>
      <c r="K108" s="346"/>
      <c r="L108" s="346"/>
      <c r="M108" s="346"/>
      <c r="N108" s="346"/>
      <c r="O108" s="346"/>
      <c r="P108" s="346"/>
      <c r="Q108" s="346"/>
      <c r="R108" s="346"/>
      <c r="S108" s="346"/>
      <c r="T108" s="346"/>
      <c r="U108" s="346" t="s">
        <v>328</v>
      </c>
      <c r="V108" s="346"/>
      <c r="W108" s="346"/>
      <c r="X108" s="346"/>
      <c r="Y108" s="346"/>
      <c r="Z108" s="346"/>
      <c r="AA108" s="346"/>
      <c r="AB108" s="346"/>
      <c r="AC108" s="346"/>
      <c r="AD108" s="346"/>
      <c r="AE108" s="346"/>
      <c r="AF108" s="346"/>
      <c r="AG108" s="346"/>
      <c r="AH108" s="19"/>
      <c r="AI108" s="19"/>
      <c r="AJ108" s="19"/>
      <c r="AK108" s="19"/>
      <c r="AL108" s="19"/>
      <c r="AM108" s="19"/>
      <c r="AN108" s="19"/>
      <c r="AO108" s="19"/>
    </row>
    <row r="109" spans="1:41">
      <c r="A109" s="346"/>
      <c r="B109" s="346"/>
      <c r="C109" s="346"/>
      <c r="D109" s="366"/>
      <c r="E109" s="346"/>
      <c r="F109" s="346"/>
      <c r="G109" s="346"/>
      <c r="H109" s="346"/>
      <c r="I109" s="346"/>
      <c r="J109" s="346"/>
      <c r="K109" s="346"/>
      <c r="L109" s="346"/>
      <c r="M109" s="346"/>
      <c r="N109" s="346"/>
      <c r="O109" s="346"/>
      <c r="P109" s="346"/>
      <c r="Q109" s="346"/>
      <c r="R109" s="346"/>
      <c r="S109" s="346"/>
      <c r="T109" s="346"/>
      <c r="U109" s="346"/>
      <c r="V109" s="346"/>
      <c r="W109" s="346"/>
      <c r="X109" s="346"/>
      <c r="Y109" s="346"/>
      <c r="Z109" s="346"/>
      <c r="AA109" s="346"/>
      <c r="AB109" s="346"/>
      <c r="AC109" s="346"/>
      <c r="AD109" s="346"/>
      <c r="AE109" s="346"/>
      <c r="AF109" s="346"/>
      <c r="AG109" s="346"/>
      <c r="AH109" s="19"/>
      <c r="AI109" s="19"/>
      <c r="AJ109" s="19"/>
      <c r="AK109" s="19"/>
      <c r="AL109" s="19"/>
      <c r="AM109" s="19"/>
      <c r="AN109" s="19"/>
      <c r="AO109" s="19"/>
    </row>
    <row r="110" spans="1:41">
      <c r="A110" s="346"/>
      <c r="B110" s="346"/>
      <c r="C110" s="346"/>
      <c r="D110" s="366"/>
      <c r="E110" s="346"/>
      <c r="F110" s="346"/>
      <c r="G110" s="346"/>
      <c r="H110" s="346"/>
      <c r="I110" s="346"/>
      <c r="J110" s="346"/>
      <c r="K110" s="346"/>
      <c r="L110" s="346"/>
      <c r="M110" s="346"/>
      <c r="N110" s="346"/>
      <c r="O110" s="346"/>
      <c r="P110" s="346"/>
      <c r="Q110" s="346"/>
      <c r="R110" s="346"/>
      <c r="S110" s="346"/>
      <c r="T110" s="346"/>
      <c r="U110" s="346"/>
      <c r="V110" s="346"/>
      <c r="W110" s="346"/>
      <c r="X110" s="346"/>
      <c r="Y110" s="346"/>
      <c r="Z110" s="346"/>
      <c r="AA110" s="346"/>
      <c r="AB110" s="346"/>
      <c r="AC110" s="346"/>
      <c r="AD110" s="346"/>
      <c r="AE110" s="346"/>
      <c r="AF110" s="346"/>
      <c r="AG110" s="346"/>
      <c r="AH110" s="19"/>
      <c r="AI110" s="19"/>
      <c r="AJ110" s="19"/>
      <c r="AK110" s="19"/>
      <c r="AL110" s="19"/>
      <c r="AM110" s="19"/>
      <c r="AN110" s="19"/>
      <c r="AO110" s="19"/>
    </row>
    <row r="111" spans="1:41">
      <c r="A111" s="346"/>
      <c r="B111" s="346"/>
      <c r="C111" s="346"/>
      <c r="D111" s="366"/>
      <c r="E111" s="346"/>
      <c r="F111" s="346"/>
      <c r="G111" s="346"/>
      <c r="H111" s="346"/>
      <c r="I111" s="346"/>
      <c r="J111" s="346"/>
      <c r="K111" s="346"/>
      <c r="L111" s="346"/>
      <c r="M111" s="346"/>
      <c r="N111" s="346"/>
      <c r="O111" s="346"/>
      <c r="P111" s="346"/>
      <c r="Q111" s="346"/>
      <c r="R111" s="346"/>
      <c r="S111" s="346"/>
      <c r="T111" s="346"/>
      <c r="U111" s="346"/>
      <c r="V111" s="346"/>
      <c r="W111" s="346"/>
      <c r="X111" s="346"/>
      <c r="Y111" s="346"/>
      <c r="Z111" s="346"/>
      <c r="AA111" s="346"/>
      <c r="AB111" s="346"/>
      <c r="AC111" s="346"/>
      <c r="AD111" s="346"/>
      <c r="AE111" s="346"/>
      <c r="AF111" s="346"/>
      <c r="AG111" s="346"/>
      <c r="AH111" s="19"/>
      <c r="AI111" s="19"/>
      <c r="AJ111" s="19"/>
      <c r="AK111" s="19"/>
      <c r="AL111" s="19"/>
      <c r="AM111" s="19"/>
      <c r="AN111" s="19"/>
      <c r="AO111" s="19"/>
    </row>
    <row r="112" spans="1:41">
      <c r="A112" s="346"/>
      <c r="B112" s="346"/>
      <c r="C112" s="346"/>
      <c r="D112" s="366"/>
      <c r="E112" s="346"/>
      <c r="F112" s="346"/>
      <c r="G112" s="346"/>
      <c r="H112" s="346"/>
      <c r="I112" s="346"/>
      <c r="J112" s="346"/>
      <c r="K112" s="346"/>
      <c r="L112" s="346"/>
      <c r="M112" s="346"/>
      <c r="N112" s="346"/>
      <c r="O112" s="346"/>
      <c r="P112" s="346"/>
      <c r="Q112" s="346"/>
      <c r="R112" s="346"/>
      <c r="S112" s="346"/>
      <c r="T112" s="346"/>
      <c r="U112" s="346"/>
      <c r="V112" s="346"/>
      <c r="W112" s="346"/>
      <c r="X112" s="346"/>
      <c r="Y112" s="346"/>
      <c r="Z112" s="346"/>
      <c r="AA112" s="346"/>
      <c r="AB112" s="346"/>
      <c r="AC112" s="346"/>
      <c r="AD112" s="346"/>
      <c r="AE112" s="346"/>
      <c r="AF112" s="346"/>
      <c r="AG112" s="346"/>
      <c r="AH112" s="19"/>
      <c r="AI112" s="19"/>
      <c r="AJ112" s="19"/>
      <c r="AK112" s="19"/>
      <c r="AL112" s="19"/>
      <c r="AM112" s="19"/>
      <c r="AN112" s="19"/>
      <c r="AO112" s="19"/>
    </row>
    <row r="113" spans="1:41">
      <c r="A113" s="346"/>
      <c r="B113" s="346"/>
      <c r="C113" s="346"/>
      <c r="D113" s="366"/>
      <c r="E113" s="346"/>
      <c r="F113" s="346"/>
      <c r="G113" s="346"/>
      <c r="H113" s="346"/>
      <c r="I113" s="346"/>
      <c r="J113" s="346"/>
      <c r="K113" s="346"/>
      <c r="L113" s="346"/>
      <c r="M113" s="346"/>
      <c r="N113" s="346"/>
      <c r="O113" s="346"/>
      <c r="P113" s="346"/>
      <c r="Q113" s="346"/>
      <c r="R113" s="346"/>
      <c r="S113" s="346"/>
      <c r="T113" s="346"/>
      <c r="U113" s="346"/>
      <c r="V113" s="346"/>
      <c r="W113" s="346"/>
      <c r="X113" s="346"/>
      <c r="Y113" s="346"/>
      <c r="Z113" s="346"/>
      <c r="AA113" s="346"/>
      <c r="AB113" s="346"/>
      <c r="AC113" s="346"/>
      <c r="AD113" s="346"/>
      <c r="AE113" s="346"/>
      <c r="AF113" s="346"/>
      <c r="AG113" s="346"/>
      <c r="AH113" s="19"/>
      <c r="AI113" s="19"/>
      <c r="AJ113" s="19"/>
      <c r="AK113" s="19"/>
      <c r="AL113" s="19"/>
      <c r="AM113" s="19"/>
      <c r="AN113" s="19"/>
      <c r="AO113" s="19"/>
    </row>
    <row r="114" spans="1:41">
      <c r="A114" s="346"/>
      <c r="B114" s="346"/>
      <c r="C114" s="346"/>
      <c r="D114" s="366"/>
      <c r="E114" s="346"/>
      <c r="F114" s="346"/>
      <c r="G114" s="346"/>
      <c r="H114" s="346"/>
      <c r="I114" s="346"/>
      <c r="J114" s="346"/>
      <c r="K114" s="346"/>
      <c r="L114" s="346"/>
      <c r="M114" s="346"/>
      <c r="N114" s="346"/>
      <c r="O114" s="346"/>
      <c r="P114" s="346"/>
      <c r="Q114" s="346"/>
      <c r="R114" s="346"/>
      <c r="S114" s="346"/>
      <c r="T114" s="346"/>
      <c r="U114" s="346"/>
      <c r="V114" s="346"/>
      <c r="W114" s="346"/>
      <c r="X114" s="346"/>
      <c r="Y114" s="346"/>
      <c r="Z114" s="346"/>
      <c r="AA114" s="346"/>
      <c r="AB114" s="346"/>
      <c r="AC114" s="346"/>
      <c r="AD114" s="346"/>
      <c r="AE114" s="346"/>
      <c r="AF114" s="346"/>
      <c r="AG114" s="346"/>
      <c r="AH114" s="19"/>
      <c r="AI114" s="19"/>
      <c r="AJ114" s="19"/>
      <c r="AK114" s="19"/>
      <c r="AL114" s="19"/>
      <c r="AM114" s="19"/>
      <c r="AN114" s="19"/>
      <c r="AO114" s="19"/>
    </row>
    <row r="115" spans="1:41">
      <c r="A115" s="346"/>
      <c r="B115" s="346"/>
      <c r="C115" s="346"/>
      <c r="D115" s="366"/>
      <c r="E115" s="346"/>
      <c r="F115" s="346"/>
      <c r="G115" s="346"/>
      <c r="H115" s="346"/>
      <c r="I115" s="346"/>
      <c r="J115" s="346"/>
      <c r="K115" s="346"/>
      <c r="L115" s="346"/>
      <c r="M115" s="346"/>
      <c r="N115" s="346"/>
      <c r="O115" s="346"/>
      <c r="P115" s="346"/>
      <c r="Q115" s="346"/>
      <c r="R115" s="346"/>
      <c r="S115" s="346"/>
      <c r="T115" s="346"/>
      <c r="U115" s="346"/>
      <c r="V115" s="346"/>
      <c r="W115" s="346"/>
      <c r="X115" s="346"/>
      <c r="Y115" s="346"/>
      <c r="Z115" s="346"/>
      <c r="AA115" s="346"/>
      <c r="AB115" s="346"/>
      <c r="AC115" s="346"/>
      <c r="AD115" s="346"/>
      <c r="AE115" s="346"/>
      <c r="AF115" s="346"/>
      <c r="AG115" s="346"/>
      <c r="AH115" s="19"/>
      <c r="AI115" s="19"/>
      <c r="AJ115" s="19"/>
      <c r="AK115" s="19"/>
      <c r="AL115" s="19"/>
      <c r="AM115" s="19"/>
      <c r="AN115" s="19"/>
      <c r="AO115" s="19"/>
    </row>
    <row r="116" spans="1:41">
      <c r="A116" s="346"/>
      <c r="B116" s="346"/>
      <c r="C116" s="346"/>
      <c r="D116" s="366"/>
      <c r="E116" s="346"/>
      <c r="F116" s="346"/>
      <c r="G116" s="346"/>
      <c r="H116" s="346"/>
      <c r="I116" s="346"/>
      <c r="J116" s="346"/>
      <c r="K116" s="346"/>
      <c r="L116" s="346"/>
      <c r="M116" s="346"/>
      <c r="N116" s="346"/>
      <c r="O116" s="346"/>
      <c r="P116" s="346"/>
      <c r="Q116" s="346"/>
      <c r="R116" s="346"/>
      <c r="S116" s="346"/>
      <c r="T116" s="346"/>
      <c r="U116" s="346"/>
      <c r="V116" s="346"/>
      <c r="W116" s="346"/>
      <c r="X116" s="346"/>
      <c r="Y116" s="346"/>
      <c r="Z116" s="346"/>
      <c r="AA116" s="346"/>
      <c r="AB116" s="346"/>
      <c r="AC116" s="346"/>
      <c r="AD116" s="346"/>
      <c r="AE116" s="346"/>
      <c r="AF116" s="346"/>
      <c r="AG116" s="346"/>
      <c r="AH116" s="19"/>
      <c r="AI116" s="19"/>
      <c r="AJ116" s="19"/>
      <c r="AK116" s="19"/>
      <c r="AL116" s="19"/>
      <c r="AM116" s="19"/>
      <c r="AN116" s="19"/>
      <c r="AO116" s="19"/>
    </row>
    <row r="117" spans="1:41">
      <c r="A117" s="346"/>
      <c r="B117" s="346"/>
      <c r="C117" s="346"/>
      <c r="D117" s="366"/>
      <c r="E117" s="346"/>
      <c r="F117" s="346"/>
      <c r="G117" s="346"/>
      <c r="H117" s="346"/>
      <c r="I117" s="346"/>
      <c r="J117" s="346"/>
      <c r="K117" s="346"/>
      <c r="L117" s="346"/>
      <c r="M117" s="346"/>
      <c r="N117" s="346"/>
      <c r="O117" s="346"/>
      <c r="P117" s="346"/>
      <c r="Q117" s="346"/>
      <c r="R117" s="346"/>
      <c r="S117" s="346"/>
      <c r="T117" s="346"/>
      <c r="U117" s="346"/>
      <c r="V117" s="346"/>
      <c r="W117" s="346"/>
      <c r="X117" s="346"/>
      <c r="Y117" s="346"/>
      <c r="Z117" s="346"/>
      <c r="AA117" s="346"/>
      <c r="AB117" s="346"/>
      <c r="AC117" s="346"/>
      <c r="AD117" s="346"/>
      <c r="AE117" s="346"/>
      <c r="AF117" s="346"/>
      <c r="AG117" s="346"/>
      <c r="AH117" s="19"/>
      <c r="AI117" s="19"/>
      <c r="AJ117" s="19"/>
      <c r="AK117" s="19"/>
      <c r="AL117" s="19"/>
      <c r="AM117" s="19"/>
      <c r="AN117" s="19"/>
      <c r="AO117" s="19"/>
    </row>
    <row r="118" spans="1:41">
      <c r="A118" s="346"/>
      <c r="B118" s="346"/>
      <c r="C118" s="346"/>
      <c r="D118" s="366"/>
      <c r="E118" s="346"/>
      <c r="F118" s="346"/>
      <c r="G118" s="346"/>
      <c r="H118" s="346"/>
      <c r="I118" s="346"/>
      <c r="J118" s="346"/>
      <c r="K118" s="346"/>
      <c r="L118" s="346"/>
      <c r="M118" s="346"/>
      <c r="N118" s="346"/>
      <c r="O118" s="346"/>
      <c r="P118" s="346"/>
      <c r="Q118" s="346"/>
      <c r="R118" s="346"/>
      <c r="S118" s="346"/>
      <c r="T118" s="346"/>
      <c r="U118" s="346"/>
      <c r="V118" s="346"/>
      <c r="W118" s="346"/>
      <c r="X118" s="346"/>
      <c r="Y118" s="346"/>
      <c r="Z118" s="346"/>
      <c r="AA118" s="346"/>
      <c r="AB118" s="346"/>
      <c r="AC118" s="346"/>
      <c r="AD118" s="346"/>
      <c r="AE118" s="346"/>
      <c r="AF118" s="346"/>
      <c r="AG118" s="346"/>
      <c r="AH118" s="19"/>
      <c r="AI118" s="19"/>
      <c r="AJ118" s="19"/>
      <c r="AK118" s="19"/>
      <c r="AL118" s="19"/>
      <c r="AM118" s="19"/>
      <c r="AN118" s="19"/>
      <c r="AO118" s="19"/>
    </row>
    <row r="119" spans="1:41">
      <c r="A119" s="346"/>
      <c r="B119" s="346"/>
      <c r="C119" s="346"/>
      <c r="D119" s="366"/>
      <c r="E119" s="346"/>
      <c r="F119" s="346"/>
      <c r="G119" s="346"/>
      <c r="H119" s="346"/>
      <c r="I119" s="346"/>
      <c r="J119" s="346"/>
      <c r="K119" s="346"/>
      <c r="L119" s="346"/>
      <c r="M119" s="346"/>
      <c r="N119" s="346"/>
      <c r="O119" s="346"/>
      <c r="P119" s="346"/>
      <c r="Q119" s="346"/>
      <c r="R119" s="346"/>
      <c r="S119" s="346"/>
      <c r="T119" s="346"/>
      <c r="U119" s="346"/>
      <c r="V119" s="346"/>
      <c r="W119" s="346"/>
      <c r="X119" s="346"/>
      <c r="Y119" s="346"/>
      <c r="Z119" s="346"/>
      <c r="AA119" s="346"/>
      <c r="AB119" s="346"/>
      <c r="AC119" s="346"/>
      <c r="AD119" s="346"/>
      <c r="AE119" s="346"/>
      <c r="AF119" s="346"/>
      <c r="AG119" s="346"/>
      <c r="AH119" s="19"/>
      <c r="AI119" s="19"/>
      <c r="AJ119" s="19"/>
      <c r="AK119" s="19"/>
      <c r="AL119" s="19"/>
      <c r="AM119" s="19"/>
      <c r="AN119" s="19"/>
      <c r="AO119" s="19"/>
    </row>
    <row r="120" spans="1:41">
      <c r="A120" s="346"/>
      <c r="B120" s="346"/>
      <c r="C120" s="346"/>
      <c r="D120" s="366"/>
      <c r="E120" s="346"/>
      <c r="F120" s="346"/>
      <c r="G120" s="346"/>
      <c r="H120" s="346"/>
      <c r="I120" s="346"/>
      <c r="J120" s="346"/>
      <c r="K120" s="346"/>
      <c r="L120" s="346"/>
      <c r="M120" s="346"/>
      <c r="N120" s="346"/>
      <c r="O120" s="346"/>
      <c r="P120" s="346"/>
      <c r="Q120" s="346"/>
      <c r="R120" s="346"/>
      <c r="S120" s="346"/>
      <c r="T120" s="346"/>
      <c r="U120" s="346"/>
      <c r="V120" s="346"/>
      <c r="W120" s="346"/>
      <c r="X120" s="346"/>
      <c r="Y120" s="346"/>
      <c r="Z120" s="346"/>
      <c r="AA120" s="346"/>
      <c r="AB120" s="346"/>
      <c r="AC120" s="346"/>
      <c r="AD120" s="346"/>
      <c r="AE120" s="346"/>
      <c r="AF120" s="346"/>
      <c r="AG120" s="346"/>
      <c r="AH120" s="19"/>
      <c r="AI120" s="19"/>
      <c r="AJ120" s="19"/>
      <c r="AK120" s="19"/>
      <c r="AL120" s="19"/>
      <c r="AM120" s="19"/>
      <c r="AN120" s="19"/>
      <c r="AO120" s="19"/>
    </row>
    <row r="121" spans="1:41">
      <c r="A121" s="346"/>
      <c r="B121" s="346"/>
      <c r="C121" s="346"/>
      <c r="D121" s="366"/>
      <c r="E121" s="346"/>
      <c r="F121" s="346"/>
      <c r="G121" s="346"/>
      <c r="H121" s="346"/>
      <c r="I121" s="346"/>
      <c r="J121" s="346"/>
      <c r="K121" s="346"/>
      <c r="L121" s="346"/>
      <c r="M121" s="346"/>
      <c r="N121" s="346"/>
      <c r="O121" s="346"/>
      <c r="P121" s="346"/>
      <c r="Q121" s="346"/>
      <c r="R121" s="346"/>
      <c r="S121" s="346"/>
      <c r="T121" s="346"/>
      <c r="U121" s="346"/>
      <c r="V121" s="346"/>
      <c r="W121" s="346"/>
      <c r="X121" s="346"/>
      <c r="Y121" s="346"/>
      <c r="Z121" s="346"/>
      <c r="AA121" s="346"/>
      <c r="AB121" s="346"/>
      <c r="AC121" s="346"/>
      <c r="AD121" s="346"/>
      <c r="AE121" s="346"/>
      <c r="AF121" s="346"/>
      <c r="AG121" s="346"/>
      <c r="AH121" s="19"/>
      <c r="AI121" s="19"/>
      <c r="AJ121" s="19"/>
      <c r="AK121" s="19"/>
      <c r="AL121" s="19"/>
      <c r="AM121" s="19"/>
      <c r="AN121" s="19"/>
      <c r="AO121" s="19"/>
    </row>
    <row r="122" spans="1:41">
      <c r="A122" s="346"/>
      <c r="B122" s="346"/>
      <c r="C122" s="346"/>
      <c r="D122" s="366"/>
      <c r="E122" s="346"/>
      <c r="F122" s="346"/>
      <c r="G122" s="346"/>
      <c r="H122" s="346"/>
      <c r="I122" s="346"/>
      <c r="J122" s="346"/>
      <c r="K122" s="346"/>
      <c r="L122" s="346"/>
      <c r="M122" s="346"/>
      <c r="N122" s="346"/>
      <c r="O122" s="346"/>
      <c r="P122" s="346"/>
      <c r="Q122" s="346"/>
      <c r="R122" s="346"/>
      <c r="S122" s="346"/>
      <c r="T122" s="346"/>
      <c r="U122" s="346"/>
      <c r="V122" s="346"/>
      <c r="W122" s="346"/>
      <c r="X122" s="346"/>
      <c r="Y122" s="346"/>
      <c r="Z122" s="346"/>
      <c r="AA122" s="346"/>
      <c r="AB122" s="346"/>
      <c r="AC122" s="346"/>
      <c r="AD122" s="346"/>
      <c r="AE122" s="346"/>
      <c r="AF122" s="346"/>
      <c r="AG122" s="346"/>
      <c r="AH122" s="19"/>
      <c r="AI122" s="19"/>
      <c r="AJ122" s="19"/>
      <c r="AK122" s="19"/>
      <c r="AL122" s="19"/>
      <c r="AM122" s="19"/>
      <c r="AN122" s="19"/>
      <c r="AO122" s="19"/>
    </row>
    <row r="123" spans="1:41">
      <c r="A123" s="346"/>
      <c r="B123" s="346"/>
      <c r="C123" s="346"/>
      <c r="D123" s="366"/>
      <c r="E123" s="346"/>
      <c r="F123" s="346"/>
      <c r="G123" s="346"/>
      <c r="H123" s="346"/>
      <c r="I123" s="346"/>
      <c r="J123" s="346"/>
      <c r="K123" s="346"/>
      <c r="L123" s="346"/>
      <c r="M123" s="346"/>
      <c r="N123" s="346"/>
      <c r="O123" s="346"/>
      <c r="P123" s="346"/>
      <c r="Q123" s="346"/>
      <c r="R123" s="346"/>
      <c r="S123" s="346"/>
      <c r="T123" s="346"/>
      <c r="U123" s="346"/>
      <c r="V123" s="346"/>
      <c r="W123" s="346"/>
      <c r="X123" s="346"/>
      <c r="Y123" s="346"/>
      <c r="Z123" s="346"/>
      <c r="AA123" s="346"/>
      <c r="AB123" s="346"/>
      <c r="AC123" s="346"/>
      <c r="AD123" s="346"/>
      <c r="AE123" s="346"/>
      <c r="AF123" s="346"/>
      <c r="AG123" s="346"/>
      <c r="AH123" s="19"/>
      <c r="AI123" s="19"/>
      <c r="AJ123" s="19"/>
      <c r="AK123" s="19"/>
      <c r="AL123" s="19"/>
      <c r="AM123" s="19"/>
      <c r="AN123" s="19"/>
      <c r="AO123" s="19"/>
    </row>
    <row r="124" spans="1:41">
      <c r="A124" s="346"/>
      <c r="B124" s="346"/>
      <c r="C124" s="346"/>
      <c r="D124" s="366"/>
      <c r="E124" s="346"/>
      <c r="F124" s="346"/>
      <c r="G124" s="346"/>
      <c r="H124" s="346"/>
      <c r="I124" s="346"/>
      <c r="J124" s="346"/>
      <c r="K124" s="346"/>
      <c r="L124" s="346"/>
      <c r="M124" s="346"/>
      <c r="N124" s="346"/>
      <c r="O124" s="346"/>
      <c r="P124" s="346"/>
      <c r="Q124" s="346"/>
      <c r="R124" s="346"/>
      <c r="S124" s="346"/>
      <c r="T124" s="346"/>
      <c r="U124" s="346"/>
      <c r="V124" s="346"/>
      <c r="W124" s="346"/>
      <c r="X124" s="346"/>
      <c r="Y124" s="346"/>
      <c r="Z124" s="346"/>
      <c r="AA124" s="346"/>
      <c r="AB124" s="346"/>
      <c r="AC124" s="346"/>
      <c r="AD124" s="346"/>
      <c r="AE124" s="346"/>
      <c r="AF124" s="346"/>
      <c r="AG124" s="346"/>
      <c r="AH124" s="19"/>
      <c r="AI124" s="19"/>
      <c r="AJ124" s="19"/>
      <c r="AK124" s="19"/>
      <c r="AL124" s="19"/>
      <c r="AM124" s="19"/>
      <c r="AN124" s="19"/>
      <c r="AO124" s="19"/>
    </row>
    <row r="125" spans="1:41">
      <c r="A125" s="346"/>
      <c r="B125" s="346"/>
      <c r="C125" s="346"/>
      <c r="D125" s="366"/>
      <c r="E125" s="346"/>
      <c r="F125" s="346"/>
      <c r="G125" s="346"/>
      <c r="H125" s="346"/>
      <c r="I125" s="346"/>
      <c r="J125" s="346"/>
      <c r="K125" s="346"/>
      <c r="L125" s="346"/>
      <c r="M125" s="346"/>
      <c r="N125" s="346"/>
      <c r="O125" s="346"/>
      <c r="P125" s="346"/>
      <c r="Q125" s="346"/>
      <c r="R125" s="346"/>
      <c r="S125" s="346"/>
      <c r="T125" s="346"/>
      <c r="U125" s="346"/>
      <c r="V125" s="346"/>
      <c r="W125" s="346"/>
      <c r="X125" s="346"/>
      <c r="Y125" s="346"/>
      <c r="Z125" s="346"/>
      <c r="AA125" s="346"/>
      <c r="AB125" s="346"/>
      <c r="AC125" s="346"/>
      <c r="AD125" s="346"/>
      <c r="AE125" s="346"/>
      <c r="AF125" s="346"/>
      <c r="AG125" s="346"/>
      <c r="AH125" s="19"/>
      <c r="AI125" s="19"/>
      <c r="AJ125" s="19"/>
      <c r="AK125" s="19"/>
      <c r="AL125" s="19"/>
      <c r="AM125" s="19"/>
      <c r="AN125" s="19"/>
      <c r="AO125" s="19"/>
    </row>
    <row r="126" spans="1:41">
      <c r="A126" s="346"/>
      <c r="B126" s="346"/>
      <c r="C126" s="346"/>
      <c r="D126" s="366"/>
      <c r="E126" s="346"/>
      <c r="F126" s="346"/>
      <c r="G126" s="346"/>
      <c r="H126" s="346"/>
      <c r="I126" s="346"/>
      <c r="J126" s="346"/>
      <c r="K126" s="346"/>
      <c r="L126" s="346"/>
      <c r="M126" s="346"/>
      <c r="N126" s="346"/>
      <c r="O126" s="346"/>
      <c r="P126" s="346"/>
      <c r="Q126" s="346"/>
      <c r="R126" s="346"/>
      <c r="S126" s="346"/>
      <c r="T126" s="346"/>
      <c r="U126" s="346"/>
      <c r="V126" s="346"/>
      <c r="W126" s="346"/>
      <c r="X126" s="346"/>
      <c r="Y126" s="346"/>
      <c r="Z126" s="346"/>
      <c r="AA126" s="346"/>
      <c r="AB126" s="346"/>
      <c r="AC126" s="346"/>
      <c r="AD126" s="346"/>
      <c r="AE126" s="346"/>
      <c r="AF126" s="346"/>
      <c r="AG126" s="346"/>
      <c r="AH126" s="19"/>
      <c r="AI126" s="19"/>
      <c r="AJ126" s="19"/>
      <c r="AK126" s="19"/>
      <c r="AL126" s="19"/>
      <c r="AM126" s="19"/>
      <c r="AN126" s="19"/>
      <c r="AO126" s="19"/>
    </row>
    <row r="127" spans="1:41">
      <c r="A127" s="346"/>
      <c r="B127" s="346"/>
      <c r="C127" s="346"/>
      <c r="D127" s="366"/>
      <c r="E127" s="346"/>
      <c r="F127" s="346"/>
      <c r="G127" s="346"/>
      <c r="H127" s="346"/>
      <c r="I127" s="346"/>
      <c r="J127" s="346"/>
      <c r="K127" s="346"/>
      <c r="L127" s="346"/>
      <c r="M127" s="346"/>
      <c r="N127" s="346"/>
      <c r="O127" s="346"/>
      <c r="P127" s="346"/>
      <c r="Q127" s="346"/>
      <c r="R127" s="346"/>
      <c r="S127" s="346"/>
      <c r="T127" s="346"/>
      <c r="U127" s="346"/>
      <c r="V127" s="346"/>
      <c r="W127" s="346"/>
      <c r="X127" s="346"/>
      <c r="Y127" s="346"/>
      <c r="Z127" s="346"/>
      <c r="AA127" s="346"/>
      <c r="AB127" s="346"/>
      <c r="AC127" s="346"/>
      <c r="AD127" s="346"/>
      <c r="AE127" s="346"/>
      <c r="AF127" s="346"/>
      <c r="AG127" s="346"/>
      <c r="AH127" s="19"/>
      <c r="AI127" s="19"/>
      <c r="AJ127" s="19"/>
      <c r="AK127" s="19"/>
      <c r="AL127" s="19"/>
      <c r="AM127" s="19"/>
      <c r="AN127" s="19"/>
      <c r="AO127" s="19"/>
    </row>
    <row r="128" spans="1:41">
      <c r="A128" s="346"/>
      <c r="B128" s="346"/>
      <c r="C128" s="346"/>
      <c r="D128" s="366"/>
      <c r="E128" s="346"/>
      <c r="F128" s="346"/>
      <c r="G128" s="346"/>
      <c r="H128" s="346"/>
      <c r="I128" s="346"/>
      <c r="J128" s="346"/>
      <c r="K128" s="346"/>
      <c r="L128" s="346"/>
      <c r="M128" s="346"/>
      <c r="N128" s="346"/>
      <c r="O128" s="346"/>
      <c r="P128" s="346"/>
      <c r="Q128" s="346"/>
      <c r="R128" s="346"/>
      <c r="S128" s="346"/>
      <c r="T128" s="346"/>
      <c r="U128" s="346"/>
      <c r="V128" s="346"/>
      <c r="W128" s="346"/>
      <c r="X128" s="346"/>
      <c r="Y128" s="346"/>
      <c r="Z128" s="346"/>
      <c r="AA128" s="346"/>
      <c r="AB128" s="346"/>
      <c r="AC128" s="346"/>
      <c r="AD128" s="346"/>
      <c r="AE128" s="346"/>
      <c r="AF128" s="346"/>
      <c r="AG128" s="346"/>
      <c r="AH128" s="19"/>
      <c r="AI128" s="19"/>
      <c r="AJ128" s="19"/>
      <c r="AK128" s="19"/>
      <c r="AL128" s="19"/>
      <c r="AM128" s="19"/>
      <c r="AN128" s="19"/>
      <c r="AO128" s="19"/>
    </row>
    <row r="129" spans="1:41">
      <c r="A129" s="346"/>
      <c r="B129" s="346"/>
      <c r="C129" s="346"/>
      <c r="D129" s="346"/>
      <c r="E129" s="346"/>
      <c r="F129" s="346"/>
      <c r="G129" s="346"/>
      <c r="H129" s="346"/>
      <c r="I129" s="346"/>
      <c r="J129" s="346"/>
      <c r="K129" s="346"/>
      <c r="L129" s="346"/>
      <c r="M129" s="346"/>
      <c r="N129" s="346"/>
      <c r="O129" s="346"/>
      <c r="P129" s="346"/>
      <c r="Q129" s="346"/>
      <c r="R129" s="346"/>
      <c r="S129" s="346"/>
      <c r="T129" s="346"/>
      <c r="U129" s="346"/>
      <c r="V129" s="346"/>
      <c r="W129" s="346"/>
      <c r="X129" s="346"/>
      <c r="Y129" s="346"/>
      <c r="Z129" s="346"/>
      <c r="AA129" s="346"/>
      <c r="AB129" s="346"/>
      <c r="AC129" s="346"/>
      <c r="AD129" s="346"/>
      <c r="AE129" s="346"/>
      <c r="AF129" s="346"/>
      <c r="AG129" s="346"/>
      <c r="AH129" s="19"/>
      <c r="AI129" s="19"/>
      <c r="AJ129" s="19"/>
      <c r="AK129" s="19"/>
      <c r="AL129" s="19"/>
      <c r="AM129" s="19"/>
      <c r="AN129" s="19"/>
      <c r="AO129" s="19"/>
    </row>
    <row r="130" spans="1:41">
      <c r="A130" s="346"/>
      <c r="B130" s="346"/>
      <c r="C130" s="346"/>
      <c r="D130" s="346"/>
      <c r="E130" s="346"/>
      <c r="F130" s="346"/>
      <c r="G130" s="346"/>
      <c r="H130" s="346"/>
      <c r="I130" s="346"/>
      <c r="J130" s="346"/>
      <c r="K130" s="346"/>
      <c r="L130" s="346"/>
      <c r="M130" s="346"/>
      <c r="N130" s="346"/>
      <c r="O130" s="346"/>
      <c r="P130" s="346"/>
      <c r="Q130" s="346"/>
      <c r="R130" s="346"/>
      <c r="S130" s="346"/>
      <c r="T130" s="346"/>
      <c r="U130" s="346"/>
      <c r="V130" s="346"/>
      <c r="W130" s="346"/>
      <c r="X130" s="346"/>
      <c r="Y130" s="346"/>
      <c r="Z130" s="346"/>
      <c r="AA130" s="346"/>
      <c r="AB130" s="346"/>
      <c r="AC130" s="346"/>
      <c r="AD130" s="346"/>
      <c r="AE130" s="346"/>
      <c r="AF130" s="346"/>
      <c r="AG130" s="346"/>
      <c r="AH130" s="19"/>
      <c r="AI130" s="19"/>
      <c r="AJ130" s="19"/>
      <c r="AK130" s="19"/>
      <c r="AL130" s="19"/>
      <c r="AM130" s="19"/>
      <c r="AN130" s="19"/>
      <c r="AO130" s="19"/>
    </row>
    <row r="131" spans="1:41">
      <c r="A131" s="346"/>
      <c r="B131" s="346"/>
      <c r="C131" s="346"/>
      <c r="D131" s="346"/>
      <c r="E131" s="366"/>
      <c r="F131" s="346"/>
      <c r="G131" s="346"/>
      <c r="H131" s="346"/>
      <c r="I131" s="346"/>
      <c r="J131" s="346"/>
      <c r="K131" s="346"/>
      <c r="L131" s="346"/>
      <c r="M131" s="346"/>
      <c r="N131" s="346"/>
      <c r="O131" s="346"/>
      <c r="P131" s="346"/>
      <c r="Q131" s="346"/>
      <c r="R131" s="346"/>
      <c r="S131" s="346"/>
      <c r="T131" s="346"/>
      <c r="U131" s="346"/>
      <c r="V131" s="346"/>
      <c r="W131" s="346"/>
      <c r="X131" s="346"/>
      <c r="Y131" s="346"/>
      <c r="Z131" s="346"/>
      <c r="AA131" s="346"/>
      <c r="AB131" s="346"/>
      <c r="AC131" s="346"/>
      <c r="AD131" s="346"/>
      <c r="AE131" s="346"/>
      <c r="AF131" s="346"/>
      <c r="AG131" s="346"/>
      <c r="AH131" s="19"/>
      <c r="AI131" s="19"/>
      <c r="AJ131" s="19"/>
      <c r="AK131" s="19"/>
      <c r="AL131" s="19"/>
      <c r="AM131" s="19"/>
      <c r="AN131" s="19"/>
      <c r="AO131" s="19"/>
    </row>
    <row r="132" spans="1:41">
      <c r="A132" s="346"/>
      <c r="B132" s="346"/>
      <c r="C132" s="346"/>
      <c r="D132" s="346"/>
      <c r="E132" s="346"/>
      <c r="F132" s="346"/>
      <c r="G132" s="346"/>
      <c r="H132" s="346"/>
      <c r="I132" s="346"/>
      <c r="J132" s="346"/>
      <c r="K132" s="346"/>
      <c r="L132" s="346"/>
      <c r="M132" s="346"/>
      <c r="N132" s="346"/>
      <c r="O132" s="346"/>
      <c r="P132" s="346"/>
      <c r="Q132" s="346"/>
      <c r="R132" s="346"/>
      <c r="S132" s="346"/>
      <c r="T132" s="346"/>
      <c r="U132" s="346"/>
      <c r="V132" s="346"/>
      <c r="W132" s="346"/>
      <c r="X132" s="346"/>
      <c r="Y132" s="346"/>
      <c r="Z132" s="346"/>
      <c r="AA132" s="346"/>
      <c r="AB132" s="346"/>
      <c r="AC132" s="346"/>
      <c r="AD132" s="346"/>
      <c r="AE132" s="346"/>
      <c r="AF132" s="346"/>
      <c r="AG132" s="346"/>
      <c r="AH132" s="19"/>
      <c r="AI132" s="19"/>
      <c r="AJ132" s="19"/>
      <c r="AK132" s="19"/>
      <c r="AL132" s="19"/>
      <c r="AM132" s="19"/>
      <c r="AN132" s="19"/>
      <c r="AO132" s="19"/>
    </row>
    <row r="133" spans="1:41">
      <c r="A133" s="346"/>
      <c r="B133" s="346"/>
      <c r="C133" s="346"/>
      <c r="D133" s="346"/>
      <c r="E133" s="346"/>
      <c r="F133" s="346"/>
      <c r="G133" s="346"/>
      <c r="H133" s="346"/>
      <c r="I133" s="346"/>
      <c r="J133" s="346"/>
      <c r="K133" s="346"/>
      <c r="L133" s="346"/>
      <c r="M133" s="346"/>
      <c r="N133" s="346"/>
      <c r="O133" s="346"/>
      <c r="P133" s="346"/>
      <c r="Q133" s="346"/>
      <c r="R133" s="346"/>
      <c r="S133" s="346"/>
      <c r="T133" s="346"/>
      <c r="U133" s="346"/>
      <c r="V133" s="346"/>
      <c r="W133" s="346"/>
      <c r="X133" s="346"/>
      <c r="Y133" s="346"/>
      <c r="Z133" s="346"/>
      <c r="AA133" s="346"/>
      <c r="AB133" s="346"/>
      <c r="AC133" s="346"/>
      <c r="AD133" s="346"/>
      <c r="AE133" s="346"/>
      <c r="AF133" s="346"/>
      <c r="AG133" s="346"/>
      <c r="AH133" s="19"/>
      <c r="AI133" s="19"/>
      <c r="AJ133" s="19"/>
      <c r="AK133" s="19"/>
      <c r="AL133" s="19"/>
      <c r="AM133" s="19"/>
      <c r="AN133" s="19"/>
      <c r="AO133" s="19"/>
    </row>
    <row r="134" spans="1:41">
      <c r="A134" s="346"/>
      <c r="B134" s="346"/>
      <c r="C134" s="346"/>
      <c r="D134" s="346"/>
      <c r="E134" s="346"/>
      <c r="F134" s="346"/>
      <c r="G134" s="346"/>
      <c r="H134" s="346"/>
      <c r="I134" s="346"/>
      <c r="J134" s="346"/>
      <c r="K134" s="346"/>
      <c r="L134" s="346"/>
      <c r="M134" s="346"/>
      <c r="N134" s="346"/>
      <c r="O134" s="346"/>
      <c r="P134" s="346"/>
      <c r="Q134" s="346"/>
      <c r="R134" s="346"/>
      <c r="S134" s="346"/>
      <c r="T134" s="346"/>
      <c r="U134" s="346"/>
      <c r="V134" s="346"/>
      <c r="W134" s="346"/>
      <c r="X134" s="346"/>
      <c r="Y134" s="346"/>
      <c r="Z134" s="346"/>
      <c r="AA134" s="346"/>
      <c r="AB134" s="346"/>
      <c r="AC134" s="346"/>
      <c r="AD134" s="346"/>
      <c r="AE134" s="346"/>
      <c r="AF134" s="346"/>
      <c r="AG134" s="346"/>
      <c r="AH134" s="19"/>
      <c r="AI134" s="19"/>
      <c r="AJ134" s="19"/>
      <c r="AK134" s="19"/>
      <c r="AL134" s="19"/>
      <c r="AM134" s="19"/>
      <c r="AN134" s="19"/>
      <c r="AO134" s="19"/>
    </row>
    <row r="135" spans="1:41">
      <c r="A135" s="346"/>
      <c r="B135" s="346"/>
      <c r="C135" s="346"/>
      <c r="D135" s="346"/>
      <c r="E135" s="346"/>
      <c r="F135" s="346"/>
      <c r="G135" s="346"/>
      <c r="H135" s="346"/>
      <c r="I135" s="346"/>
      <c r="J135" s="346"/>
      <c r="K135" s="346"/>
      <c r="L135" s="346"/>
      <c r="M135" s="346"/>
      <c r="N135" s="346"/>
      <c r="O135" s="346"/>
      <c r="P135" s="346"/>
      <c r="Q135" s="346"/>
      <c r="R135" s="346"/>
      <c r="S135" s="346"/>
      <c r="T135" s="346"/>
      <c r="U135" s="346"/>
      <c r="V135" s="346"/>
      <c r="W135" s="346"/>
      <c r="X135" s="346"/>
      <c r="Y135" s="346"/>
      <c r="Z135" s="346"/>
      <c r="AA135" s="346"/>
      <c r="AB135" s="346"/>
      <c r="AC135" s="346"/>
      <c r="AD135" s="346"/>
      <c r="AE135" s="346"/>
      <c r="AF135" s="346"/>
      <c r="AG135" s="346"/>
      <c r="AH135" s="19"/>
      <c r="AI135" s="19"/>
      <c r="AJ135" s="19"/>
      <c r="AK135" s="19"/>
      <c r="AL135" s="19"/>
      <c r="AM135" s="19"/>
      <c r="AN135" s="19"/>
      <c r="AO135" s="19"/>
    </row>
    <row r="136" spans="1:41">
      <c r="A136" s="346"/>
      <c r="B136" s="346"/>
      <c r="C136" s="346"/>
      <c r="D136" s="346"/>
      <c r="E136" s="346"/>
      <c r="F136" s="346"/>
      <c r="G136" s="346"/>
      <c r="H136" s="346"/>
      <c r="I136" s="346"/>
      <c r="J136" s="346"/>
      <c r="K136" s="346"/>
      <c r="L136" s="346"/>
      <c r="M136" s="346"/>
      <c r="N136" s="346"/>
      <c r="O136" s="346"/>
      <c r="P136" s="346"/>
      <c r="Q136" s="346"/>
      <c r="R136" s="346"/>
      <c r="S136" s="346"/>
      <c r="T136" s="346"/>
      <c r="U136" s="346"/>
      <c r="V136" s="346"/>
      <c r="W136" s="346"/>
      <c r="X136" s="346"/>
      <c r="Y136" s="346"/>
      <c r="Z136" s="346"/>
      <c r="AA136" s="346"/>
      <c r="AB136" s="346"/>
      <c r="AC136" s="346"/>
      <c r="AD136" s="346"/>
      <c r="AE136" s="346"/>
      <c r="AF136" s="346"/>
      <c r="AG136" s="346"/>
      <c r="AH136" s="19"/>
      <c r="AI136" s="19"/>
      <c r="AJ136" s="19"/>
      <c r="AK136" s="19"/>
      <c r="AL136" s="19"/>
      <c r="AM136" s="19"/>
      <c r="AN136" s="19"/>
      <c r="AO136" s="19"/>
    </row>
    <row r="137" spans="1:41">
      <c r="A137" s="346"/>
      <c r="B137" s="346"/>
      <c r="C137" s="346"/>
      <c r="D137" s="346"/>
      <c r="E137" s="346"/>
      <c r="F137" s="346"/>
      <c r="G137" s="346"/>
      <c r="H137" s="346"/>
      <c r="I137" s="346"/>
      <c r="J137" s="346"/>
      <c r="K137" s="346"/>
      <c r="L137" s="346"/>
      <c r="M137" s="346"/>
      <c r="N137" s="346"/>
      <c r="O137" s="346"/>
      <c r="P137" s="346"/>
      <c r="Q137" s="346"/>
      <c r="R137" s="346"/>
      <c r="S137" s="346"/>
      <c r="T137" s="346"/>
      <c r="U137" s="346"/>
      <c r="V137" s="346"/>
      <c r="W137" s="346"/>
      <c r="X137" s="346"/>
      <c r="Y137" s="346"/>
      <c r="Z137" s="346"/>
      <c r="AA137" s="346"/>
      <c r="AB137" s="346"/>
      <c r="AC137" s="346"/>
      <c r="AD137" s="346"/>
      <c r="AE137" s="346"/>
      <c r="AF137" s="346"/>
      <c r="AG137" s="346"/>
      <c r="AH137" s="19"/>
      <c r="AI137" s="19"/>
      <c r="AJ137" s="19"/>
      <c r="AK137" s="19"/>
      <c r="AL137" s="19"/>
      <c r="AM137" s="19"/>
      <c r="AN137" s="19"/>
      <c r="AO137" s="19"/>
    </row>
    <row r="138" spans="1:41">
      <c r="A138" s="346"/>
      <c r="B138" s="346"/>
      <c r="C138" s="346"/>
      <c r="D138" s="346"/>
      <c r="E138" s="346"/>
      <c r="F138" s="346"/>
      <c r="G138" s="346"/>
      <c r="H138" s="346"/>
      <c r="I138" s="346"/>
      <c r="J138" s="346"/>
      <c r="K138" s="346"/>
      <c r="L138" s="346"/>
      <c r="M138" s="346"/>
      <c r="N138" s="346"/>
      <c r="O138" s="346"/>
      <c r="P138" s="346"/>
      <c r="Q138" s="346"/>
      <c r="R138" s="346"/>
      <c r="S138" s="346"/>
      <c r="T138" s="346"/>
      <c r="U138" s="346"/>
      <c r="V138" s="346"/>
      <c r="W138" s="346"/>
      <c r="X138" s="346"/>
      <c r="Y138" s="346"/>
      <c r="Z138" s="346"/>
      <c r="AA138" s="346"/>
      <c r="AB138" s="346"/>
      <c r="AC138" s="346"/>
      <c r="AD138" s="346"/>
      <c r="AE138" s="346"/>
      <c r="AF138" s="346"/>
      <c r="AG138" s="346"/>
      <c r="AH138" s="19"/>
      <c r="AI138" s="19"/>
      <c r="AJ138" s="19"/>
      <c r="AK138" s="19"/>
      <c r="AL138" s="19"/>
      <c r="AM138" s="19"/>
      <c r="AN138" s="19"/>
      <c r="AO138" s="19"/>
    </row>
    <row r="139" spans="1:41">
      <c r="A139" s="346"/>
      <c r="B139" s="346"/>
      <c r="C139" s="346"/>
      <c r="D139" s="346"/>
      <c r="E139" s="346"/>
      <c r="F139" s="346"/>
      <c r="G139" s="346" t="s">
        <v>329</v>
      </c>
      <c r="H139" s="346" t="s">
        <v>330</v>
      </c>
      <c r="I139" s="346"/>
      <c r="J139" s="346"/>
      <c r="K139" s="346"/>
      <c r="L139" s="346"/>
      <c r="M139" s="346"/>
      <c r="N139" s="346"/>
      <c r="O139" s="346"/>
      <c r="P139" s="346"/>
      <c r="Q139" s="346"/>
      <c r="R139" s="346"/>
      <c r="S139" s="346"/>
      <c r="T139" s="346"/>
      <c r="U139" s="346"/>
      <c r="V139" s="346"/>
      <c r="W139" s="346"/>
      <c r="X139" s="346"/>
      <c r="Y139" s="346"/>
      <c r="Z139" s="346"/>
      <c r="AA139" s="346"/>
      <c r="AB139" s="346"/>
      <c r="AC139" s="346"/>
      <c r="AD139" s="346"/>
      <c r="AE139" s="346"/>
      <c r="AF139" s="346"/>
      <c r="AG139" s="346"/>
      <c r="AH139" s="19"/>
      <c r="AI139" s="19"/>
      <c r="AJ139" s="19"/>
      <c r="AK139" s="19"/>
      <c r="AL139" s="19"/>
      <c r="AM139" s="19"/>
      <c r="AN139" s="19"/>
      <c r="AO139" s="19"/>
    </row>
    <row r="140" spans="1:41">
      <c r="A140" s="346"/>
      <c r="B140" s="346"/>
      <c r="C140" s="346"/>
      <c r="D140" s="346"/>
      <c r="E140" s="346"/>
      <c r="F140" s="346"/>
      <c r="G140" s="346" t="s">
        <v>331</v>
      </c>
      <c r="H140" s="346"/>
      <c r="I140" s="346"/>
      <c r="J140" s="346"/>
      <c r="K140" s="346"/>
      <c r="L140" s="346"/>
      <c r="M140" s="346"/>
      <c r="N140" s="346"/>
      <c r="O140" s="346"/>
      <c r="P140" s="346"/>
      <c r="Q140" s="346"/>
      <c r="R140" s="346"/>
      <c r="S140" s="346"/>
      <c r="T140" s="346"/>
      <c r="U140" s="346"/>
      <c r="V140" s="346"/>
      <c r="W140" s="346"/>
      <c r="X140" s="346"/>
      <c r="Y140" s="346"/>
      <c r="Z140" s="346"/>
      <c r="AA140" s="346"/>
      <c r="AB140" s="346"/>
      <c r="AC140" s="346"/>
      <c r="AD140" s="346"/>
      <c r="AE140" s="346"/>
      <c r="AF140" s="346"/>
      <c r="AG140" s="346"/>
      <c r="AH140" s="19"/>
      <c r="AI140" s="19"/>
      <c r="AJ140" s="19"/>
      <c r="AK140" s="19"/>
      <c r="AL140" s="19"/>
      <c r="AM140" s="19"/>
      <c r="AN140" s="19"/>
      <c r="AO140" s="19"/>
    </row>
    <row r="141" spans="1:41">
      <c r="A141" s="346"/>
      <c r="B141" s="346"/>
      <c r="C141" s="346"/>
      <c r="D141" s="346"/>
      <c r="E141" s="346"/>
      <c r="F141" s="346"/>
      <c r="G141" s="346" t="s">
        <v>332</v>
      </c>
      <c r="H141" s="346"/>
      <c r="I141" s="346"/>
      <c r="J141" s="346"/>
      <c r="K141" s="346"/>
      <c r="L141" s="346"/>
      <c r="M141" s="346"/>
      <c r="N141" s="346"/>
      <c r="O141" s="346"/>
      <c r="P141" s="346"/>
      <c r="Q141" s="346"/>
      <c r="R141" s="346"/>
      <c r="S141" s="346"/>
      <c r="T141" s="346"/>
      <c r="U141" s="346"/>
      <c r="V141" s="346"/>
      <c r="W141" s="346"/>
      <c r="X141" s="346"/>
      <c r="Y141" s="346"/>
      <c r="Z141" s="346"/>
      <c r="AA141" s="346"/>
      <c r="AB141" s="346"/>
      <c r="AC141" s="346"/>
      <c r="AD141" s="346"/>
      <c r="AE141" s="346"/>
      <c r="AF141" s="346"/>
      <c r="AG141" s="346"/>
      <c r="AH141" s="19"/>
      <c r="AI141" s="19"/>
      <c r="AJ141" s="19"/>
      <c r="AK141" s="19"/>
      <c r="AL141" s="19"/>
      <c r="AM141" s="19"/>
      <c r="AN141" s="19"/>
      <c r="AO141" s="19"/>
    </row>
    <row r="142" spans="1:41">
      <c r="A142" s="346"/>
      <c r="B142" s="346"/>
      <c r="C142" s="346"/>
      <c r="D142" s="346"/>
      <c r="E142" s="346"/>
      <c r="F142" s="346"/>
      <c r="G142" s="346"/>
      <c r="H142" s="346"/>
      <c r="I142" s="346"/>
      <c r="J142" s="346"/>
      <c r="K142" s="346"/>
      <c r="L142" s="346"/>
      <c r="M142" s="346"/>
      <c r="N142" s="346"/>
      <c r="O142" s="346"/>
      <c r="P142" s="346"/>
      <c r="Q142" s="346"/>
      <c r="R142" s="346"/>
      <c r="S142" s="346"/>
      <c r="T142" s="346"/>
      <c r="U142" s="346"/>
      <c r="V142" s="346"/>
      <c r="W142" s="346"/>
      <c r="X142" s="346"/>
      <c r="Y142" s="346"/>
      <c r="Z142" s="346"/>
      <c r="AA142" s="346"/>
      <c r="AB142" s="346"/>
      <c r="AC142" s="346"/>
      <c r="AD142" s="346"/>
      <c r="AE142" s="346"/>
      <c r="AF142" s="346"/>
      <c r="AG142" s="346"/>
      <c r="AH142" s="19"/>
      <c r="AI142" s="19"/>
      <c r="AJ142" s="19"/>
      <c r="AK142" s="19"/>
      <c r="AL142" s="19"/>
      <c r="AM142" s="19"/>
      <c r="AN142" s="19"/>
      <c r="AO142" s="19"/>
    </row>
    <row r="143" spans="1:41">
      <c r="A143" s="346"/>
      <c r="B143" s="346"/>
      <c r="C143" s="346"/>
      <c r="D143" s="346"/>
      <c r="E143" s="346"/>
      <c r="F143" s="346"/>
      <c r="G143" s="346"/>
      <c r="H143" s="346"/>
      <c r="I143" s="346"/>
      <c r="J143" s="346"/>
      <c r="K143" s="346"/>
      <c r="L143" s="346"/>
      <c r="M143" s="346"/>
      <c r="N143" s="346"/>
      <c r="O143" s="346"/>
      <c r="P143" s="346"/>
      <c r="Q143" s="346"/>
      <c r="R143" s="346"/>
      <c r="S143" s="346"/>
      <c r="T143" s="346"/>
      <c r="U143" s="346"/>
      <c r="V143" s="346"/>
      <c r="W143" s="346"/>
      <c r="X143" s="346"/>
      <c r="Y143" s="346"/>
      <c r="Z143" s="346"/>
      <c r="AA143" s="346"/>
      <c r="AB143" s="346"/>
      <c r="AC143" s="346"/>
      <c r="AD143" s="346"/>
      <c r="AE143" s="346"/>
      <c r="AF143" s="346"/>
      <c r="AG143" s="346"/>
      <c r="AH143" s="19"/>
      <c r="AI143" s="19"/>
      <c r="AJ143" s="19"/>
      <c r="AK143" s="19"/>
      <c r="AL143" s="19"/>
      <c r="AM143" s="19"/>
      <c r="AN143" s="19"/>
      <c r="AO143" s="19"/>
    </row>
    <row r="144" spans="1:41">
      <c r="A144" s="346"/>
      <c r="B144" s="346"/>
      <c r="C144" s="346"/>
      <c r="D144" s="346"/>
      <c r="E144" s="346"/>
      <c r="F144" s="346"/>
      <c r="G144" s="346"/>
      <c r="H144" s="346"/>
      <c r="I144" s="346"/>
      <c r="J144" s="346"/>
      <c r="K144" s="346"/>
      <c r="L144" s="346"/>
      <c r="M144" s="346"/>
      <c r="N144" s="346"/>
      <c r="O144" s="346"/>
      <c r="P144" s="346"/>
      <c r="Q144" s="346"/>
      <c r="R144" s="346"/>
      <c r="S144" s="346"/>
      <c r="T144" s="346"/>
      <c r="U144" s="346"/>
      <c r="V144" s="346"/>
      <c r="W144" s="346"/>
      <c r="X144" s="346"/>
      <c r="Y144" s="346"/>
      <c r="Z144" s="346"/>
      <c r="AA144" s="346"/>
      <c r="AB144" s="346"/>
      <c r="AC144" s="346"/>
      <c r="AD144" s="346"/>
      <c r="AE144" s="346"/>
      <c r="AF144" s="346"/>
      <c r="AG144" s="346"/>
      <c r="AH144" s="19"/>
      <c r="AI144" s="19"/>
      <c r="AJ144" s="19"/>
      <c r="AK144" s="19"/>
      <c r="AL144" s="19"/>
      <c r="AM144" s="19"/>
      <c r="AN144" s="19"/>
      <c r="AO144" s="19"/>
    </row>
    <row r="145" spans="1:41">
      <c r="A145" s="346"/>
      <c r="B145" s="346"/>
      <c r="C145" s="346"/>
      <c r="D145" s="346"/>
      <c r="E145" s="346"/>
      <c r="F145" s="346"/>
      <c r="G145" s="346"/>
      <c r="H145" s="346"/>
      <c r="I145" s="346"/>
      <c r="J145" s="346"/>
      <c r="K145" s="346"/>
      <c r="L145" s="346"/>
      <c r="M145" s="346"/>
      <c r="N145" s="346"/>
      <c r="O145" s="346"/>
      <c r="P145" s="346"/>
      <c r="Q145" s="346"/>
      <c r="R145" s="346"/>
      <c r="S145" s="346"/>
      <c r="T145" s="346"/>
      <c r="U145" s="346"/>
      <c r="V145" s="346"/>
      <c r="W145" s="346"/>
      <c r="X145" s="346"/>
      <c r="Y145" s="346"/>
      <c r="Z145" s="346"/>
      <c r="AA145" s="346"/>
      <c r="AB145" s="346"/>
      <c r="AC145" s="346"/>
      <c r="AD145" s="346"/>
      <c r="AE145" s="346"/>
      <c r="AF145" s="346"/>
      <c r="AG145" s="346"/>
      <c r="AH145" s="19"/>
      <c r="AI145" s="19"/>
      <c r="AJ145" s="19"/>
      <c r="AK145" s="19"/>
      <c r="AL145" s="19"/>
      <c r="AM145" s="19"/>
      <c r="AN145" s="19"/>
      <c r="AO145" s="19"/>
    </row>
    <row r="146" spans="1:41">
      <c r="A146" s="346"/>
      <c r="B146" s="346"/>
      <c r="C146" s="346"/>
      <c r="D146" s="346"/>
      <c r="E146" s="346"/>
      <c r="F146" s="346"/>
      <c r="G146" s="346"/>
      <c r="H146" s="346"/>
      <c r="I146" s="346"/>
      <c r="J146" s="346"/>
      <c r="K146" s="346"/>
      <c r="L146" s="346"/>
      <c r="M146" s="346"/>
      <c r="N146" s="346"/>
      <c r="O146" s="346"/>
      <c r="P146" s="346"/>
      <c r="Q146" s="346"/>
      <c r="R146" s="346"/>
      <c r="S146" s="346"/>
      <c r="T146" s="346"/>
      <c r="U146" s="346"/>
      <c r="V146" s="346"/>
      <c r="W146" s="346"/>
      <c r="X146" s="346"/>
      <c r="Y146" s="346"/>
      <c r="Z146" s="346"/>
      <c r="AA146" s="346"/>
      <c r="AB146" s="346"/>
      <c r="AC146" s="346"/>
      <c r="AD146" s="346"/>
      <c r="AE146" s="346"/>
      <c r="AF146" s="346"/>
      <c r="AG146" s="346"/>
      <c r="AH146" s="19"/>
      <c r="AI146" s="19"/>
      <c r="AJ146" s="19"/>
      <c r="AK146" s="19"/>
      <c r="AL146" s="19"/>
      <c r="AM146" s="19"/>
      <c r="AN146" s="19"/>
      <c r="AO146" s="19"/>
    </row>
    <row r="147" spans="1:41">
      <c r="A147" s="346"/>
      <c r="B147" s="346"/>
      <c r="C147" s="346"/>
      <c r="D147" s="346"/>
      <c r="E147" s="346"/>
      <c r="F147" s="346"/>
      <c r="G147" s="346"/>
      <c r="H147" s="346"/>
      <c r="I147" s="346"/>
      <c r="J147" s="346"/>
      <c r="K147" s="346"/>
      <c r="L147" s="346"/>
      <c r="M147" s="346"/>
      <c r="N147" s="346"/>
      <c r="O147" s="346"/>
      <c r="P147" s="346"/>
      <c r="Q147" s="346"/>
      <c r="R147" s="346"/>
      <c r="S147" s="346"/>
      <c r="T147" s="346"/>
      <c r="U147" s="346"/>
      <c r="V147" s="346"/>
      <c r="W147" s="346"/>
      <c r="X147" s="346"/>
      <c r="Y147" s="346"/>
      <c r="Z147" s="346"/>
      <c r="AA147" s="346"/>
      <c r="AB147" s="346"/>
      <c r="AC147" s="346"/>
      <c r="AD147" s="346"/>
      <c r="AE147" s="346"/>
      <c r="AF147" s="346"/>
      <c r="AG147" s="346"/>
      <c r="AH147" s="19"/>
      <c r="AI147" s="19"/>
      <c r="AJ147" s="19"/>
      <c r="AK147" s="19"/>
      <c r="AL147" s="19"/>
      <c r="AM147" s="19"/>
      <c r="AN147" s="19"/>
      <c r="AO147" s="19"/>
    </row>
    <row r="148" spans="1:41">
      <c r="A148" s="346"/>
      <c r="B148" s="346"/>
      <c r="C148" s="346"/>
      <c r="D148" s="346"/>
      <c r="E148" s="346"/>
      <c r="F148" s="346"/>
      <c r="G148" s="346"/>
      <c r="H148" s="346"/>
      <c r="I148" s="346"/>
      <c r="J148" s="346"/>
      <c r="K148" s="346"/>
      <c r="L148" s="346"/>
      <c r="M148" s="346"/>
      <c r="N148" s="346"/>
      <c r="O148" s="346"/>
      <c r="P148" s="346"/>
      <c r="Q148" s="346"/>
      <c r="R148" s="346"/>
      <c r="S148" s="346"/>
      <c r="T148" s="346"/>
      <c r="U148" s="346"/>
      <c r="V148" s="346"/>
      <c r="W148" s="346"/>
      <c r="X148" s="346"/>
      <c r="Y148" s="346"/>
      <c r="Z148" s="346"/>
      <c r="AA148" s="346"/>
      <c r="AB148" s="346"/>
      <c r="AC148" s="346"/>
      <c r="AD148" s="346"/>
      <c r="AE148" s="346"/>
      <c r="AF148" s="346"/>
      <c r="AG148" s="346"/>
      <c r="AH148" s="19"/>
      <c r="AI148" s="19"/>
      <c r="AJ148" s="19"/>
      <c r="AK148" s="19"/>
      <c r="AL148" s="19"/>
      <c r="AM148" s="19"/>
      <c r="AN148" s="19"/>
      <c r="AO148" s="19"/>
    </row>
    <row r="149" spans="1:41">
      <c r="A149" s="346"/>
      <c r="B149" s="346"/>
      <c r="C149" s="346"/>
      <c r="D149" s="346"/>
      <c r="E149" s="346"/>
      <c r="F149" s="346"/>
      <c r="G149" s="346"/>
      <c r="H149" s="346"/>
      <c r="I149" s="346"/>
      <c r="J149" s="346"/>
      <c r="K149" s="346"/>
      <c r="L149" s="346"/>
      <c r="M149" s="346"/>
      <c r="N149" s="346"/>
      <c r="O149" s="346"/>
      <c r="P149" s="346"/>
      <c r="Q149" s="346"/>
      <c r="R149" s="346"/>
      <c r="S149" s="346"/>
      <c r="T149" s="346"/>
      <c r="U149" s="346"/>
      <c r="V149" s="346"/>
      <c r="W149" s="346"/>
      <c r="X149" s="346"/>
      <c r="Y149" s="346"/>
      <c r="Z149" s="346"/>
      <c r="AA149" s="346"/>
      <c r="AB149" s="346"/>
      <c r="AC149" s="346"/>
      <c r="AD149" s="346"/>
      <c r="AE149" s="346"/>
      <c r="AF149" s="346"/>
      <c r="AG149" s="346"/>
      <c r="AH149" s="19"/>
      <c r="AI149" s="19"/>
      <c r="AJ149" s="19"/>
      <c r="AK149" s="19"/>
      <c r="AL149" s="19"/>
      <c r="AM149" s="19"/>
      <c r="AN149" s="19"/>
      <c r="AO149" s="19"/>
    </row>
    <row r="150" spans="1:41">
      <c r="A150" s="346"/>
      <c r="B150" s="346"/>
      <c r="C150" s="346"/>
      <c r="D150" s="346"/>
      <c r="E150" s="346"/>
      <c r="F150" s="346"/>
      <c r="G150" s="346"/>
      <c r="H150" s="346"/>
      <c r="I150" s="346"/>
      <c r="J150" s="346"/>
      <c r="K150" s="346"/>
      <c r="L150" s="346"/>
      <c r="M150" s="346"/>
      <c r="N150" s="346"/>
      <c r="O150" s="346"/>
      <c r="P150" s="346"/>
      <c r="Q150" s="346"/>
      <c r="R150" s="346"/>
      <c r="S150" s="346"/>
      <c r="T150" s="346"/>
      <c r="U150" s="346"/>
      <c r="V150" s="346"/>
      <c r="W150" s="346"/>
      <c r="X150" s="346"/>
      <c r="Y150" s="346"/>
      <c r="Z150" s="346"/>
      <c r="AA150" s="346"/>
      <c r="AB150" s="346"/>
      <c r="AC150" s="346"/>
      <c r="AD150" s="346"/>
      <c r="AE150" s="346"/>
      <c r="AF150" s="346"/>
      <c r="AG150" s="346"/>
      <c r="AH150" s="19"/>
      <c r="AI150" s="19"/>
      <c r="AJ150" s="19"/>
      <c r="AK150" s="19"/>
      <c r="AL150" s="19"/>
      <c r="AM150" s="19"/>
      <c r="AN150" s="19"/>
      <c r="AO150" s="19"/>
    </row>
    <row r="151" spans="1:41">
      <c r="A151" s="346"/>
      <c r="B151" s="346"/>
      <c r="C151" s="346"/>
      <c r="D151" s="346"/>
      <c r="E151" s="346"/>
      <c r="F151" s="346"/>
      <c r="G151" s="346"/>
      <c r="H151" s="346"/>
      <c r="I151" s="346"/>
      <c r="J151" s="346"/>
      <c r="K151" s="346"/>
      <c r="L151" s="346"/>
      <c r="M151" s="346"/>
      <c r="N151" s="346"/>
      <c r="O151" s="346"/>
      <c r="P151" s="346"/>
      <c r="Q151" s="346"/>
      <c r="R151" s="346"/>
      <c r="S151" s="346"/>
      <c r="T151" s="346"/>
      <c r="U151" s="346"/>
      <c r="V151" s="346"/>
      <c r="W151" s="346"/>
      <c r="X151" s="346"/>
      <c r="Y151" s="346"/>
      <c r="Z151" s="346"/>
      <c r="AA151" s="346"/>
      <c r="AB151" s="346"/>
      <c r="AC151" s="346"/>
      <c r="AD151" s="346"/>
      <c r="AE151" s="346"/>
      <c r="AF151" s="346"/>
      <c r="AG151" s="346"/>
      <c r="AH151" s="19"/>
      <c r="AI151" s="19"/>
      <c r="AJ151" s="19"/>
      <c r="AK151" s="19"/>
      <c r="AL151" s="19"/>
      <c r="AM151" s="19"/>
      <c r="AN151" s="19"/>
      <c r="AO151" s="19"/>
    </row>
    <row r="152" spans="1:41">
      <c r="A152" s="346"/>
      <c r="B152" s="346"/>
      <c r="C152" s="346"/>
      <c r="D152" s="346"/>
      <c r="E152" s="346"/>
      <c r="F152" s="346"/>
      <c r="G152" s="346"/>
      <c r="H152" s="346"/>
      <c r="I152" s="346"/>
      <c r="J152" s="346"/>
      <c r="K152" s="346"/>
      <c r="L152" s="346"/>
      <c r="M152" s="346"/>
      <c r="N152" s="346"/>
      <c r="O152" s="346"/>
      <c r="P152" s="346"/>
      <c r="Q152" s="346"/>
      <c r="R152" s="346"/>
      <c r="S152" s="346"/>
      <c r="T152" s="346"/>
      <c r="U152" s="346"/>
      <c r="V152" s="346"/>
      <c r="W152" s="346"/>
      <c r="X152" s="346"/>
      <c r="Y152" s="346"/>
      <c r="Z152" s="346"/>
      <c r="AA152" s="346"/>
      <c r="AB152" s="346"/>
      <c r="AC152" s="346"/>
      <c r="AD152" s="346"/>
      <c r="AE152" s="346"/>
      <c r="AF152" s="346"/>
      <c r="AG152" s="346"/>
      <c r="AH152" s="19"/>
      <c r="AI152" s="19"/>
      <c r="AJ152" s="19"/>
      <c r="AK152" s="19"/>
      <c r="AL152" s="19"/>
      <c r="AM152" s="19"/>
      <c r="AN152" s="19"/>
      <c r="AO152" s="19"/>
    </row>
    <row r="153" spans="1:41">
      <c r="A153" s="346"/>
      <c r="B153" s="346"/>
      <c r="C153" s="346"/>
      <c r="D153" s="346"/>
      <c r="E153" s="346"/>
      <c r="F153" s="346"/>
      <c r="G153" s="346"/>
      <c r="H153" s="346"/>
      <c r="I153" s="346"/>
      <c r="J153" s="346"/>
      <c r="K153" s="346"/>
      <c r="L153" s="346"/>
      <c r="M153" s="346"/>
      <c r="N153" s="346"/>
      <c r="O153" s="346"/>
      <c r="P153" s="346"/>
      <c r="Q153" s="346"/>
      <c r="R153" s="346"/>
      <c r="S153" s="346"/>
      <c r="T153" s="346"/>
      <c r="U153" s="346"/>
      <c r="V153" s="346"/>
      <c r="W153" s="346"/>
      <c r="X153" s="346"/>
      <c r="Y153" s="346"/>
      <c r="Z153" s="346"/>
      <c r="AA153" s="346"/>
      <c r="AB153" s="346"/>
      <c r="AC153" s="346"/>
      <c r="AD153" s="346"/>
      <c r="AE153" s="346"/>
      <c r="AF153" s="346"/>
      <c r="AG153" s="346"/>
      <c r="AH153" s="19"/>
      <c r="AI153" s="19"/>
      <c r="AJ153" s="19"/>
      <c r="AK153" s="19"/>
      <c r="AL153" s="19"/>
      <c r="AM153" s="19"/>
      <c r="AN153" s="19"/>
      <c r="AO153" s="19"/>
    </row>
    <row r="154" spans="1:41">
      <c r="A154" s="346"/>
      <c r="B154" s="346"/>
      <c r="C154" s="346"/>
      <c r="D154" s="346"/>
      <c r="E154" s="346"/>
      <c r="F154" s="346"/>
      <c r="G154" s="346"/>
      <c r="H154" s="346"/>
      <c r="I154" s="346"/>
      <c r="J154" s="346"/>
      <c r="K154" s="346"/>
      <c r="L154" s="346"/>
      <c r="M154" s="346"/>
      <c r="N154" s="346"/>
      <c r="O154" s="346"/>
      <c r="P154" s="346"/>
      <c r="Q154" s="346"/>
      <c r="R154" s="346"/>
      <c r="S154" s="346"/>
      <c r="T154" s="346"/>
      <c r="U154" s="346"/>
      <c r="V154" s="346"/>
      <c r="W154" s="346"/>
      <c r="X154" s="346"/>
      <c r="Y154" s="346"/>
      <c r="Z154" s="346"/>
      <c r="AA154" s="346"/>
      <c r="AB154" s="346"/>
      <c r="AC154" s="346"/>
      <c r="AD154" s="346"/>
      <c r="AE154" s="346"/>
      <c r="AF154" s="346"/>
      <c r="AG154" s="346"/>
      <c r="AH154" s="19"/>
      <c r="AI154" s="19"/>
      <c r="AJ154" s="19"/>
      <c r="AK154" s="19"/>
      <c r="AL154" s="19"/>
      <c r="AM154" s="19"/>
      <c r="AN154" s="19"/>
      <c r="AO154" s="19"/>
    </row>
    <row r="155" spans="1:41">
      <c r="A155" s="346"/>
      <c r="B155" s="346"/>
      <c r="C155" s="346"/>
      <c r="D155" s="346"/>
      <c r="E155" s="346"/>
      <c r="F155" s="346"/>
      <c r="G155" s="346"/>
      <c r="H155" s="346"/>
      <c r="I155" s="346"/>
      <c r="J155" s="346"/>
      <c r="K155" s="346"/>
      <c r="L155" s="346"/>
      <c r="M155" s="346"/>
      <c r="N155" s="346"/>
      <c r="O155" s="346"/>
      <c r="P155" s="346"/>
      <c r="Q155" s="346"/>
      <c r="R155" s="346"/>
      <c r="S155" s="346"/>
      <c r="T155" s="346"/>
      <c r="U155" s="346"/>
      <c r="V155" s="346"/>
      <c r="W155" s="346"/>
      <c r="X155" s="346"/>
      <c r="Y155" s="346"/>
      <c r="Z155" s="346"/>
      <c r="AA155" s="346"/>
      <c r="AB155" s="346"/>
      <c r="AC155" s="346"/>
      <c r="AD155" s="346"/>
      <c r="AE155" s="346"/>
      <c r="AF155" s="346"/>
      <c r="AG155" s="346"/>
      <c r="AH155" s="19"/>
      <c r="AI155" s="19"/>
      <c r="AJ155" s="19"/>
      <c r="AK155" s="19"/>
      <c r="AL155" s="19"/>
      <c r="AM155" s="19"/>
      <c r="AN155" s="19"/>
      <c r="AO155" s="19"/>
    </row>
    <row r="156" spans="1:41">
      <c r="A156" s="346"/>
      <c r="B156" s="346"/>
      <c r="C156" s="346"/>
      <c r="D156" s="346"/>
      <c r="E156" s="346"/>
      <c r="F156" s="346"/>
      <c r="G156" s="346"/>
      <c r="H156" s="346"/>
      <c r="I156" s="346"/>
      <c r="J156" s="346"/>
      <c r="K156" s="346"/>
      <c r="L156" s="346"/>
      <c r="M156" s="346"/>
      <c r="N156" s="346"/>
      <c r="O156" s="346"/>
      <c r="P156" s="346"/>
      <c r="Q156" s="346"/>
      <c r="R156" s="346"/>
      <c r="S156" s="346"/>
      <c r="T156" s="346"/>
      <c r="U156" s="346"/>
      <c r="V156" s="346"/>
      <c r="W156" s="346"/>
      <c r="X156" s="346"/>
      <c r="Y156" s="346"/>
      <c r="Z156" s="346"/>
      <c r="AA156" s="346"/>
      <c r="AB156" s="346"/>
      <c r="AC156" s="346"/>
      <c r="AD156" s="346"/>
      <c r="AE156" s="346"/>
      <c r="AF156" s="346"/>
      <c r="AG156" s="346"/>
      <c r="AH156" s="19"/>
      <c r="AI156" s="19"/>
      <c r="AJ156" s="19"/>
      <c r="AK156" s="19"/>
      <c r="AL156" s="19"/>
      <c r="AM156" s="19"/>
      <c r="AN156" s="19"/>
      <c r="AO156" s="19"/>
    </row>
    <row r="157" spans="1:41">
      <c r="A157" s="346"/>
      <c r="B157" s="346"/>
      <c r="C157" s="346"/>
      <c r="D157" s="346"/>
      <c r="E157" s="346"/>
      <c r="F157" s="346"/>
      <c r="G157" s="346"/>
      <c r="H157" s="346"/>
      <c r="I157" s="346"/>
      <c r="J157" s="346"/>
      <c r="K157" s="346"/>
      <c r="L157" s="346"/>
      <c r="M157" s="346"/>
      <c r="N157" s="346"/>
      <c r="O157" s="346"/>
      <c r="P157" s="346"/>
      <c r="Q157" s="346"/>
      <c r="R157" s="346"/>
      <c r="S157" s="346"/>
      <c r="T157" s="346"/>
      <c r="U157" s="346"/>
      <c r="V157" s="346"/>
      <c r="W157" s="346"/>
      <c r="X157" s="346"/>
      <c r="Y157" s="346"/>
      <c r="Z157" s="346"/>
      <c r="AA157" s="346"/>
      <c r="AB157" s="346"/>
      <c r="AC157" s="346"/>
      <c r="AD157" s="346"/>
      <c r="AE157" s="346"/>
      <c r="AF157" s="346"/>
      <c r="AG157" s="346"/>
      <c r="AH157" s="19"/>
      <c r="AI157" s="19"/>
      <c r="AJ157" s="19"/>
      <c r="AK157" s="19"/>
      <c r="AL157" s="19"/>
      <c r="AM157" s="19"/>
      <c r="AN157" s="19"/>
      <c r="AO157" s="19"/>
    </row>
    <row r="158" spans="1:41">
      <c r="A158" s="346"/>
      <c r="B158" s="346"/>
      <c r="C158" s="346"/>
      <c r="D158" s="346"/>
      <c r="E158" s="346"/>
      <c r="F158" s="346"/>
      <c r="G158" s="346"/>
      <c r="H158" s="346"/>
      <c r="I158" s="346"/>
      <c r="J158" s="346"/>
      <c r="K158" s="346"/>
      <c r="L158" s="346"/>
      <c r="M158" s="346"/>
      <c r="N158" s="346"/>
      <c r="O158" s="346"/>
      <c r="P158" s="346"/>
      <c r="Q158" s="346"/>
      <c r="R158" s="346"/>
      <c r="S158" s="346"/>
      <c r="T158" s="346"/>
      <c r="U158" s="346"/>
      <c r="V158" s="346"/>
      <c r="W158" s="346"/>
      <c r="X158" s="346"/>
      <c r="Y158" s="346"/>
      <c r="Z158" s="346"/>
      <c r="AA158" s="346"/>
      <c r="AB158" s="346"/>
      <c r="AC158" s="346"/>
      <c r="AD158" s="346"/>
      <c r="AE158" s="346"/>
      <c r="AF158" s="346"/>
      <c r="AG158" s="346"/>
      <c r="AH158" s="19"/>
      <c r="AI158" s="19"/>
      <c r="AJ158" s="19"/>
      <c r="AK158" s="19"/>
      <c r="AL158" s="19"/>
      <c r="AM158" s="19"/>
      <c r="AN158" s="19"/>
      <c r="AO158" s="19"/>
    </row>
    <row r="159" spans="1:41">
      <c r="A159" s="346"/>
      <c r="B159" s="346"/>
      <c r="C159" s="346"/>
      <c r="D159" s="346"/>
      <c r="E159" s="346"/>
      <c r="F159" s="346"/>
      <c r="G159" s="346" t="s">
        <v>333</v>
      </c>
      <c r="H159" s="346" t="s">
        <v>334</v>
      </c>
      <c r="I159" s="346"/>
      <c r="J159" s="346"/>
      <c r="K159" s="346"/>
      <c r="L159" s="346"/>
      <c r="M159" s="346"/>
      <c r="N159" s="346"/>
      <c r="O159" s="346"/>
      <c r="P159" s="346"/>
      <c r="Q159" s="346"/>
      <c r="R159" s="346"/>
      <c r="S159" s="346"/>
      <c r="T159" s="346"/>
      <c r="U159" s="346"/>
      <c r="V159" s="346"/>
      <c r="W159" s="346"/>
      <c r="X159" s="346"/>
      <c r="Y159" s="346"/>
      <c r="Z159" s="346"/>
      <c r="AA159" s="346"/>
      <c r="AB159" s="346"/>
      <c r="AC159" s="346"/>
      <c r="AD159" s="346"/>
      <c r="AE159" s="346"/>
      <c r="AF159" s="346"/>
      <c r="AG159" s="346"/>
      <c r="AH159" s="19"/>
      <c r="AI159" s="19"/>
      <c r="AJ159" s="19"/>
      <c r="AK159" s="19"/>
      <c r="AL159" s="19"/>
      <c r="AM159" s="19"/>
      <c r="AN159" s="19"/>
      <c r="AO159" s="19"/>
    </row>
    <row r="160" spans="1:41">
      <c r="A160" s="346"/>
      <c r="B160" s="346"/>
      <c r="C160" s="346"/>
      <c r="D160" s="346"/>
      <c r="E160" s="346"/>
      <c r="F160" s="346"/>
      <c r="G160" s="346"/>
      <c r="H160" s="346"/>
      <c r="I160" s="346"/>
      <c r="J160" s="346"/>
      <c r="K160" s="346"/>
      <c r="L160" s="346"/>
      <c r="M160" s="346"/>
      <c r="N160" s="346"/>
      <c r="O160" s="346"/>
      <c r="P160" s="346"/>
      <c r="Q160" s="346"/>
      <c r="R160" s="346"/>
      <c r="S160" s="346"/>
      <c r="T160" s="346"/>
      <c r="U160" s="346"/>
      <c r="V160" s="346"/>
      <c r="W160" s="346"/>
      <c r="X160" s="346"/>
      <c r="Y160" s="346"/>
      <c r="Z160" s="346"/>
      <c r="AA160" s="346"/>
      <c r="AB160" s="346"/>
      <c r="AC160" s="346"/>
      <c r="AD160" s="346"/>
      <c r="AE160" s="346"/>
      <c r="AF160" s="346"/>
      <c r="AG160" s="346"/>
      <c r="AH160" s="19"/>
      <c r="AI160" s="19"/>
      <c r="AJ160" s="19"/>
      <c r="AK160" s="19"/>
      <c r="AL160" s="19"/>
      <c r="AM160" s="19"/>
      <c r="AN160" s="19"/>
      <c r="AO160" s="19"/>
    </row>
    <row r="161" spans="1:41">
      <c r="A161" s="346"/>
      <c r="B161" s="346"/>
      <c r="C161" s="346"/>
      <c r="D161" s="346"/>
      <c r="E161" s="346"/>
      <c r="F161" s="346"/>
      <c r="G161" s="346"/>
      <c r="H161" s="346"/>
      <c r="I161" s="346"/>
      <c r="J161" s="346"/>
      <c r="K161" s="346"/>
      <c r="L161" s="346"/>
      <c r="M161" s="346"/>
      <c r="N161" s="346"/>
      <c r="O161" s="346"/>
      <c r="P161" s="346"/>
      <c r="Q161" s="346"/>
      <c r="R161" s="346"/>
      <c r="S161" s="346"/>
      <c r="T161" s="346"/>
      <c r="U161" s="346"/>
      <c r="V161" s="346"/>
      <c r="W161" s="346"/>
      <c r="X161" s="346"/>
      <c r="Y161" s="346"/>
      <c r="Z161" s="346"/>
      <c r="AA161" s="346"/>
      <c r="AB161" s="346"/>
      <c r="AC161" s="346"/>
      <c r="AD161" s="346"/>
      <c r="AE161" s="346"/>
      <c r="AF161" s="346"/>
      <c r="AG161" s="346"/>
      <c r="AH161" s="19"/>
      <c r="AI161" s="19"/>
      <c r="AJ161" s="19"/>
      <c r="AK161" s="19"/>
      <c r="AL161" s="19"/>
      <c r="AM161" s="19"/>
      <c r="AN161" s="19"/>
      <c r="AO161" s="19"/>
    </row>
    <row r="162" spans="1:41">
      <c r="A162" s="346"/>
      <c r="B162" s="346"/>
      <c r="C162" s="346"/>
      <c r="D162" s="346"/>
      <c r="E162" s="346"/>
      <c r="F162" s="346"/>
      <c r="G162" s="346"/>
      <c r="H162" s="346"/>
      <c r="I162" s="346"/>
      <c r="J162" s="346"/>
      <c r="K162" s="346"/>
      <c r="L162" s="346"/>
      <c r="M162" s="346"/>
      <c r="N162" s="346"/>
      <c r="O162" s="346"/>
      <c r="P162" s="346"/>
      <c r="Q162" s="346"/>
      <c r="R162" s="346"/>
      <c r="S162" s="346"/>
      <c r="T162" s="346"/>
      <c r="U162" s="346"/>
      <c r="V162" s="346"/>
      <c r="W162" s="346"/>
      <c r="X162" s="346"/>
      <c r="Y162" s="346"/>
      <c r="Z162" s="346"/>
      <c r="AA162" s="346"/>
      <c r="AB162" s="346"/>
      <c r="AC162" s="346"/>
      <c r="AD162" s="346"/>
      <c r="AE162" s="346"/>
      <c r="AF162" s="346"/>
      <c r="AG162" s="346"/>
      <c r="AH162" s="19"/>
      <c r="AI162" s="19"/>
      <c r="AJ162" s="19"/>
      <c r="AK162" s="19"/>
      <c r="AL162" s="19"/>
      <c r="AM162" s="19"/>
      <c r="AN162" s="19"/>
      <c r="AO162" s="19"/>
    </row>
    <row r="163" spans="1:41">
      <c r="A163" s="346"/>
      <c r="B163" s="346"/>
      <c r="C163" s="346"/>
      <c r="D163" s="346"/>
      <c r="E163" s="346"/>
      <c r="F163" s="346"/>
      <c r="G163" s="346"/>
      <c r="H163" s="346"/>
      <c r="I163" s="346"/>
      <c r="J163" s="346"/>
      <c r="K163" s="346"/>
      <c r="L163" s="346"/>
      <c r="M163" s="346"/>
      <c r="N163" s="346"/>
      <c r="O163" s="346"/>
      <c r="P163" s="346"/>
      <c r="Q163" s="346"/>
      <c r="R163" s="346"/>
      <c r="S163" s="346"/>
      <c r="T163" s="346"/>
      <c r="U163" s="346"/>
      <c r="V163" s="346"/>
      <c r="W163" s="346"/>
      <c r="X163" s="346"/>
      <c r="Y163" s="346"/>
      <c r="Z163" s="346"/>
      <c r="AA163" s="346"/>
      <c r="AB163" s="346"/>
      <c r="AC163" s="346"/>
      <c r="AD163" s="346"/>
      <c r="AE163" s="346"/>
      <c r="AF163" s="346"/>
      <c r="AG163" s="346"/>
      <c r="AH163" s="19"/>
      <c r="AI163" s="19"/>
      <c r="AJ163" s="19"/>
      <c r="AK163" s="19"/>
      <c r="AL163" s="19"/>
      <c r="AM163" s="19"/>
      <c r="AN163" s="19"/>
      <c r="AO163" s="19"/>
    </row>
    <row r="164" spans="1:41">
      <c r="A164" s="346"/>
      <c r="B164" s="346"/>
      <c r="C164" s="346"/>
      <c r="D164" s="346"/>
      <c r="E164" s="346"/>
      <c r="F164" s="346"/>
      <c r="G164" s="346"/>
      <c r="H164" s="346"/>
      <c r="I164" s="346"/>
      <c r="J164" s="346"/>
      <c r="K164" s="346"/>
      <c r="L164" s="346"/>
      <c r="M164" s="346"/>
      <c r="N164" s="346"/>
      <c r="O164" s="346"/>
      <c r="P164" s="346"/>
      <c r="Q164" s="346"/>
      <c r="R164" s="346"/>
      <c r="S164" s="346"/>
      <c r="T164" s="346"/>
      <c r="U164" s="346"/>
      <c r="V164" s="346"/>
      <c r="W164" s="346"/>
      <c r="X164" s="346"/>
      <c r="Y164" s="346"/>
      <c r="Z164" s="346"/>
      <c r="AA164" s="346"/>
      <c r="AB164" s="346"/>
      <c r="AC164" s="346"/>
      <c r="AD164" s="346"/>
      <c r="AE164" s="346"/>
      <c r="AF164" s="346"/>
      <c r="AG164" s="346"/>
      <c r="AH164" s="19"/>
      <c r="AI164" s="19"/>
      <c r="AJ164" s="19"/>
      <c r="AK164" s="19"/>
      <c r="AL164" s="19"/>
      <c r="AM164" s="19"/>
      <c r="AN164" s="19"/>
      <c r="AO164" s="19"/>
    </row>
    <row r="165" spans="1:41">
      <c r="A165" s="346"/>
      <c r="B165" s="346"/>
      <c r="C165" s="346"/>
      <c r="D165" s="346"/>
      <c r="E165" s="346"/>
      <c r="F165" s="346"/>
      <c r="G165" s="346"/>
      <c r="H165" s="346"/>
      <c r="I165" s="346"/>
      <c r="J165" s="346"/>
      <c r="K165" s="346"/>
      <c r="L165" s="346"/>
      <c r="M165" s="346"/>
      <c r="N165" s="346"/>
      <c r="O165" s="346"/>
      <c r="P165" s="346"/>
      <c r="Q165" s="346"/>
      <c r="R165" s="346"/>
      <c r="S165" s="346"/>
      <c r="T165" s="346"/>
      <c r="U165" s="346"/>
      <c r="V165" s="346"/>
      <c r="W165" s="346"/>
      <c r="X165" s="346"/>
      <c r="Y165" s="346"/>
      <c r="Z165" s="346"/>
      <c r="AA165" s="346"/>
      <c r="AB165" s="346"/>
      <c r="AC165" s="346"/>
      <c r="AD165" s="346"/>
      <c r="AE165" s="346"/>
      <c r="AF165" s="346"/>
      <c r="AG165" s="346"/>
      <c r="AH165" s="19"/>
      <c r="AI165" s="19"/>
      <c r="AJ165" s="19"/>
      <c r="AK165" s="19"/>
      <c r="AL165" s="19"/>
      <c r="AM165" s="19"/>
      <c r="AN165" s="19"/>
      <c r="AO165" s="19"/>
    </row>
    <row r="166" spans="1:41">
      <c r="A166" s="346"/>
      <c r="B166" s="346"/>
      <c r="C166" s="346"/>
      <c r="D166" s="346"/>
      <c r="E166" s="346"/>
      <c r="F166" s="346"/>
      <c r="G166" s="346"/>
      <c r="H166" s="346"/>
      <c r="I166" s="346"/>
      <c r="J166" s="346"/>
      <c r="K166" s="346"/>
      <c r="L166" s="346"/>
      <c r="M166" s="346"/>
      <c r="N166" s="346"/>
      <c r="O166" s="346"/>
      <c r="P166" s="346"/>
      <c r="Q166" s="346"/>
      <c r="R166" s="346"/>
      <c r="S166" s="346"/>
      <c r="T166" s="346"/>
      <c r="U166" s="346"/>
      <c r="V166" s="346"/>
      <c r="W166" s="346"/>
      <c r="X166" s="346"/>
      <c r="Y166" s="346"/>
      <c r="Z166" s="346"/>
      <c r="AA166" s="346"/>
      <c r="AB166" s="346"/>
      <c r="AC166" s="346"/>
      <c r="AD166" s="346"/>
      <c r="AE166" s="346"/>
      <c r="AF166" s="346"/>
      <c r="AG166" s="346"/>
      <c r="AH166" s="19"/>
      <c r="AI166" s="19"/>
      <c r="AJ166" s="19"/>
      <c r="AK166" s="19"/>
      <c r="AL166" s="19"/>
      <c r="AM166" s="19"/>
      <c r="AN166" s="19"/>
      <c r="AO166" s="19"/>
    </row>
    <row r="167" spans="1:41">
      <c r="A167" s="346"/>
      <c r="B167" s="346"/>
      <c r="C167" s="346"/>
      <c r="D167" s="346"/>
      <c r="E167" s="346"/>
      <c r="F167" s="346"/>
      <c r="G167" s="346"/>
      <c r="H167" s="346"/>
      <c r="I167" s="346"/>
      <c r="J167" s="346"/>
      <c r="K167" s="346"/>
      <c r="L167" s="346"/>
      <c r="M167" s="346"/>
      <c r="N167" s="346"/>
      <c r="O167" s="346"/>
      <c r="P167" s="346"/>
      <c r="Q167" s="346"/>
      <c r="R167" s="346"/>
      <c r="S167" s="346"/>
      <c r="T167" s="346"/>
      <c r="U167" s="346"/>
      <c r="V167" s="346"/>
      <c r="W167" s="346"/>
      <c r="X167" s="346"/>
      <c r="Y167" s="346"/>
      <c r="Z167" s="346"/>
      <c r="AA167" s="346"/>
      <c r="AB167" s="346"/>
      <c r="AC167" s="346"/>
      <c r="AD167" s="346"/>
      <c r="AE167" s="346"/>
      <c r="AF167" s="346"/>
      <c r="AG167" s="346"/>
      <c r="AH167" s="19"/>
      <c r="AI167" s="19"/>
      <c r="AJ167" s="19"/>
      <c r="AK167" s="19"/>
      <c r="AL167" s="19"/>
      <c r="AM167" s="19"/>
      <c r="AN167" s="19"/>
      <c r="AO167" s="19"/>
    </row>
    <row r="168" spans="1:41">
      <c r="A168" s="19"/>
      <c r="B168" s="19"/>
      <c r="C168" s="19"/>
      <c r="D168" s="19"/>
      <c r="E168" s="346"/>
      <c r="F168" s="346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AA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</row>
    <row r="169" spans="1:41">
      <c r="A169" s="19"/>
      <c r="B169" s="19"/>
      <c r="C169" s="19"/>
      <c r="D169" s="19"/>
      <c r="E169" s="346"/>
      <c r="F169" s="346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AA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</row>
    <row r="170" spans="1:4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AA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</row>
    <row r="171" spans="1:4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AA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</row>
    <row r="172" spans="1:4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AA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</row>
    <row r="173" spans="1:4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AA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</row>
    <row r="174" spans="1:4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AA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</row>
    <row r="175" spans="1:4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AA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</row>
    <row r="176" spans="1:4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AA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</row>
    <row r="177" spans="1:4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AA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</row>
    <row r="178" spans="1:4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AA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</row>
    <row r="179" spans="1:4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AA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</row>
    <row r="180" spans="1:4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AA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</row>
    <row r="181" spans="1:4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AA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</row>
    <row r="182" spans="1:4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AA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</row>
    <row r="183" spans="1:4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AA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</row>
    <row r="184" spans="1:4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AA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</row>
    <row r="185" spans="1:41">
      <c r="A185" s="19"/>
      <c r="B185" s="19"/>
      <c r="C185" s="19"/>
      <c r="D185" s="19"/>
      <c r="E185" s="19"/>
      <c r="F185" s="19"/>
      <c r="G185" s="19" t="s">
        <v>335</v>
      </c>
      <c r="H185" s="19" t="s">
        <v>334</v>
      </c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AA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</row>
    <row r="186" spans="1:4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AA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</row>
    <row r="187" spans="1:4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AA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</row>
    <row r="188" spans="1:4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AA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</row>
    <row r="189" spans="1:4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AA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</row>
    <row r="190" spans="1:4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AA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</row>
    <row r="191" spans="1:4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AA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</row>
    <row r="192" spans="1:4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AA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</row>
    <row r="193" spans="1:4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AA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</row>
    <row r="194" spans="1:4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AA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</row>
    <row r="195" spans="1:4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AA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</row>
    <row r="196" spans="1:4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AA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</row>
    <row r="197" spans="1:4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AA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</row>
    <row r="198" spans="1:4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AA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</row>
    <row r="199" spans="1:4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AA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</row>
    <row r="200" spans="1:4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AA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</row>
    <row r="201" spans="1:4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AA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</row>
    <row r="202" spans="1:4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AA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</row>
    <row r="203" spans="1:4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AA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</row>
    <row r="204" spans="1:4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AA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</row>
    <row r="205" spans="1:4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AA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</row>
    <row r="206" spans="1:4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AA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</row>
    <row r="207" spans="1:4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AA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</row>
    <row r="208" spans="1:4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AA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</row>
    <row r="209" spans="1:4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AA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</row>
    <row r="210" spans="1:4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AA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</row>
    <row r="211" spans="1:4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AA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</row>
    <row r="212" spans="1:4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AA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</row>
    <row r="213" spans="1:4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AA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</row>
    <row r="214" spans="1:4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AA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</row>
    <row r="215" spans="1:4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AA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</row>
    <row r="216" spans="1:4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AA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</row>
    <row r="217" spans="1:4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AA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</row>
    <row r="218" spans="1:4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AA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</row>
    <row r="219" spans="1:4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AA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</row>
    <row r="220" spans="1:4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AA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</row>
    <row r="221" spans="1:4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AA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</row>
    <row r="222" spans="1:41">
      <c r="A222" s="19"/>
      <c r="B222" s="19"/>
      <c r="C222" s="19"/>
      <c r="D222" s="19" t="s">
        <v>336</v>
      </c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AA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</row>
    <row r="223" spans="1:41">
      <c r="A223" s="19"/>
      <c r="B223" s="19" t="s">
        <v>337</v>
      </c>
      <c r="C223" s="19">
        <v>1388576894</v>
      </c>
      <c r="D223" s="19">
        <f>_xlfn.XLOOKUP(C223,$I$224:$I$332,$J$224:$J$332,"Not Found")</f>
        <v>40112</v>
      </c>
      <c r="E223" s="19"/>
      <c r="F223" s="19"/>
      <c r="G223" s="19"/>
      <c r="H223" s="19"/>
      <c r="I223" s="368" t="s">
        <v>338</v>
      </c>
      <c r="J223" s="369" t="s">
        <v>339</v>
      </c>
      <c r="K223" s="369" t="s">
        <v>340</v>
      </c>
      <c r="L223" s="369" t="s">
        <v>341</v>
      </c>
      <c r="M223" s="369" t="s">
        <v>342</v>
      </c>
      <c r="N223" s="369" t="s">
        <v>343</v>
      </c>
      <c r="O223" s="19"/>
      <c r="P223" s="19"/>
      <c r="Q223" s="19"/>
      <c r="R223" s="19"/>
      <c r="S223" s="19"/>
      <c r="T223" s="19"/>
      <c r="U223" s="19"/>
      <c r="AA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</row>
    <row r="224" spans="1:41">
      <c r="A224" s="19"/>
      <c r="B224" s="19" t="s">
        <v>344</v>
      </c>
      <c r="C224" s="19">
        <v>1286856396</v>
      </c>
      <c r="D224" s="19">
        <f t="shared" ref="D224:D287" si="3">_xlfn.XLOOKUP(C224,$I$224:$I$332,$J$224:$J$332,"Not Found")</f>
        <v>44032</v>
      </c>
      <c r="E224" s="19" t="s">
        <v>345</v>
      </c>
      <c r="F224" s="19" t="s">
        <v>346</v>
      </c>
      <c r="G224" s="19"/>
      <c r="H224" s="19"/>
      <c r="I224" s="370">
        <v>1388576894</v>
      </c>
      <c r="J224" s="372">
        <v>40112</v>
      </c>
      <c r="K224" s="372">
        <v>40112</v>
      </c>
      <c r="L224" s="372">
        <v>33397</v>
      </c>
      <c r="M224" s="371" t="s">
        <v>347</v>
      </c>
      <c r="N224" s="371" t="s">
        <v>348</v>
      </c>
      <c r="O224" s="19"/>
      <c r="P224" s="19"/>
      <c r="Q224" s="19"/>
      <c r="R224" s="19"/>
      <c r="S224" s="19"/>
      <c r="T224" s="19"/>
      <c r="U224" s="19"/>
      <c r="AA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</row>
    <row r="225" spans="1:41">
      <c r="A225" s="19"/>
      <c r="B225" s="19" t="s">
        <v>349</v>
      </c>
      <c r="C225" s="19">
        <v>1608616434</v>
      </c>
      <c r="D225" s="19">
        <f t="shared" si="3"/>
        <v>44599</v>
      </c>
      <c r="E225" s="19">
        <f>_xlfn.XLOOKUP(C223,$I$224:$I$332,$K$224:$K$332,"Not Found")</f>
        <v>40112</v>
      </c>
      <c r="F225" s="19">
        <f>_xlfn.XLOOKUP(C223,$I$224:$I$332,$L$224:$L$332,"Not Found")</f>
        <v>33397</v>
      </c>
      <c r="G225" s="19"/>
      <c r="H225" s="19"/>
      <c r="I225" s="373">
        <v>1286856396</v>
      </c>
      <c r="J225" s="375">
        <v>44032</v>
      </c>
      <c r="K225" s="375">
        <v>44032</v>
      </c>
      <c r="L225" s="375">
        <v>36991</v>
      </c>
      <c r="M225" s="374" t="s">
        <v>347</v>
      </c>
      <c r="N225" s="374" t="s">
        <v>350</v>
      </c>
      <c r="O225" s="19"/>
      <c r="P225" s="19"/>
      <c r="Q225" s="19"/>
      <c r="R225" s="19"/>
      <c r="S225" s="19"/>
      <c r="T225" s="19"/>
      <c r="U225" s="19"/>
      <c r="AA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</row>
    <row r="226" spans="1:41">
      <c r="A226" s="19"/>
      <c r="B226" s="19" t="s">
        <v>351</v>
      </c>
      <c r="C226" s="19">
        <v>1523204390</v>
      </c>
      <c r="D226" s="19">
        <f t="shared" si="3"/>
        <v>42554</v>
      </c>
      <c r="E226" s="19">
        <f t="shared" ref="E226:E289" si="4">_xlfn.XLOOKUP(C224,$I$224:$I$332,$K$224:$K$332,"Not Found")</f>
        <v>44032</v>
      </c>
      <c r="F226" s="19">
        <f t="shared" ref="F226:F289" si="5">_xlfn.XLOOKUP(C224,$I$224:$I$332,$L$224:$L$332,"Not Found")</f>
        <v>36991</v>
      </c>
      <c r="G226" s="19"/>
      <c r="H226" s="19"/>
      <c r="I226" s="373">
        <v>1608616434</v>
      </c>
      <c r="J226" s="375">
        <v>44599</v>
      </c>
      <c r="K226" s="375">
        <v>44599</v>
      </c>
      <c r="L226" s="375">
        <v>37168</v>
      </c>
      <c r="M226" s="374" t="s">
        <v>352</v>
      </c>
      <c r="N226" s="374" t="s">
        <v>353</v>
      </c>
      <c r="O226" s="19"/>
      <c r="P226" s="19"/>
      <c r="Q226" s="19"/>
      <c r="R226" s="19"/>
      <c r="S226" s="19"/>
      <c r="T226" s="19"/>
      <c r="U226" s="19"/>
      <c r="AA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</row>
    <row r="227" spans="1:41">
      <c r="A227" s="19"/>
      <c r="B227" s="19" t="s">
        <v>354</v>
      </c>
      <c r="C227" s="19">
        <v>1522352256</v>
      </c>
      <c r="D227" s="19">
        <f t="shared" si="3"/>
        <v>43973</v>
      </c>
      <c r="E227" s="19">
        <f t="shared" si="4"/>
        <v>44599</v>
      </c>
      <c r="F227" s="19">
        <f t="shared" si="5"/>
        <v>37168</v>
      </c>
      <c r="G227" s="19"/>
      <c r="H227" s="19"/>
      <c r="I227" s="373">
        <v>1523204390</v>
      </c>
      <c r="J227" s="375">
        <v>42554</v>
      </c>
      <c r="K227" s="375">
        <v>43596</v>
      </c>
      <c r="L227" s="375">
        <v>35097</v>
      </c>
      <c r="M227" s="374" t="s">
        <v>355</v>
      </c>
      <c r="N227" s="374" t="s">
        <v>356</v>
      </c>
      <c r="O227" s="19"/>
      <c r="P227" s="19"/>
      <c r="Q227" s="19"/>
      <c r="R227" s="19"/>
      <c r="S227" s="19"/>
      <c r="T227" s="19"/>
      <c r="U227" s="19"/>
      <c r="AA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</row>
    <row r="228" spans="1:41">
      <c r="A228" s="19"/>
      <c r="B228" s="19" t="s">
        <v>357</v>
      </c>
      <c r="C228" s="19">
        <v>1574513274</v>
      </c>
      <c r="D228" s="19">
        <f t="shared" si="3"/>
        <v>44032</v>
      </c>
      <c r="E228" s="19">
        <f t="shared" si="4"/>
        <v>43596</v>
      </c>
      <c r="F228" s="19">
        <f t="shared" si="5"/>
        <v>35097</v>
      </c>
      <c r="G228" s="19"/>
      <c r="H228" s="19"/>
      <c r="I228" s="373">
        <v>1522352256</v>
      </c>
      <c r="J228" s="375">
        <v>43973</v>
      </c>
      <c r="K228" s="375">
        <v>43973</v>
      </c>
      <c r="L228" s="375">
        <v>35961</v>
      </c>
      <c r="M228" s="374" t="s">
        <v>358</v>
      </c>
      <c r="N228" s="374" t="s">
        <v>359</v>
      </c>
      <c r="O228" s="19"/>
      <c r="P228" s="19"/>
      <c r="Q228" s="19"/>
      <c r="R228" s="19"/>
      <c r="S228" s="19"/>
      <c r="T228" s="19"/>
      <c r="U228" s="19"/>
      <c r="AA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</row>
    <row r="229" spans="1:41">
      <c r="A229" s="19"/>
      <c r="B229" s="19" t="s">
        <v>360</v>
      </c>
      <c r="C229" s="19">
        <v>1605169470</v>
      </c>
      <c r="D229" s="19">
        <f t="shared" si="3"/>
        <v>44459</v>
      </c>
      <c r="E229" s="19">
        <f t="shared" si="4"/>
        <v>43973</v>
      </c>
      <c r="F229" s="19">
        <f t="shared" si="5"/>
        <v>35961</v>
      </c>
      <c r="G229" s="19"/>
      <c r="H229" s="19"/>
      <c r="I229" s="373">
        <v>1574513274</v>
      </c>
      <c r="J229" s="375">
        <v>44032</v>
      </c>
      <c r="K229" s="375">
        <v>44032</v>
      </c>
      <c r="L229" s="375">
        <v>37337</v>
      </c>
      <c r="M229" s="374" t="s">
        <v>361</v>
      </c>
      <c r="N229" s="374" t="s">
        <v>362</v>
      </c>
      <c r="O229" s="19"/>
      <c r="P229" s="19"/>
      <c r="Q229" s="19"/>
      <c r="R229" s="19"/>
      <c r="S229" s="19"/>
      <c r="T229" s="19"/>
      <c r="U229" s="19"/>
      <c r="AA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</row>
    <row r="230" spans="1:41">
      <c r="A230" s="19"/>
      <c r="B230" s="19" t="s">
        <v>363</v>
      </c>
      <c r="C230" s="19">
        <v>1607449399</v>
      </c>
      <c r="D230" s="19">
        <f t="shared" si="3"/>
        <v>44579</v>
      </c>
      <c r="E230" s="19">
        <f t="shared" si="4"/>
        <v>44032</v>
      </c>
      <c r="F230" s="19">
        <f t="shared" si="5"/>
        <v>37337</v>
      </c>
      <c r="G230" s="19"/>
      <c r="H230" s="19"/>
      <c r="I230" s="373">
        <v>1605169470</v>
      </c>
      <c r="J230" s="375">
        <v>44459</v>
      </c>
      <c r="K230" s="375">
        <v>44459</v>
      </c>
      <c r="L230" s="375">
        <v>37474</v>
      </c>
      <c r="M230" s="374" t="s">
        <v>364</v>
      </c>
      <c r="N230" s="374" t="s">
        <v>365</v>
      </c>
      <c r="O230" s="19"/>
      <c r="P230" s="19"/>
      <c r="Q230" s="19"/>
      <c r="R230" s="19"/>
      <c r="S230" s="19"/>
      <c r="T230" s="19"/>
      <c r="U230" s="19"/>
      <c r="AA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</row>
    <row r="231" spans="1:41">
      <c r="A231" s="19"/>
      <c r="B231" s="19" t="s">
        <v>366</v>
      </c>
      <c r="C231" s="19" t="s">
        <v>367</v>
      </c>
      <c r="D231" s="19" t="str">
        <f t="shared" si="3"/>
        <v>Not Found</v>
      </c>
      <c r="E231" s="19">
        <f t="shared" si="4"/>
        <v>44459</v>
      </c>
      <c r="F231" s="19">
        <f t="shared" si="5"/>
        <v>37474</v>
      </c>
      <c r="G231" s="19"/>
      <c r="H231" s="19"/>
      <c r="I231" s="373">
        <v>1607449399</v>
      </c>
      <c r="J231" s="375">
        <v>44579</v>
      </c>
      <c r="K231" s="375">
        <v>44579</v>
      </c>
      <c r="L231" s="375">
        <v>37536</v>
      </c>
      <c r="M231" s="374" t="s">
        <v>368</v>
      </c>
      <c r="N231" s="374" t="s">
        <v>369</v>
      </c>
      <c r="O231" s="19"/>
      <c r="P231" s="19"/>
      <c r="Q231" s="19"/>
      <c r="R231" s="19"/>
      <c r="S231" s="19"/>
      <c r="T231" s="19"/>
      <c r="U231" s="19"/>
      <c r="AA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</row>
    <row r="232" spans="1:41">
      <c r="A232" s="19"/>
      <c r="B232" s="19" t="s">
        <v>370</v>
      </c>
      <c r="C232" s="19">
        <v>1595635361</v>
      </c>
      <c r="D232" s="19">
        <f t="shared" si="3"/>
        <v>44200</v>
      </c>
      <c r="E232" s="19">
        <f t="shared" si="4"/>
        <v>44579</v>
      </c>
      <c r="F232" s="19">
        <f t="shared" si="5"/>
        <v>37536</v>
      </c>
      <c r="G232" s="19"/>
      <c r="H232" s="19"/>
      <c r="I232" s="373">
        <v>1595635361</v>
      </c>
      <c r="J232" s="375">
        <v>44200</v>
      </c>
      <c r="K232" s="375">
        <v>44200</v>
      </c>
      <c r="L232" s="375">
        <v>37209</v>
      </c>
      <c r="M232" s="374" t="s">
        <v>371</v>
      </c>
      <c r="N232" s="374" t="s">
        <v>372</v>
      </c>
      <c r="O232" s="19"/>
      <c r="P232" s="19"/>
      <c r="Q232" s="19"/>
      <c r="R232" s="19"/>
      <c r="S232" s="19"/>
      <c r="T232" s="19"/>
      <c r="U232" s="19"/>
      <c r="AA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</row>
    <row r="233" spans="1:41">
      <c r="A233" s="19"/>
      <c r="B233" s="19" t="s">
        <v>373</v>
      </c>
      <c r="C233" s="19">
        <v>1501749768</v>
      </c>
      <c r="D233" s="19">
        <f t="shared" si="3"/>
        <v>41813</v>
      </c>
      <c r="E233" s="19" t="str">
        <f t="shared" si="4"/>
        <v>Not Found</v>
      </c>
      <c r="F233" s="19" t="str">
        <f t="shared" si="5"/>
        <v>Not Found</v>
      </c>
      <c r="G233" s="19"/>
      <c r="H233" s="19"/>
      <c r="I233" s="373">
        <v>1501749768</v>
      </c>
      <c r="J233" s="375">
        <v>41813</v>
      </c>
      <c r="K233" s="375">
        <v>41813</v>
      </c>
      <c r="L233" s="375">
        <v>34786</v>
      </c>
      <c r="M233" s="374" t="s">
        <v>374</v>
      </c>
      <c r="N233" s="374" t="s">
        <v>375</v>
      </c>
      <c r="O233" s="19"/>
      <c r="P233" s="19"/>
      <c r="Q233" s="19"/>
      <c r="R233" s="19"/>
      <c r="S233" s="19"/>
      <c r="T233" s="19"/>
      <c r="U233" s="19"/>
      <c r="AA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</row>
    <row r="234" spans="1:41">
      <c r="A234" s="19"/>
      <c r="B234" s="19" t="s">
        <v>376</v>
      </c>
      <c r="C234" s="19">
        <v>1007461875</v>
      </c>
      <c r="D234" s="19">
        <f t="shared" si="3"/>
        <v>42935</v>
      </c>
      <c r="E234" s="19">
        <f t="shared" si="4"/>
        <v>44200</v>
      </c>
      <c r="F234" s="19">
        <f t="shared" si="5"/>
        <v>37209</v>
      </c>
      <c r="G234" s="19"/>
      <c r="H234" s="19"/>
      <c r="I234" s="373">
        <v>1007461875</v>
      </c>
      <c r="J234" s="375">
        <v>42935</v>
      </c>
      <c r="K234" s="375">
        <v>42935</v>
      </c>
      <c r="L234" s="375">
        <v>36090</v>
      </c>
      <c r="M234" s="374" t="s">
        <v>377</v>
      </c>
      <c r="N234" s="374" t="s">
        <v>378</v>
      </c>
      <c r="O234" s="19"/>
      <c r="P234" s="19"/>
      <c r="Q234" s="19"/>
      <c r="R234" s="19"/>
      <c r="S234" s="19"/>
      <c r="T234" s="19"/>
      <c r="U234" s="19"/>
      <c r="AA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</row>
    <row r="235" spans="1:41">
      <c r="A235" s="19"/>
      <c r="B235" s="19" t="s">
        <v>379</v>
      </c>
      <c r="C235" s="19">
        <v>1161621605</v>
      </c>
      <c r="D235" s="19">
        <f t="shared" si="3"/>
        <v>44228</v>
      </c>
      <c r="E235" s="19">
        <f t="shared" si="4"/>
        <v>41813</v>
      </c>
      <c r="F235" s="19">
        <f t="shared" si="5"/>
        <v>34786</v>
      </c>
      <c r="G235" s="19"/>
      <c r="H235" s="19"/>
      <c r="I235" s="373">
        <v>1161621605</v>
      </c>
      <c r="J235" s="375">
        <v>44228</v>
      </c>
      <c r="K235" s="375">
        <v>44228</v>
      </c>
      <c r="L235" s="375">
        <v>35334</v>
      </c>
      <c r="M235" s="374" t="s">
        <v>380</v>
      </c>
      <c r="N235" s="374" t="s">
        <v>381</v>
      </c>
      <c r="O235" s="19"/>
      <c r="P235" s="19"/>
      <c r="Q235" s="19"/>
      <c r="R235" s="19"/>
      <c r="S235" s="19"/>
      <c r="T235" s="19"/>
      <c r="U235" s="19"/>
      <c r="AA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</row>
    <row r="236" spans="1:41">
      <c r="A236" s="19"/>
      <c r="B236" s="19" t="s">
        <v>382</v>
      </c>
      <c r="C236" s="19">
        <v>1550434616</v>
      </c>
      <c r="D236" s="19">
        <f t="shared" si="3"/>
        <v>43500</v>
      </c>
      <c r="E236" s="19">
        <f t="shared" si="4"/>
        <v>42935</v>
      </c>
      <c r="F236" s="19">
        <f t="shared" si="5"/>
        <v>36090</v>
      </c>
      <c r="G236" s="19"/>
      <c r="H236" s="19"/>
      <c r="I236" s="373">
        <v>1550434616</v>
      </c>
      <c r="J236" s="375">
        <v>43500</v>
      </c>
      <c r="K236" s="375">
        <v>43500</v>
      </c>
      <c r="L236" s="375">
        <v>36489</v>
      </c>
      <c r="M236" s="374" t="s">
        <v>383</v>
      </c>
      <c r="N236" s="374" t="s">
        <v>384</v>
      </c>
      <c r="O236" s="19"/>
      <c r="P236" s="19"/>
      <c r="Q236" s="19"/>
      <c r="R236" s="19"/>
      <c r="S236" s="19"/>
      <c r="T236" s="19"/>
      <c r="U236" s="19"/>
      <c r="AA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</row>
    <row r="237" spans="1:41">
      <c r="A237" s="19"/>
      <c r="B237" s="19" t="s">
        <v>385</v>
      </c>
      <c r="C237" s="19">
        <v>1540176236</v>
      </c>
      <c r="D237" s="19">
        <f t="shared" si="3"/>
        <v>44337</v>
      </c>
      <c r="E237" s="19">
        <f t="shared" si="4"/>
        <v>44228</v>
      </c>
      <c r="F237" s="19">
        <f t="shared" si="5"/>
        <v>35334</v>
      </c>
      <c r="G237" s="19"/>
      <c r="H237" s="19"/>
      <c r="I237" s="373">
        <v>1540176236</v>
      </c>
      <c r="J237" s="375">
        <v>44337</v>
      </c>
      <c r="K237" s="375">
        <v>44424</v>
      </c>
      <c r="L237" s="375">
        <v>36361</v>
      </c>
      <c r="M237" s="374" t="s">
        <v>386</v>
      </c>
      <c r="N237" s="374" t="s">
        <v>387</v>
      </c>
      <c r="O237" s="19"/>
      <c r="P237" s="19"/>
      <c r="Q237" s="19"/>
      <c r="R237" s="19"/>
      <c r="S237" s="19"/>
      <c r="T237" s="19"/>
      <c r="U237" s="19"/>
      <c r="AA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</row>
    <row r="238" spans="1:41">
      <c r="A238" s="19"/>
      <c r="B238" s="19" t="s">
        <v>388</v>
      </c>
      <c r="C238" s="19">
        <v>1553129601</v>
      </c>
      <c r="D238" s="19">
        <f t="shared" si="3"/>
        <v>43759</v>
      </c>
      <c r="E238" s="19">
        <f t="shared" si="4"/>
        <v>43500</v>
      </c>
      <c r="F238" s="19">
        <f t="shared" si="5"/>
        <v>36489</v>
      </c>
      <c r="G238" s="19"/>
      <c r="H238" s="19"/>
      <c r="I238" s="373">
        <v>1553129601</v>
      </c>
      <c r="J238" s="375">
        <v>43759</v>
      </c>
      <c r="K238" s="375">
        <v>43759</v>
      </c>
      <c r="L238" s="375">
        <v>37106</v>
      </c>
      <c r="M238" s="374" t="s">
        <v>389</v>
      </c>
      <c r="N238" s="374" t="s">
        <v>390</v>
      </c>
      <c r="O238" s="19"/>
      <c r="P238" s="19"/>
      <c r="Q238" s="19"/>
      <c r="R238" s="19"/>
      <c r="S238" s="19"/>
      <c r="T238" s="19"/>
      <c r="U238" s="19"/>
      <c r="AA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</row>
    <row r="239" spans="1:41">
      <c r="A239" s="19"/>
      <c r="B239" s="19" t="s">
        <v>391</v>
      </c>
      <c r="C239" s="19">
        <v>1543438908</v>
      </c>
      <c r="D239" s="19">
        <f t="shared" si="3"/>
        <v>43479</v>
      </c>
      <c r="E239" s="19">
        <f t="shared" si="4"/>
        <v>44424</v>
      </c>
      <c r="F239" s="19">
        <f t="shared" si="5"/>
        <v>36361</v>
      </c>
      <c r="G239" s="19"/>
      <c r="H239" s="19"/>
      <c r="I239" s="373">
        <v>1543438908</v>
      </c>
      <c r="J239" s="375">
        <v>43479</v>
      </c>
      <c r="K239" s="375">
        <v>43479</v>
      </c>
      <c r="L239" s="375">
        <v>36580</v>
      </c>
      <c r="M239" s="374" t="s">
        <v>392</v>
      </c>
      <c r="N239" s="374" t="s">
        <v>393</v>
      </c>
      <c r="O239" s="19"/>
      <c r="P239" s="19"/>
      <c r="Q239" s="19"/>
      <c r="R239" s="19"/>
      <c r="S239" s="19"/>
      <c r="T239" s="19"/>
      <c r="U239" s="19"/>
      <c r="AA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</row>
    <row r="240" spans="1:41">
      <c r="A240" s="19"/>
      <c r="B240" s="19" t="s">
        <v>394</v>
      </c>
      <c r="C240" s="19">
        <v>1112756430</v>
      </c>
      <c r="D240" s="19">
        <f t="shared" si="3"/>
        <v>42975</v>
      </c>
      <c r="E240" s="19">
        <f t="shared" si="4"/>
        <v>43759</v>
      </c>
      <c r="F240" s="19">
        <f t="shared" si="5"/>
        <v>37106</v>
      </c>
      <c r="G240" s="19"/>
      <c r="H240" s="19"/>
      <c r="I240" s="373">
        <v>1112756430</v>
      </c>
      <c r="J240" s="375">
        <v>42975</v>
      </c>
      <c r="K240" s="375">
        <v>42975</v>
      </c>
      <c r="L240" s="375">
        <v>36049</v>
      </c>
      <c r="M240" s="374" t="s">
        <v>395</v>
      </c>
      <c r="N240" s="374" t="s">
        <v>396</v>
      </c>
      <c r="O240" s="19"/>
      <c r="P240" s="19"/>
      <c r="Q240" s="19"/>
      <c r="R240" s="19"/>
      <c r="S240" s="19"/>
      <c r="T240" s="19"/>
      <c r="U240" s="19"/>
      <c r="AA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</row>
    <row r="241" spans="2:14">
      <c r="B241" s="19" t="s">
        <v>397</v>
      </c>
      <c r="C241" s="19" t="s">
        <v>398</v>
      </c>
      <c r="D241" s="19" t="str">
        <f t="shared" si="3"/>
        <v>Not Found</v>
      </c>
      <c r="E241" s="19">
        <f t="shared" si="4"/>
        <v>43479</v>
      </c>
      <c r="F241" s="19">
        <f t="shared" si="5"/>
        <v>36580</v>
      </c>
      <c r="G241" s="19"/>
      <c r="H241" s="19"/>
      <c r="I241" s="373">
        <v>1258035000</v>
      </c>
      <c r="J241" s="375">
        <v>44102</v>
      </c>
      <c r="K241" s="375">
        <v>44102</v>
      </c>
      <c r="L241" s="375">
        <v>37473</v>
      </c>
      <c r="M241" s="374" t="s">
        <v>399</v>
      </c>
      <c r="N241" s="374" t="s">
        <v>400</v>
      </c>
    </row>
    <row r="242" spans="2:14">
      <c r="B242" s="19" t="s">
        <v>401</v>
      </c>
      <c r="C242" s="19" t="s">
        <v>402</v>
      </c>
      <c r="D242" s="19" t="str">
        <f t="shared" si="3"/>
        <v>Not Found</v>
      </c>
      <c r="E242" s="19">
        <f t="shared" si="4"/>
        <v>42975</v>
      </c>
      <c r="F242" s="19">
        <f t="shared" si="5"/>
        <v>36049</v>
      </c>
      <c r="G242" s="19"/>
      <c r="H242" s="19"/>
      <c r="I242" s="373">
        <v>1398247767</v>
      </c>
      <c r="J242" s="375">
        <v>40429</v>
      </c>
      <c r="K242" s="375">
        <v>40429</v>
      </c>
      <c r="L242" s="375">
        <v>33455</v>
      </c>
      <c r="M242" s="374" t="s">
        <v>403</v>
      </c>
      <c r="N242" s="374" t="s">
        <v>404</v>
      </c>
    </row>
    <row r="243" spans="2:14">
      <c r="B243" s="19" t="s">
        <v>405</v>
      </c>
      <c r="C243" s="19">
        <v>1258035000</v>
      </c>
      <c r="D243" s="19">
        <f t="shared" si="3"/>
        <v>44102</v>
      </c>
      <c r="E243" s="19" t="str">
        <f t="shared" si="4"/>
        <v>Not Found</v>
      </c>
      <c r="F243" s="19" t="str">
        <f t="shared" si="5"/>
        <v>Not Found</v>
      </c>
      <c r="G243" s="19"/>
      <c r="H243" s="19"/>
      <c r="I243" s="373">
        <v>1607729359</v>
      </c>
      <c r="J243" s="375">
        <v>44767</v>
      </c>
      <c r="K243" s="375">
        <v>44767</v>
      </c>
      <c r="L243" s="375">
        <v>38103</v>
      </c>
      <c r="M243" s="374" t="s">
        <v>406</v>
      </c>
      <c r="N243" s="374" t="s">
        <v>407</v>
      </c>
    </row>
    <row r="244" spans="2:14">
      <c r="B244" s="19" t="s">
        <v>408</v>
      </c>
      <c r="C244" s="19">
        <v>1398247767</v>
      </c>
      <c r="D244" s="19">
        <f t="shared" si="3"/>
        <v>40429</v>
      </c>
      <c r="E244" s="19" t="str">
        <f t="shared" si="4"/>
        <v>Not Found</v>
      </c>
      <c r="F244" s="19" t="str">
        <f t="shared" si="5"/>
        <v>Not Found</v>
      </c>
      <c r="G244" s="19"/>
      <c r="H244" s="19"/>
      <c r="I244" s="373">
        <v>1460080165</v>
      </c>
      <c r="J244" s="375">
        <v>41288</v>
      </c>
      <c r="K244" s="375">
        <v>41288</v>
      </c>
      <c r="L244" s="375">
        <v>32238</v>
      </c>
      <c r="M244" s="374" t="s">
        <v>409</v>
      </c>
      <c r="N244" s="374" t="s">
        <v>410</v>
      </c>
    </row>
    <row r="245" spans="2:14">
      <c r="B245" s="19" t="s">
        <v>411</v>
      </c>
      <c r="C245" s="19">
        <v>1607729359</v>
      </c>
      <c r="D245" s="19">
        <f t="shared" si="3"/>
        <v>44767</v>
      </c>
      <c r="E245" s="19">
        <f t="shared" si="4"/>
        <v>44102</v>
      </c>
      <c r="F245" s="19">
        <f t="shared" si="5"/>
        <v>37473</v>
      </c>
      <c r="G245" s="19"/>
      <c r="H245" s="19"/>
      <c r="I245" s="373">
        <v>1565643467</v>
      </c>
      <c r="J245" s="375">
        <v>44082</v>
      </c>
      <c r="K245" s="375">
        <v>44082</v>
      </c>
      <c r="L245" s="375">
        <v>37454</v>
      </c>
      <c r="M245" s="374" t="s">
        <v>412</v>
      </c>
      <c r="N245" s="374" t="s">
        <v>413</v>
      </c>
    </row>
    <row r="246" spans="2:14">
      <c r="B246" s="19" t="s">
        <v>414</v>
      </c>
      <c r="C246" s="19">
        <v>1460080165</v>
      </c>
      <c r="D246" s="19">
        <f t="shared" si="3"/>
        <v>41288</v>
      </c>
      <c r="E246" s="19">
        <f t="shared" si="4"/>
        <v>40429</v>
      </c>
      <c r="F246" s="19">
        <f t="shared" si="5"/>
        <v>33455</v>
      </c>
      <c r="G246" s="19"/>
      <c r="H246" s="19"/>
      <c r="I246" s="373">
        <v>1535935455</v>
      </c>
      <c r="J246" s="375">
        <v>43157</v>
      </c>
      <c r="K246" s="375">
        <v>43157</v>
      </c>
      <c r="L246" s="375">
        <v>36413</v>
      </c>
      <c r="M246" s="374" t="s">
        <v>415</v>
      </c>
      <c r="N246" s="374" t="s">
        <v>416</v>
      </c>
    </row>
    <row r="247" spans="2:14">
      <c r="B247" s="19" t="s">
        <v>417</v>
      </c>
      <c r="C247" s="19">
        <v>1565643467</v>
      </c>
      <c r="D247" s="19">
        <f t="shared" si="3"/>
        <v>44082</v>
      </c>
      <c r="E247" s="19">
        <f t="shared" si="4"/>
        <v>44767</v>
      </c>
      <c r="F247" s="19">
        <f t="shared" si="5"/>
        <v>38103</v>
      </c>
      <c r="G247" s="19"/>
      <c r="H247" s="19"/>
      <c r="I247" s="373">
        <v>1505356434</v>
      </c>
      <c r="J247" s="375">
        <v>42016</v>
      </c>
      <c r="K247" s="375">
        <v>42016</v>
      </c>
      <c r="L247" s="375">
        <v>35089</v>
      </c>
      <c r="M247" s="374" t="s">
        <v>418</v>
      </c>
      <c r="N247" s="374" t="s">
        <v>419</v>
      </c>
    </row>
    <row r="248" spans="2:14">
      <c r="B248" s="19" t="s">
        <v>420</v>
      </c>
      <c r="C248" s="19">
        <v>1535935455</v>
      </c>
      <c r="D248" s="19">
        <f t="shared" si="3"/>
        <v>43157</v>
      </c>
      <c r="E248" s="19">
        <f t="shared" si="4"/>
        <v>41288</v>
      </c>
      <c r="F248" s="19">
        <f t="shared" si="5"/>
        <v>32238</v>
      </c>
      <c r="G248" s="19"/>
      <c r="H248" s="19"/>
      <c r="I248" s="373">
        <v>1573163580</v>
      </c>
      <c r="J248" s="375">
        <v>43815</v>
      </c>
      <c r="K248" s="375">
        <v>43815</v>
      </c>
      <c r="L248" s="375">
        <v>36676</v>
      </c>
      <c r="M248" s="374" t="s">
        <v>421</v>
      </c>
      <c r="N248" s="374" t="s">
        <v>422</v>
      </c>
    </row>
    <row r="249" spans="2:14">
      <c r="B249" s="19" t="s">
        <v>423</v>
      </c>
      <c r="C249" s="19">
        <v>1505356434</v>
      </c>
      <c r="D249" s="19">
        <f t="shared" si="3"/>
        <v>42016</v>
      </c>
      <c r="E249" s="19">
        <f t="shared" si="4"/>
        <v>44082</v>
      </c>
      <c r="F249" s="19">
        <f t="shared" si="5"/>
        <v>37454</v>
      </c>
      <c r="G249" s="19"/>
      <c r="H249" s="19"/>
      <c r="I249" s="373">
        <v>1544459470</v>
      </c>
      <c r="J249" s="375">
        <v>44690</v>
      </c>
      <c r="K249" s="375">
        <v>44690</v>
      </c>
      <c r="L249" s="375">
        <v>36216</v>
      </c>
      <c r="M249" s="374" t="s">
        <v>424</v>
      </c>
      <c r="N249" s="374" t="s">
        <v>425</v>
      </c>
    </row>
    <row r="250" spans="2:14">
      <c r="B250" s="19" t="s">
        <v>426</v>
      </c>
      <c r="C250" s="19">
        <v>1573163580</v>
      </c>
      <c r="D250" s="19">
        <f t="shared" si="3"/>
        <v>43815</v>
      </c>
      <c r="E250" s="19">
        <f t="shared" si="4"/>
        <v>43157</v>
      </c>
      <c r="F250" s="19">
        <f t="shared" si="5"/>
        <v>36413</v>
      </c>
      <c r="G250" s="19"/>
      <c r="H250" s="19"/>
      <c r="I250" s="373">
        <v>1274473270</v>
      </c>
      <c r="J250" s="375">
        <v>38159</v>
      </c>
      <c r="K250" s="375">
        <v>38159</v>
      </c>
      <c r="L250" s="375">
        <v>31406</v>
      </c>
      <c r="M250" s="374" t="s">
        <v>427</v>
      </c>
      <c r="N250" s="374" t="s">
        <v>428</v>
      </c>
    </row>
    <row r="251" spans="2:14">
      <c r="B251" s="19" t="s">
        <v>429</v>
      </c>
      <c r="C251" s="19" t="s">
        <v>367</v>
      </c>
      <c r="D251" s="19" t="str">
        <f t="shared" si="3"/>
        <v>Not Found</v>
      </c>
      <c r="E251" s="19">
        <f t="shared" si="4"/>
        <v>42016</v>
      </c>
      <c r="F251" s="19">
        <f t="shared" si="5"/>
        <v>35089</v>
      </c>
      <c r="G251" s="19"/>
      <c r="H251" s="19"/>
      <c r="I251" s="373">
        <v>1455985435</v>
      </c>
      <c r="J251" s="375">
        <v>41134</v>
      </c>
      <c r="K251" s="375">
        <v>41134</v>
      </c>
      <c r="L251" s="375">
        <v>34253</v>
      </c>
      <c r="M251" s="374" t="s">
        <v>430</v>
      </c>
      <c r="N251" s="374" t="s">
        <v>431</v>
      </c>
    </row>
    <row r="252" spans="2:14">
      <c r="B252" s="19" t="s">
        <v>432</v>
      </c>
      <c r="C252" s="19">
        <v>1544459470</v>
      </c>
      <c r="D252" s="19">
        <f t="shared" si="3"/>
        <v>44690</v>
      </c>
      <c r="E252" s="19">
        <f t="shared" si="4"/>
        <v>43815</v>
      </c>
      <c r="F252" s="19">
        <f t="shared" si="5"/>
        <v>36676</v>
      </c>
      <c r="G252" s="19"/>
      <c r="H252" s="19"/>
      <c r="I252" s="373">
        <v>1548836634</v>
      </c>
      <c r="J252" s="375">
        <v>43500</v>
      </c>
      <c r="K252" s="375">
        <v>43500</v>
      </c>
      <c r="L252" s="375">
        <v>34858</v>
      </c>
      <c r="M252" s="374" t="s">
        <v>433</v>
      </c>
      <c r="N252" s="374" t="s">
        <v>434</v>
      </c>
    </row>
    <row r="253" spans="2:14">
      <c r="B253" s="19" t="s">
        <v>435</v>
      </c>
      <c r="C253" s="19">
        <v>1274473270</v>
      </c>
      <c r="D253" s="19">
        <f t="shared" si="3"/>
        <v>38159</v>
      </c>
      <c r="E253" s="19" t="str">
        <f t="shared" si="4"/>
        <v>Not Found</v>
      </c>
      <c r="F253" s="19" t="str">
        <f t="shared" si="5"/>
        <v>Not Found</v>
      </c>
      <c r="G253" s="19"/>
      <c r="H253" s="19"/>
      <c r="I253" s="373">
        <v>1611172946</v>
      </c>
      <c r="J253" s="375">
        <v>44725</v>
      </c>
      <c r="K253" s="375">
        <v>44725</v>
      </c>
      <c r="L253" s="375">
        <v>36707</v>
      </c>
      <c r="M253" s="374" t="s">
        <v>436</v>
      </c>
      <c r="N253" s="374" t="s">
        <v>437</v>
      </c>
    </row>
    <row r="254" spans="2:14">
      <c r="B254" s="19" t="s">
        <v>438</v>
      </c>
      <c r="C254" s="19">
        <v>1455985435</v>
      </c>
      <c r="D254" s="19">
        <f t="shared" si="3"/>
        <v>41134</v>
      </c>
      <c r="E254" s="19">
        <f t="shared" si="4"/>
        <v>44690</v>
      </c>
      <c r="F254" s="19">
        <f t="shared" si="5"/>
        <v>36216</v>
      </c>
      <c r="G254" s="19"/>
      <c r="H254" s="19"/>
      <c r="I254" s="373">
        <v>1586707589</v>
      </c>
      <c r="J254" s="375">
        <v>43969</v>
      </c>
      <c r="K254" s="375">
        <v>43969</v>
      </c>
      <c r="L254" s="375">
        <v>36975</v>
      </c>
      <c r="M254" s="374" t="s">
        <v>439</v>
      </c>
      <c r="N254" s="374" t="s">
        <v>440</v>
      </c>
    </row>
    <row r="255" spans="2:14">
      <c r="B255" s="19" t="s">
        <v>441</v>
      </c>
      <c r="C255" s="19">
        <v>1548836634</v>
      </c>
      <c r="D255" s="19">
        <f t="shared" si="3"/>
        <v>43500</v>
      </c>
      <c r="E255" s="19">
        <f t="shared" si="4"/>
        <v>38159</v>
      </c>
      <c r="F255" s="19">
        <f t="shared" si="5"/>
        <v>31406</v>
      </c>
      <c r="G255" s="19"/>
      <c r="H255" s="19"/>
      <c r="I255" s="373">
        <v>1128723559</v>
      </c>
      <c r="J255" s="375">
        <v>43609</v>
      </c>
      <c r="K255" s="375">
        <v>43609</v>
      </c>
      <c r="L255" s="375">
        <v>35646</v>
      </c>
      <c r="M255" s="374" t="s">
        <v>442</v>
      </c>
      <c r="N255" s="374" t="s">
        <v>443</v>
      </c>
    </row>
    <row r="256" spans="2:14">
      <c r="B256" s="19" t="s">
        <v>444</v>
      </c>
      <c r="C256" s="19">
        <v>1611172946</v>
      </c>
      <c r="D256" s="19">
        <f t="shared" si="3"/>
        <v>44725</v>
      </c>
      <c r="E256" s="19">
        <f t="shared" si="4"/>
        <v>41134</v>
      </c>
      <c r="F256" s="19">
        <f t="shared" si="5"/>
        <v>34253</v>
      </c>
      <c r="G256" s="19"/>
      <c r="H256" s="19"/>
      <c r="I256" s="373">
        <v>1276929344</v>
      </c>
      <c r="J256" s="375">
        <v>38250</v>
      </c>
      <c r="K256" s="375">
        <v>38250</v>
      </c>
      <c r="L256" s="375">
        <v>31492</v>
      </c>
      <c r="M256" s="374" t="s">
        <v>445</v>
      </c>
      <c r="N256" s="374" t="s">
        <v>446</v>
      </c>
    </row>
    <row r="257" spans="2:14">
      <c r="B257" s="19" t="s">
        <v>447</v>
      </c>
      <c r="C257" s="19">
        <v>1586707589</v>
      </c>
      <c r="D257" s="19">
        <f t="shared" si="3"/>
        <v>43969</v>
      </c>
      <c r="E257" s="19">
        <f t="shared" si="4"/>
        <v>43500</v>
      </c>
      <c r="F257" s="19">
        <f t="shared" si="5"/>
        <v>34858</v>
      </c>
      <c r="G257" s="19"/>
      <c r="H257" s="19"/>
      <c r="I257" s="373">
        <v>1593999960</v>
      </c>
      <c r="J257" s="375">
        <v>44165</v>
      </c>
      <c r="K257" s="375">
        <v>44165</v>
      </c>
      <c r="L257" s="375">
        <v>35323</v>
      </c>
      <c r="M257" s="374" t="s">
        <v>448</v>
      </c>
      <c r="N257" s="374" t="s">
        <v>449</v>
      </c>
    </row>
    <row r="258" spans="2:14">
      <c r="B258" s="19" t="s">
        <v>450</v>
      </c>
      <c r="C258" s="19">
        <v>1128723559</v>
      </c>
      <c r="D258" s="19">
        <f t="shared" si="3"/>
        <v>43609</v>
      </c>
      <c r="E258" s="19">
        <f t="shared" si="4"/>
        <v>44725</v>
      </c>
      <c r="F258" s="19">
        <f t="shared" si="5"/>
        <v>36707</v>
      </c>
      <c r="G258" s="19"/>
      <c r="H258" s="19"/>
      <c r="I258" s="373">
        <v>1545493779</v>
      </c>
      <c r="J258" s="375">
        <v>43353</v>
      </c>
      <c r="K258" s="375">
        <v>43353</v>
      </c>
      <c r="L258" s="375">
        <v>36290</v>
      </c>
      <c r="M258" s="374" t="s">
        <v>451</v>
      </c>
      <c r="N258" s="374" t="s">
        <v>452</v>
      </c>
    </row>
    <row r="259" spans="2:14">
      <c r="B259" s="19" t="s">
        <v>453</v>
      </c>
      <c r="C259" s="19">
        <v>1276929344</v>
      </c>
      <c r="D259" s="19">
        <f t="shared" si="3"/>
        <v>38250</v>
      </c>
      <c r="E259" s="19">
        <f t="shared" si="4"/>
        <v>43969</v>
      </c>
      <c r="F259" s="19">
        <f t="shared" si="5"/>
        <v>36975</v>
      </c>
      <c r="G259" s="19"/>
      <c r="H259" s="19"/>
      <c r="I259" s="373">
        <v>1458838352</v>
      </c>
      <c r="J259" s="375">
        <v>41239</v>
      </c>
      <c r="K259" s="375">
        <v>41239</v>
      </c>
      <c r="L259" s="375">
        <v>34343</v>
      </c>
      <c r="M259" s="374" t="s">
        <v>454</v>
      </c>
      <c r="N259" s="374" t="s">
        <v>455</v>
      </c>
    </row>
    <row r="260" spans="2:14">
      <c r="B260" s="19" t="s">
        <v>456</v>
      </c>
      <c r="C260" s="19">
        <v>1593999960</v>
      </c>
      <c r="D260" s="19">
        <f t="shared" si="3"/>
        <v>44165</v>
      </c>
      <c r="E260" s="19">
        <f t="shared" si="4"/>
        <v>43609</v>
      </c>
      <c r="F260" s="19">
        <f t="shared" si="5"/>
        <v>35646</v>
      </c>
      <c r="G260" s="19"/>
      <c r="H260" s="19"/>
      <c r="I260" s="373">
        <v>1294868590</v>
      </c>
      <c r="J260" s="375">
        <v>39078</v>
      </c>
      <c r="K260" s="375">
        <v>39078</v>
      </c>
      <c r="L260" s="375">
        <v>32142</v>
      </c>
      <c r="M260" s="374" t="s">
        <v>457</v>
      </c>
      <c r="N260" s="374" t="s">
        <v>407</v>
      </c>
    </row>
    <row r="261" spans="2:14">
      <c r="B261" s="19" t="s">
        <v>458</v>
      </c>
      <c r="C261" s="19">
        <v>1545493779</v>
      </c>
      <c r="D261" s="19">
        <f t="shared" si="3"/>
        <v>43353</v>
      </c>
      <c r="E261" s="19">
        <f t="shared" si="4"/>
        <v>38250</v>
      </c>
      <c r="F261" s="19">
        <f t="shared" si="5"/>
        <v>31492</v>
      </c>
      <c r="G261" s="19"/>
      <c r="H261" s="19"/>
      <c r="I261" s="373">
        <v>1376484978</v>
      </c>
      <c r="J261" s="375">
        <v>39741</v>
      </c>
      <c r="K261" s="375">
        <v>39741</v>
      </c>
      <c r="L261" s="375">
        <v>32541</v>
      </c>
      <c r="M261" s="374" t="s">
        <v>457</v>
      </c>
      <c r="N261" s="374" t="s">
        <v>459</v>
      </c>
    </row>
    <row r="262" spans="2:14">
      <c r="B262" s="19" t="s">
        <v>460</v>
      </c>
      <c r="C262" s="19">
        <v>1458838352</v>
      </c>
      <c r="D262" s="19">
        <f t="shared" si="3"/>
        <v>41239</v>
      </c>
      <c r="E262" s="19">
        <f t="shared" si="4"/>
        <v>44165</v>
      </c>
      <c r="F262" s="19">
        <f t="shared" si="5"/>
        <v>35323</v>
      </c>
      <c r="G262" s="19"/>
      <c r="H262" s="19"/>
      <c r="I262" s="373">
        <v>1554141109</v>
      </c>
      <c r="J262" s="375">
        <v>43731</v>
      </c>
      <c r="K262" s="375">
        <v>43731</v>
      </c>
      <c r="L262" s="375">
        <v>36511</v>
      </c>
      <c r="M262" s="374" t="s">
        <v>457</v>
      </c>
      <c r="N262" s="374" t="s">
        <v>455</v>
      </c>
    </row>
    <row r="263" spans="2:14">
      <c r="B263" s="19" t="s">
        <v>461</v>
      </c>
      <c r="C263" s="19">
        <v>1294868590</v>
      </c>
      <c r="D263" s="19">
        <f t="shared" si="3"/>
        <v>39078</v>
      </c>
      <c r="E263" s="19">
        <f t="shared" si="4"/>
        <v>43353</v>
      </c>
      <c r="F263" s="19">
        <f t="shared" si="5"/>
        <v>36290</v>
      </c>
      <c r="G263" s="19"/>
      <c r="H263" s="19"/>
      <c r="I263" s="373">
        <v>1090261831</v>
      </c>
      <c r="J263" s="375">
        <v>43857</v>
      </c>
      <c r="K263" s="375">
        <v>43857</v>
      </c>
      <c r="L263" s="375">
        <v>35619</v>
      </c>
      <c r="M263" s="374" t="s">
        <v>462</v>
      </c>
      <c r="N263" s="374" t="s">
        <v>463</v>
      </c>
    </row>
    <row r="264" spans="2:14">
      <c r="B264" s="19" t="s">
        <v>464</v>
      </c>
      <c r="C264" s="19">
        <v>1554141109</v>
      </c>
      <c r="D264" s="19">
        <f t="shared" si="3"/>
        <v>43731</v>
      </c>
      <c r="E264" s="19">
        <f t="shared" si="4"/>
        <v>41239</v>
      </c>
      <c r="F264" s="19">
        <f t="shared" si="5"/>
        <v>34343</v>
      </c>
      <c r="G264" s="19"/>
      <c r="H264" s="19"/>
      <c r="I264" s="373">
        <v>1589757110</v>
      </c>
      <c r="J264" s="375">
        <v>44005</v>
      </c>
      <c r="K264" s="375">
        <v>44005</v>
      </c>
      <c r="L264" s="375">
        <v>36720</v>
      </c>
      <c r="M264" s="374" t="s">
        <v>465</v>
      </c>
      <c r="N264" s="374" t="s">
        <v>466</v>
      </c>
    </row>
    <row r="265" spans="2:14">
      <c r="B265" s="19" t="s">
        <v>467</v>
      </c>
      <c r="C265" s="19">
        <v>1376484978</v>
      </c>
      <c r="D265" s="19">
        <f t="shared" si="3"/>
        <v>39741</v>
      </c>
      <c r="E265" s="19">
        <f t="shared" si="4"/>
        <v>39078</v>
      </c>
      <c r="F265" s="19">
        <f t="shared" si="5"/>
        <v>32142</v>
      </c>
      <c r="G265" s="19"/>
      <c r="H265" s="19"/>
      <c r="I265" s="373">
        <v>1558523286</v>
      </c>
      <c r="J265" s="375">
        <v>44032</v>
      </c>
      <c r="K265" s="375">
        <v>44032</v>
      </c>
      <c r="L265" s="375">
        <v>37193</v>
      </c>
      <c r="M265" s="374" t="s">
        <v>468</v>
      </c>
      <c r="N265" s="374" t="s">
        <v>469</v>
      </c>
    </row>
    <row r="266" spans="2:14">
      <c r="B266" s="19" t="s">
        <v>470</v>
      </c>
      <c r="C266" s="19">
        <v>1090261831</v>
      </c>
      <c r="D266" s="19">
        <f t="shared" si="3"/>
        <v>43857</v>
      </c>
      <c r="E266" s="19">
        <f t="shared" si="4"/>
        <v>43731</v>
      </c>
      <c r="F266" s="19">
        <f t="shared" si="5"/>
        <v>36511</v>
      </c>
      <c r="G266" s="19"/>
      <c r="H266" s="19"/>
      <c r="I266" s="373">
        <v>1535120117</v>
      </c>
      <c r="J266" s="375">
        <v>42885</v>
      </c>
      <c r="K266" s="375">
        <v>42885</v>
      </c>
      <c r="L266" s="375">
        <v>36043</v>
      </c>
      <c r="M266" s="374" t="s">
        <v>471</v>
      </c>
      <c r="N266" s="374" t="s">
        <v>472</v>
      </c>
    </row>
    <row r="267" spans="2:14">
      <c r="B267" s="19" t="s">
        <v>473</v>
      </c>
      <c r="C267" s="19">
        <v>1589757110</v>
      </c>
      <c r="D267" s="19">
        <f t="shared" si="3"/>
        <v>44005</v>
      </c>
      <c r="E267" s="19">
        <f t="shared" si="4"/>
        <v>39741</v>
      </c>
      <c r="F267" s="19">
        <f t="shared" si="5"/>
        <v>32541</v>
      </c>
      <c r="G267" s="19"/>
      <c r="H267" s="19"/>
      <c r="I267" s="373">
        <v>1571671669</v>
      </c>
      <c r="J267" s="375">
        <v>44060</v>
      </c>
      <c r="K267" s="375">
        <v>44060</v>
      </c>
      <c r="L267" s="375">
        <v>37277</v>
      </c>
      <c r="M267" s="374" t="s">
        <v>474</v>
      </c>
      <c r="N267" s="374" t="s">
        <v>475</v>
      </c>
    </row>
    <row r="268" spans="2:14">
      <c r="B268" s="19" t="s">
        <v>476</v>
      </c>
      <c r="C268" s="19">
        <v>1558523286</v>
      </c>
      <c r="D268" s="19">
        <f t="shared" si="3"/>
        <v>44032</v>
      </c>
      <c r="E268" s="19">
        <f t="shared" si="4"/>
        <v>43857</v>
      </c>
      <c r="F268" s="19">
        <f t="shared" si="5"/>
        <v>35619</v>
      </c>
      <c r="G268" s="19"/>
      <c r="H268" s="19"/>
      <c r="I268" s="373">
        <v>1138745372</v>
      </c>
      <c r="J268" s="375">
        <v>40690</v>
      </c>
      <c r="K268" s="375">
        <v>41673</v>
      </c>
      <c r="L268" s="375">
        <v>33283</v>
      </c>
      <c r="M268" s="374" t="s">
        <v>477</v>
      </c>
      <c r="N268" s="374" t="s">
        <v>404</v>
      </c>
    </row>
    <row r="269" spans="2:14">
      <c r="B269" s="19" t="s">
        <v>478</v>
      </c>
      <c r="C269" s="19" t="s">
        <v>367</v>
      </c>
      <c r="D269" s="19" t="str">
        <f t="shared" si="3"/>
        <v>Not Found</v>
      </c>
      <c r="E269" s="19">
        <f t="shared" si="4"/>
        <v>44005</v>
      </c>
      <c r="F269" s="19">
        <f t="shared" si="5"/>
        <v>36720</v>
      </c>
      <c r="G269" s="19"/>
      <c r="H269" s="19"/>
      <c r="I269" s="373">
        <v>1049387993</v>
      </c>
      <c r="J269" s="375">
        <v>39937</v>
      </c>
      <c r="K269" s="375">
        <v>39937</v>
      </c>
      <c r="L269" s="375">
        <v>32745</v>
      </c>
      <c r="M269" s="374" t="s">
        <v>479</v>
      </c>
      <c r="N269" s="374" t="s">
        <v>455</v>
      </c>
    </row>
    <row r="270" spans="2:14">
      <c r="B270" s="19" t="s">
        <v>226</v>
      </c>
      <c r="C270" s="19">
        <v>1535120117</v>
      </c>
      <c r="D270" s="19">
        <f t="shared" si="3"/>
        <v>42885</v>
      </c>
      <c r="E270" s="19">
        <f t="shared" si="4"/>
        <v>44032</v>
      </c>
      <c r="F270" s="19">
        <f t="shared" si="5"/>
        <v>37193</v>
      </c>
      <c r="G270" s="19"/>
      <c r="H270" s="19"/>
      <c r="I270" s="373">
        <v>1542686401</v>
      </c>
      <c r="J270" s="375">
        <v>43122</v>
      </c>
      <c r="K270" s="375">
        <v>43122</v>
      </c>
      <c r="L270" s="375">
        <v>36008</v>
      </c>
      <c r="M270" s="374" t="s">
        <v>480</v>
      </c>
      <c r="N270" s="374" t="s">
        <v>481</v>
      </c>
    </row>
    <row r="271" spans="2:14">
      <c r="B271" s="19" t="s">
        <v>482</v>
      </c>
      <c r="C271" s="19">
        <v>1571671669</v>
      </c>
      <c r="D271" s="19">
        <f t="shared" si="3"/>
        <v>44060</v>
      </c>
      <c r="E271" s="19" t="str">
        <f t="shared" si="4"/>
        <v>Not Found</v>
      </c>
      <c r="F271" s="19" t="str">
        <f t="shared" si="5"/>
        <v>Not Found</v>
      </c>
      <c r="G271" s="19"/>
      <c r="H271" s="19"/>
      <c r="I271" s="373">
        <v>1606457320</v>
      </c>
      <c r="J271" s="375">
        <v>44543</v>
      </c>
      <c r="K271" s="375">
        <v>44543</v>
      </c>
      <c r="L271" s="375">
        <v>36839</v>
      </c>
      <c r="M271" s="374" t="s">
        <v>483</v>
      </c>
      <c r="N271" s="374" t="s">
        <v>484</v>
      </c>
    </row>
    <row r="272" spans="2:14">
      <c r="B272" s="19" t="s">
        <v>485</v>
      </c>
      <c r="C272" s="19">
        <v>1138745372</v>
      </c>
      <c r="D272" s="19">
        <f t="shared" si="3"/>
        <v>40690</v>
      </c>
      <c r="E272" s="19">
        <f t="shared" si="4"/>
        <v>42885</v>
      </c>
      <c r="F272" s="19">
        <f t="shared" si="5"/>
        <v>36043</v>
      </c>
      <c r="G272" s="19"/>
      <c r="H272" s="19"/>
      <c r="I272" s="373">
        <v>1538493119</v>
      </c>
      <c r="J272" s="375">
        <v>42898</v>
      </c>
      <c r="K272" s="375">
        <v>42898</v>
      </c>
      <c r="L272" s="375">
        <v>35191</v>
      </c>
      <c r="M272" s="374" t="s">
        <v>486</v>
      </c>
      <c r="N272" s="374" t="s">
        <v>487</v>
      </c>
    </row>
    <row r="273" spans="2:14">
      <c r="B273" s="19" t="s">
        <v>488</v>
      </c>
      <c r="C273" s="19">
        <v>1049387993</v>
      </c>
      <c r="D273" s="19">
        <f t="shared" si="3"/>
        <v>39937</v>
      </c>
      <c r="E273" s="19">
        <f t="shared" si="4"/>
        <v>44060</v>
      </c>
      <c r="F273" s="19">
        <f t="shared" si="5"/>
        <v>37277</v>
      </c>
      <c r="G273" s="19"/>
      <c r="H273" s="19"/>
      <c r="I273" s="373">
        <v>1596536375</v>
      </c>
      <c r="J273" s="375">
        <v>44277</v>
      </c>
      <c r="K273" s="375">
        <v>44277</v>
      </c>
      <c r="L273" s="375">
        <v>34746</v>
      </c>
      <c r="M273" s="374" t="s">
        <v>489</v>
      </c>
      <c r="N273" s="374" t="s">
        <v>446</v>
      </c>
    </row>
    <row r="274" spans="2:14">
      <c r="B274" s="19" t="s">
        <v>490</v>
      </c>
      <c r="C274" s="19">
        <v>1542686401</v>
      </c>
      <c r="D274" s="19">
        <f t="shared" si="3"/>
        <v>43122</v>
      </c>
      <c r="E274" s="19">
        <f t="shared" si="4"/>
        <v>41673</v>
      </c>
      <c r="F274" s="19">
        <f t="shared" si="5"/>
        <v>33283</v>
      </c>
      <c r="G274" s="19"/>
      <c r="H274" s="19"/>
      <c r="I274" s="373">
        <v>1243927613</v>
      </c>
      <c r="J274" s="375">
        <v>44446</v>
      </c>
      <c r="K274" s="375">
        <v>44446</v>
      </c>
      <c r="L274" s="375">
        <v>36771</v>
      </c>
      <c r="M274" s="374" t="s">
        <v>491</v>
      </c>
      <c r="N274" s="374" t="s">
        <v>492</v>
      </c>
    </row>
    <row r="275" spans="2:14">
      <c r="B275" s="19" t="s">
        <v>493</v>
      </c>
      <c r="C275" s="19">
        <v>1606457320</v>
      </c>
      <c r="D275" s="19">
        <f t="shared" si="3"/>
        <v>44543</v>
      </c>
      <c r="E275" s="19">
        <f t="shared" si="4"/>
        <v>39937</v>
      </c>
      <c r="F275" s="19">
        <f t="shared" si="5"/>
        <v>32745</v>
      </c>
      <c r="G275" s="19"/>
      <c r="H275" s="19"/>
      <c r="I275" s="373">
        <v>1596139481</v>
      </c>
      <c r="J275" s="375">
        <v>44130</v>
      </c>
      <c r="K275" s="375">
        <v>44130</v>
      </c>
      <c r="L275" s="375">
        <v>34424</v>
      </c>
      <c r="M275" s="374" t="s">
        <v>494</v>
      </c>
      <c r="N275" s="374" t="s">
        <v>495</v>
      </c>
    </row>
    <row r="276" spans="2:14">
      <c r="B276" s="19" t="s">
        <v>496</v>
      </c>
      <c r="C276" s="19">
        <v>1538493119</v>
      </c>
      <c r="D276" s="19">
        <f t="shared" si="3"/>
        <v>42898</v>
      </c>
      <c r="E276" s="19">
        <f t="shared" si="4"/>
        <v>43122</v>
      </c>
      <c r="F276" s="19">
        <f t="shared" si="5"/>
        <v>36008</v>
      </c>
      <c r="G276" s="19"/>
      <c r="H276" s="19"/>
      <c r="I276" s="373">
        <v>1603920933</v>
      </c>
      <c r="J276" s="375">
        <v>44725</v>
      </c>
      <c r="K276" s="375">
        <v>44725</v>
      </c>
      <c r="L276" s="375">
        <v>37887</v>
      </c>
      <c r="M276" s="374" t="s">
        <v>497</v>
      </c>
      <c r="N276" s="374" t="s">
        <v>481</v>
      </c>
    </row>
    <row r="277" spans="2:14">
      <c r="B277" s="19" t="s">
        <v>498</v>
      </c>
      <c r="C277" s="19">
        <v>1596536375</v>
      </c>
      <c r="D277" s="19">
        <f t="shared" si="3"/>
        <v>44277</v>
      </c>
      <c r="E277" s="19">
        <f t="shared" si="4"/>
        <v>44543</v>
      </c>
      <c r="F277" s="19">
        <f t="shared" si="5"/>
        <v>36839</v>
      </c>
      <c r="G277" s="19"/>
      <c r="H277" s="19"/>
      <c r="I277" s="373">
        <v>1588365928</v>
      </c>
      <c r="J277" s="375">
        <v>44543</v>
      </c>
      <c r="K277" s="375">
        <v>44543</v>
      </c>
      <c r="L277" s="375">
        <v>36977</v>
      </c>
      <c r="M277" s="374" t="s">
        <v>499</v>
      </c>
      <c r="N277" s="374" t="s">
        <v>500</v>
      </c>
    </row>
    <row r="278" spans="2:14">
      <c r="B278" s="19" t="s">
        <v>501</v>
      </c>
      <c r="C278" s="19">
        <v>1243927613</v>
      </c>
      <c r="D278" s="19">
        <f t="shared" si="3"/>
        <v>44446</v>
      </c>
      <c r="E278" s="19">
        <f t="shared" si="4"/>
        <v>42898</v>
      </c>
      <c r="F278" s="19">
        <f t="shared" si="5"/>
        <v>35191</v>
      </c>
      <c r="G278" s="19"/>
      <c r="H278" s="19"/>
      <c r="I278" s="373">
        <v>1289923035</v>
      </c>
      <c r="J278" s="375">
        <v>38852</v>
      </c>
      <c r="K278" s="375">
        <v>38852</v>
      </c>
      <c r="L278" s="375">
        <v>31462</v>
      </c>
      <c r="M278" s="374" t="s">
        <v>502</v>
      </c>
      <c r="N278" s="374" t="s">
        <v>503</v>
      </c>
    </row>
    <row r="279" spans="2:14">
      <c r="B279" s="19" t="s">
        <v>504</v>
      </c>
      <c r="C279" s="19">
        <v>1596139481</v>
      </c>
      <c r="D279" s="19">
        <f t="shared" si="3"/>
        <v>44130</v>
      </c>
      <c r="E279" s="19">
        <f t="shared" si="4"/>
        <v>44277</v>
      </c>
      <c r="F279" s="19">
        <f t="shared" si="5"/>
        <v>34746</v>
      </c>
      <c r="G279" s="19"/>
      <c r="H279" s="19"/>
      <c r="I279" s="373">
        <v>1604294041</v>
      </c>
      <c r="J279" s="375">
        <v>44446</v>
      </c>
      <c r="K279" s="375">
        <v>44446</v>
      </c>
      <c r="L279" s="375">
        <v>37326</v>
      </c>
      <c r="M279" s="374" t="s">
        <v>505</v>
      </c>
      <c r="N279" s="374" t="s">
        <v>506</v>
      </c>
    </row>
    <row r="280" spans="2:14">
      <c r="B280" s="19" t="s">
        <v>507</v>
      </c>
      <c r="C280" s="19">
        <v>1603920933</v>
      </c>
      <c r="D280" s="19">
        <f t="shared" si="3"/>
        <v>44725</v>
      </c>
      <c r="E280" s="19">
        <f t="shared" si="4"/>
        <v>44446</v>
      </c>
      <c r="F280" s="19">
        <f t="shared" si="5"/>
        <v>36771</v>
      </c>
      <c r="G280" s="19"/>
      <c r="H280" s="19"/>
      <c r="I280" s="373">
        <v>1611449514</v>
      </c>
      <c r="J280" s="375">
        <v>44802</v>
      </c>
      <c r="K280" s="375">
        <v>44802</v>
      </c>
      <c r="L280" s="375">
        <v>38009</v>
      </c>
      <c r="M280" s="374" t="s">
        <v>508</v>
      </c>
      <c r="N280" s="374" t="s">
        <v>509</v>
      </c>
    </row>
    <row r="281" spans="2:14">
      <c r="B281" s="19" t="s">
        <v>510</v>
      </c>
      <c r="C281" s="19">
        <v>1588365928</v>
      </c>
      <c r="D281" s="19">
        <f t="shared" si="3"/>
        <v>44543</v>
      </c>
      <c r="E281" s="19">
        <f t="shared" si="4"/>
        <v>44130</v>
      </c>
      <c r="F281" s="19">
        <f t="shared" si="5"/>
        <v>34424</v>
      </c>
      <c r="G281" s="19"/>
      <c r="H281" s="19"/>
      <c r="I281" s="373">
        <v>1543374390</v>
      </c>
      <c r="J281" s="375">
        <v>43617</v>
      </c>
      <c r="K281" s="375">
        <v>44217</v>
      </c>
      <c r="L281" s="375">
        <v>36015</v>
      </c>
      <c r="M281" s="374" t="s">
        <v>511</v>
      </c>
      <c r="N281" s="374" t="s">
        <v>400</v>
      </c>
    </row>
    <row r="282" spans="2:14">
      <c r="B282" s="19" t="s">
        <v>512</v>
      </c>
      <c r="C282" s="19">
        <v>1289923035</v>
      </c>
      <c r="D282" s="19">
        <f t="shared" si="3"/>
        <v>38852</v>
      </c>
      <c r="E282" s="19">
        <f t="shared" si="4"/>
        <v>44725</v>
      </c>
      <c r="F282" s="19">
        <f t="shared" si="5"/>
        <v>37887</v>
      </c>
      <c r="G282" s="19"/>
      <c r="H282" s="19"/>
      <c r="I282" s="373">
        <v>1260664200</v>
      </c>
      <c r="J282" s="375">
        <v>44368</v>
      </c>
      <c r="K282" s="375">
        <v>44368</v>
      </c>
      <c r="L282" s="375">
        <v>37549</v>
      </c>
      <c r="M282" s="374" t="s">
        <v>513</v>
      </c>
      <c r="N282" s="374" t="s">
        <v>514</v>
      </c>
    </row>
    <row r="283" spans="2:14">
      <c r="B283" s="19" t="s">
        <v>515</v>
      </c>
      <c r="C283" s="19">
        <v>1604294041</v>
      </c>
      <c r="D283" s="19">
        <f t="shared" si="3"/>
        <v>44446</v>
      </c>
      <c r="E283" s="19">
        <f t="shared" si="4"/>
        <v>44543</v>
      </c>
      <c r="F283" s="19">
        <f t="shared" si="5"/>
        <v>36977</v>
      </c>
      <c r="G283" s="19"/>
      <c r="H283" s="19"/>
      <c r="I283" s="373">
        <v>1588615061</v>
      </c>
      <c r="J283" s="375">
        <v>44102</v>
      </c>
      <c r="K283" s="375">
        <v>44102</v>
      </c>
      <c r="L283" s="375">
        <v>36986</v>
      </c>
      <c r="M283" s="374" t="s">
        <v>516</v>
      </c>
      <c r="N283" s="374" t="s">
        <v>517</v>
      </c>
    </row>
    <row r="284" spans="2:14">
      <c r="B284" s="19" t="s">
        <v>518</v>
      </c>
      <c r="C284" s="19">
        <v>1543374390</v>
      </c>
      <c r="D284" s="19">
        <f t="shared" si="3"/>
        <v>43617</v>
      </c>
      <c r="E284" s="19">
        <f t="shared" si="4"/>
        <v>38852</v>
      </c>
      <c r="F284" s="19">
        <f t="shared" si="5"/>
        <v>31462</v>
      </c>
      <c r="G284" s="19"/>
      <c r="H284" s="19"/>
      <c r="I284" s="373">
        <v>1554478154</v>
      </c>
      <c r="J284" s="375">
        <v>43843</v>
      </c>
      <c r="K284" s="375">
        <v>43843</v>
      </c>
      <c r="L284" s="375">
        <v>36657</v>
      </c>
      <c r="M284" s="374" t="s">
        <v>519</v>
      </c>
      <c r="N284" s="374" t="s">
        <v>520</v>
      </c>
    </row>
    <row r="285" spans="2:14">
      <c r="B285" s="19" t="s">
        <v>521</v>
      </c>
      <c r="C285" s="19">
        <v>1260664200</v>
      </c>
      <c r="D285" s="19">
        <f t="shared" si="3"/>
        <v>44368</v>
      </c>
      <c r="E285" s="19">
        <f t="shared" si="4"/>
        <v>44446</v>
      </c>
      <c r="F285" s="19">
        <f t="shared" si="5"/>
        <v>37326</v>
      </c>
      <c r="G285" s="19"/>
      <c r="H285" s="19"/>
      <c r="I285" s="373">
        <v>1550843915</v>
      </c>
      <c r="J285" s="375">
        <v>43570</v>
      </c>
      <c r="K285" s="375">
        <v>43570</v>
      </c>
      <c r="L285" s="375">
        <v>35668</v>
      </c>
      <c r="M285" s="374" t="s">
        <v>522</v>
      </c>
      <c r="N285" s="374" t="s">
        <v>396</v>
      </c>
    </row>
    <row r="286" spans="2:14">
      <c r="B286" s="19" t="s">
        <v>523</v>
      </c>
      <c r="C286" s="19">
        <v>1588615061</v>
      </c>
      <c r="D286" s="19">
        <f t="shared" si="3"/>
        <v>44102</v>
      </c>
      <c r="E286" s="19">
        <f t="shared" si="4"/>
        <v>44217</v>
      </c>
      <c r="F286" s="19">
        <f t="shared" si="5"/>
        <v>36015</v>
      </c>
      <c r="G286" s="19"/>
      <c r="H286" s="19"/>
      <c r="I286" s="373">
        <v>1455981839</v>
      </c>
      <c r="J286" s="375">
        <v>41134</v>
      </c>
      <c r="K286" s="375">
        <v>41134</v>
      </c>
      <c r="L286" s="375">
        <v>34178</v>
      </c>
      <c r="M286" s="374" t="s">
        <v>524</v>
      </c>
      <c r="N286" s="374" t="s">
        <v>484</v>
      </c>
    </row>
    <row r="287" spans="2:14">
      <c r="B287" s="19" t="s">
        <v>525</v>
      </c>
      <c r="C287" s="19">
        <v>1554478154</v>
      </c>
      <c r="D287" s="19">
        <f t="shared" si="3"/>
        <v>43843</v>
      </c>
      <c r="E287" s="19">
        <f t="shared" si="4"/>
        <v>44368</v>
      </c>
      <c r="F287" s="19">
        <f t="shared" si="5"/>
        <v>37549</v>
      </c>
      <c r="G287" s="19"/>
      <c r="H287" s="19"/>
      <c r="I287" s="373">
        <v>1248677399</v>
      </c>
      <c r="J287" s="375">
        <v>44165</v>
      </c>
      <c r="K287" s="375">
        <v>44165</v>
      </c>
      <c r="L287" s="375">
        <v>37064</v>
      </c>
      <c r="M287" s="374" t="s">
        <v>526</v>
      </c>
      <c r="N287" s="374" t="s">
        <v>527</v>
      </c>
    </row>
    <row r="288" spans="2:14">
      <c r="B288" s="19" t="s">
        <v>528</v>
      </c>
      <c r="C288" s="19">
        <v>1550843915</v>
      </c>
      <c r="D288" s="19">
        <f t="shared" ref="D288:D342" si="6">_xlfn.XLOOKUP(C288,$I$224:$I$332,$J$224:$J$332,"Not Found")</f>
        <v>43570</v>
      </c>
      <c r="E288" s="19">
        <f t="shared" si="4"/>
        <v>44102</v>
      </c>
      <c r="F288" s="19">
        <f t="shared" si="5"/>
        <v>36986</v>
      </c>
      <c r="G288" s="19"/>
      <c r="H288" s="19"/>
      <c r="I288" s="373">
        <v>1571472364</v>
      </c>
      <c r="J288" s="375">
        <v>44200</v>
      </c>
      <c r="K288" s="375">
        <v>44200</v>
      </c>
      <c r="L288" s="375">
        <v>34736</v>
      </c>
      <c r="M288" s="374" t="s">
        <v>529</v>
      </c>
      <c r="N288" s="374" t="s">
        <v>530</v>
      </c>
    </row>
    <row r="289" spans="2:14">
      <c r="B289" s="19" t="s">
        <v>531</v>
      </c>
      <c r="C289" s="19">
        <v>1455981839</v>
      </c>
      <c r="D289" s="19">
        <f t="shared" si="6"/>
        <v>41134</v>
      </c>
      <c r="E289" s="19">
        <f t="shared" si="4"/>
        <v>43843</v>
      </c>
      <c r="F289" s="19">
        <f t="shared" si="5"/>
        <v>36657</v>
      </c>
      <c r="G289" s="19"/>
      <c r="H289" s="19"/>
      <c r="I289" s="373">
        <v>1030831043</v>
      </c>
      <c r="J289" s="375">
        <v>40343</v>
      </c>
      <c r="K289" s="375">
        <v>40343</v>
      </c>
      <c r="L289" s="375">
        <v>31101</v>
      </c>
      <c r="M289" s="374" t="s">
        <v>532</v>
      </c>
      <c r="N289" s="374" t="s">
        <v>533</v>
      </c>
    </row>
    <row r="290" spans="2:14">
      <c r="B290" s="19" t="s">
        <v>534</v>
      </c>
      <c r="C290" s="19">
        <v>1248677399</v>
      </c>
      <c r="D290" s="19">
        <f t="shared" si="6"/>
        <v>44165</v>
      </c>
      <c r="E290" s="19">
        <f t="shared" ref="E290:E344" si="7">_xlfn.XLOOKUP(C288,$I$224:$I$332,$K$224:$K$332,"Not Found")</f>
        <v>43570</v>
      </c>
      <c r="F290" s="19">
        <f t="shared" ref="F290:F344" si="8">_xlfn.XLOOKUP(C288,$I$224:$I$332,$L$224:$L$332,"Not Found")</f>
        <v>35668</v>
      </c>
      <c r="G290" s="19"/>
      <c r="H290" s="19"/>
      <c r="I290" s="373">
        <v>1512009952</v>
      </c>
      <c r="J290" s="375">
        <v>43609</v>
      </c>
      <c r="K290" s="375">
        <v>43609</v>
      </c>
      <c r="L290" s="375">
        <v>35502</v>
      </c>
      <c r="M290" s="374" t="s">
        <v>535</v>
      </c>
      <c r="N290" s="374" t="s">
        <v>446</v>
      </c>
    </row>
    <row r="291" spans="2:14">
      <c r="B291" s="19" t="s">
        <v>536</v>
      </c>
      <c r="C291" s="19">
        <v>1571472364</v>
      </c>
      <c r="D291" s="19">
        <f t="shared" si="6"/>
        <v>44200</v>
      </c>
      <c r="E291" s="19">
        <f t="shared" si="7"/>
        <v>41134</v>
      </c>
      <c r="F291" s="19">
        <f t="shared" si="8"/>
        <v>34178</v>
      </c>
      <c r="G291" s="19"/>
      <c r="H291" s="19"/>
      <c r="I291" s="373">
        <v>1257814765</v>
      </c>
      <c r="J291" s="375">
        <v>44039</v>
      </c>
      <c r="K291" s="375">
        <v>44039</v>
      </c>
      <c r="L291" s="375">
        <v>37422</v>
      </c>
      <c r="M291" s="374" t="s">
        <v>537</v>
      </c>
      <c r="N291" s="374" t="s">
        <v>538</v>
      </c>
    </row>
    <row r="292" spans="2:14">
      <c r="B292" s="19" t="s">
        <v>539</v>
      </c>
      <c r="C292" s="19">
        <v>1030831043</v>
      </c>
      <c r="D292" s="19">
        <f t="shared" si="6"/>
        <v>40343</v>
      </c>
      <c r="E292" s="19">
        <f t="shared" si="7"/>
        <v>44165</v>
      </c>
      <c r="F292" s="19">
        <f t="shared" si="8"/>
        <v>37064</v>
      </c>
      <c r="G292" s="19"/>
      <c r="H292" s="19"/>
      <c r="I292" s="373">
        <v>1038918563</v>
      </c>
      <c r="J292" s="375">
        <v>43018</v>
      </c>
      <c r="K292" s="375">
        <v>43018</v>
      </c>
      <c r="L292" s="375">
        <v>35256</v>
      </c>
      <c r="M292" s="374" t="s">
        <v>540</v>
      </c>
      <c r="N292" s="374" t="s">
        <v>422</v>
      </c>
    </row>
    <row r="293" spans="2:14">
      <c r="B293" s="19" t="s">
        <v>541</v>
      </c>
      <c r="C293" s="19" t="s">
        <v>367</v>
      </c>
      <c r="D293" s="19" t="str">
        <f t="shared" si="6"/>
        <v>Not Found</v>
      </c>
      <c r="E293" s="19">
        <f t="shared" si="7"/>
        <v>44200</v>
      </c>
      <c r="F293" s="19">
        <f t="shared" si="8"/>
        <v>34736</v>
      </c>
      <c r="G293" s="19"/>
      <c r="H293" s="19"/>
      <c r="I293" s="373">
        <v>1381142651</v>
      </c>
      <c r="J293" s="375">
        <v>40917</v>
      </c>
      <c r="K293" s="375">
        <v>40917</v>
      </c>
      <c r="L293" s="375">
        <v>33310</v>
      </c>
      <c r="M293" s="374" t="s">
        <v>542</v>
      </c>
      <c r="N293" s="374" t="s">
        <v>404</v>
      </c>
    </row>
    <row r="294" spans="2:14">
      <c r="B294" s="19" t="s">
        <v>543</v>
      </c>
      <c r="C294" s="19">
        <v>1512009952</v>
      </c>
      <c r="D294" s="19">
        <f t="shared" si="6"/>
        <v>43609</v>
      </c>
      <c r="E294" s="19">
        <f t="shared" si="7"/>
        <v>40343</v>
      </c>
      <c r="F294" s="19">
        <f t="shared" si="8"/>
        <v>31101</v>
      </c>
      <c r="G294" s="19"/>
      <c r="H294" s="19"/>
      <c r="I294" s="373">
        <v>1557532940</v>
      </c>
      <c r="J294" s="375">
        <v>43843</v>
      </c>
      <c r="K294" s="375">
        <v>43843</v>
      </c>
      <c r="L294" s="375">
        <v>36580</v>
      </c>
      <c r="M294" s="374" t="s">
        <v>544</v>
      </c>
      <c r="N294" s="374" t="s">
        <v>527</v>
      </c>
    </row>
    <row r="295" spans="2:14">
      <c r="B295" s="19" t="s">
        <v>545</v>
      </c>
      <c r="C295" s="19" t="s">
        <v>367</v>
      </c>
      <c r="D295" s="19" t="str">
        <f t="shared" si="6"/>
        <v>Not Found</v>
      </c>
      <c r="E295" s="19" t="str">
        <f t="shared" si="7"/>
        <v>Not Found</v>
      </c>
      <c r="F295" s="19" t="str">
        <f t="shared" si="8"/>
        <v>Not Found</v>
      </c>
      <c r="G295" s="19"/>
      <c r="H295" s="19"/>
      <c r="I295" s="373">
        <v>1598479964</v>
      </c>
      <c r="J295" s="375">
        <v>44424</v>
      </c>
      <c r="K295" s="375">
        <v>44424</v>
      </c>
      <c r="L295" s="375">
        <v>37588</v>
      </c>
      <c r="M295" s="374" t="s">
        <v>546</v>
      </c>
      <c r="N295" s="374" t="s">
        <v>547</v>
      </c>
    </row>
    <row r="296" spans="2:14">
      <c r="B296" s="19" t="s">
        <v>548</v>
      </c>
      <c r="C296" s="19">
        <v>1257814765</v>
      </c>
      <c r="D296" s="19">
        <f t="shared" si="6"/>
        <v>44039</v>
      </c>
      <c r="E296" s="19">
        <f t="shared" si="7"/>
        <v>43609</v>
      </c>
      <c r="F296" s="19">
        <f t="shared" si="8"/>
        <v>35502</v>
      </c>
      <c r="G296" s="19"/>
      <c r="H296" s="19"/>
      <c r="I296" s="373">
        <v>1546255332</v>
      </c>
      <c r="J296" s="375">
        <v>43262</v>
      </c>
      <c r="K296" s="375">
        <v>43262</v>
      </c>
      <c r="L296" s="375">
        <v>36514</v>
      </c>
      <c r="M296" s="374" t="s">
        <v>549</v>
      </c>
      <c r="N296" s="374" t="s">
        <v>437</v>
      </c>
    </row>
    <row r="297" spans="2:14">
      <c r="B297" s="19" t="s">
        <v>550</v>
      </c>
      <c r="C297" s="19">
        <v>1038918563</v>
      </c>
      <c r="D297" s="19">
        <f t="shared" si="6"/>
        <v>43018</v>
      </c>
      <c r="E297" s="19" t="str">
        <f t="shared" si="7"/>
        <v>Not Found</v>
      </c>
      <c r="F297" s="19" t="str">
        <f t="shared" si="8"/>
        <v>Not Found</v>
      </c>
      <c r="G297" s="19"/>
      <c r="H297" s="19"/>
      <c r="I297" s="373">
        <v>1608818797</v>
      </c>
      <c r="J297" s="375">
        <v>44802</v>
      </c>
      <c r="K297" s="375">
        <v>44802</v>
      </c>
      <c r="L297" s="375">
        <v>38155</v>
      </c>
      <c r="M297" s="374" t="s">
        <v>551</v>
      </c>
      <c r="N297" s="374" t="s">
        <v>552</v>
      </c>
    </row>
    <row r="298" spans="2:14">
      <c r="B298" s="19" t="s">
        <v>553</v>
      </c>
      <c r="C298" s="19">
        <v>1381142651</v>
      </c>
      <c r="D298" s="19">
        <f t="shared" si="6"/>
        <v>40917</v>
      </c>
      <c r="E298" s="19">
        <f t="shared" si="7"/>
        <v>44039</v>
      </c>
      <c r="F298" s="19">
        <f t="shared" si="8"/>
        <v>37422</v>
      </c>
      <c r="G298" s="19"/>
      <c r="H298" s="19"/>
      <c r="I298" s="373">
        <v>1553606876</v>
      </c>
      <c r="J298" s="375">
        <v>43613</v>
      </c>
      <c r="K298" s="375">
        <v>43613</v>
      </c>
      <c r="L298" s="375">
        <v>36015</v>
      </c>
      <c r="M298" s="374" t="s">
        <v>554</v>
      </c>
      <c r="N298" s="374" t="s">
        <v>555</v>
      </c>
    </row>
    <row r="299" spans="2:14">
      <c r="B299" s="19" t="s">
        <v>556</v>
      </c>
      <c r="C299" s="19">
        <v>1557532940</v>
      </c>
      <c r="D299" s="19">
        <f t="shared" si="6"/>
        <v>43843</v>
      </c>
      <c r="E299" s="19">
        <f t="shared" si="7"/>
        <v>43018</v>
      </c>
      <c r="F299" s="19">
        <f t="shared" si="8"/>
        <v>35256</v>
      </c>
      <c r="G299" s="19"/>
      <c r="H299" s="19"/>
      <c r="I299" s="373">
        <v>1555754562</v>
      </c>
      <c r="J299" s="375">
        <v>43654</v>
      </c>
      <c r="K299" s="375">
        <v>43654</v>
      </c>
      <c r="L299" s="375">
        <v>36503</v>
      </c>
      <c r="M299" s="374" t="s">
        <v>557</v>
      </c>
      <c r="N299" s="374" t="s">
        <v>558</v>
      </c>
    </row>
    <row r="300" spans="2:14">
      <c r="B300" s="19" t="s">
        <v>559</v>
      </c>
      <c r="C300" s="19">
        <v>1598479964</v>
      </c>
      <c r="D300" s="19">
        <f t="shared" si="6"/>
        <v>44424</v>
      </c>
      <c r="E300" s="19">
        <f t="shared" si="7"/>
        <v>40917</v>
      </c>
      <c r="F300" s="19">
        <f t="shared" si="8"/>
        <v>33310</v>
      </c>
      <c r="G300" s="19"/>
      <c r="H300" s="19"/>
      <c r="I300" s="373">
        <v>1543571055</v>
      </c>
      <c r="J300" s="375">
        <v>43220</v>
      </c>
      <c r="K300" s="375">
        <v>43220</v>
      </c>
      <c r="L300" s="375">
        <v>35502</v>
      </c>
      <c r="M300" s="374" t="s">
        <v>560</v>
      </c>
      <c r="N300" s="374" t="s">
        <v>561</v>
      </c>
    </row>
    <row r="301" spans="2:14">
      <c r="B301" s="19" t="s">
        <v>562</v>
      </c>
      <c r="C301" s="19">
        <v>1546255332</v>
      </c>
      <c r="D301" s="19">
        <f t="shared" si="6"/>
        <v>43262</v>
      </c>
      <c r="E301" s="19">
        <f t="shared" si="7"/>
        <v>43843</v>
      </c>
      <c r="F301" s="19">
        <f t="shared" si="8"/>
        <v>36580</v>
      </c>
      <c r="G301" s="19"/>
      <c r="H301" s="19"/>
      <c r="I301" s="373">
        <v>1249477377</v>
      </c>
      <c r="J301" s="375">
        <v>44614</v>
      </c>
      <c r="K301" s="375">
        <v>44614</v>
      </c>
      <c r="L301" s="375">
        <v>37080</v>
      </c>
      <c r="M301" s="374" t="s">
        <v>563</v>
      </c>
      <c r="N301" s="374" t="s">
        <v>564</v>
      </c>
    </row>
    <row r="302" spans="2:14">
      <c r="B302" s="19" t="s">
        <v>565</v>
      </c>
      <c r="C302" s="19">
        <v>1608818797</v>
      </c>
      <c r="D302" s="19">
        <f t="shared" si="6"/>
        <v>44802</v>
      </c>
      <c r="E302" s="19">
        <f t="shared" si="7"/>
        <v>44424</v>
      </c>
      <c r="F302" s="19">
        <f t="shared" si="8"/>
        <v>37588</v>
      </c>
      <c r="G302" s="19"/>
      <c r="H302" s="19"/>
      <c r="I302" s="373">
        <v>1536443238</v>
      </c>
      <c r="J302" s="375">
        <v>42765</v>
      </c>
      <c r="K302" s="375">
        <v>42765</v>
      </c>
      <c r="L302" s="375">
        <v>35775</v>
      </c>
      <c r="M302" s="374" t="s">
        <v>566</v>
      </c>
      <c r="N302" s="374" t="s">
        <v>348</v>
      </c>
    </row>
    <row r="303" spans="2:14">
      <c r="B303" s="19" t="s">
        <v>567</v>
      </c>
      <c r="C303" s="19">
        <v>1553606876</v>
      </c>
      <c r="D303" s="19">
        <f t="shared" si="6"/>
        <v>43613</v>
      </c>
      <c r="E303" s="19">
        <f t="shared" si="7"/>
        <v>43262</v>
      </c>
      <c r="F303" s="19">
        <f t="shared" si="8"/>
        <v>36514</v>
      </c>
      <c r="G303" s="19"/>
      <c r="H303" s="19"/>
      <c r="I303" s="373">
        <v>1391954905</v>
      </c>
      <c r="J303" s="375">
        <v>40189</v>
      </c>
      <c r="K303" s="375">
        <v>40189</v>
      </c>
      <c r="L303" s="375">
        <v>32375</v>
      </c>
      <c r="M303" s="374" t="s">
        <v>568</v>
      </c>
      <c r="N303" s="374" t="s">
        <v>569</v>
      </c>
    </row>
    <row r="304" spans="2:14">
      <c r="B304" s="19" t="s">
        <v>570</v>
      </c>
      <c r="C304" s="19">
        <v>1555754562</v>
      </c>
      <c r="D304" s="19">
        <f t="shared" si="6"/>
        <v>43654</v>
      </c>
      <c r="E304" s="19">
        <f t="shared" si="7"/>
        <v>44802</v>
      </c>
      <c r="F304" s="19">
        <f t="shared" si="8"/>
        <v>38155</v>
      </c>
      <c r="G304" s="19"/>
      <c r="H304" s="19"/>
      <c r="I304" s="373">
        <v>1467972622</v>
      </c>
      <c r="J304" s="375">
        <v>41477</v>
      </c>
      <c r="K304" s="375">
        <v>41477</v>
      </c>
      <c r="L304" s="375">
        <v>34709</v>
      </c>
      <c r="M304" s="374" t="s">
        <v>571</v>
      </c>
      <c r="N304" s="374" t="s">
        <v>572</v>
      </c>
    </row>
    <row r="305" spans="2:14">
      <c r="B305" s="19" t="s">
        <v>573</v>
      </c>
      <c r="C305" s="19">
        <v>1543571055</v>
      </c>
      <c r="D305" s="19">
        <f t="shared" si="6"/>
        <v>43220</v>
      </c>
      <c r="E305" s="19">
        <f t="shared" si="7"/>
        <v>43613</v>
      </c>
      <c r="F305" s="19">
        <f t="shared" si="8"/>
        <v>36015</v>
      </c>
      <c r="G305" s="19"/>
      <c r="H305" s="19"/>
      <c r="I305" s="373">
        <v>1573256588</v>
      </c>
      <c r="J305" s="375">
        <v>43969</v>
      </c>
      <c r="K305" s="375">
        <v>43969</v>
      </c>
      <c r="L305" s="375">
        <v>34805</v>
      </c>
      <c r="M305" s="374" t="s">
        <v>574</v>
      </c>
      <c r="N305" s="374" t="s">
        <v>555</v>
      </c>
    </row>
    <row r="306" spans="2:14">
      <c r="B306" s="19" t="s">
        <v>575</v>
      </c>
      <c r="C306" s="19">
        <v>1249477377</v>
      </c>
      <c r="D306" s="19">
        <f t="shared" si="6"/>
        <v>44614</v>
      </c>
      <c r="E306" s="19">
        <f t="shared" si="7"/>
        <v>43654</v>
      </c>
      <c r="F306" s="19">
        <f t="shared" si="8"/>
        <v>36503</v>
      </c>
      <c r="G306" s="19"/>
      <c r="H306" s="19"/>
      <c r="I306" s="373">
        <v>1597592660</v>
      </c>
      <c r="J306" s="375">
        <v>44348</v>
      </c>
      <c r="K306" s="375">
        <v>44348</v>
      </c>
      <c r="L306" s="375">
        <v>35941</v>
      </c>
      <c r="M306" s="374" t="s">
        <v>576</v>
      </c>
      <c r="N306" s="374" t="s">
        <v>577</v>
      </c>
    </row>
    <row r="307" spans="2:14">
      <c r="B307" s="19" t="s">
        <v>578</v>
      </c>
      <c r="C307" s="19">
        <v>1536443238</v>
      </c>
      <c r="D307" s="19">
        <f t="shared" si="6"/>
        <v>42765</v>
      </c>
      <c r="E307" s="19">
        <f t="shared" si="7"/>
        <v>43220</v>
      </c>
      <c r="F307" s="19">
        <f t="shared" si="8"/>
        <v>35502</v>
      </c>
      <c r="G307" s="19"/>
      <c r="H307" s="19"/>
      <c r="I307" s="373">
        <v>1589170144</v>
      </c>
      <c r="J307" s="375">
        <v>44074</v>
      </c>
      <c r="K307" s="375">
        <v>44074</v>
      </c>
      <c r="L307" s="375">
        <v>37420</v>
      </c>
      <c r="M307" s="374" t="s">
        <v>579</v>
      </c>
      <c r="N307" s="374" t="s">
        <v>580</v>
      </c>
    </row>
    <row r="308" spans="2:14">
      <c r="B308" s="19" t="s">
        <v>581</v>
      </c>
      <c r="C308" s="19">
        <v>1391954905</v>
      </c>
      <c r="D308" s="19">
        <f t="shared" si="6"/>
        <v>40189</v>
      </c>
      <c r="E308" s="19">
        <f t="shared" si="7"/>
        <v>44614</v>
      </c>
      <c r="F308" s="19">
        <f t="shared" si="8"/>
        <v>37080</v>
      </c>
      <c r="G308" s="19"/>
      <c r="H308" s="19"/>
      <c r="I308" s="373">
        <v>1594887413</v>
      </c>
      <c r="J308" s="375">
        <v>44446</v>
      </c>
      <c r="K308" s="375">
        <v>44446</v>
      </c>
      <c r="L308" s="375">
        <v>37582</v>
      </c>
      <c r="M308" s="374" t="s">
        <v>582</v>
      </c>
      <c r="N308" s="374" t="s">
        <v>520</v>
      </c>
    </row>
    <row r="309" spans="2:14">
      <c r="B309" s="19" t="s">
        <v>583</v>
      </c>
      <c r="C309" s="19">
        <v>1467972622</v>
      </c>
      <c r="D309" s="19">
        <f t="shared" si="6"/>
        <v>41477</v>
      </c>
      <c r="E309" s="19">
        <f t="shared" si="7"/>
        <v>42765</v>
      </c>
      <c r="F309" s="19">
        <f t="shared" si="8"/>
        <v>35775</v>
      </c>
      <c r="G309" s="19"/>
      <c r="H309" s="19"/>
      <c r="I309" s="373">
        <v>1551449196</v>
      </c>
      <c r="J309" s="375">
        <v>43556</v>
      </c>
      <c r="K309" s="375">
        <v>43556</v>
      </c>
      <c r="L309" s="375">
        <v>36420</v>
      </c>
      <c r="M309" s="374" t="s">
        <v>584</v>
      </c>
      <c r="N309" s="374" t="s">
        <v>585</v>
      </c>
    </row>
    <row r="310" spans="2:14">
      <c r="B310" s="19" t="s">
        <v>586</v>
      </c>
      <c r="C310" s="19">
        <v>1573256588</v>
      </c>
      <c r="D310" s="19">
        <f t="shared" si="6"/>
        <v>43969</v>
      </c>
      <c r="E310" s="19">
        <f t="shared" si="7"/>
        <v>40189</v>
      </c>
      <c r="F310" s="19">
        <f t="shared" si="8"/>
        <v>32375</v>
      </c>
      <c r="G310" s="19"/>
      <c r="H310" s="19"/>
      <c r="I310" s="373">
        <v>1523101982</v>
      </c>
      <c r="J310" s="375">
        <v>42534</v>
      </c>
      <c r="K310" s="375">
        <v>42534</v>
      </c>
      <c r="L310" s="375">
        <v>35285</v>
      </c>
      <c r="M310" s="374" t="s">
        <v>587</v>
      </c>
      <c r="N310" s="374" t="s">
        <v>588</v>
      </c>
    </row>
    <row r="311" spans="2:14">
      <c r="B311" s="19" t="s">
        <v>589</v>
      </c>
      <c r="C311" s="19">
        <v>1597592660</v>
      </c>
      <c r="D311" s="19">
        <f t="shared" si="6"/>
        <v>44348</v>
      </c>
      <c r="E311" s="19">
        <f t="shared" si="7"/>
        <v>41477</v>
      </c>
      <c r="F311" s="19">
        <f t="shared" si="8"/>
        <v>34709</v>
      </c>
      <c r="G311" s="19"/>
      <c r="H311" s="19"/>
      <c r="I311" s="373">
        <v>1586709247</v>
      </c>
      <c r="J311" s="375">
        <v>44082</v>
      </c>
      <c r="K311" s="375">
        <v>44082</v>
      </c>
      <c r="L311" s="375">
        <v>37215</v>
      </c>
      <c r="M311" s="374" t="s">
        <v>590</v>
      </c>
      <c r="N311" s="374" t="s">
        <v>591</v>
      </c>
    </row>
    <row r="312" spans="2:14">
      <c r="B312" s="19" t="s">
        <v>592</v>
      </c>
      <c r="C312" s="19">
        <v>1589170144</v>
      </c>
      <c r="D312" s="19">
        <f t="shared" si="6"/>
        <v>44074</v>
      </c>
      <c r="E312" s="19">
        <f t="shared" si="7"/>
        <v>43969</v>
      </c>
      <c r="F312" s="19">
        <f t="shared" si="8"/>
        <v>34805</v>
      </c>
      <c r="G312" s="19"/>
      <c r="H312" s="19"/>
      <c r="I312" s="373">
        <v>1594314448</v>
      </c>
      <c r="J312" s="375">
        <v>44277</v>
      </c>
      <c r="K312" s="375">
        <v>44277</v>
      </c>
      <c r="L312" s="375">
        <v>37791</v>
      </c>
      <c r="M312" s="374" t="s">
        <v>593</v>
      </c>
      <c r="N312" s="374" t="s">
        <v>594</v>
      </c>
    </row>
    <row r="313" spans="2:14">
      <c r="B313" s="19" t="s">
        <v>595</v>
      </c>
      <c r="C313" s="19">
        <v>1594887413</v>
      </c>
      <c r="D313" s="19">
        <f t="shared" si="6"/>
        <v>44446</v>
      </c>
      <c r="E313" s="19">
        <f t="shared" si="7"/>
        <v>44348</v>
      </c>
      <c r="F313" s="19">
        <f t="shared" si="8"/>
        <v>35941</v>
      </c>
      <c r="G313" s="19"/>
      <c r="H313" s="19"/>
      <c r="I313" s="373">
        <v>1396233777</v>
      </c>
      <c r="J313" s="375">
        <v>40371</v>
      </c>
      <c r="K313" s="375">
        <v>40371</v>
      </c>
      <c r="L313" s="375">
        <v>33566</v>
      </c>
      <c r="M313" s="374" t="s">
        <v>596</v>
      </c>
      <c r="N313" s="374" t="s">
        <v>365</v>
      </c>
    </row>
    <row r="314" spans="2:14">
      <c r="B314" s="19" t="s">
        <v>597</v>
      </c>
      <c r="C314" s="19" t="s">
        <v>367</v>
      </c>
      <c r="D314" s="19" t="str">
        <f t="shared" si="6"/>
        <v>Not Found</v>
      </c>
      <c r="E314" s="19">
        <f t="shared" si="7"/>
        <v>44074</v>
      </c>
      <c r="F314" s="19">
        <f t="shared" si="8"/>
        <v>37420</v>
      </c>
      <c r="G314" s="19"/>
      <c r="H314" s="19"/>
      <c r="I314" s="373">
        <v>1237318966</v>
      </c>
      <c r="J314" s="375">
        <v>44592</v>
      </c>
      <c r="K314" s="375">
        <v>44592</v>
      </c>
      <c r="L314" s="375">
        <v>36118</v>
      </c>
      <c r="M314" s="374" t="s">
        <v>598</v>
      </c>
      <c r="N314" s="374" t="s">
        <v>599</v>
      </c>
    </row>
    <row r="315" spans="2:14">
      <c r="B315" s="19" t="s">
        <v>600</v>
      </c>
      <c r="C315" s="19">
        <v>1551449196</v>
      </c>
      <c r="D315" s="19">
        <f t="shared" si="6"/>
        <v>43556</v>
      </c>
      <c r="E315" s="19">
        <f t="shared" si="7"/>
        <v>44446</v>
      </c>
      <c r="F315" s="19">
        <f t="shared" si="8"/>
        <v>37582</v>
      </c>
      <c r="G315" s="19"/>
      <c r="H315" s="19"/>
      <c r="I315" s="373">
        <v>1589891461</v>
      </c>
      <c r="J315" s="375">
        <v>44361</v>
      </c>
      <c r="K315" s="375">
        <v>44361</v>
      </c>
      <c r="L315" s="375">
        <v>37579</v>
      </c>
      <c r="M315" s="374" t="s">
        <v>601</v>
      </c>
      <c r="N315" s="374" t="s">
        <v>602</v>
      </c>
    </row>
    <row r="316" spans="2:14">
      <c r="B316" s="19" t="s">
        <v>603</v>
      </c>
      <c r="C316" s="19">
        <v>1523101982</v>
      </c>
      <c r="D316" s="19">
        <f t="shared" si="6"/>
        <v>42534</v>
      </c>
      <c r="E316" s="19" t="str">
        <f t="shared" si="7"/>
        <v>Not Found</v>
      </c>
      <c r="F316" s="19" t="str">
        <f t="shared" si="8"/>
        <v>Not Found</v>
      </c>
      <c r="G316" s="19"/>
      <c r="H316" s="19"/>
      <c r="I316" s="373">
        <v>1588329336</v>
      </c>
      <c r="J316" s="375">
        <v>44032</v>
      </c>
      <c r="K316" s="375">
        <v>44032</v>
      </c>
      <c r="L316" s="375">
        <v>37390</v>
      </c>
      <c r="M316" s="374" t="s">
        <v>604</v>
      </c>
      <c r="N316" s="374" t="s">
        <v>605</v>
      </c>
    </row>
    <row r="317" spans="2:14">
      <c r="B317" s="19" t="s">
        <v>606</v>
      </c>
      <c r="C317" s="19">
        <v>1586709247</v>
      </c>
      <c r="D317" s="19">
        <f t="shared" si="6"/>
        <v>44082</v>
      </c>
      <c r="E317" s="19">
        <f t="shared" si="7"/>
        <v>43556</v>
      </c>
      <c r="F317" s="19">
        <f t="shared" si="8"/>
        <v>36420</v>
      </c>
      <c r="G317" s="19"/>
      <c r="H317" s="19"/>
      <c r="I317" s="373">
        <v>1605879205</v>
      </c>
      <c r="J317" s="375">
        <v>44704</v>
      </c>
      <c r="K317" s="375">
        <v>44704</v>
      </c>
      <c r="L317" s="375">
        <v>38161</v>
      </c>
      <c r="M317" s="374" t="s">
        <v>607</v>
      </c>
      <c r="N317" s="374" t="s">
        <v>608</v>
      </c>
    </row>
    <row r="318" spans="2:14">
      <c r="B318" s="19" t="s">
        <v>609</v>
      </c>
      <c r="C318" s="19">
        <v>1594314448</v>
      </c>
      <c r="D318" s="19">
        <f t="shared" si="6"/>
        <v>44277</v>
      </c>
      <c r="E318" s="19">
        <f t="shared" si="7"/>
        <v>42534</v>
      </c>
      <c r="F318" s="19">
        <f t="shared" si="8"/>
        <v>35285</v>
      </c>
      <c r="G318" s="19"/>
      <c r="H318" s="19"/>
      <c r="I318" s="373">
        <v>1546565811</v>
      </c>
      <c r="J318" s="375">
        <v>43668</v>
      </c>
      <c r="K318" s="375">
        <v>43668</v>
      </c>
      <c r="L318" s="375">
        <v>36997</v>
      </c>
      <c r="M318" s="374" t="s">
        <v>610</v>
      </c>
      <c r="N318" s="374" t="s">
        <v>611</v>
      </c>
    </row>
    <row r="319" spans="2:14">
      <c r="B319" s="19" t="s">
        <v>612</v>
      </c>
      <c r="C319" s="19" t="s">
        <v>367</v>
      </c>
      <c r="D319" s="19" t="str">
        <f t="shared" si="6"/>
        <v>Not Found</v>
      </c>
      <c r="E319" s="19">
        <f t="shared" si="7"/>
        <v>44082</v>
      </c>
      <c r="F319" s="19">
        <f t="shared" si="8"/>
        <v>37215</v>
      </c>
      <c r="G319" s="19"/>
      <c r="H319" s="19"/>
      <c r="I319" s="373">
        <v>1276520594</v>
      </c>
      <c r="J319" s="375">
        <v>44747</v>
      </c>
      <c r="K319" s="375">
        <v>44747</v>
      </c>
      <c r="L319" s="375">
        <v>38230</v>
      </c>
      <c r="M319" s="374" t="s">
        <v>613</v>
      </c>
      <c r="N319" s="374" t="s">
        <v>425</v>
      </c>
    </row>
    <row r="320" spans="2:14">
      <c r="B320" s="19" t="s">
        <v>614</v>
      </c>
      <c r="C320" s="19">
        <v>1396233777</v>
      </c>
      <c r="D320" s="19">
        <f t="shared" si="6"/>
        <v>40371</v>
      </c>
      <c r="E320" s="19">
        <f t="shared" si="7"/>
        <v>44277</v>
      </c>
      <c r="F320" s="19">
        <f t="shared" si="8"/>
        <v>37791</v>
      </c>
      <c r="G320" s="19"/>
      <c r="H320" s="19"/>
      <c r="I320" s="373">
        <v>1595212258</v>
      </c>
      <c r="J320" s="375">
        <v>44571</v>
      </c>
      <c r="K320" s="375">
        <v>44571</v>
      </c>
      <c r="L320" s="375">
        <v>37534</v>
      </c>
      <c r="M320" s="374" t="s">
        <v>615</v>
      </c>
      <c r="N320" s="374" t="s">
        <v>520</v>
      </c>
    </row>
    <row r="321" spans="2:14">
      <c r="B321" s="19" t="s">
        <v>616</v>
      </c>
      <c r="C321" s="19">
        <v>1237318966</v>
      </c>
      <c r="D321" s="19">
        <f t="shared" si="6"/>
        <v>44592</v>
      </c>
      <c r="E321" s="19" t="str">
        <f t="shared" si="7"/>
        <v>Not Found</v>
      </c>
      <c r="F321" s="19" t="str">
        <f t="shared" si="8"/>
        <v>Not Found</v>
      </c>
      <c r="G321" s="19"/>
      <c r="H321" s="19"/>
      <c r="I321" s="373">
        <v>1268102244</v>
      </c>
      <c r="J321" s="375">
        <v>44494</v>
      </c>
      <c r="K321" s="375">
        <v>44494</v>
      </c>
      <c r="L321" s="375">
        <v>37810</v>
      </c>
      <c r="M321" s="374" t="s">
        <v>617</v>
      </c>
      <c r="N321" s="374" t="s">
        <v>618</v>
      </c>
    </row>
    <row r="322" spans="2:14">
      <c r="B322" s="19" t="s">
        <v>619</v>
      </c>
      <c r="C322" s="19">
        <v>1589891461</v>
      </c>
      <c r="D322" s="19">
        <f t="shared" si="6"/>
        <v>44361</v>
      </c>
      <c r="E322" s="19">
        <f t="shared" si="7"/>
        <v>40371</v>
      </c>
      <c r="F322" s="19">
        <f t="shared" si="8"/>
        <v>33566</v>
      </c>
      <c r="G322" s="19"/>
      <c r="H322" s="19"/>
      <c r="I322" s="373">
        <v>1287834213</v>
      </c>
      <c r="J322" s="375">
        <v>38748</v>
      </c>
      <c r="K322" s="375">
        <v>38748</v>
      </c>
      <c r="L322" s="375">
        <v>31204</v>
      </c>
      <c r="M322" s="374" t="s">
        <v>620</v>
      </c>
      <c r="N322" s="374" t="s">
        <v>446</v>
      </c>
    </row>
    <row r="323" spans="2:14">
      <c r="B323" s="19" t="s">
        <v>621</v>
      </c>
      <c r="C323" s="19">
        <v>1588329336</v>
      </c>
      <c r="D323" s="19">
        <f t="shared" si="6"/>
        <v>44032</v>
      </c>
      <c r="E323" s="19">
        <f t="shared" si="7"/>
        <v>44592</v>
      </c>
      <c r="F323" s="19">
        <f t="shared" si="8"/>
        <v>36118</v>
      </c>
      <c r="G323" s="19"/>
      <c r="H323" s="19"/>
      <c r="I323" s="373">
        <v>1379985595</v>
      </c>
      <c r="J323" s="375">
        <v>39826</v>
      </c>
      <c r="K323" s="375">
        <v>39826</v>
      </c>
      <c r="L323" s="375">
        <v>31113</v>
      </c>
      <c r="M323" s="374" t="s">
        <v>622</v>
      </c>
      <c r="N323" s="374" t="s">
        <v>623</v>
      </c>
    </row>
    <row r="324" spans="2:14">
      <c r="B324" s="19" t="s">
        <v>624</v>
      </c>
      <c r="C324" s="19">
        <v>1605879205</v>
      </c>
      <c r="D324" s="19">
        <f t="shared" si="6"/>
        <v>44704</v>
      </c>
      <c r="E324" s="19">
        <f t="shared" si="7"/>
        <v>44361</v>
      </c>
      <c r="F324" s="19">
        <f t="shared" si="8"/>
        <v>37579</v>
      </c>
      <c r="G324" s="19"/>
      <c r="H324" s="19"/>
      <c r="I324" s="373">
        <v>1257278588</v>
      </c>
      <c r="J324" s="375">
        <v>43871</v>
      </c>
      <c r="K324" s="375">
        <v>43871</v>
      </c>
      <c r="L324" s="375">
        <v>37379</v>
      </c>
      <c r="M324" s="374" t="s">
        <v>625</v>
      </c>
      <c r="N324" s="374" t="s">
        <v>626</v>
      </c>
    </row>
    <row r="325" spans="2:14">
      <c r="B325" s="19" t="s">
        <v>627</v>
      </c>
      <c r="C325" s="19" t="s">
        <v>367</v>
      </c>
      <c r="D325" s="19" t="str">
        <f t="shared" si="6"/>
        <v>Not Found</v>
      </c>
      <c r="E325" s="19">
        <f t="shared" si="7"/>
        <v>44032</v>
      </c>
      <c r="F325" s="19">
        <f t="shared" si="8"/>
        <v>37390</v>
      </c>
      <c r="G325" s="19"/>
      <c r="H325" s="19"/>
      <c r="I325" s="373">
        <v>1146826977</v>
      </c>
      <c r="J325" s="375">
        <v>43515</v>
      </c>
      <c r="K325" s="375">
        <v>43515</v>
      </c>
      <c r="L325" s="375">
        <v>33040</v>
      </c>
      <c r="M325" s="374" t="s">
        <v>628</v>
      </c>
      <c r="N325" s="374" t="s">
        <v>503</v>
      </c>
    </row>
    <row r="326" spans="2:14">
      <c r="B326" s="19" t="s">
        <v>629</v>
      </c>
      <c r="C326" s="19">
        <v>1546565811</v>
      </c>
      <c r="D326" s="19">
        <f t="shared" si="6"/>
        <v>43668</v>
      </c>
      <c r="E326" s="19">
        <f t="shared" si="7"/>
        <v>44704</v>
      </c>
      <c r="F326" s="19">
        <f t="shared" si="8"/>
        <v>38161</v>
      </c>
      <c r="G326" s="19"/>
      <c r="H326" s="19"/>
      <c r="I326" s="373">
        <v>1572167859</v>
      </c>
      <c r="J326" s="375">
        <v>43843</v>
      </c>
      <c r="K326" s="375">
        <v>43843</v>
      </c>
      <c r="L326" s="375">
        <v>37023</v>
      </c>
      <c r="M326" s="374" t="s">
        <v>630</v>
      </c>
      <c r="N326" s="374" t="s">
        <v>631</v>
      </c>
    </row>
    <row r="327" spans="2:14">
      <c r="B327" s="19" t="s">
        <v>632</v>
      </c>
      <c r="C327" s="19">
        <v>1276520594</v>
      </c>
      <c r="D327" s="19">
        <f t="shared" si="6"/>
        <v>44747</v>
      </c>
      <c r="E327" s="19" t="str">
        <f t="shared" si="7"/>
        <v>Not Found</v>
      </c>
      <c r="F327" s="19" t="str">
        <f t="shared" si="8"/>
        <v>Not Found</v>
      </c>
      <c r="G327" s="19"/>
      <c r="H327" s="19"/>
      <c r="I327" s="373">
        <v>1594680703</v>
      </c>
      <c r="J327" s="375">
        <v>44319</v>
      </c>
      <c r="K327" s="375">
        <v>44319</v>
      </c>
      <c r="L327" s="375">
        <v>37114</v>
      </c>
      <c r="M327" s="374" t="s">
        <v>633</v>
      </c>
      <c r="N327" s="374" t="s">
        <v>634</v>
      </c>
    </row>
    <row r="328" spans="2:14">
      <c r="B328" s="19" t="s">
        <v>635</v>
      </c>
      <c r="C328" s="19">
        <v>1595212258</v>
      </c>
      <c r="D328" s="19">
        <f t="shared" si="6"/>
        <v>44571</v>
      </c>
      <c r="E328" s="19">
        <f t="shared" si="7"/>
        <v>43668</v>
      </c>
      <c r="F328" s="19">
        <f t="shared" si="8"/>
        <v>36997</v>
      </c>
      <c r="G328" s="19"/>
      <c r="H328" s="19"/>
      <c r="I328" s="373">
        <v>1593807068</v>
      </c>
      <c r="J328" s="375">
        <v>44277</v>
      </c>
      <c r="K328" s="375">
        <v>44277</v>
      </c>
      <c r="L328" s="375">
        <v>37475</v>
      </c>
      <c r="M328" s="374" t="s">
        <v>636</v>
      </c>
      <c r="N328" s="374" t="s">
        <v>446</v>
      </c>
    </row>
    <row r="329" spans="2:14">
      <c r="B329" s="19" t="s">
        <v>637</v>
      </c>
      <c r="C329" s="19">
        <v>1268102244</v>
      </c>
      <c r="D329" s="19">
        <f t="shared" si="6"/>
        <v>44494</v>
      </c>
      <c r="E329" s="19">
        <f t="shared" si="7"/>
        <v>44747</v>
      </c>
      <c r="F329" s="19">
        <f t="shared" si="8"/>
        <v>38230</v>
      </c>
      <c r="G329" s="19"/>
      <c r="H329" s="19"/>
      <c r="I329" s="373">
        <v>1533784913</v>
      </c>
      <c r="J329" s="375">
        <v>42752</v>
      </c>
      <c r="K329" s="375">
        <v>42752</v>
      </c>
      <c r="L329" s="375">
        <v>35656</v>
      </c>
      <c r="M329" s="374" t="s">
        <v>638</v>
      </c>
      <c r="N329" s="374" t="s">
        <v>639</v>
      </c>
    </row>
    <row r="330" spans="2:14">
      <c r="B330" s="19" t="s">
        <v>640</v>
      </c>
      <c r="C330" s="19">
        <v>1287834213</v>
      </c>
      <c r="D330" s="19">
        <f t="shared" si="6"/>
        <v>38748</v>
      </c>
      <c r="E330" s="19">
        <f t="shared" si="7"/>
        <v>44571</v>
      </c>
      <c r="F330" s="19">
        <f t="shared" si="8"/>
        <v>37534</v>
      </c>
      <c r="G330" s="19"/>
      <c r="H330" s="19"/>
      <c r="I330" s="373">
        <v>1548998170</v>
      </c>
      <c r="J330" s="375">
        <v>43605</v>
      </c>
      <c r="K330" s="375">
        <v>43605</v>
      </c>
      <c r="L330" s="375">
        <v>36400</v>
      </c>
      <c r="M330" s="374" t="s">
        <v>641</v>
      </c>
      <c r="N330" s="374" t="s">
        <v>611</v>
      </c>
    </row>
    <row r="331" spans="2:14">
      <c r="B331" s="19" t="s">
        <v>642</v>
      </c>
      <c r="C331" s="19">
        <v>1379985595</v>
      </c>
      <c r="D331" s="19">
        <f t="shared" si="6"/>
        <v>39826</v>
      </c>
      <c r="E331" s="19">
        <f t="shared" si="7"/>
        <v>44494</v>
      </c>
      <c r="F331" s="19">
        <f t="shared" si="8"/>
        <v>37810</v>
      </c>
      <c r="G331" s="19"/>
      <c r="H331" s="19"/>
      <c r="I331" s="373">
        <v>1600109495</v>
      </c>
      <c r="J331" s="375">
        <v>44291</v>
      </c>
      <c r="K331" s="375">
        <v>44291</v>
      </c>
      <c r="L331" s="375">
        <v>34521</v>
      </c>
      <c r="M331" s="374" t="s">
        <v>643</v>
      </c>
      <c r="N331" s="374" t="s">
        <v>644</v>
      </c>
    </row>
    <row r="332" spans="2:14">
      <c r="B332" s="19" t="s">
        <v>645</v>
      </c>
      <c r="C332" s="19">
        <v>1257278588</v>
      </c>
      <c r="D332" s="19">
        <f t="shared" si="6"/>
        <v>43871</v>
      </c>
      <c r="E332" s="19">
        <f t="shared" si="7"/>
        <v>38748</v>
      </c>
      <c r="F332" s="19">
        <f t="shared" si="8"/>
        <v>31204</v>
      </c>
      <c r="G332" s="19"/>
      <c r="H332" s="19"/>
      <c r="I332" s="373">
        <v>1608683247</v>
      </c>
      <c r="J332" s="375">
        <v>44753</v>
      </c>
      <c r="K332" s="375">
        <v>44753</v>
      </c>
      <c r="L332" s="375">
        <v>38030</v>
      </c>
      <c r="M332" s="374" t="s">
        <v>646</v>
      </c>
      <c r="N332" s="374" t="s">
        <v>647</v>
      </c>
    </row>
    <row r="333" spans="2:14">
      <c r="B333" s="19" t="s">
        <v>648</v>
      </c>
      <c r="C333" s="19">
        <v>1146826977</v>
      </c>
      <c r="D333" s="19">
        <f t="shared" si="6"/>
        <v>43515</v>
      </c>
      <c r="E333" s="19">
        <f t="shared" si="7"/>
        <v>39826</v>
      </c>
      <c r="F333" s="19">
        <f t="shared" si="8"/>
        <v>31113</v>
      </c>
      <c r="G333" s="19"/>
      <c r="H333" s="19"/>
      <c r="I333" s="19"/>
      <c r="J333" s="19"/>
      <c r="K333" s="19"/>
      <c r="L333" s="19"/>
      <c r="M333" s="19"/>
      <c r="N333" s="19"/>
    </row>
    <row r="334" spans="2:14">
      <c r="B334" s="19" t="s">
        <v>649</v>
      </c>
      <c r="C334" s="19" t="s">
        <v>367</v>
      </c>
      <c r="D334" s="19" t="str">
        <f t="shared" si="6"/>
        <v>Not Found</v>
      </c>
      <c r="E334" s="19">
        <f t="shared" si="7"/>
        <v>43871</v>
      </c>
      <c r="F334" s="19">
        <f t="shared" si="8"/>
        <v>37379</v>
      </c>
      <c r="G334" s="19"/>
      <c r="H334" s="19"/>
      <c r="I334" s="19"/>
      <c r="J334" s="19"/>
      <c r="K334" s="19"/>
      <c r="L334" s="19"/>
      <c r="M334" s="19"/>
      <c r="N334" s="19"/>
    </row>
    <row r="335" spans="2:14">
      <c r="B335" s="19" t="s">
        <v>650</v>
      </c>
      <c r="C335" s="19">
        <v>1572167859</v>
      </c>
      <c r="D335" s="19">
        <f t="shared" si="6"/>
        <v>43843</v>
      </c>
      <c r="E335" s="19">
        <f t="shared" si="7"/>
        <v>43515</v>
      </c>
      <c r="F335" s="19">
        <f t="shared" si="8"/>
        <v>33040</v>
      </c>
      <c r="G335" s="19"/>
      <c r="H335" s="19"/>
      <c r="I335" s="19"/>
      <c r="J335" s="19"/>
      <c r="K335" s="19"/>
      <c r="L335" s="19"/>
      <c r="M335" s="19"/>
      <c r="N335" s="19"/>
    </row>
    <row r="336" spans="2:14">
      <c r="B336" s="19" t="s">
        <v>651</v>
      </c>
      <c r="C336" s="19">
        <v>1594680703</v>
      </c>
      <c r="D336" s="19">
        <f t="shared" si="6"/>
        <v>44319</v>
      </c>
      <c r="E336" s="19" t="str">
        <f t="shared" si="7"/>
        <v>Not Found</v>
      </c>
      <c r="F336" s="19" t="str">
        <f t="shared" si="8"/>
        <v>Not Found</v>
      </c>
      <c r="G336" s="19"/>
      <c r="H336" s="19"/>
      <c r="I336" s="19"/>
      <c r="J336" s="19"/>
      <c r="K336" s="19"/>
      <c r="L336" s="19"/>
      <c r="M336" s="19"/>
      <c r="N336" s="19"/>
    </row>
    <row r="337" spans="2:10">
      <c r="B337" s="19" t="s">
        <v>652</v>
      </c>
      <c r="C337" s="19">
        <v>1593807068</v>
      </c>
      <c r="D337" s="19">
        <f t="shared" si="6"/>
        <v>44277</v>
      </c>
      <c r="E337" s="19">
        <f t="shared" si="7"/>
        <v>43843</v>
      </c>
      <c r="F337" s="19">
        <f t="shared" si="8"/>
        <v>37023</v>
      </c>
      <c r="G337" s="19"/>
      <c r="H337" s="19"/>
      <c r="I337" s="19"/>
      <c r="J337" s="19"/>
    </row>
    <row r="338" spans="2:10">
      <c r="B338" s="19" t="s">
        <v>653</v>
      </c>
      <c r="C338" s="19">
        <v>1533784913</v>
      </c>
      <c r="D338" s="19">
        <f t="shared" si="6"/>
        <v>42752</v>
      </c>
      <c r="E338" s="19">
        <f t="shared" si="7"/>
        <v>44319</v>
      </c>
      <c r="F338" s="19">
        <f t="shared" si="8"/>
        <v>37114</v>
      </c>
      <c r="G338" s="19"/>
      <c r="H338" s="19"/>
      <c r="I338" s="19"/>
      <c r="J338" s="19"/>
    </row>
    <row r="339" spans="2:10">
      <c r="B339" s="19" t="s">
        <v>654</v>
      </c>
      <c r="C339" s="19">
        <v>1548998170</v>
      </c>
      <c r="D339" s="19">
        <f t="shared" si="6"/>
        <v>43605</v>
      </c>
      <c r="E339" s="19">
        <f t="shared" si="7"/>
        <v>44277</v>
      </c>
      <c r="F339" s="19">
        <f t="shared" si="8"/>
        <v>37475</v>
      </c>
      <c r="G339" s="19"/>
      <c r="H339" s="19"/>
      <c r="I339" s="19"/>
      <c r="J339" s="19"/>
    </row>
    <row r="340" spans="2:10">
      <c r="B340" s="19" t="s">
        <v>655</v>
      </c>
      <c r="C340" s="19">
        <v>1600109495</v>
      </c>
      <c r="D340" s="19">
        <f t="shared" si="6"/>
        <v>44291</v>
      </c>
      <c r="E340" s="19">
        <f t="shared" si="7"/>
        <v>42752</v>
      </c>
      <c r="F340" s="19">
        <f t="shared" si="8"/>
        <v>35656</v>
      </c>
      <c r="G340" s="19"/>
      <c r="H340" s="19"/>
      <c r="I340" s="19"/>
      <c r="J340" s="19"/>
    </row>
    <row r="341" spans="2:10">
      <c r="B341" s="19" t="s">
        <v>656</v>
      </c>
      <c r="C341" s="19">
        <v>1608683247</v>
      </c>
      <c r="D341" s="19">
        <f t="shared" si="6"/>
        <v>44753</v>
      </c>
      <c r="E341" s="19">
        <f t="shared" si="7"/>
        <v>43605</v>
      </c>
      <c r="F341" s="19">
        <f t="shared" si="8"/>
        <v>36400</v>
      </c>
      <c r="G341" s="19"/>
      <c r="H341" s="19"/>
      <c r="I341" s="19"/>
      <c r="J341" s="19"/>
    </row>
    <row r="342" spans="2:10">
      <c r="B342" s="19" t="s">
        <v>657</v>
      </c>
      <c r="C342" s="19" t="s">
        <v>658</v>
      </c>
      <c r="D342" s="19" t="str">
        <f t="shared" si="6"/>
        <v>Not Found</v>
      </c>
      <c r="E342" s="19">
        <f t="shared" si="7"/>
        <v>44291</v>
      </c>
      <c r="F342" s="19">
        <f t="shared" si="8"/>
        <v>34521</v>
      </c>
      <c r="G342" s="19"/>
      <c r="H342" s="19"/>
      <c r="I342" s="19"/>
      <c r="J342" s="19"/>
    </row>
    <row r="343" spans="2:10">
      <c r="B343" s="19"/>
      <c r="C343" s="19"/>
      <c r="D343" s="19"/>
      <c r="E343" s="19">
        <f t="shared" si="7"/>
        <v>44753</v>
      </c>
      <c r="F343" s="19">
        <f t="shared" si="8"/>
        <v>38030</v>
      </c>
      <c r="G343" s="19"/>
      <c r="H343" s="19"/>
      <c r="I343" s="19"/>
      <c r="J343" s="19"/>
    </row>
    <row r="344" spans="2:10">
      <c r="B344" s="19"/>
      <c r="C344" s="19"/>
      <c r="D344" s="19"/>
      <c r="E344" s="19" t="str">
        <f t="shared" si="7"/>
        <v>Not Found</v>
      </c>
      <c r="F344" s="19" t="str">
        <f t="shared" si="8"/>
        <v>Not Found</v>
      </c>
      <c r="G344" s="19"/>
      <c r="H344" s="19"/>
      <c r="I344" s="19"/>
      <c r="J344" s="19"/>
    </row>
    <row r="1048576" spans="1:6">
      <c r="A1048576" s="19" t="s">
        <v>659</v>
      </c>
      <c r="B1048576" s="19"/>
      <c r="C1048576" s="19"/>
      <c r="D1048576" s="19"/>
      <c r="E1048576" s="19"/>
      <c r="F1048576" s="19"/>
    </row>
  </sheetData>
  <mergeCells count="34">
    <mergeCell ref="B2:F2"/>
    <mergeCell ref="H2:O2"/>
    <mergeCell ref="B35:D35"/>
    <mergeCell ref="AC2:AG2"/>
    <mergeCell ref="AF3:AF4"/>
    <mergeCell ref="AE3:AE4"/>
    <mergeCell ref="AD3:AD4"/>
    <mergeCell ref="AC3:AC4"/>
    <mergeCell ref="AA33:AB33"/>
    <mergeCell ref="Q2:Y2"/>
    <mergeCell ref="P19:Q19"/>
    <mergeCell ref="P20:Q20"/>
    <mergeCell ref="P21:Q21"/>
    <mergeCell ref="AG3:AG4"/>
    <mergeCell ref="I13:L13"/>
    <mergeCell ref="P14:Q14"/>
    <mergeCell ref="I75:J75"/>
    <mergeCell ref="L75:N75"/>
    <mergeCell ref="H33:W34"/>
    <mergeCell ref="T35:W35"/>
    <mergeCell ref="P35:S35"/>
    <mergeCell ref="L35:O35"/>
    <mergeCell ref="H35:K35"/>
    <mergeCell ref="H53:K53"/>
    <mergeCell ref="L53:O53"/>
    <mergeCell ref="P75:S75"/>
    <mergeCell ref="O13:Z13"/>
    <mergeCell ref="P53:R53"/>
    <mergeCell ref="P15:Q15"/>
    <mergeCell ref="AA66:AB66"/>
    <mergeCell ref="B53:F54"/>
    <mergeCell ref="P16:Q16"/>
    <mergeCell ref="P17:Q17"/>
    <mergeCell ref="P18:Q18"/>
  </mergeCells>
  <conditionalFormatting sqref="O5:O10">
    <cfRule type="cellIs" dxfId="420" priority="19" operator="between">
      <formula>0.9</formula>
      <formula>1</formula>
    </cfRule>
  </conditionalFormatting>
  <conditionalFormatting sqref="O5:O10">
    <cfRule type="cellIs" dxfId="419" priority="18" operator="between">
      <formula>0.5</formula>
      <formula>0.8999</formula>
    </cfRule>
  </conditionalFormatting>
  <conditionalFormatting sqref="O5:O10">
    <cfRule type="cellIs" dxfId="418" priority="17" operator="lessThan">
      <formula>0.5</formula>
    </cfRule>
  </conditionalFormatting>
  <conditionalFormatting sqref="Y5:Y10">
    <cfRule type="cellIs" dxfId="417" priority="13" operator="between">
      <formula>0.9</formula>
      <formula>1</formula>
    </cfRule>
  </conditionalFormatting>
  <conditionalFormatting sqref="Y5:Y10">
    <cfRule type="cellIs" dxfId="416" priority="12" operator="between">
      <formula>0.5</formula>
      <formula>0.8999</formula>
    </cfRule>
  </conditionalFormatting>
  <conditionalFormatting sqref="Y5:Y10">
    <cfRule type="cellIs" dxfId="415" priority="11" operator="lessThan">
      <formula>0.5</formula>
    </cfRule>
  </conditionalFormatting>
  <conditionalFormatting sqref="L15:L29">
    <cfRule type="cellIs" dxfId="414" priority="10" operator="lessThan">
      <formula>0.5</formula>
    </cfRule>
  </conditionalFormatting>
  <conditionalFormatting sqref="L15:L29">
    <cfRule type="cellIs" dxfId="413" priority="9" operator="between">
      <formula>0.5</formula>
      <formula>0.9</formula>
    </cfRule>
  </conditionalFormatting>
  <conditionalFormatting sqref="L15:L29">
    <cfRule type="cellIs" dxfId="412" priority="8" operator="between">
      <formula>0.9</formula>
      <formula>1</formula>
    </cfRule>
  </conditionalFormatting>
  <conditionalFormatting sqref="P15:P20">
    <cfRule type="colorScale" priority="3">
      <colorScale>
        <cfvo type="min"/>
        <cfvo type="max"/>
        <color rgb="FFFFEF9C"/>
        <color rgb="FF63BE7B"/>
      </colorScale>
    </cfRule>
  </conditionalFormatting>
  <conditionalFormatting sqref="P15:P20">
    <cfRule type="colorScale" priority="2">
      <colorScale>
        <cfvo type="min"/>
        <cfvo type="max"/>
        <color rgb="FFFCFCFF"/>
        <color rgb="FFF8696B"/>
      </colorScale>
    </cfRule>
  </conditionalFormatting>
  <conditionalFormatting sqref="AC5:AG15">
    <cfRule type="duplicateValues" dxfId="411" priority="1"/>
  </conditionalFormatting>
  <dataValidations count="1">
    <dataValidation allowBlank="1" showInputMessage="1" showErrorMessage="1" sqref="AB35" xr:uid="{280BFC5E-D69A-47C5-A9E3-89EBA0976EAB}"/>
  </dataValidations>
  <hyperlinks>
    <hyperlink ref="K14" r:id="rId1" xr:uid="{01BB65B3-2350-414E-A506-4975DF8DD3E9}"/>
  </hyperlinks>
  <pageMargins left="0.7" right="0.7" top="0.75" bottom="0.75" header="0.3" footer="0.3"/>
  <pageSetup orientation="landscape" r:id="rId2"/>
  <legacyDrawing r:id="rId3"/>
  <tableParts count="5">
    <tablePart r:id="rId4"/>
    <tablePart r:id="rId5"/>
    <tablePart r:id="rId6"/>
    <tablePart r:id="rId7"/>
    <tablePart r:id="rId8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76F33FC-435F-4A06-8ED0-D75637B761BC}">
          <x14:formula1>
            <xm:f>'Recall Roster'!$B$3:$B$81</xm:f>
          </x14:formula1>
          <xm:sqref>AB34</xm:sqref>
        </x14:dataValidation>
        <x14:dataValidation type="list" allowBlank="1" showInputMessage="1" showErrorMessage="1" xr:uid="{0EF01DD9-7218-4F66-8903-4064254CD496}">
          <x14:formula1>
            <xm:f>'Recall Roster'!$N$3:$N$81</xm:f>
          </x14:formula1>
          <xm:sqref>AB67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CB7F-50E9-4043-8997-33D614D85AC6}">
  <sheetPr>
    <tabColor rgb="FFB4C6E7"/>
  </sheetPr>
  <dimension ref="A1:AG48"/>
  <sheetViews>
    <sheetView zoomScale="85" zoomScaleNormal="85" workbookViewId="0">
      <selection activeCell="J35" sqref="J35"/>
    </sheetView>
  </sheetViews>
  <sheetFormatPr defaultRowHeight="15"/>
  <cols>
    <col min="1" max="1" width="13.28515625" bestFit="1" customWidth="1"/>
    <col min="2" max="3" width="14.7109375" bestFit="1" customWidth="1"/>
    <col min="4" max="4" width="14" bestFit="1" customWidth="1"/>
    <col min="5" max="5" width="16" bestFit="1" customWidth="1"/>
    <col min="6" max="6" width="18.5703125" bestFit="1" customWidth="1"/>
    <col min="7" max="7" width="13.7109375" bestFit="1" customWidth="1"/>
    <col min="8" max="8" width="15.28515625" bestFit="1" customWidth="1"/>
    <col min="9" max="9" width="17.5703125" bestFit="1" customWidth="1"/>
    <col min="10" max="10" width="24.140625" bestFit="1" customWidth="1"/>
    <col min="11" max="11" width="16" customWidth="1"/>
    <col min="12" max="12" width="15.28515625" style="21" customWidth="1"/>
    <col min="13" max="13" width="16" bestFit="1" customWidth="1"/>
    <col min="14" max="14" width="16.140625" bestFit="1" customWidth="1"/>
    <col min="15" max="15" width="16.42578125" bestFit="1" customWidth="1"/>
    <col min="16" max="16" width="8.28515625" bestFit="1" customWidth="1"/>
    <col min="17" max="17" width="13.7109375" bestFit="1" customWidth="1"/>
    <col min="18" max="18" width="14.28515625" bestFit="1" customWidth="1"/>
    <col min="19" max="19" width="11" bestFit="1" customWidth="1"/>
    <col min="20" max="20" width="18.7109375" bestFit="1" customWidth="1"/>
    <col min="21" max="21" width="16.42578125" style="19" customWidth="1"/>
    <col min="22" max="22" width="13.42578125" bestFit="1" customWidth="1"/>
    <col min="23" max="23" width="13.140625" bestFit="1" customWidth="1"/>
    <col min="24" max="25" width="14" bestFit="1" customWidth="1"/>
    <col min="26" max="26" width="13.7109375" bestFit="1" customWidth="1"/>
    <col min="27" max="27" width="15.42578125" bestFit="1" customWidth="1"/>
    <col min="28" max="28" width="14.7109375" bestFit="1" customWidth="1"/>
    <col min="30" max="30" width="11.28515625" bestFit="1" customWidth="1"/>
    <col min="31" max="31" width="10.140625" bestFit="1" customWidth="1"/>
    <col min="32" max="32" width="5.85546875" bestFit="1" customWidth="1"/>
  </cols>
  <sheetData>
    <row r="1" spans="1:33">
      <c r="A1" s="283" t="s">
        <v>665</v>
      </c>
      <c r="B1" s="284" t="s">
        <v>666</v>
      </c>
      <c r="C1" s="285" t="s">
        <v>667</v>
      </c>
      <c r="D1" s="19"/>
      <c r="E1" s="19"/>
      <c r="F1" s="19"/>
      <c r="G1" s="19"/>
      <c r="H1" s="19"/>
      <c r="I1" s="19"/>
      <c r="J1" s="19"/>
      <c r="K1" s="19"/>
      <c r="M1" s="19"/>
      <c r="N1" s="19"/>
      <c r="O1" s="19"/>
      <c r="P1" s="19"/>
      <c r="Q1" s="19"/>
      <c r="R1" s="19"/>
      <c r="S1" s="19"/>
      <c r="T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spans="1:33" ht="17.25">
      <c r="A2" s="282" t="s">
        <v>668</v>
      </c>
      <c r="B2" s="19"/>
      <c r="C2" s="19"/>
      <c r="D2" s="19"/>
      <c r="E2" s="19"/>
      <c r="F2" s="19"/>
      <c r="G2" s="19"/>
      <c r="H2" s="19"/>
      <c r="I2" s="19"/>
      <c r="J2" s="19"/>
      <c r="K2" s="19"/>
      <c r="M2" s="19"/>
      <c r="N2" s="19"/>
      <c r="O2" s="19"/>
      <c r="P2" s="19"/>
      <c r="Q2" s="19"/>
      <c r="R2" s="19"/>
      <c r="S2" s="19"/>
      <c r="T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spans="1:33">
      <c r="A3" s="611" t="s">
        <v>669</v>
      </c>
      <c r="B3" s="612"/>
      <c r="C3" s="612"/>
      <c r="D3" s="612"/>
      <c r="E3" s="612"/>
      <c r="F3" s="612"/>
      <c r="G3" s="612"/>
      <c r="H3" s="612"/>
      <c r="I3" s="612"/>
      <c r="J3" s="612"/>
      <c r="K3" s="613"/>
      <c r="M3" s="614" t="s">
        <v>670</v>
      </c>
      <c r="N3" s="612"/>
      <c r="O3" s="612"/>
      <c r="P3" s="612"/>
      <c r="Q3" s="612"/>
      <c r="R3" s="612"/>
      <c r="S3" s="612"/>
      <c r="T3" s="613"/>
      <c r="V3" s="614" t="s">
        <v>671</v>
      </c>
      <c r="W3" s="612"/>
      <c r="X3" s="612"/>
      <c r="Y3" s="612"/>
      <c r="Z3" s="612"/>
      <c r="AA3" s="612"/>
      <c r="AB3" s="615"/>
      <c r="AC3" s="19"/>
      <c r="AD3" s="19"/>
      <c r="AE3" s="19"/>
      <c r="AF3" s="19"/>
      <c r="AG3" s="19"/>
    </row>
    <row r="4" spans="1:33" ht="83.25">
      <c r="A4" s="296" t="s">
        <v>672</v>
      </c>
      <c r="B4" s="297" t="s">
        <v>673</v>
      </c>
      <c r="C4" s="297" t="s">
        <v>674</v>
      </c>
      <c r="D4" s="297" t="s">
        <v>675</v>
      </c>
      <c r="E4" s="297" t="s">
        <v>676</v>
      </c>
      <c r="F4" s="297" t="s">
        <v>677</v>
      </c>
      <c r="G4" s="297" t="s">
        <v>678</v>
      </c>
      <c r="H4" s="297" t="s">
        <v>679</v>
      </c>
      <c r="I4" s="297" t="s">
        <v>680</v>
      </c>
      <c r="J4" s="298" t="s">
        <v>681</v>
      </c>
      <c r="K4" s="298" t="s">
        <v>682</v>
      </c>
      <c r="M4" s="303" t="s">
        <v>683</v>
      </c>
      <c r="N4" s="297" t="s">
        <v>684</v>
      </c>
      <c r="O4" s="297" t="s">
        <v>685</v>
      </c>
      <c r="P4" s="297" t="s">
        <v>686</v>
      </c>
      <c r="Q4" s="297" t="s">
        <v>687</v>
      </c>
      <c r="R4" s="297" t="s">
        <v>688</v>
      </c>
      <c r="S4" s="297" t="s">
        <v>689</v>
      </c>
      <c r="T4" s="298" t="s">
        <v>690</v>
      </c>
      <c r="V4" s="296" t="s">
        <v>691</v>
      </c>
      <c r="W4" s="297" t="s">
        <v>692</v>
      </c>
      <c r="X4" s="297" t="s">
        <v>693</v>
      </c>
      <c r="Y4" s="297" t="s">
        <v>694</v>
      </c>
      <c r="Z4" s="297" t="s">
        <v>695</v>
      </c>
      <c r="AA4" s="297" t="s">
        <v>696</v>
      </c>
      <c r="AB4" s="298" t="s">
        <v>697</v>
      </c>
      <c r="AC4" s="19"/>
      <c r="AD4" s="19"/>
      <c r="AE4" s="19"/>
      <c r="AF4" s="19"/>
      <c r="AG4" s="19"/>
    </row>
    <row r="5" spans="1:33">
      <c r="A5" s="299">
        <f>PERSTAT!D15</f>
        <v>70</v>
      </c>
      <c r="B5" s="300">
        <f>COUNTIFS(MOLTable[Duty Status],"TAD(30 days or less)")+COUNTIFS(MOLTable[Duty Status],"TAD(Permissive)")</f>
        <v>15</v>
      </c>
      <c r="C5" s="300">
        <f>COUNTIFS(MOLTable[Duty Status],"TAD(31 days or more)")</f>
        <v>0</v>
      </c>
      <c r="D5" s="300" t="s">
        <v>698</v>
      </c>
      <c r="E5" s="300">
        <v>0</v>
      </c>
      <c r="F5" s="300">
        <v>0</v>
      </c>
      <c r="G5" s="300">
        <f>COUNTIFS(DutyStatusTable[Duty Status],"LIMDU")</f>
        <v>4</v>
      </c>
      <c r="H5" s="301">
        <f>PERSTAT!D6</f>
        <v>0</v>
      </c>
      <c r="I5" s="301">
        <f>SUM(PERSTAT!B59:B71)</f>
        <v>0</v>
      </c>
      <c r="J5" s="302">
        <f>COUNTIF(SkillbridgeTable[On Now],"Yes")</f>
        <v>2</v>
      </c>
      <c r="K5" s="302">
        <f>COUNTIF(CareGiverTable[On Now],"Yes")</f>
        <v>1</v>
      </c>
      <c r="M5" s="304"/>
      <c r="N5" s="301">
        <v>0</v>
      </c>
      <c r="O5" s="301">
        <f>COUNTIFS(WholeMarineTrainingTable[GTCC],"Yes")</f>
        <v>42</v>
      </c>
      <c r="P5" s="301"/>
      <c r="Q5" s="301"/>
      <c r="R5" s="301">
        <v>1</v>
      </c>
      <c r="S5" s="301">
        <v>0</v>
      </c>
      <c r="T5" s="302" t="s">
        <v>699</v>
      </c>
      <c r="V5" s="305">
        <f>Summaries!S23</f>
        <v>0.99444444444444446</v>
      </c>
      <c r="W5" s="306">
        <f>Summaries!L20</f>
        <v>0.94117647058823528</v>
      </c>
      <c r="X5" s="301" t="s">
        <v>261</v>
      </c>
      <c r="Y5" s="301" t="s">
        <v>261</v>
      </c>
      <c r="Z5" s="301">
        <f>COUNTIFS(HitlistTable[PHA],"X")</f>
        <v>0</v>
      </c>
      <c r="AA5" s="301">
        <f>COUNTIFS(HitlistTable[PDHRA],"X")</f>
        <v>0</v>
      </c>
      <c r="AB5" s="302">
        <f>COUNTIFS(HitlistTable[Audio],"X")</f>
        <v>3</v>
      </c>
      <c r="AC5" s="19"/>
      <c r="AD5" s="19"/>
      <c r="AE5" s="19"/>
      <c r="AF5" s="19"/>
      <c r="AG5" s="19"/>
    </row>
    <row r="6" spans="1:33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M6" s="19"/>
      <c r="N6" s="19"/>
      <c r="O6" s="19"/>
      <c r="P6" s="19"/>
      <c r="Q6" s="19"/>
      <c r="R6" s="19"/>
      <c r="S6" s="19"/>
      <c r="T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spans="1:33" ht="17.25">
      <c r="A7" s="282" t="s">
        <v>668</v>
      </c>
      <c r="B7" s="19"/>
      <c r="C7" s="19"/>
      <c r="D7" s="19"/>
      <c r="E7" s="19"/>
      <c r="F7" s="19"/>
      <c r="G7" s="19"/>
      <c r="H7" s="19"/>
      <c r="I7" s="19"/>
      <c r="J7" s="19"/>
      <c r="K7" s="19"/>
      <c r="M7" s="19"/>
      <c r="N7" s="19"/>
      <c r="O7" s="19"/>
      <c r="P7" s="19"/>
      <c r="Q7" s="19"/>
      <c r="R7" s="19"/>
      <c r="S7" s="19"/>
      <c r="T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spans="1:33">
      <c r="A8" s="616" t="s">
        <v>700</v>
      </c>
      <c r="B8" s="617"/>
      <c r="C8" s="617"/>
      <c r="D8" s="617"/>
      <c r="E8" s="617"/>
      <c r="F8" s="617"/>
      <c r="G8" s="617"/>
      <c r="H8" s="617"/>
      <c r="I8" s="617"/>
      <c r="J8" s="617"/>
      <c r="K8" s="617"/>
      <c r="L8" s="612"/>
      <c r="M8" s="617"/>
      <c r="N8" s="618"/>
      <c r="O8" s="19"/>
      <c r="P8" s="608" t="s">
        <v>701</v>
      </c>
      <c r="Q8" s="609"/>
      <c r="R8" s="609"/>
      <c r="S8" s="609"/>
      <c r="T8" s="609"/>
      <c r="U8" s="609"/>
      <c r="V8" s="609"/>
      <c r="W8" s="609"/>
      <c r="X8" s="610"/>
      <c r="Y8" s="19"/>
      <c r="Z8" s="19"/>
      <c r="AA8" s="19"/>
      <c r="AB8" s="19"/>
      <c r="AC8" s="19"/>
      <c r="AD8" s="19"/>
      <c r="AE8" s="19"/>
      <c r="AF8" s="19"/>
      <c r="AG8" s="19"/>
    </row>
    <row r="9" spans="1:33" ht="64.5">
      <c r="A9" s="296" t="s">
        <v>702</v>
      </c>
      <c r="B9" s="297" t="s">
        <v>703</v>
      </c>
      <c r="C9" s="297" t="s">
        <v>704</v>
      </c>
      <c r="D9" s="297" t="s">
        <v>705</v>
      </c>
      <c r="E9" s="297" t="s">
        <v>706</v>
      </c>
      <c r="F9" s="297" t="s">
        <v>707</v>
      </c>
      <c r="G9" s="297" t="s">
        <v>708</v>
      </c>
      <c r="H9" s="297" t="s">
        <v>709</v>
      </c>
      <c r="I9" s="297" t="s">
        <v>710</v>
      </c>
      <c r="J9" s="297" t="s">
        <v>711</v>
      </c>
      <c r="K9" s="298" t="s">
        <v>712</v>
      </c>
      <c r="L9" s="297" t="s">
        <v>713</v>
      </c>
      <c r="M9" s="296" t="s">
        <v>714</v>
      </c>
      <c r="N9" s="298" t="s">
        <v>715</v>
      </c>
      <c r="O9" s="19"/>
      <c r="P9" s="296" t="s">
        <v>716</v>
      </c>
      <c r="Q9" s="297" t="s">
        <v>717</v>
      </c>
      <c r="R9" s="297" t="s">
        <v>718</v>
      </c>
      <c r="S9" s="297" t="s">
        <v>719</v>
      </c>
      <c r="T9" s="297" t="s">
        <v>720</v>
      </c>
      <c r="U9" s="297" t="s">
        <v>721</v>
      </c>
      <c r="V9" s="297" t="s">
        <v>722</v>
      </c>
      <c r="W9" s="297" t="s">
        <v>723</v>
      </c>
      <c r="X9" s="298" t="s">
        <v>724</v>
      </c>
      <c r="Y9" s="19"/>
      <c r="Z9" s="19"/>
      <c r="AA9" s="19"/>
      <c r="AB9" s="19"/>
      <c r="AC9" s="19"/>
      <c r="AD9" s="19"/>
      <c r="AE9" s="19"/>
      <c r="AF9" s="19"/>
      <c r="AG9" s="19"/>
    </row>
    <row r="10" spans="1:33">
      <c r="A10" s="305">
        <v>0.98</v>
      </c>
      <c r="B10" s="306">
        <v>0.71</v>
      </c>
      <c r="C10" s="306">
        <v>0.36</v>
      </c>
      <c r="D10" s="306">
        <v>0.76</v>
      </c>
      <c r="E10" s="306">
        <v>0.7</v>
      </c>
      <c r="F10" s="306">
        <v>0.89</v>
      </c>
      <c r="G10" s="306">
        <v>0.87</v>
      </c>
      <c r="H10" s="306">
        <v>0.96</v>
      </c>
      <c r="I10" s="306">
        <v>0.81</v>
      </c>
      <c r="J10" s="306">
        <v>0.76</v>
      </c>
      <c r="K10" s="307">
        <v>0.05</v>
      </c>
      <c r="L10" s="308">
        <v>0.59</v>
      </c>
      <c r="M10" s="306">
        <v>0.36</v>
      </c>
      <c r="N10" s="307">
        <v>1</v>
      </c>
      <c r="O10" s="19"/>
      <c r="P10" s="305">
        <v>0.12</v>
      </c>
      <c r="Q10" s="306">
        <v>0</v>
      </c>
      <c r="R10" s="306">
        <v>0.56999999999999995</v>
      </c>
      <c r="S10" s="306">
        <v>0.5</v>
      </c>
      <c r="T10" s="306">
        <v>0.09</v>
      </c>
      <c r="U10" s="306">
        <v>0</v>
      </c>
      <c r="V10" s="306">
        <v>0</v>
      </c>
      <c r="W10" s="306">
        <v>0</v>
      </c>
      <c r="X10" s="307">
        <v>0</v>
      </c>
      <c r="Y10" s="19"/>
      <c r="Z10" s="19"/>
      <c r="AA10" s="19"/>
      <c r="AB10" s="19"/>
      <c r="AC10" s="19"/>
      <c r="AD10" s="19"/>
      <c r="AE10" s="19"/>
      <c r="AF10" s="19"/>
      <c r="AG10" s="19"/>
    </row>
    <row r="11" spans="1:33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M11" s="19"/>
      <c r="N11" s="19"/>
      <c r="O11" s="19"/>
      <c r="P11" s="19"/>
      <c r="Q11" s="19"/>
      <c r="R11" s="19"/>
      <c r="S11" s="19"/>
      <c r="T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spans="1:33" ht="17.25">
      <c r="A12" s="282" t="s">
        <v>668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M12" s="19"/>
      <c r="N12" s="19"/>
      <c r="O12" s="19"/>
      <c r="P12" s="19"/>
      <c r="Q12" s="19"/>
      <c r="R12" s="19"/>
      <c r="S12" s="19"/>
      <c r="T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33">
      <c r="A13" s="608" t="s">
        <v>725</v>
      </c>
      <c r="B13" s="609"/>
      <c r="C13" s="609"/>
      <c r="D13" s="609"/>
      <c r="E13" s="609"/>
      <c r="F13" s="609"/>
      <c r="G13" s="610"/>
      <c r="H13" s="19"/>
      <c r="I13" s="619" t="s">
        <v>726</v>
      </c>
      <c r="J13" s="620"/>
      <c r="K13" s="620"/>
      <c r="L13" s="620"/>
      <c r="M13" s="620"/>
      <c r="N13" s="620"/>
      <c r="O13" s="620"/>
      <c r="P13" s="620"/>
      <c r="Q13" s="19"/>
      <c r="R13" s="19"/>
      <c r="S13" s="19"/>
      <c r="T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spans="1:33" ht="81">
      <c r="A14" s="296" t="s">
        <v>265</v>
      </c>
      <c r="B14" s="297" t="s">
        <v>727</v>
      </c>
      <c r="C14" s="297" t="s">
        <v>728</v>
      </c>
      <c r="D14" s="297" t="s">
        <v>729</v>
      </c>
      <c r="E14" s="297" t="s">
        <v>730</v>
      </c>
      <c r="F14" s="297" t="s">
        <v>731</v>
      </c>
      <c r="G14" s="298" t="s">
        <v>732</v>
      </c>
      <c r="H14" s="19"/>
      <c r="I14" s="296" t="s">
        <v>733</v>
      </c>
      <c r="J14" s="297" t="s">
        <v>734</v>
      </c>
      <c r="K14" s="297" t="s">
        <v>735</v>
      </c>
      <c r="L14" s="298" t="s">
        <v>736</v>
      </c>
      <c r="M14" s="297" t="s">
        <v>737</v>
      </c>
      <c r="N14" s="297" t="s">
        <v>738</v>
      </c>
      <c r="O14" s="297" t="s">
        <v>739</v>
      </c>
      <c r="P14" s="297" t="s">
        <v>740</v>
      </c>
      <c r="Q14" s="19"/>
      <c r="R14" s="19"/>
      <c r="S14" s="19"/>
      <c r="T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spans="1:33">
      <c r="A15" s="305">
        <f>Summaries!O5</f>
        <v>1</v>
      </c>
      <c r="B15" s="306">
        <f>Summaries!O6</f>
        <v>0.89473684210526316</v>
      </c>
      <c r="C15" s="306">
        <f>Summaries!O7</f>
        <v>0.625</v>
      </c>
      <c r="D15" s="306">
        <f>Summaries!O8</f>
        <v>0.25</v>
      </c>
      <c r="E15" s="306">
        <f>Summaries!O9</f>
        <v>0.5</v>
      </c>
      <c r="F15" s="306">
        <f>Summaries!O10</f>
        <v>0.5</v>
      </c>
      <c r="G15" s="302" t="s">
        <v>16</v>
      </c>
      <c r="H15" s="19"/>
      <c r="I15" s="309"/>
      <c r="J15" s="309"/>
      <c r="K15" s="309"/>
      <c r="L15" s="309"/>
      <c r="M15" s="309"/>
      <c r="N15" s="309"/>
      <c r="O15" s="309"/>
      <c r="P15" s="309"/>
      <c r="Q15" s="19"/>
      <c r="R15" s="19"/>
      <c r="S15" s="19"/>
      <c r="T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spans="1:33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8" spans="1:33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1:33">
      <c r="A19" s="602" t="s">
        <v>741</v>
      </c>
      <c r="B19" s="603"/>
      <c r="C19" s="603"/>
      <c r="D19" s="603"/>
      <c r="E19" s="603"/>
      <c r="F19" s="603"/>
      <c r="G19" s="603"/>
      <c r="H19" s="603"/>
      <c r="I19" s="603"/>
      <c r="J19" s="603"/>
      <c r="K19" s="604"/>
      <c r="M19" s="19"/>
      <c r="N19" s="19"/>
      <c r="O19" s="19"/>
      <c r="P19" s="19"/>
      <c r="Q19" s="19"/>
      <c r="R19" s="19"/>
      <c r="S19" s="19"/>
      <c r="T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33">
      <c r="A20" s="605"/>
      <c r="B20" s="606"/>
      <c r="C20" s="606"/>
      <c r="D20" s="606"/>
      <c r="E20" s="606"/>
      <c r="F20" s="606"/>
      <c r="G20" s="606"/>
      <c r="H20" s="606"/>
      <c r="I20" s="606"/>
      <c r="J20" s="606"/>
      <c r="K20" s="607"/>
      <c r="M20" s="19"/>
      <c r="N20" s="19"/>
      <c r="O20" s="19"/>
      <c r="P20" s="19"/>
      <c r="Q20" s="19"/>
      <c r="R20" s="19"/>
      <c r="S20" s="19"/>
      <c r="T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ht="31.5">
      <c r="A21" s="321" t="s">
        <v>742</v>
      </c>
      <c r="B21" s="321" t="s">
        <v>743</v>
      </c>
      <c r="C21" s="321" t="s">
        <v>744</v>
      </c>
      <c r="D21" s="321" t="s">
        <v>745</v>
      </c>
      <c r="E21" s="321" t="s">
        <v>746</v>
      </c>
      <c r="F21" s="321" t="s">
        <v>747</v>
      </c>
      <c r="G21" s="321" t="s">
        <v>748</v>
      </c>
      <c r="H21" s="321" t="s">
        <v>749</v>
      </c>
      <c r="I21" s="321" t="s">
        <v>750</v>
      </c>
      <c r="J21" s="321" t="s">
        <v>751</v>
      </c>
      <c r="K21" s="322" t="s">
        <v>752</v>
      </c>
      <c r="M21" s="19"/>
      <c r="N21" s="19"/>
      <c r="O21" s="19"/>
      <c r="P21" s="19"/>
      <c r="Q21" s="19"/>
      <c r="R21" s="19"/>
      <c r="S21" s="19"/>
      <c r="T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ht="31.5">
      <c r="A22" s="326" t="s">
        <v>753</v>
      </c>
      <c r="B22" s="326" t="s">
        <v>1094</v>
      </c>
      <c r="C22" s="326" t="s">
        <v>754</v>
      </c>
      <c r="D22" s="323">
        <v>3420</v>
      </c>
      <c r="E22" s="323">
        <v>3420</v>
      </c>
      <c r="F22" s="324">
        <v>0</v>
      </c>
      <c r="G22" s="324">
        <v>0</v>
      </c>
      <c r="H22" s="324">
        <v>0</v>
      </c>
      <c r="I22" s="323">
        <v>3420</v>
      </c>
      <c r="J22" s="325" t="s">
        <v>755</v>
      </c>
      <c r="K22" s="327" t="s">
        <v>756</v>
      </c>
      <c r="M22" s="19"/>
      <c r="N22" s="19"/>
      <c r="O22" s="19"/>
      <c r="P22" s="19"/>
      <c r="Q22" s="19"/>
      <c r="R22" s="19"/>
      <c r="S22" s="19"/>
      <c r="T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ht="47.25">
      <c r="A23" s="326" t="s">
        <v>753</v>
      </c>
      <c r="B23" s="326" t="s">
        <v>1095</v>
      </c>
      <c r="C23" s="326" t="s">
        <v>757</v>
      </c>
      <c r="D23" s="323">
        <v>2546.87</v>
      </c>
      <c r="E23" s="324">
        <v>0</v>
      </c>
      <c r="F23" s="323">
        <v>2501.87</v>
      </c>
      <c r="G23" s="324">
        <v>0</v>
      </c>
      <c r="H23" s="324">
        <v>0</v>
      </c>
      <c r="I23" s="323">
        <v>2501.87</v>
      </c>
      <c r="J23" s="325" t="s">
        <v>247</v>
      </c>
      <c r="K23" s="327" t="s">
        <v>758</v>
      </c>
      <c r="M23" s="19"/>
      <c r="N23" s="19"/>
      <c r="O23" s="19"/>
      <c r="P23" s="19"/>
      <c r="Q23" s="19"/>
      <c r="R23" s="19"/>
      <c r="S23" s="19"/>
      <c r="T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spans="1:33" ht="31.5">
      <c r="A24" s="326" t="s">
        <v>753</v>
      </c>
      <c r="B24" s="326" t="s">
        <v>1096</v>
      </c>
      <c r="C24" s="326" t="s">
        <v>754</v>
      </c>
      <c r="D24" s="324">
        <v>62.65</v>
      </c>
      <c r="E24" s="324">
        <v>62.65</v>
      </c>
      <c r="F24" s="324">
        <v>0</v>
      </c>
      <c r="G24" s="324">
        <v>0</v>
      </c>
      <c r="H24" s="324">
        <v>0</v>
      </c>
      <c r="I24" s="324">
        <v>62.65</v>
      </c>
      <c r="J24" s="325" t="s">
        <v>759</v>
      </c>
      <c r="K24" s="327" t="s">
        <v>760</v>
      </c>
      <c r="M24" s="19"/>
      <c r="N24" s="19"/>
      <c r="O24" s="19"/>
      <c r="P24" s="19"/>
      <c r="Q24" s="19"/>
      <c r="R24" s="19"/>
      <c r="S24" s="19"/>
      <c r="T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spans="1:33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M25" s="19"/>
      <c r="N25" s="19"/>
      <c r="O25" s="19"/>
      <c r="P25" s="19"/>
      <c r="Q25" s="19"/>
      <c r="R25" s="19"/>
      <c r="S25" s="19"/>
      <c r="T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spans="1:33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M26" s="19"/>
      <c r="N26" s="19"/>
      <c r="O26" s="19"/>
      <c r="P26" s="19"/>
      <c r="Q26" s="19"/>
      <c r="R26" s="19"/>
      <c r="S26" s="19"/>
      <c r="T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spans="1:33">
      <c r="M27" s="19"/>
      <c r="N27" s="19"/>
      <c r="O27" s="19"/>
      <c r="P27" s="19"/>
      <c r="Q27" s="19"/>
      <c r="R27" s="19"/>
      <c r="S27" s="19"/>
      <c r="T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spans="1:33">
      <c r="M28" s="19"/>
      <c r="N28" s="19"/>
      <c r="O28" s="19"/>
      <c r="P28" s="19"/>
      <c r="Q28" s="19"/>
      <c r="R28" s="19"/>
      <c r="S28" s="19"/>
      <c r="T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spans="1:33">
      <c r="M29" s="19"/>
      <c r="N29" s="19"/>
      <c r="O29" s="19"/>
      <c r="P29" s="19"/>
      <c r="Q29" s="19"/>
      <c r="R29" s="19"/>
      <c r="S29" s="19"/>
      <c r="T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spans="1:33">
      <c r="M30" s="19"/>
      <c r="N30" s="19"/>
      <c r="O30" s="19"/>
      <c r="P30" s="19"/>
      <c r="Q30" s="19"/>
      <c r="R30" s="19"/>
      <c r="S30" s="19"/>
      <c r="T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spans="1:33">
      <c r="M31" s="19"/>
      <c r="N31" s="19"/>
      <c r="O31" s="19"/>
      <c r="P31" s="19"/>
      <c r="Q31" s="19"/>
      <c r="R31" s="19"/>
      <c r="S31" s="19"/>
      <c r="T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spans="1:33">
      <c r="M32" s="19"/>
      <c r="N32" s="19"/>
      <c r="O32" s="19"/>
      <c r="P32" s="19"/>
      <c r="Q32" s="19"/>
      <c r="R32" s="19"/>
      <c r="S32" s="19"/>
      <c r="T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spans="15:17">
      <c r="O33" s="19"/>
      <c r="P33" s="19"/>
      <c r="Q33" s="19"/>
    </row>
    <row r="34" spans="15:17">
      <c r="O34" s="19"/>
      <c r="P34" s="19"/>
      <c r="Q34" s="19"/>
    </row>
    <row r="35" spans="15:17">
      <c r="O35" s="19"/>
      <c r="P35" s="19"/>
      <c r="Q35" s="19"/>
    </row>
    <row r="36" spans="15:17">
      <c r="O36" s="19"/>
      <c r="P36" s="19"/>
      <c r="Q36" s="19"/>
    </row>
    <row r="37" spans="15:17">
      <c r="O37" s="19"/>
      <c r="P37" s="19"/>
      <c r="Q37" s="19"/>
    </row>
    <row r="38" spans="15:17">
      <c r="O38" s="19"/>
      <c r="P38" s="19"/>
      <c r="Q38" s="19"/>
    </row>
    <row r="39" spans="15:17">
      <c r="O39" s="19"/>
      <c r="P39" s="19"/>
      <c r="Q39" s="19"/>
    </row>
    <row r="40" spans="15:17">
      <c r="O40" s="19"/>
      <c r="P40" s="19"/>
      <c r="Q40" s="19"/>
    </row>
    <row r="41" spans="15:17">
      <c r="O41" s="19"/>
      <c r="P41" s="19"/>
      <c r="Q41" s="19"/>
    </row>
    <row r="42" spans="15:17">
      <c r="O42" s="19"/>
      <c r="P42" s="19"/>
      <c r="Q42" s="19"/>
    </row>
    <row r="43" spans="15:17">
      <c r="O43" s="19"/>
      <c r="P43" s="19"/>
      <c r="Q43" s="19"/>
    </row>
    <row r="44" spans="15:17">
      <c r="O44" s="19"/>
      <c r="P44" s="19"/>
      <c r="Q44" s="19"/>
    </row>
    <row r="45" spans="15:17">
      <c r="O45" s="19"/>
      <c r="P45" s="19"/>
      <c r="Q45" s="19"/>
    </row>
    <row r="46" spans="15:17">
      <c r="O46" s="19"/>
      <c r="P46" s="19"/>
      <c r="Q46" s="19"/>
    </row>
    <row r="47" spans="15:17">
      <c r="O47" s="19"/>
      <c r="P47" s="19"/>
      <c r="Q47" s="19"/>
    </row>
    <row r="48" spans="15:17">
      <c r="O48" s="19"/>
      <c r="P48" s="19"/>
      <c r="Q48" s="19"/>
    </row>
  </sheetData>
  <mergeCells count="8">
    <mergeCell ref="A19:K20"/>
    <mergeCell ref="A13:G13"/>
    <mergeCell ref="A3:K3"/>
    <mergeCell ref="M3:T3"/>
    <mergeCell ref="V3:AB3"/>
    <mergeCell ref="A8:N8"/>
    <mergeCell ref="P8:X8"/>
    <mergeCell ref="I13:P13"/>
  </mergeCells>
  <conditionalFormatting sqref="V5:W5 A15:G15 A10:N10 P10:X10">
    <cfRule type="cellIs" dxfId="379" priority="4" operator="greaterThan">
      <formula>0.85</formula>
    </cfRule>
  </conditionalFormatting>
  <conditionalFormatting sqref="V5:W5 A15:G15 A10:N10 P10:X10">
    <cfRule type="cellIs" dxfId="378" priority="3" operator="between">
      <formula>0.84</formula>
      <formula>0.7</formula>
    </cfRule>
  </conditionalFormatting>
  <conditionalFormatting sqref="V5:W5 A15:G15 A10:N10 P10:X10">
    <cfRule type="cellIs" dxfId="377" priority="2" operator="between">
      <formula>0.00001</formula>
      <formula>0.69</formula>
    </cfRule>
  </conditionalFormatting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45FA-409B-435E-BF91-B2B4F02C315B}">
  <sheetPr>
    <tabColor theme="0" tint="-0.14999847407452621"/>
  </sheetPr>
  <dimension ref="A1:O15"/>
  <sheetViews>
    <sheetView workbookViewId="0">
      <selection activeCell="E14" sqref="E14"/>
    </sheetView>
  </sheetViews>
  <sheetFormatPr defaultRowHeight="15"/>
  <cols>
    <col min="2" max="2" width="23.140625" bestFit="1" customWidth="1"/>
    <col min="3" max="3" width="9" bestFit="1" customWidth="1"/>
    <col min="4" max="4" width="8" bestFit="1" customWidth="1"/>
    <col min="5" max="5" width="26" bestFit="1" customWidth="1"/>
    <col min="6" max="6" width="38.140625" bestFit="1" customWidth="1"/>
    <col min="7" max="7" width="14.7109375" bestFit="1" customWidth="1"/>
    <col min="8" max="8" width="30.7109375" bestFit="1" customWidth="1"/>
    <col min="9" max="9" width="37" bestFit="1" customWidth="1"/>
    <col min="10" max="10" width="14.140625" bestFit="1" customWidth="1"/>
    <col min="11" max="11" width="11.140625" bestFit="1" customWidth="1"/>
    <col min="12" max="12" width="15.7109375" bestFit="1" customWidth="1"/>
    <col min="13" max="13" width="15.7109375" style="19" customWidth="1"/>
    <col min="14" max="14" width="20.7109375" customWidth="1"/>
  </cols>
  <sheetData>
    <row r="1" spans="1:15" ht="15.75">
      <c r="A1" s="621" t="s">
        <v>761</v>
      </c>
      <c r="B1" s="622"/>
      <c r="C1" s="622"/>
      <c r="D1" s="622"/>
      <c r="E1" s="622"/>
      <c r="F1" s="622"/>
      <c r="G1" s="622"/>
      <c r="H1" s="622"/>
      <c r="I1" s="622"/>
      <c r="J1" s="622"/>
      <c r="K1" s="622"/>
      <c r="L1" s="622"/>
      <c r="M1" s="622"/>
      <c r="N1" s="623"/>
      <c r="O1" s="19"/>
    </row>
    <row r="2" spans="1:15">
      <c r="A2" s="19" t="s">
        <v>762</v>
      </c>
      <c r="B2" s="19" t="s">
        <v>763</v>
      </c>
      <c r="C2" s="19" t="s">
        <v>764</v>
      </c>
      <c r="D2" s="19" t="s">
        <v>765</v>
      </c>
      <c r="E2" s="19" t="s">
        <v>766</v>
      </c>
      <c r="F2" s="19" t="s">
        <v>767</v>
      </c>
      <c r="G2" s="19" t="s">
        <v>768</v>
      </c>
      <c r="H2" s="19" t="s">
        <v>769</v>
      </c>
      <c r="I2" s="19" t="s">
        <v>770</v>
      </c>
      <c r="J2" s="19" t="s">
        <v>771</v>
      </c>
      <c r="K2" s="19" t="s">
        <v>772</v>
      </c>
      <c r="L2" s="19" t="s">
        <v>773</v>
      </c>
      <c r="M2" s="19" t="s">
        <v>774</v>
      </c>
      <c r="N2" s="19" t="s">
        <v>775</v>
      </c>
      <c r="O2" s="19"/>
    </row>
    <row r="3" spans="1:15">
      <c r="A3" s="19" t="s">
        <v>188</v>
      </c>
      <c r="B3" s="19" t="s">
        <v>1094</v>
      </c>
      <c r="C3" s="19" t="s">
        <v>776</v>
      </c>
      <c r="D3" s="19" t="s">
        <v>777</v>
      </c>
      <c r="E3" s="19" t="s">
        <v>778</v>
      </c>
      <c r="F3" s="19" t="s">
        <v>1183</v>
      </c>
      <c r="G3" s="19"/>
      <c r="H3" s="66">
        <v>45360</v>
      </c>
      <c r="I3" s="66">
        <v>45383</v>
      </c>
      <c r="J3" s="66">
        <v>45321</v>
      </c>
      <c r="K3" s="66">
        <v>45373</v>
      </c>
      <c r="L3" s="19"/>
      <c r="N3" s="66"/>
      <c r="O3" s="19"/>
    </row>
    <row r="4" spans="1:15">
      <c r="A4" s="19" t="s">
        <v>183</v>
      </c>
      <c r="B4" s="19" t="s">
        <v>1095</v>
      </c>
      <c r="C4" s="19" t="s">
        <v>776</v>
      </c>
      <c r="D4" s="19" t="s">
        <v>777</v>
      </c>
      <c r="E4" s="19" t="s">
        <v>778</v>
      </c>
      <c r="F4" s="19" t="s">
        <v>1183</v>
      </c>
      <c r="G4" s="19"/>
      <c r="H4" s="66">
        <v>45322</v>
      </c>
      <c r="I4" s="66" t="s">
        <v>779</v>
      </c>
      <c r="J4" s="66">
        <v>44256</v>
      </c>
      <c r="K4" s="66">
        <v>45295</v>
      </c>
      <c r="L4" s="66">
        <v>45295</v>
      </c>
      <c r="M4" s="19" t="s">
        <v>780</v>
      </c>
      <c r="N4" s="66"/>
      <c r="O4" s="19"/>
    </row>
    <row r="5" spans="1:15">
      <c r="A5" s="106" t="s">
        <v>182</v>
      </c>
      <c r="B5" s="106" t="s">
        <v>1096</v>
      </c>
      <c r="C5" s="106" t="s">
        <v>776</v>
      </c>
      <c r="D5" s="106" t="s">
        <v>777</v>
      </c>
      <c r="E5" s="106" t="s">
        <v>781</v>
      </c>
      <c r="F5" s="19" t="s">
        <v>1183</v>
      </c>
      <c r="G5" s="19"/>
      <c r="H5" s="66">
        <v>45344</v>
      </c>
      <c r="I5" s="66">
        <v>45380</v>
      </c>
      <c r="J5" s="66">
        <v>43950</v>
      </c>
      <c r="K5" s="66">
        <v>45264</v>
      </c>
      <c r="L5" s="66">
        <v>45322</v>
      </c>
      <c r="M5" s="19" t="s">
        <v>247</v>
      </c>
      <c r="N5" s="66"/>
      <c r="O5" s="19"/>
    </row>
    <row r="6" spans="1:15">
      <c r="A6" s="19" t="s">
        <v>182</v>
      </c>
      <c r="B6" s="19" t="s">
        <v>1097</v>
      </c>
      <c r="C6" s="19" t="s">
        <v>776</v>
      </c>
      <c r="D6" s="19" t="s">
        <v>661</v>
      </c>
      <c r="E6" s="19" t="s">
        <v>782</v>
      </c>
      <c r="F6" s="19" t="s">
        <v>1183</v>
      </c>
      <c r="G6" s="19"/>
      <c r="H6" s="66" t="s">
        <v>783</v>
      </c>
      <c r="I6" s="66">
        <v>45322</v>
      </c>
      <c r="J6" s="66">
        <v>43950</v>
      </c>
      <c r="K6" s="66">
        <v>45264</v>
      </c>
      <c r="L6" s="19"/>
      <c r="N6" s="66"/>
      <c r="O6" s="19"/>
    </row>
    <row r="7" spans="1:15">
      <c r="A7" s="19" t="s">
        <v>181</v>
      </c>
      <c r="B7" s="19" t="s">
        <v>1098</v>
      </c>
      <c r="C7" s="19" t="s">
        <v>776</v>
      </c>
      <c r="D7" s="19" t="s">
        <v>784</v>
      </c>
      <c r="E7" s="19" t="s">
        <v>785</v>
      </c>
      <c r="F7" s="19" t="s">
        <v>1183</v>
      </c>
      <c r="G7" s="19"/>
      <c r="H7" s="66">
        <v>45364</v>
      </c>
      <c r="I7" s="66">
        <v>45390</v>
      </c>
      <c r="J7" s="66">
        <v>45356</v>
      </c>
      <c r="K7" s="66">
        <v>45357</v>
      </c>
      <c r="L7" s="19"/>
      <c r="N7" s="66"/>
      <c r="O7" s="19"/>
    </row>
    <row r="8" spans="1:15">
      <c r="A8" s="19" t="s">
        <v>181</v>
      </c>
      <c r="B8" s="19" t="s">
        <v>1099</v>
      </c>
      <c r="C8" s="19" t="s">
        <v>776</v>
      </c>
      <c r="D8" s="19" t="s">
        <v>784</v>
      </c>
      <c r="E8" s="19" t="s">
        <v>778</v>
      </c>
      <c r="F8" s="19" t="s">
        <v>1183</v>
      </c>
      <c r="G8" s="19"/>
      <c r="H8" s="66">
        <v>45357</v>
      </c>
      <c r="I8" s="66">
        <v>45383</v>
      </c>
      <c r="J8" s="66">
        <v>45266</v>
      </c>
      <c r="K8" s="66">
        <v>45373</v>
      </c>
      <c r="L8" s="19"/>
      <c r="N8" s="66"/>
      <c r="O8" s="19"/>
    </row>
    <row r="9" spans="1:15">
      <c r="A9" s="19" t="s">
        <v>181</v>
      </c>
      <c r="B9" s="19" t="s">
        <v>1100</v>
      </c>
      <c r="C9" s="19" t="s">
        <v>776</v>
      </c>
      <c r="D9" s="19" t="s">
        <v>661</v>
      </c>
      <c r="E9" s="19" t="s">
        <v>786</v>
      </c>
      <c r="F9" s="19" t="s">
        <v>1183</v>
      </c>
      <c r="G9" s="19"/>
      <c r="H9" s="66">
        <v>45342</v>
      </c>
      <c r="I9" s="66">
        <v>45418</v>
      </c>
      <c r="J9" s="66">
        <v>44156</v>
      </c>
      <c r="K9" s="66">
        <v>45435</v>
      </c>
      <c r="L9" s="66">
        <v>45418</v>
      </c>
      <c r="M9" s="19" t="s">
        <v>247</v>
      </c>
      <c r="N9" s="66"/>
      <c r="O9" s="19"/>
    </row>
    <row r="10" spans="1:15">
      <c r="A10" s="19"/>
      <c r="B10" s="19"/>
      <c r="C10" s="19"/>
      <c r="D10" s="19"/>
      <c r="E10" s="19"/>
      <c r="F10" s="19"/>
      <c r="G10" s="19"/>
      <c r="H10" s="66"/>
      <c r="I10" s="66"/>
      <c r="J10" s="66"/>
      <c r="K10" s="66"/>
      <c r="L10" s="19"/>
      <c r="N10" s="66"/>
      <c r="O10" s="19"/>
    </row>
    <row r="11" spans="1:15" s="19" customFormat="1"/>
    <row r="12" spans="1:15" s="19" customFormat="1">
      <c r="A12"/>
      <c r="B12"/>
      <c r="C12"/>
      <c r="D12"/>
      <c r="E12"/>
      <c r="F12"/>
      <c r="G12"/>
      <c r="H12"/>
      <c r="I12"/>
      <c r="J12"/>
      <c r="K12"/>
      <c r="L12"/>
      <c r="N12"/>
    </row>
    <row r="13" spans="1:15">
      <c r="O13" s="19"/>
    </row>
    <row r="14" spans="1:15" s="19" customFormat="1">
      <c r="A14"/>
      <c r="B14"/>
      <c r="C14"/>
      <c r="D14"/>
      <c r="E14"/>
      <c r="F14"/>
      <c r="G14"/>
      <c r="H14"/>
      <c r="I14"/>
      <c r="J14"/>
      <c r="K14"/>
      <c r="L14"/>
      <c r="N14"/>
    </row>
    <row r="15" spans="1:15">
      <c r="O15" s="19"/>
    </row>
  </sheetData>
  <mergeCells count="1">
    <mergeCell ref="A1:N1"/>
  </mergeCells>
  <conditionalFormatting sqref="H3:H10">
    <cfRule type="timePeriod" dxfId="271" priority="8" timePeriod="lastMonth">
      <formula>AND(MONTH(H3)=MONTH(EDATE(TODAY(),0-1)),YEAR(H3)=YEAR(EDATE(TODAY(),0-1)))</formula>
    </cfRule>
  </conditionalFormatting>
  <conditionalFormatting sqref="L3:L10">
    <cfRule type="timePeriod" dxfId="270" priority="7" timePeriod="nextMonth">
      <formula>AND(MONTH(L3)=MONTH(EDATE(TODAY(),0+1)),YEAR(L3)=YEAR(EDATE(TODAY(),0+1)))</formula>
    </cfRule>
  </conditionalFormatting>
  <conditionalFormatting sqref="E3:E10">
    <cfRule type="containsText" dxfId="269" priority="1" operator="containsText" text="CORRECTIVE">
      <formula>NOT(ISERROR(SEARCH("CORRECTIVE",E3)))</formula>
    </cfRule>
    <cfRule type="containsText" dxfId="268" priority="3" operator="containsText" text="RESUBMITTED">
      <formula>NOT(ISERROR(SEARCH("RESUBMITTED",E3)))</formula>
    </cfRule>
    <cfRule type="containsText" dxfId="267" priority="4" operator="containsText" text="RETURNED">
      <formula>NOT(ISERROR(SEARCH("RETURNED",E3)))</formula>
    </cfRule>
    <cfRule type="containsText" dxfId="266" priority="5" operator="containsText" text="FOR REVIEW">
      <formula>NOT(ISERROR(SEARCH("FOR REVIEW",E3)))</formula>
    </cfRule>
    <cfRule type="containsText" dxfId="265" priority="6" operator="containsText" text="AWARDED">
      <formula>NOT(ISERROR(SEARCH("AWARDED",E3)))</formula>
    </cfRule>
  </conditionalFormatting>
  <conditionalFormatting sqref="L3:L10">
    <cfRule type="cellIs" dxfId="264" priority="2" operator="lessThan">
      <formula>TODAY()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84FB-AE29-421E-A808-F2967A3057FC}">
  <sheetPr>
    <tabColor theme="0" tint="-0.14999847407452621"/>
  </sheetPr>
  <dimension ref="A1:S134"/>
  <sheetViews>
    <sheetView workbookViewId="0">
      <selection activeCell="B2" sqref="B2:B9"/>
    </sheetView>
  </sheetViews>
  <sheetFormatPr defaultColWidth="9.140625" defaultRowHeight="15"/>
  <cols>
    <col min="2" max="2" width="33.140625" bestFit="1" customWidth="1"/>
    <col min="3" max="3" width="14.5703125" bestFit="1" customWidth="1"/>
    <col min="4" max="4" width="19" bestFit="1" customWidth="1"/>
    <col min="5" max="5" width="15.28515625" bestFit="1" customWidth="1"/>
    <col min="6" max="6" width="10" bestFit="1" customWidth="1"/>
    <col min="7" max="7" width="12" bestFit="1" customWidth="1"/>
    <col min="8" max="8" width="18.42578125" bestFit="1" customWidth="1"/>
    <col min="9" max="9" width="14.140625" bestFit="1" customWidth="1"/>
    <col min="10" max="11" width="10.42578125" bestFit="1" customWidth="1"/>
    <col min="12" max="12" width="11.5703125" bestFit="1" customWidth="1"/>
  </cols>
  <sheetData>
    <row r="1" spans="1:19">
      <c r="A1" s="19" t="s">
        <v>787</v>
      </c>
      <c r="B1" s="19" t="s">
        <v>155</v>
      </c>
      <c r="C1" s="19" t="s">
        <v>788</v>
      </c>
      <c r="D1" s="19" t="s">
        <v>789</v>
      </c>
      <c r="E1" s="19" t="s">
        <v>790</v>
      </c>
      <c r="F1" s="19" t="s">
        <v>195</v>
      </c>
      <c r="G1" s="19" t="s">
        <v>791</v>
      </c>
      <c r="H1" s="19" t="s">
        <v>792</v>
      </c>
      <c r="I1" s="19" t="s">
        <v>793</v>
      </c>
      <c r="J1" s="106" t="s">
        <v>794</v>
      </c>
      <c r="K1" s="19" t="s">
        <v>795</v>
      </c>
      <c r="L1" s="106" t="s">
        <v>796</v>
      </c>
      <c r="M1" s="19"/>
      <c r="N1" s="19"/>
      <c r="O1" s="624" t="s">
        <v>797</v>
      </c>
      <c r="P1" s="624"/>
      <c r="Q1" s="19"/>
      <c r="R1" s="106" t="s">
        <v>798</v>
      </c>
      <c r="S1" s="19"/>
    </row>
    <row r="2" spans="1:19">
      <c r="A2" s="19" t="s">
        <v>318</v>
      </c>
      <c r="B2" s="559" t="s">
        <v>1094</v>
      </c>
      <c r="C2" s="537">
        <v>54069</v>
      </c>
      <c r="D2" s="71">
        <v>45365</v>
      </c>
      <c r="E2" s="281">
        <v>1701</v>
      </c>
      <c r="F2" s="19" t="s">
        <v>79</v>
      </c>
      <c r="G2" s="19" t="s">
        <v>1184</v>
      </c>
      <c r="H2" s="194"/>
      <c r="I2" s="19" t="s">
        <v>799</v>
      </c>
      <c r="J2" s="66">
        <f>IF(COUNTIF(InboundRoster[[#This Row],[Rank]],"*LT*")=1,InboundRoster[[#This Row],[Estimated Arrival]]+$P$2,IF(COUNTIF(InboundRoster[[#This Row],[Rank]],"*GY*")=1,InboundRoster[[#This Row],[Estimated Arrival]]+$P$2,""))</f>
        <v>45370</v>
      </c>
      <c r="K2" s="66">
        <f>IF(COUNTIF(InboundRoster[[#This Row],[Rank]],"*LT*")=1,InboundRoster[[#This Row],[Checkin]]+$P$3,IF(COUNTIF(InboundRoster[[#This Row],[Rank]],"*GY*")=1,InboundRoster[[#This Row],[Checkin]]+$P$3,""))</f>
        <v>45380</v>
      </c>
      <c r="L2" s="66">
        <f>IF(COUNTIF(InboundRoster[[#This Row],[Rank]],"*LT*")=1,InboundRoster[[#This Row],[PTAD]]+$P$4,IF(COUNTIF(InboundRoster[[#This Row],[Rank]],"*GY*")=1,InboundRoster[[#This Row],[PTAD]]+$P$4,""))</f>
        <v>45410</v>
      </c>
      <c r="M2" s="19"/>
      <c r="N2" s="19"/>
      <c r="O2" s="19" t="s">
        <v>794</v>
      </c>
      <c r="P2" s="19">
        <v>5</v>
      </c>
      <c r="Q2" s="19"/>
      <c r="R2" s="77" t="s">
        <v>800</v>
      </c>
      <c r="S2" s="19"/>
    </row>
    <row r="3" spans="1:19">
      <c r="A3" s="19" t="s">
        <v>318</v>
      </c>
      <c r="B3" s="9" t="s">
        <v>1095</v>
      </c>
      <c r="C3" s="537">
        <v>54069</v>
      </c>
      <c r="D3" s="71">
        <v>45383</v>
      </c>
      <c r="E3" s="281">
        <v>1701</v>
      </c>
      <c r="F3" s="19" t="s">
        <v>209</v>
      </c>
      <c r="G3" s="58" t="s">
        <v>1185</v>
      </c>
      <c r="H3" s="194"/>
      <c r="I3" s="19"/>
      <c r="J3" s="66">
        <f>IF(COUNTIF(InboundRoster[[#This Row],[Rank]],"*LT*")=1,InboundRoster[[#This Row],[Estimated Arrival]]+$P$2,IF(COUNTIF(InboundRoster[[#This Row],[Rank]],"*GY*")=1,InboundRoster[[#This Row],[Estimated Arrival]]+$P$2,""))</f>
        <v>45388</v>
      </c>
      <c r="K3" s="66">
        <f>IF(COUNTIF(InboundRoster[[#This Row],[Rank]],"*LT*")=1,InboundRoster[[#This Row],[Checkin]]+$P$3,IF(COUNTIF(InboundRoster[[#This Row],[Rank]],"*GY*")=1,InboundRoster[[#This Row],[Checkin]]+$P$3,""))</f>
        <v>45398</v>
      </c>
      <c r="L3" s="66">
        <f>IF(COUNTIF(InboundRoster[[#This Row],[Rank]],"*LT*")=1,InboundRoster[[#This Row],[PTAD]]+$P$4,IF(COUNTIF(InboundRoster[[#This Row],[Rank]],"*GY*")=1,InboundRoster[[#This Row],[PTAD]]+$P$4,""))</f>
        <v>45428</v>
      </c>
      <c r="M3" s="19"/>
      <c r="N3" s="19"/>
      <c r="O3" s="19" t="s">
        <v>795</v>
      </c>
      <c r="P3" s="19">
        <v>10</v>
      </c>
      <c r="Q3" s="19"/>
      <c r="R3" s="19"/>
      <c r="S3" s="19"/>
    </row>
    <row r="4" spans="1:19">
      <c r="A4" s="19" t="s">
        <v>310</v>
      </c>
      <c r="B4" s="9" t="s">
        <v>1096</v>
      </c>
      <c r="C4" s="537">
        <v>12160</v>
      </c>
      <c r="D4" s="71">
        <v>45387</v>
      </c>
      <c r="E4" s="281">
        <v>1700</v>
      </c>
      <c r="F4" s="19" t="s">
        <v>108</v>
      </c>
      <c r="G4" s="19" t="s">
        <v>1184</v>
      </c>
      <c r="H4" s="194"/>
      <c r="I4" s="19"/>
      <c r="J4" s="66" t="str">
        <f>IF(COUNTIF(InboundRoster[[#This Row],[Rank]],"*LT*")=1,InboundRoster[[#This Row],[Estimated Arrival]]+$P$2,IF(COUNTIF(InboundRoster[[#This Row],[Rank]],"*GY*")=1,InboundRoster[[#This Row],[Estimated Arrival]]+$P$2,""))</f>
        <v/>
      </c>
      <c r="K4" s="66" t="str">
        <f>IF(COUNTIF(InboundRoster[[#This Row],[Rank]],"*LT*")=1,InboundRoster[[#This Row],[Checkin]]+$P$3,IF(COUNTIF(InboundRoster[[#This Row],[Rank]],"*GY*")=1,InboundRoster[[#This Row],[Checkin]]+$P$3,""))</f>
        <v/>
      </c>
      <c r="L4" s="66" t="str">
        <f>IF(COUNTIF(InboundRoster[[#This Row],[Rank]],"*LT*")=1,InboundRoster[[#This Row],[PTAD]]+$P$4,IF(COUNTIF(InboundRoster[[#This Row],[Rank]],"*GY*")=1,InboundRoster[[#This Row],[PTAD]]+$P$4,""))</f>
        <v/>
      </c>
      <c r="M4" s="19"/>
      <c r="N4" s="19"/>
      <c r="O4" s="19" t="s">
        <v>796</v>
      </c>
      <c r="P4" s="19">
        <v>30</v>
      </c>
      <c r="Q4" s="19"/>
      <c r="R4" s="19"/>
      <c r="S4" s="19"/>
    </row>
    <row r="5" spans="1:19">
      <c r="A5" s="19" t="s">
        <v>314</v>
      </c>
      <c r="B5" s="9" t="s">
        <v>1097</v>
      </c>
      <c r="C5" s="537">
        <v>21590</v>
      </c>
      <c r="D5" s="71">
        <v>45387</v>
      </c>
      <c r="E5" s="281">
        <v>1721</v>
      </c>
      <c r="F5" s="19" t="s">
        <v>60</v>
      </c>
      <c r="G5" s="58" t="s">
        <v>1185</v>
      </c>
      <c r="H5" s="194"/>
      <c r="I5" s="19"/>
      <c r="J5" s="66">
        <f>IF(COUNTIF(InboundRoster[[#This Row],[Rank]],"*LT*")=1,InboundRoster[[#This Row],[Estimated Arrival]]+$P$2,IF(COUNTIF(InboundRoster[[#This Row],[Rank]],"*GY*")=1,InboundRoster[[#This Row],[Estimated Arrival]]+$P$2,""))</f>
        <v>45392</v>
      </c>
      <c r="K5" s="66">
        <f>IF(COUNTIF(InboundRoster[[#This Row],[Rank]],"*LT*")=1,InboundRoster[[#This Row],[Checkin]]+$P$3,IF(COUNTIF(InboundRoster[[#This Row],[Rank]],"*GY*")=1,InboundRoster[[#This Row],[Checkin]]+$P$3,""))</f>
        <v>45402</v>
      </c>
      <c r="L5" s="66">
        <f>IF(COUNTIF(InboundRoster[[#This Row],[Rank]],"*LT*")=1,InboundRoster[[#This Row],[PTAD]]+$P$4,IF(COUNTIF(InboundRoster[[#This Row],[Rank]],"*GY*")=1,InboundRoster[[#This Row],[PTAD]]+$P$4,""))</f>
        <v>45432</v>
      </c>
      <c r="M5" s="19"/>
      <c r="N5" s="19"/>
      <c r="O5" s="19"/>
      <c r="P5" s="19"/>
      <c r="Q5" s="19"/>
      <c r="R5" s="19"/>
      <c r="S5" s="19"/>
    </row>
    <row r="6" spans="1:19">
      <c r="A6" s="19" t="s">
        <v>318</v>
      </c>
      <c r="B6" s="9" t="s">
        <v>1098</v>
      </c>
      <c r="C6" s="537"/>
      <c r="D6" s="71">
        <v>45410</v>
      </c>
      <c r="E6" s="281">
        <v>1701</v>
      </c>
      <c r="F6" s="19" t="s">
        <v>60</v>
      </c>
      <c r="G6" s="19" t="s">
        <v>1184</v>
      </c>
      <c r="H6" s="194"/>
      <c r="I6" s="19"/>
      <c r="J6" s="66">
        <f>IF(COUNTIF(InboundRoster[[#This Row],[Rank]],"*LT*")=1,InboundRoster[[#This Row],[Estimated Arrival]]+$P$2,IF(COUNTIF(InboundRoster[[#This Row],[Rank]],"*GY*")=1,InboundRoster[[#This Row],[Estimated Arrival]]+$P$2,""))</f>
        <v>45415</v>
      </c>
      <c r="K6" s="66">
        <f>IF(COUNTIF(InboundRoster[[#This Row],[Rank]],"*LT*")=1,InboundRoster[[#This Row],[Checkin]]+$P$3,IF(COUNTIF(InboundRoster[[#This Row],[Rank]],"*GY*")=1,InboundRoster[[#This Row],[Checkin]]+$P$3,""))</f>
        <v>45425</v>
      </c>
      <c r="L6" s="66">
        <f>IF(COUNTIF(InboundRoster[[#This Row],[Rank]],"*LT*")=1,InboundRoster[[#This Row],[PTAD]]+$P$4,IF(COUNTIF(InboundRoster[[#This Row],[Rank]],"*GY*")=1,InboundRoster[[#This Row],[PTAD]]+$P$4,""))</f>
        <v>45455</v>
      </c>
      <c r="M6" s="19"/>
      <c r="N6" s="19"/>
      <c r="O6" s="19"/>
      <c r="P6" s="19"/>
      <c r="Q6" s="19"/>
      <c r="R6" s="19"/>
      <c r="S6" s="19"/>
    </row>
    <row r="7" spans="1:19">
      <c r="A7" s="19" t="s">
        <v>318</v>
      </c>
      <c r="B7" s="9" t="s">
        <v>1099</v>
      </c>
      <c r="C7" s="537"/>
      <c r="D7" s="71">
        <v>45410</v>
      </c>
      <c r="E7" s="281">
        <v>1701</v>
      </c>
      <c r="F7" s="19" t="s">
        <v>60</v>
      </c>
      <c r="G7" s="58" t="s">
        <v>1185</v>
      </c>
      <c r="H7" s="194"/>
      <c r="I7" s="19"/>
      <c r="J7" s="66">
        <f>IF(COUNTIF(InboundRoster[[#This Row],[Rank]],"*LT*")=1,InboundRoster[[#This Row],[Estimated Arrival]]+$P$2,IF(COUNTIF(InboundRoster[[#This Row],[Rank]],"*GY*")=1,InboundRoster[[#This Row],[Estimated Arrival]]+$P$2,""))</f>
        <v>45415</v>
      </c>
      <c r="K7" s="66">
        <f>IF(COUNTIF(InboundRoster[[#This Row],[Rank]],"*LT*")=1,InboundRoster[[#This Row],[Checkin]]+$P$3,IF(COUNTIF(InboundRoster[[#This Row],[Rank]],"*GY*")=1,InboundRoster[[#This Row],[Checkin]]+$P$3,""))</f>
        <v>45425</v>
      </c>
      <c r="L7" s="66">
        <f>IF(COUNTIF(InboundRoster[[#This Row],[Rank]],"*LT*")=1,InboundRoster[[#This Row],[PTAD]]+$P$4,IF(COUNTIF(InboundRoster[[#This Row],[Rank]],"*GY*")=1,InboundRoster[[#This Row],[PTAD]]+$P$4,""))</f>
        <v>45455</v>
      </c>
      <c r="M7" s="19"/>
      <c r="N7" s="19"/>
      <c r="O7" s="19"/>
      <c r="P7" s="19"/>
      <c r="Q7" s="19"/>
      <c r="R7" s="19"/>
      <c r="S7" s="19"/>
    </row>
    <row r="8" spans="1:19">
      <c r="A8" s="19" t="s">
        <v>306</v>
      </c>
      <c r="B8" s="19" t="s">
        <v>1100</v>
      </c>
      <c r="C8" s="537"/>
      <c r="D8" s="71">
        <v>45421</v>
      </c>
      <c r="E8" s="281">
        <v>1721</v>
      </c>
      <c r="F8" s="19" t="s">
        <v>79</v>
      </c>
      <c r="G8" s="19" t="s">
        <v>1184</v>
      </c>
      <c r="H8" s="194"/>
      <c r="I8" s="19"/>
      <c r="J8" s="66" t="str">
        <f>IF(COUNTIF(InboundRoster[[#This Row],[Rank]],"*LT*")=1,InboundRoster[[#This Row],[Estimated Arrival]]+$P$2,IF(COUNTIF(InboundRoster[[#This Row],[Rank]],"*GY*")=1,InboundRoster[[#This Row],[Estimated Arrival]]+$P$2,""))</f>
        <v/>
      </c>
      <c r="K8" s="66" t="str">
        <f>IF(COUNTIF(InboundRoster[[#This Row],[Rank]],"*LT*")=1,InboundRoster[[#This Row],[Checkin]]+$P$3,IF(COUNTIF(InboundRoster[[#This Row],[Rank]],"*GY*")=1,InboundRoster[[#This Row],[Checkin]]+$P$3,""))</f>
        <v/>
      </c>
      <c r="L8" s="66" t="str">
        <f>IF(COUNTIF(InboundRoster[[#This Row],[Rank]],"*LT*")=1,InboundRoster[[#This Row],[PTAD]]+$P$4,IF(COUNTIF(InboundRoster[[#This Row],[Rank]],"*GY*")=1,InboundRoster[[#This Row],[PTAD]]+$P$4,""))</f>
        <v/>
      </c>
      <c r="M8" s="19"/>
      <c r="N8" s="19"/>
      <c r="O8" s="19"/>
      <c r="P8" s="19"/>
      <c r="Q8" s="19"/>
      <c r="R8" s="19"/>
      <c r="S8" s="19"/>
    </row>
    <row r="9" spans="1:19">
      <c r="A9" s="19" t="s">
        <v>306</v>
      </c>
      <c r="B9" s="19" t="s">
        <v>1101</v>
      </c>
      <c r="C9" s="537"/>
      <c r="D9" s="71">
        <v>45421</v>
      </c>
      <c r="E9" s="281">
        <v>1721</v>
      </c>
      <c r="F9" s="19" t="s">
        <v>209</v>
      </c>
      <c r="G9" s="58" t="s">
        <v>1185</v>
      </c>
      <c r="H9" s="194"/>
      <c r="I9" s="19"/>
      <c r="J9" s="66" t="str">
        <f>IF(COUNTIF(InboundRoster[[#This Row],[Rank]],"*LT*")=1,InboundRoster[[#This Row],[Estimated Arrival]]+$P$2,IF(COUNTIF(InboundRoster[[#This Row],[Rank]],"*GY*")=1,InboundRoster[[#This Row],[Estimated Arrival]]+$P$2,""))</f>
        <v/>
      </c>
      <c r="K9" s="66" t="str">
        <f>IF(COUNTIF(InboundRoster[[#This Row],[Rank]],"*LT*")=1,InboundRoster[[#This Row],[Checkin]]+$P$3,IF(COUNTIF(InboundRoster[[#This Row],[Rank]],"*GY*")=1,InboundRoster[[#This Row],[Checkin]]+$P$3,""))</f>
        <v/>
      </c>
      <c r="L9" s="66" t="str">
        <f>IF(COUNTIF(InboundRoster[[#This Row],[Rank]],"*LT*")=1,InboundRoster[[#This Row],[PTAD]]+$P$4,IF(COUNTIF(InboundRoster[[#This Row],[Rank]],"*GY*")=1,InboundRoster[[#This Row],[PTAD]]+$P$4,""))</f>
        <v/>
      </c>
      <c r="M9" s="19"/>
      <c r="N9" s="19"/>
      <c r="O9" s="19"/>
      <c r="P9" s="19"/>
      <c r="Q9" s="19"/>
      <c r="R9" s="19"/>
      <c r="S9" s="19"/>
    </row>
    <row r="10" spans="1:19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19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spans="1:19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 spans="1:19">
      <c r="A13" s="19"/>
      <c r="B13" s="494" t="s">
        <v>801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spans="1:19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19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9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spans="1:16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spans="1:16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</row>
    <row r="19" spans="1:16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spans="1:16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  <row r="21" spans="1:16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1:16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1:16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spans="1:16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1:16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spans="1:1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 spans="1:16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1:16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  <row r="29" spans="1:16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</row>
    <row r="30" spans="1:16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  <row r="31" spans="1:16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  <row r="32" spans="1:16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</row>
    <row r="33" spans="1:16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</row>
    <row r="34" spans="1:16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</row>
    <row r="35" spans="1:16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  <row r="36" spans="1:1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</row>
    <row r="37" spans="1:16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</row>
    <row r="38" spans="1:16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</row>
    <row r="39" spans="1:16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  <row r="40" spans="1:16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1" spans="1:16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2" spans="1:16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  <row r="43" spans="1:1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  <row r="44" spans="1:1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  <row r="45" spans="1:1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</row>
    <row r="46" spans="1:1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  <row r="47" spans="1:1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</row>
    <row r="48" spans="1:1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  <row r="50" spans="1:1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  <row r="51" spans="1:1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  <row r="52" spans="1:1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</row>
    <row r="54" spans="1:1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</row>
    <row r="55" spans="1:1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</row>
    <row r="56" spans="1:1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</row>
    <row r="57" spans="1:1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</row>
    <row r="58" spans="1:1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  <row r="59" spans="1:1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</row>
    <row r="60" spans="1:1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  <row r="61" spans="1:1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  <row r="62" spans="1:1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</row>
    <row r="63" spans="1:1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</row>
    <row r="64" spans="1:1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</row>
    <row r="65" spans="1:1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</row>
    <row r="66" spans="1:1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</row>
    <row r="67" spans="1:1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</row>
    <row r="68" spans="1:1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</row>
    <row r="69" spans="1:1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</row>
    <row r="70" spans="1:1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</row>
    <row r="71" spans="1:1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</row>
    <row r="72" spans="1:1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</row>
    <row r="73" spans="1:1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</row>
    <row r="74" spans="1:1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</row>
    <row r="75" spans="1:1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</row>
    <row r="76" spans="1:1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</row>
    <row r="77" spans="1:1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</row>
    <row r="78" spans="1:1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</row>
    <row r="79" spans="1:1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</row>
    <row r="80" spans="1:1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</row>
    <row r="81" spans="1:1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</row>
    <row r="82" spans="1:1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</row>
    <row r="83" spans="1:1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</row>
    <row r="84" spans="1:1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</row>
    <row r="85" spans="1:1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</row>
    <row r="86" spans="1:1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1:1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</row>
    <row r="88" spans="1:1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</row>
    <row r="89" spans="1:1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</row>
    <row r="90" spans="1:1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</row>
    <row r="91" spans="1:1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</row>
    <row r="92" spans="1:1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</row>
    <row r="93" spans="1:1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</row>
    <row r="94" spans="1:1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  <row r="95" spans="1:1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spans="1:1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</row>
    <row r="97" spans="1:1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</row>
    <row r="98" spans="1:1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</row>
    <row r="99" spans="1:1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</row>
    <row r="100" spans="1:16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</row>
    <row r="101" spans="1:16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</row>
    <row r="102" spans="1:16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  <row r="103" spans="1:16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spans="1:16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  <row r="105" spans="1:16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spans="1:1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</row>
    <row r="107" spans="1:16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  <row r="108" spans="1:16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</row>
    <row r="109" spans="1:16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</row>
    <row r="110" spans="1:16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</row>
    <row r="111" spans="1:16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</row>
    <row r="112" spans="1:16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</row>
    <row r="113" spans="1:16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</row>
    <row r="114" spans="1:16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</row>
    <row r="115" spans="1:16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</row>
    <row r="116" spans="1: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</row>
    <row r="117" spans="1:16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</row>
    <row r="118" spans="1:16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</row>
    <row r="119" spans="1:16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</row>
    <row r="120" spans="1:16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</row>
    <row r="121" spans="1:16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</row>
    <row r="122" spans="1:16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</row>
    <row r="123" spans="1:16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</row>
    <row r="124" spans="1:16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</row>
    <row r="125" spans="1:16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</row>
    <row r="126" spans="1:1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</row>
    <row r="127" spans="1:16">
      <c r="M127" s="19"/>
      <c r="N127" s="19"/>
      <c r="O127" s="19"/>
      <c r="P127" s="19"/>
    </row>
    <row r="128" spans="1:16">
      <c r="M128" s="19"/>
      <c r="N128" s="19"/>
      <c r="O128" s="19"/>
      <c r="P128" s="19"/>
    </row>
    <row r="129" spans="13:16">
      <c r="M129" s="19"/>
      <c r="N129" s="19"/>
      <c r="O129" s="19"/>
      <c r="P129" s="19"/>
    </row>
    <row r="130" spans="13:16">
      <c r="M130" s="19"/>
      <c r="N130" s="19"/>
      <c r="O130" s="19"/>
      <c r="P130" s="19"/>
    </row>
    <row r="131" spans="13:16">
      <c r="M131" s="19"/>
      <c r="N131" s="19"/>
      <c r="O131" s="19"/>
      <c r="P131" s="19"/>
    </row>
    <row r="132" spans="13:16">
      <c r="M132" s="19"/>
      <c r="N132" s="19"/>
      <c r="O132" s="19"/>
      <c r="P132" s="19"/>
    </row>
    <row r="133" spans="13:16">
      <c r="M133" s="19"/>
      <c r="N133" s="19"/>
      <c r="O133" s="19"/>
      <c r="P133" s="19"/>
    </row>
    <row r="134" spans="13:16">
      <c r="M134" s="19"/>
      <c r="N134" s="19"/>
      <c r="O134" s="19"/>
      <c r="P134" s="19"/>
    </row>
  </sheetData>
  <mergeCells count="1">
    <mergeCell ref="O1:P1"/>
  </mergeCells>
  <conditionalFormatting sqref="E2:E9">
    <cfRule type="cellIs" dxfId="258" priority="6" operator="between">
      <formula>1702</formula>
      <formula>1799</formula>
    </cfRule>
  </conditionalFormatting>
  <conditionalFormatting sqref="F2:F9">
    <cfRule type="containsBlanks" dxfId="257" priority="3">
      <formula>LEN(TRIM(F2))=0</formula>
    </cfRule>
  </conditionalFormatting>
  <conditionalFormatting sqref="B2:B9">
    <cfRule type="duplicateValues" dxfId="256" priority="1252"/>
  </conditionalFormatting>
  <conditionalFormatting sqref="D2:D9">
    <cfRule type="colorScale" priority="1253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60A2-E083-4729-BFE6-83E7E283A32F}">
  <sheetPr>
    <tabColor theme="0" tint="-0.14999847407452621"/>
  </sheetPr>
  <dimension ref="A1:M99"/>
  <sheetViews>
    <sheetView zoomScaleNormal="100" workbookViewId="0">
      <selection activeCell="E13" sqref="E13"/>
    </sheetView>
  </sheetViews>
  <sheetFormatPr defaultColWidth="9.140625" defaultRowHeight="15"/>
  <cols>
    <col min="1" max="1" width="29.85546875" bestFit="1" customWidth="1"/>
    <col min="2" max="2" width="8.7109375" bestFit="1" customWidth="1"/>
    <col min="3" max="3" width="7.42578125" customWidth="1"/>
    <col min="4" max="4" width="4.7109375" customWidth="1"/>
    <col min="5" max="5" width="13.85546875" bestFit="1" customWidth="1"/>
    <col min="6" max="6" width="14.85546875" bestFit="1" customWidth="1"/>
    <col min="8" max="8" width="45.28515625" bestFit="1" customWidth="1"/>
    <col min="9" max="9" width="10" bestFit="1" customWidth="1"/>
    <col min="10" max="10" width="12" style="19" bestFit="1" customWidth="1"/>
    <col min="11" max="12" width="10.7109375" bestFit="1" customWidth="1"/>
    <col min="13" max="13" width="15" bestFit="1" customWidth="1"/>
  </cols>
  <sheetData>
    <row r="1" spans="1:13">
      <c r="A1" s="19" t="s">
        <v>155</v>
      </c>
      <c r="B1" s="19" t="s">
        <v>787</v>
      </c>
      <c r="C1" s="19" t="s">
        <v>802</v>
      </c>
      <c r="D1" s="19" t="s">
        <v>803</v>
      </c>
      <c r="E1" s="19" t="s">
        <v>804</v>
      </c>
      <c r="F1" s="19" t="s">
        <v>805</v>
      </c>
      <c r="G1" s="19" t="s">
        <v>806</v>
      </c>
      <c r="H1" s="19" t="s">
        <v>807</v>
      </c>
      <c r="I1" s="19" t="s">
        <v>195</v>
      </c>
      <c r="J1" s="19" t="s">
        <v>808</v>
      </c>
      <c r="K1" s="19" t="s">
        <v>809</v>
      </c>
      <c r="L1" s="19" t="s">
        <v>810</v>
      </c>
      <c r="M1" s="19" t="s">
        <v>811</v>
      </c>
    </row>
    <row r="2" spans="1:13">
      <c r="A2" s="19" t="s">
        <v>1094</v>
      </c>
      <c r="B2" s="19" t="s">
        <v>310</v>
      </c>
      <c r="C2" s="537">
        <v>21640</v>
      </c>
      <c r="D2" s="537"/>
      <c r="E2" s="537" t="s">
        <v>812</v>
      </c>
      <c r="F2" s="71">
        <v>45413</v>
      </c>
      <c r="G2" s="537">
        <v>1700</v>
      </c>
      <c r="H2" s="19" t="s">
        <v>813</v>
      </c>
      <c r="I2" s="179" t="str">
        <f>_xlfn.XLOOKUP(OutboundRoster[[#This Row],[Name]],RecallTable[NAME],RecallTable[SECTION], "Error")</f>
        <v>1PLT</v>
      </c>
      <c r="J2" s="537"/>
      <c r="K2" s="537"/>
      <c r="L2" s="537"/>
      <c r="M2" s="537"/>
    </row>
    <row r="3" spans="1:13">
      <c r="A3" s="19" t="s">
        <v>1095</v>
      </c>
      <c r="B3" s="19" t="s">
        <v>310</v>
      </c>
      <c r="C3" s="537">
        <v>21640</v>
      </c>
      <c r="D3" s="537"/>
      <c r="E3" s="537" t="s">
        <v>812</v>
      </c>
      <c r="F3" s="71">
        <v>45413</v>
      </c>
      <c r="G3" s="537">
        <v>1700</v>
      </c>
      <c r="H3" s="19" t="s">
        <v>813</v>
      </c>
      <c r="I3" s="179" t="str">
        <f>_xlfn.XLOOKUP(OutboundRoster[[#This Row],[Name]],RecallTable[NAME],RecallTable[SECTION], "Error")</f>
        <v>1PLT</v>
      </c>
      <c r="J3" s="537"/>
      <c r="K3" s="537"/>
      <c r="L3" s="537"/>
      <c r="M3" s="537"/>
    </row>
    <row r="4" spans="1:13">
      <c r="A4" s="19" t="s">
        <v>1096</v>
      </c>
      <c r="B4" s="19" t="s">
        <v>310</v>
      </c>
      <c r="C4" s="537">
        <v>21640</v>
      </c>
      <c r="D4" s="537"/>
      <c r="E4" s="537" t="s">
        <v>812</v>
      </c>
      <c r="F4" s="71">
        <v>45413</v>
      </c>
      <c r="G4" s="537">
        <v>1700</v>
      </c>
      <c r="H4" s="19" t="s">
        <v>813</v>
      </c>
      <c r="I4" s="179" t="str">
        <f>_xlfn.XLOOKUP(OutboundRoster[[#This Row],[Name]],RecallTable[NAME],RecallTable[SECTION], "Error")</f>
        <v>1PLT</v>
      </c>
      <c r="J4" s="537"/>
      <c r="K4" s="537"/>
      <c r="L4" s="537"/>
      <c r="M4" s="537"/>
    </row>
    <row r="5" spans="1:13">
      <c r="A5" s="19" t="s">
        <v>1097</v>
      </c>
      <c r="B5" s="19" t="s">
        <v>308</v>
      </c>
      <c r="C5" s="537">
        <v>21640</v>
      </c>
      <c r="D5" s="537"/>
      <c r="E5" s="537" t="s">
        <v>812</v>
      </c>
      <c r="F5" s="71">
        <v>45413</v>
      </c>
      <c r="G5" s="537">
        <v>1700</v>
      </c>
      <c r="H5" s="19" t="s">
        <v>813</v>
      </c>
      <c r="I5" s="179" t="str">
        <f>_xlfn.XLOOKUP(OutboundRoster[[#This Row],[Name]],RecallTable[NAME],RecallTable[SECTION], "Error")</f>
        <v>1PLT</v>
      </c>
      <c r="J5" s="537"/>
      <c r="K5" s="537"/>
      <c r="L5" s="537"/>
      <c r="M5" s="537"/>
    </row>
    <row r="6" spans="1:13" s="19" customFormat="1">
      <c r="A6" s="19" t="s">
        <v>1098</v>
      </c>
      <c r="B6" s="19" t="s">
        <v>306</v>
      </c>
      <c r="C6" s="537">
        <v>21640</v>
      </c>
      <c r="D6" s="537"/>
      <c r="E6" s="537" t="s">
        <v>812</v>
      </c>
      <c r="F6" s="136">
        <v>45505</v>
      </c>
      <c r="G6" s="16">
        <v>1700</v>
      </c>
      <c r="H6" s="19" t="s">
        <v>813</v>
      </c>
      <c r="I6" s="179" t="str">
        <f>_xlfn.XLOOKUP(OutboundRoster[[#This Row],[Name]],RecallTable[NAME],RecallTable[SECTION], "Error")</f>
        <v>1PLT</v>
      </c>
      <c r="J6" s="537"/>
      <c r="K6" s="537"/>
      <c r="L6" s="537"/>
      <c r="M6" s="537"/>
    </row>
    <row r="7" spans="1:13">
      <c r="A7" s="19" t="s">
        <v>1099</v>
      </c>
      <c r="B7" s="19" t="s">
        <v>308</v>
      </c>
      <c r="C7" s="537">
        <v>21640</v>
      </c>
      <c r="D7" s="537"/>
      <c r="E7" s="537" t="s">
        <v>812</v>
      </c>
      <c r="F7" s="71">
        <v>45413</v>
      </c>
      <c r="G7" s="537">
        <v>1700</v>
      </c>
      <c r="H7" s="19" t="s">
        <v>813</v>
      </c>
      <c r="I7" s="179" t="str">
        <f>_xlfn.XLOOKUP(OutboundRoster[[#This Row],[Name]],RecallTable[NAME],RecallTable[SECTION], "Error")</f>
        <v>1PLT</v>
      </c>
      <c r="J7" s="537"/>
      <c r="K7" s="537"/>
      <c r="L7" s="537"/>
      <c r="M7" s="537"/>
    </row>
    <row r="8" spans="1:13" s="19" customFormat="1">
      <c r="A8" s="19" t="s">
        <v>1100</v>
      </c>
      <c r="B8" s="19" t="s">
        <v>308</v>
      </c>
      <c r="C8" s="537">
        <v>21640</v>
      </c>
      <c r="D8" s="537"/>
      <c r="E8" s="537" t="s">
        <v>812</v>
      </c>
      <c r="F8" s="71">
        <v>45413</v>
      </c>
      <c r="G8" s="537">
        <v>1700</v>
      </c>
      <c r="H8" s="19" t="s">
        <v>813</v>
      </c>
      <c r="I8" s="179" t="str">
        <f>_xlfn.XLOOKUP(OutboundRoster[[#This Row],[Name]],RecallTable[NAME],RecallTable[SECTION], "Error")</f>
        <v>1PLT</v>
      </c>
      <c r="J8" s="537"/>
      <c r="K8" s="537"/>
      <c r="L8" s="537"/>
      <c r="M8" s="537"/>
    </row>
    <row r="9" spans="1:13">
      <c r="A9" s="19" t="s">
        <v>1101</v>
      </c>
      <c r="B9" s="19" t="s">
        <v>310</v>
      </c>
      <c r="C9" s="537">
        <v>21640</v>
      </c>
      <c r="D9" s="537"/>
      <c r="E9" s="537" t="s">
        <v>812</v>
      </c>
      <c r="F9" s="71">
        <v>45413</v>
      </c>
      <c r="G9" s="537">
        <v>1700</v>
      </c>
      <c r="H9" s="19" t="s">
        <v>813</v>
      </c>
      <c r="I9" s="179" t="str">
        <f>_xlfn.XLOOKUP(OutboundRoster[[#This Row],[Name]],RecallTable[NAME],RecallTable[SECTION], "Error")</f>
        <v>1PLT</v>
      </c>
      <c r="J9" s="537"/>
      <c r="K9" s="537"/>
      <c r="L9" s="537"/>
      <c r="M9" s="537"/>
    </row>
    <row r="10" spans="1:13">
      <c r="A10" s="19"/>
      <c r="B10" s="19"/>
      <c r="C10" s="19"/>
      <c r="D10" s="19"/>
      <c r="E10" s="19"/>
      <c r="F10" s="19"/>
      <c r="G10" s="19"/>
      <c r="H10" s="19"/>
      <c r="I10" s="19"/>
      <c r="K10" s="19"/>
      <c r="L10" s="19"/>
      <c r="M10" s="19"/>
    </row>
    <row r="11" spans="1:13">
      <c r="A11" s="19"/>
      <c r="B11" s="19"/>
      <c r="C11" s="19"/>
      <c r="D11" s="19"/>
      <c r="E11" s="19"/>
      <c r="F11" s="19"/>
      <c r="G11" s="19"/>
      <c r="H11" s="19"/>
      <c r="I11" s="19"/>
      <c r="K11" s="19"/>
      <c r="L11" s="19"/>
      <c r="M11" s="19"/>
    </row>
    <row r="12" spans="1:13">
      <c r="A12" s="19"/>
      <c r="B12" s="19"/>
      <c r="C12" s="19"/>
      <c r="D12" s="19"/>
      <c r="E12" s="19"/>
      <c r="F12" s="19"/>
      <c r="G12" s="19"/>
      <c r="H12" s="19"/>
      <c r="I12" s="19"/>
      <c r="K12" s="19"/>
      <c r="L12" s="19"/>
      <c r="M12" s="19"/>
    </row>
    <row r="13" spans="1:13">
      <c r="A13" s="19"/>
      <c r="B13" s="19"/>
      <c r="C13" s="19"/>
      <c r="D13" s="19"/>
      <c r="E13" s="19"/>
      <c r="F13" s="19"/>
      <c r="G13" s="19"/>
      <c r="H13" s="19"/>
      <c r="I13" s="19"/>
      <c r="K13" s="19"/>
      <c r="L13" s="19"/>
      <c r="M13" s="19"/>
    </row>
    <row r="14" spans="1:13">
      <c r="A14" s="19"/>
      <c r="B14" s="19"/>
      <c r="C14" s="19"/>
      <c r="D14" s="19"/>
      <c r="E14" s="19"/>
      <c r="F14" s="19"/>
      <c r="G14" s="19"/>
      <c r="H14" s="19"/>
      <c r="I14" s="19"/>
      <c r="K14" s="19"/>
      <c r="L14" s="19"/>
      <c r="M14" s="19"/>
    </row>
    <row r="15" spans="1:13">
      <c r="A15" s="19"/>
      <c r="B15" s="19"/>
      <c r="C15" s="19"/>
      <c r="D15" s="19"/>
      <c r="E15" s="19"/>
      <c r="F15" s="19"/>
      <c r="G15" s="19"/>
      <c r="H15" s="19"/>
      <c r="I15" s="19"/>
      <c r="K15" s="19"/>
      <c r="L15" s="19"/>
      <c r="M15" s="19"/>
    </row>
    <row r="16" spans="1:13" s="19" customFormat="1"/>
    <row r="17" spans="1:13">
      <c r="A17" s="19"/>
      <c r="B17" s="19"/>
      <c r="C17" s="19"/>
      <c r="D17" s="19"/>
      <c r="E17" s="19"/>
      <c r="F17" s="19"/>
      <c r="G17" s="19"/>
      <c r="H17" s="19"/>
      <c r="I17" s="19"/>
      <c r="K17" s="19"/>
      <c r="L17" s="19"/>
      <c r="M17" s="19"/>
    </row>
    <row r="18" spans="1:13">
      <c r="A18" s="19"/>
      <c r="B18" s="19"/>
      <c r="C18" s="19"/>
      <c r="D18" s="19"/>
      <c r="E18" s="19"/>
      <c r="F18" s="19"/>
      <c r="G18" s="19"/>
      <c r="H18" s="19"/>
      <c r="I18" s="19"/>
      <c r="K18" s="19"/>
      <c r="L18" s="19"/>
      <c r="M18" s="19"/>
    </row>
    <row r="19" spans="1:13">
      <c r="A19" s="19"/>
      <c r="B19" s="19"/>
      <c r="C19" s="19"/>
      <c r="D19" s="19"/>
      <c r="E19" s="19"/>
      <c r="F19" s="19"/>
      <c r="G19" s="19"/>
      <c r="H19" s="19"/>
      <c r="I19" s="19"/>
      <c r="K19" s="19"/>
      <c r="L19" s="19"/>
      <c r="M19" s="19"/>
    </row>
    <row r="20" spans="1:13">
      <c r="A20" s="19"/>
      <c r="B20" s="19"/>
      <c r="C20" s="19"/>
      <c r="D20" s="19"/>
      <c r="E20" s="19"/>
      <c r="F20" s="19"/>
      <c r="G20" s="19"/>
      <c r="H20" s="19"/>
      <c r="I20" s="19"/>
      <c r="K20" s="19"/>
      <c r="L20" s="19"/>
      <c r="M20" s="19"/>
    </row>
    <row r="21" spans="1:13">
      <c r="A21" s="19"/>
      <c r="B21" s="19"/>
      <c r="C21" s="19"/>
      <c r="D21" s="19"/>
      <c r="E21" s="19"/>
      <c r="F21" s="19"/>
      <c r="G21" s="19"/>
      <c r="H21" s="19"/>
      <c r="I21" s="19"/>
      <c r="K21" s="19"/>
      <c r="L21" s="19"/>
      <c r="M21" s="19"/>
    </row>
    <row r="22" spans="1:13">
      <c r="A22" s="19"/>
      <c r="B22" s="19"/>
      <c r="C22" s="19"/>
      <c r="D22" s="19"/>
      <c r="E22" s="19"/>
      <c r="F22" s="19"/>
      <c r="G22" s="19"/>
      <c r="H22" s="19"/>
      <c r="I22" s="19"/>
      <c r="K22" s="19"/>
      <c r="L22" s="19"/>
      <c r="M22" s="19"/>
    </row>
    <row r="23" spans="1:13">
      <c r="A23" s="19"/>
      <c r="B23" s="19"/>
      <c r="C23" s="19"/>
      <c r="D23" s="19"/>
      <c r="E23" s="19"/>
      <c r="F23" s="19"/>
      <c r="G23" s="19"/>
      <c r="H23" s="19"/>
      <c r="I23" s="19"/>
      <c r="K23" s="19"/>
      <c r="L23" s="19"/>
      <c r="M23" s="19"/>
    </row>
    <row r="24" spans="1:13">
      <c r="A24" s="19"/>
      <c r="B24" s="19"/>
      <c r="C24" s="19"/>
      <c r="D24" s="19"/>
      <c r="E24" s="19"/>
      <c r="F24" s="19"/>
      <c r="G24" s="19"/>
      <c r="H24" s="19"/>
      <c r="I24" s="19"/>
      <c r="K24" s="19"/>
      <c r="L24" s="19"/>
      <c r="M24" s="19"/>
    </row>
    <row r="25" spans="1:13">
      <c r="A25" s="19"/>
      <c r="B25" s="19"/>
      <c r="C25" s="19"/>
      <c r="D25" s="19"/>
      <c r="E25" s="19"/>
      <c r="F25" s="19"/>
      <c r="G25" s="19"/>
      <c r="H25" s="19"/>
      <c r="I25" s="19"/>
      <c r="K25" s="19"/>
      <c r="L25" s="19"/>
      <c r="M25" s="19"/>
    </row>
    <row r="26" spans="1:13">
      <c r="A26" s="19"/>
      <c r="B26" s="19"/>
      <c r="C26" s="19"/>
      <c r="D26" s="19"/>
      <c r="E26" s="19"/>
      <c r="F26" s="19"/>
      <c r="G26" s="19"/>
      <c r="H26" s="19"/>
      <c r="I26" s="19"/>
      <c r="K26" s="19"/>
      <c r="L26" s="19"/>
      <c r="M26" s="19"/>
    </row>
    <row r="27" spans="1:13">
      <c r="A27" s="19"/>
      <c r="B27" s="19"/>
      <c r="C27" s="19"/>
      <c r="D27" s="19"/>
      <c r="E27" s="19"/>
      <c r="F27" s="19"/>
      <c r="G27" s="19"/>
      <c r="H27" s="19"/>
      <c r="I27" s="19"/>
      <c r="K27" s="19"/>
      <c r="L27" s="19"/>
      <c r="M27" s="19"/>
    </row>
    <row r="28" spans="1:13">
      <c r="A28" s="19"/>
      <c r="B28" s="19"/>
      <c r="C28" s="19"/>
      <c r="D28" s="19"/>
      <c r="E28" s="19"/>
      <c r="F28" s="19"/>
      <c r="G28" s="19"/>
      <c r="H28" s="19"/>
      <c r="I28" s="19"/>
      <c r="K28" s="19"/>
      <c r="L28" s="19"/>
      <c r="M28" s="19"/>
    </row>
    <row r="29" spans="1:13">
      <c r="A29" s="19"/>
      <c r="B29" s="19"/>
      <c r="C29" s="19"/>
      <c r="D29" s="19"/>
      <c r="E29" s="19"/>
      <c r="F29" s="19"/>
      <c r="G29" s="19"/>
      <c r="H29" s="19"/>
      <c r="I29" s="19"/>
      <c r="K29" s="19"/>
      <c r="L29" s="19"/>
      <c r="M29" s="19"/>
    </row>
    <row r="30" spans="1:13">
      <c r="A30" s="19"/>
      <c r="B30" s="19"/>
      <c r="C30" s="19"/>
      <c r="D30" s="19"/>
      <c r="E30" s="19"/>
      <c r="F30" s="19"/>
      <c r="G30" s="19"/>
      <c r="H30" s="19"/>
      <c r="I30" s="19"/>
      <c r="K30" s="19"/>
      <c r="L30" s="19"/>
      <c r="M30" s="19"/>
    </row>
    <row r="31" spans="1:13">
      <c r="A31" s="19"/>
      <c r="B31" s="19"/>
      <c r="C31" s="19"/>
      <c r="D31" s="19"/>
      <c r="E31" s="19"/>
      <c r="F31" s="19"/>
      <c r="G31" s="19"/>
      <c r="H31" s="19"/>
      <c r="I31" s="19"/>
      <c r="K31" s="19"/>
      <c r="L31" s="19"/>
      <c r="M31" s="19"/>
    </row>
    <row r="32" spans="1:13">
      <c r="A32" s="19"/>
      <c r="B32" s="19"/>
      <c r="C32" s="19"/>
      <c r="D32" s="19"/>
      <c r="E32" s="19"/>
      <c r="F32" s="19"/>
      <c r="G32" s="19"/>
      <c r="H32" s="19"/>
      <c r="I32" s="19"/>
      <c r="K32" s="19"/>
      <c r="L32" s="19"/>
      <c r="M32" s="19"/>
    </row>
    <row r="33" spans="1:13">
      <c r="A33" s="19"/>
      <c r="B33" s="19"/>
      <c r="C33" s="19"/>
      <c r="D33" s="19"/>
      <c r="E33" s="19"/>
      <c r="F33" s="19"/>
      <c r="G33" s="19"/>
      <c r="H33" s="19"/>
      <c r="I33" s="19"/>
      <c r="K33" s="19"/>
      <c r="L33" s="19"/>
      <c r="M33" s="19"/>
    </row>
    <row r="34" spans="1:13">
      <c r="A34" s="19"/>
      <c r="B34" s="19"/>
      <c r="C34" s="19"/>
      <c r="D34" s="19"/>
      <c r="E34" s="19"/>
      <c r="F34" s="19"/>
      <c r="G34" s="19"/>
      <c r="H34" s="19"/>
      <c r="I34" s="19"/>
      <c r="K34" s="19"/>
      <c r="L34" s="19"/>
      <c r="M34" s="19"/>
    </row>
    <row r="35" spans="1:13">
      <c r="A35" s="19"/>
      <c r="B35" s="19"/>
      <c r="C35" s="19"/>
      <c r="D35" s="19"/>
      <c r="E35" s="19"/>
      <c r="F35" s="19"/>
      <c r="G35" s="19"/>
      <c r="H35" s="19"/>
      <c r="I35" s="19"/>
      <c r="K35" s="19"/>
      <c r="L35" s="19"/>
      <c r="M35" s="19"/>
    </row>
    <row r="36" spans="1:13">
      <c r="A36" s="19"/>
      <c r="B36" s="19"/>
      <c r="C36" s="19"/>
      <c r="D36" s="19"/>
      <c r="E36" s="19"/>
      <c r="F36" s="19"/>
      <c r="G36" s="19"/>
      <c r="H36" s="19"/>
      <c r="I36" s="19"/>
      <c r="K36" s="19"/>
      <c r="L36" s="19"/>
      <c r="M36" s="19"/>
    </row>
    <row r="37" spans="1:13">
      <c r="A37" s="19"/>
      <c r="B37" s="19"/>
      <c r="C37" s="19"/>
      <c r="D37" s="19"/>
      <c r="E37" s="19"/>
      <c r="F37" s="19"/>
      <c r="G37" s="19"/>
      <c r="H37" s="19"/>
      <c r="I37" s="19"/>
      <c r="K37" s="19"/>
      <c r="L37" s="19"/>
      <c r="M37" s="19"/>
    </row>
    <row r="38" spans="1:13">
      <c r="A38" s="19"/>
      <c r="B38" s="19"/>
      <c r="C38" s="19"/>
      <c r="D38" s="19"/>
      <c r="E38" s="19"/>
      <c r="F38" s="19"/>
      <c r="G38" s="19"/>
      <c r="H38" s="19"/>
      <c r="I38" s="19"/>
      <c r="K38" s="19"/>
      <c r="L38" s="19"/>
      <c r="M38" s="19"/>
    </row>
    <row r="39" spans="1:13">
      <c r="A39" s="19"/>
      <c r="B39" s="19"/>
      <c r="C39" s="19"/>
      <c r="D39" s="19"/>
      <c r="E39" s="19"/>
      <c r="F39" s="19"/>
      <c r="G39" s="19"/>
      <c r="H39" s="19"/>
      <c r="I39" s="19"/>
      <c r="K39" s="19"/>
      <c r="L39" s="19"/>
      <c r="M39" s="19"/>
    </row>
    <row r="40" spans="1:13">
      <c r="A40" s="19"/>
      <c r="B40" s="19"/>
      <c r="C40" s="19"/>
      <c r="D40" s="19"/>
      <c r="E40" s="19"/>
      <c r="F40" s="19"/>
      <c r="G40" s="19"/>
      <c r="H40" s="19"/>
      <c r="I40" s="19"/>
      <c r="K40" s="19"/>
      <c r="L40" s="19"/>
      <c r="M40" s="19"/>
    </row>
    <row r="41" spans="1:13">
      <c r="A41" s="19"/>
      <c r="B41" s="19"/>
      <c r="C41" s="19"/>
      <c r="D41" s="19"/>
      <c r="E41" s="19"/>
      <c r="F41" s="19"/>
      <c r="G41" s="19"/>
      <c r="H41" s="19"/>
      <c r="I41" s="19"/>
      <c r="K41" s="19"/>
      <c r="L41" s="19"/>
      <c r="M41" s="19"/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K42" s="19"/>
      <c r="L42" s="19"/>
      <c r="M42" s="19"/>
    </row>
    <row r="43" spans="1:13">
      <c r="A43" s="19"/>
      <c r="B43" s="19"/>
      <c r="C43" s="19"/>
      <c r="D43" s="19"/>
      <c r="E43" s="19"/>
      <c r="F43" s="19"/>
      <c r="G43" s="19"/>
      <c r="H43" s="19"/>
      <c r="I43" s="19"/>
      <c r="K43" s="19"/>
      <c r="L43" s="19"/>
      <c r="M43" s="19"/>
    </row>
    <row r="44" spans="1:13">
      <c r="A44" s="19"/>
      <c r="B44" s="19"/>
      <c r="C44" s="19"/>
      <c r="D44" s="19"/>
      <c r="E44" s="19"/>
      <c r="F44" s="19"/>
      <c r="G44" s="19"/>
      <c r="H44" s="19"/>
      <c r="I44" s="19"/>
      <c r="K44" s="19"/>
      <c r="L44" s="19"/>
      <c r="M44" s="19"/>
    </row>
    <row r="45" spans="1:13">
      <c r="A45" s="19"/>
      <c r="B45" s="19"/>
      <c r="C45" s="19"/>
      <c r="D45" s="19"/>
      <c r="E45" s="19"/>
      <c r="F45" s="19"/>
      <c r="G45" s="19"/>
      <c r="H45" s="19"/>
      <c r="I45" s="19"/>
      <c r="K45" s="19"/>
      <c r="L45" s="19"/>
      <c r="M45" s="19"/>
    </row>
    <row r="46" spans="1:13">
      <c r="A46" s="19"/>
      <c r="B46" s="19"/>
      <c r="C46" s="19"/>
      <c r="D46" s="19"/>
      <c r="E46" s="19"/>
      <c r="F46" s="19"/>
      <c r="G46" s="19"/>
      <c r="H46" s="19"/>
      <c r="I46" s="19"/>
      <c r="K46" s="19"/>
      <c r="L46" s="19"/>
      <c r="M46" s="19"/>
    </row>
    <row r="47" spans="1:13">
      <c r="A47" s="19"/>
      <c r="B47" s="19"/>
      <c r="C47" s="19"/>
      <c r="D47" s="19"/>
      <c r="E47" s="19"/>
      <c r="F47" s="19"/>
      <c r="G47" s="19"/>
      <c r="H47" s="19"/>
      <c r="I47" s="19"/>
      <c r="K47" s="19"/>
      <c r="L47" s="19"/>
      <c r="M47" s="19"/>
    </row>
    <row r="48" spans="1:13">
      <c r="A48" s="19"/>
      <c r="B48" s="19"/>
      <c r="C48" s="19"/>
      <c r="D48" s="19"/>
      <c r="E48" s="19"/>
      <c r="F48" s="19"/>
      <c r="G48" s="19"/>
      <c r="H48" s="19"/>
      <c r="I48" s="19"/>
      <c r="K48" s="19"/>
      <c r="L48" s="19"/>
      <c r="M48" s="19"/>
    </row>
    <row r="49" spans="1:13">
      <c r="A49" s="19"/>
      <c r="B49" s="19"/>
      <c r="C49" s="19"/>
      <c r="D49" s="19"/>
      <c r="E49" s="19"/>
      <c r="F49" s="19"/>
      <c r="G49" s="19"/>
      <c r="H49" s="19"/>
      <c r="I49" s="19"/>
      <c r="K49" s="19"/>
      <c r="L49" s="19"/>
      <c r="M49" s="19"/>
    </row>
    <row r="50" spans="1:13">
      <c r="A50" s="19"/>
      <c r="B50" s="19"/>
      <c r="C50" s="19"/>
      <c r="D50" s="19"/>
      <c r="E50" s="19"/>
      <c r="F50" s="19"/>
      <c r="G50" s="19"/>
      <c r="H50" s="19"/>
      <c r="I50" s="19"/>
      <c r="K50" s="19"/>
      <c r="L50" s="19"/>
      <c r="M50" s="19"/>
    </row>
    <row r="51" spans="1:13">
      <c r="A51" s="19"/>
      <c r="B51" s="19"/>
      <c r="C51" s="19"/>
      <c r="D51" s="19"/>
      <c r="E51" s="19"/>
      <c r="F51" s="19"/>
      <c r="G51" s="19"/>
      <c r="H51" s="19"/>
      <c r="I51" s="19"/>
      <c r="K51" s="19"/>
      <c r="L51" s="19"/>
      <c r="M51" s="19"/>
    </row>
    <row r="52" spans="1:13">
      <c r="A52" s="19"/>
      <c r="B52" s="19"/>
      <c r="C52" s="19"/>
      <c r="D52" s="19"/>
      <c r="E52" s="19"/>
      <c r="F52" s="19"/>
      <c r="G52" s="19"/>
      <c r="H52" s="19"/>
      <c r="I52" s="19"/>
      <c r="K52" s="19"/>
      <c r="L52" s="19"/>
      <c r="M52" s="19"/>
    </row>
    <row r="53" spans="1:13">
      <c r="A53" s="19"/>
      <c r="B53" s="19"/>
      <c r="C53" s="19"/>
      <c r="D53" s="19"/>
      <c r="E53" s="19"/>
      <c r="F53" s="19"/>
      <c r="G53" s="19"/>
      <c r="H53" s="19"/>
      <c r="I53" s="19"/>
      <c r="K53" s="19"/>
      <c r="L53" s="19"/>
      <c r="M53" s="19"/>
    </row>
    <row r="54" spans="1:13">
      <c r="A54" s="19"/>
      <c r="B54" s="19"/>
      <c r="C54" s="19"/>
      <c r="D54" s="19"/>
      <c r="E54" s="19"/>
      <c r="F54" s="19"/>
      <c r="G54" s="19"/>
      <c r="H54" s="19"/>
      <c r="I54" s="19"/>
      <c r="K54" s="19"/>
      <c r="L54" s="19"/>
      <c r="M54" s="19"/>
    </row>
    <row r="55" spans="1:13">
      <c r="A55" s="19"/>
      <c r="B55" s="19"/>
      <c r="C55" s="19"/>
      <c r="D55" s="19"/>
      <c r="E55" s="19"/>
      <c r="F55" s="19"/>
      <c r="G55" s="19"/>
      <c r="H55" s="19"/>
      <c r="I55" s="19"/>
      <c r="K55" s="19"/>
      <c r="L55" s="19"/>
      <c r="M55" s="19"/>
    </row>
    <row r="56" spans="1:13">
      <c r="A56" s="19"/>
      <c r="B56" s="19"/>
      <c r="C56" s="19"/>
      <c r="D56" s="19"/>
      <c r="E56" s="19"/>
      <c r="F56" s="19"/>
      <c r="G56" s="19"/>
      <c r="H56" s="19"/>
      <c r="I56" s="19"/>
      <c r="K56" s="19"/>
      <c r="L56" s="19"/>
      <c r="M56" s="19"/>
    </row>
    <row r="57" spans="1:13">
      <c r="A57" s="19"/>
      <c r="B57" s="19"/>
      <c r="C57" s="19"/>
      <c r="D57" s="19"/>
      <c r="E57" s="19"/>
      <c r="F57" s="19"/>
      <c r="G57" s="19"/>
      <c r="H57" s="19"/>
      <c r="I57" s="19"/>
      <c r="K57" s="19"/>
      <c r="L57" s="19"/>
      <c r="M57" s="19"/>
    </row>
    <row r="58" spans="1:13">
      <c r="A58" s="19"/>
      <c r="B58" s="19"/>
      <c r="C58" s="19"/>
      <c r="D58" s="19"/>
      <c r="E58" s="19"/>
      <c r="F58" s="19"/>
      <c r="G58" s="19"/>
      <c r="H58" s="19"/>
      <c r="I58" s="19"/>
      <c r="K58" s="19"/>
      <c r="L58" s="19"/>
      <c r="M58" s="19"/>
    </row>
    <row r="59" spans="1:13">
      <c r="A59" s="19"/>
      <c r="B59" s="19"/>
      <c r="C59" s="19"/>
      <c r="D59" s="19"/>
      <c r="E59" s="19"/>
      <c r="F59" s="19"/>
      <c r="G59" s="19"/>
      <c r="H59" s="19"/>
      <c r="I59" s="19"/>
      <c r="K59" s="19"/>
      <c r="L59" s="19"/>
      <c r="M59" s="19"/>
    </row>
    <row r="60" spans="1:13">
      <c r="A60" s="19"/>
      <c r="B60" s="19"/>
      <c r="C60" s="19"/>
      <c r="D60" s="19"/>
      <c r="E60" s="19"/>
      <c r="F60" s="19"/>
      <c r="G60" s="19"/>
      <c r="H60" s="19"/>
      <c r="I60" s="19"/>
      <c r="K60" s="19"/>
      <c r="L60" s="19"/>
      <c r="M60" s="19"/>
    </row>
    <row r="61" spans="1:13">
      <c r="A61" s="19"/>
      <c r="B61" s="19"/>
      <c r="C61" s="19"/>
      <c r="D61" s="19"/>
      <c r="E61" s="19"/>
      <c r="F61" s="19"/>
      <c r="G61" s="19"/>
      <c r="H61" s="19"/>
      <c r="I61" s="19"/>
      <c r="K61" s="19"/>
      <c r="L61" s="19"/>
      <c r="M61" s="19"/>
    </row>
    <row r="62" spans="1:13">
      <c r="A62" s="19"/>
      <c r="B62" s="19"/>
      <c r="C62" s="19"/>
      <c r="D62" s="19"/>
      <c r="E62" s="19"/>
      <c r="F62" s="19"/>
      <c r="G62" s="19"/>
      <c r="H62" s="19"/>
      <c r="I62" s="19"/>
      <c r="K62" s="19"/>
      <c r="L62" s="19"/>
      <c r="M62" s="19"/>
    </row>
    <row r="63" spans="1:13">
      <c r="A63" s="19"/>
      <c r="B63" s="19"/>
      <c r="C63" s="19"/>
      <c r="D63" s="19"/>
      <c r="E63" s="19"/>
      <c r="F63" s="19"/>
      <c r="G63" s="19"/>
      <c r="H63" s="19"/>
      <c r="I63" s="19"/>
      <c r="K63" s="19"/>
      <c r="L63" s="19"/>
      <c r="M63" s="19"/>
    </row>
    <row r="64" spans="1:13">
      <c r="A64" s="19"/>
      <c r="B64" s="19"/>
      <c r="C64" s="19"/>
      <c r="D64" s="19"/>
      <c r="E64" s="19"/>
      <c r="F64" s="19"/>
      <c r="G64" s="19"/>
      <c r="H64" s="19"/>
      <c r="I64" s="19"/>
      <c r="K64" s="19"/>
      <c r="L64" s="19"/>
      <c r="M64" s="19"/>
    </row>
    <row r="65" spans="1:13">
      <c r="A65" s="19"/>
      <c r="B65" s="19"/>
      <c r="C65" s="19"/>
      <c r="D65" s="19"/>
      <c r="E65" s="19"/>
      <c r="F65" s="19"/>
      <c r="G65" s="19"/>
      <c r="H65" s="19"/>
      <c r="I65" s="19"/>
      <c r="K65" s="19"/>
      <c r="L65" s="19"/>
      <c r="M65" s="19"/>
    </row>
    <row r="66" spans="1:13">
      <c r="A66" s="19"/>
      <c r="B66" s="19"/>
      <c r="C66" s="19"/>
      <c r="D66" s="19"/>
      <c r="E66" s="19"/>
      <c r="F66" s="19"/>
      <c r="G66" s="19"/>
      <c r="H66" s="19"/>
      <c r="I66" s="19"/>
      <c r="K66" s="19"/>
      <c r="L66" s="19"/>
      <c r="M66" s="19"/>
    </row>
    <row r="67" spans="1:13">
      <c r="A67" s="19"/>
      <c r="B67" s="19"/>
      <c r="C67" s="19"/>
      <c r="D67" s="19"/>
      <c r="E67" s="19"/>
      <c r="F67" s="19"/>
      <c r="G67" s="19"/>
      <c r="H67" s="19"/>
      <c r="I67" s="19"/>
      <c r="K67" s="19"/>
      <c r="L67" s="19"/>
      <c r="M67" s="19"/>
    </row>
    <row r="68" spans="1:13">
      <c r="A68" s="19"/>
      <c r="B68" s="19"/>
      <c r="C68" s="19"/>
      <c r="D68" s="19"/>
      <c r="E68" s="19"/>
      <c r="F68" s="19"/>
      <c r="G68" s="19"/>
      <c r="H68" s="19"/>
      <c r="I68" s="19"/>
      <c r="K68" s="19"/>
      <c r="L68" s="19"/>
      <c r="M68" s="19"/>
    </row>
    <row r="69" spans="1:13">
      <c r="A69" s="19"/>
      <c r="B69" s="19"/>
      <c r="C69" s="19"/>
      <c r="D69" s="19"/>
      <c r="E69" s="19"/>
      <c r="F69" s="19"/>
      <c r="G69" s="19"/>
      <c r="H69" s="19"/>
      <c r="I69" s="19"/>
      <c r="K69" s="19"/>
      <c r="L69" s="19"/>
      <c r="M69" s="19"/>
    </row>
    <row r="70" spans="1:13">
      <c r="A70" s="19"/>
      <c r="B70" s="19"/>
      <c r="C70" s="19"/>
      <c r="D70" s="19"/>
      <c r="E70" s="19"/>
      <c r="F70" s="19"/>
      <c r="G70" s="19"/>
      <c r="H70" s="19"/>
      <c r="I70" s="19"/>
      <c r="K70" s="19"/>
      <c r="L70" s="19"/>
      <c r="M70" s="19"/>
    </row>
    <row r="71" spans="1:13">
      <c r="A71" s="19"/>
      <c r="B71" s="19"/>
      <c r="C71" s="19"/>
      <c r="D71" s="19"/>
      <c r="E71" s="19"/>
      <c r="F71" s="19"/>
      <c r="G71" s="19"/>
      <c r="H71" s="19"/>
      <c r="I71" s="19"/>
      <c r="K71" s="19"/>
      <c r="L71" s="19"/>
      <c r="M71" s="19"/>
    </row>
    <row r="72" spans="1:13">
      <c r="A72" s="19"/>
      <c r="B72" s="19"/>
      <c r="C72" s="19"/>
      <c r="D72" s="19"/>
      <c r="E72" s="19"/>
      <c r="F72" s="19"/>
      <c r="G72" s="19"/>
      <c r="H72" s="19"/>
      <c r="I72" s="19"/>
      <c r="K72" s="19"/>
      <c r="L72" s="19"/>
      <c r="M72" s="19"/>
    </row>
    <row r="73" spans="1:13">
      <c r="A73" s="19"/>
      <c r="B73" s="19"/>
      <c r="C73" s="19"/>
      <c r="D73" s="19"/>
      <c r="E73" s="19"/>
      <c r="F73" s="19"/>
      <c r="G73" s="19"/>
      <c r="H73" s="19"/>
      <c r="I73" s="19"/>
      <c r="K73" s="19"/>
      <c r="L73" s="19"/>
      <c r="M73" s="19"/>
    </row>
    <row r="74" spans="1:13">
      <c r="A74" s="19"/>
      <c r="B74" s="19"/>
      <c r="C74" s="19"/>
      <c r="D74" s="19"/>
      <c r="E74" s="19"/>
      <c r="F74" s="19"/>
      <c r="G74" s="19"/>
      <c r="H74" s="19"/>
      <c r="I74" s="19"/>
      <c r="K74" s="19"/>
      <c r="L74" s="19"/>
      <c r="M74" s="19"/>
    </row>
    <row r="75" spans="1:13">
      <c r="A75" s="19"/>
      <c r="B75" s="19"/>
      <c r="C75" s="19"/>
      <c r="D75" s="19"/>
      <c r="E75" s="19"/>
      <c r="F75" s="19"/>
      <c r="G75" s="19"/>
      <c r="H75" s="19"/>
      <c r="I75" s="19"/>
      <c r="K75" s="19"/>
      <c r="L75" s="19"/>
      <c r="M75" s="19"/>
    </row>
    <row r="76" spans="1:13">
      <c r="A76" s="19"/>
      <c r="B76" s="19"/>
      <c r="C76" s="19"/>
      <c r="D76" s="19"/>
      <c r="E76" s="19"/>
      <c r="F76" s="19"/>
      <c r="G76" s="19"/>
      <c r="H76" s="19"/>
      <c r="I76" s="19"/>
      <c r="K76" s="19"/>
      <c r="L76" s="19"/>
      <c r="M76" s="19"/>
    </row>
    <row r="77" spans="1:13">
      <c r="A77" s="19"/>
      <c r="B77" s="19"/>
      <c r="C77" s="19"/>
      <c r="D77" s="19"/>
      <c r="E77" s="19"/>
      <c r="F77" s="19"/>
      <c r="G77" s="19"/>
      <c r="H77" s="19"/>
      <c r="I77" s="19"/>
      <c r="K77" s="19"/>
      <c r="L77" s="19"/>
      <c r="M77" s="19"/>
    </row>
    <row r="78" spans="1:13">
      <c r="A78" s="19"/>
      <c r="B78" s="19"/>
      <c r="C78" s="19"/>
      <c r="D78" s="19"/>
      <c r="E78" s="19"/>
      <c r="F78" s="19"/>
      <c r="G78" s="19"/>
      <c r="H78" s="19"/>
      <c r="I78" s="19"/>
      <c r="K78" s="19"/>
      <c r="L78" s="19"/>
      <c r="M78" s="19"/>
    </row>
    <row r="79" spans="1:13">
      <c r="A79" s="19"/>
      <c r="B79" s="19"/>
      <c r="C79" s="19"/>
      <c r="D79" s="19"/>
      <c r="E79" s="19"/>
      <c r="F79" s="19"/>
      <c r="G79" s="19"/>
      <c r="H79" s="19"/>
      <c r="I79" s="19"/>
      <c r="K79" s="19"/>
      <c r="L79" s="19"/>
      <c r="M79" s="19"/>
    </row>
    <row r="80" spans="1:13">
      <c r="A80" s="19"/>
      <c r="B80" s="19"/>
      <c r="C80" s="19"/>
      <c r="D80" s="19"/>
      <c r="E80" s="19"/>
      <c r="F80" s="19"/>
      <c r="G80" s="19"/>
      <c r="H80" s="19"/>
      <c r="I80" s="19"/>
      <c r="K80" s="19"/>
      <c r="L80" s="19"/>
      <c r="M80" s="19"/>
    </row>
    <row r="81" spans="1:13">
      <c r="A81" s="19"/>
      <c r="B81" s="19"/>
      <c r="C81" s="19"/>
      <c r="D81" s="19"/>
      <c r="E81" s="19"/>
      <c r="F81" s="19"/>
      <c r="G81" s="19"/>
      <c r="H81" s="19"/>
      <c r="I81" s="19"/>
      <c r="K81" s="19"/>
      <c r="L81" s="19"/>
      <c r="M81" s="19"/>
    </row>
    <row r="82" spans="1:13">
      <c r="A82" s="19"/>
      <c r="B82" s="19"/>
      <c r="C82" s="19"/>
      <c r="D82" s="19"/>
      <c r="E82" s="19"/>
      <c r="F82" s="19"/>
      <c r="G82" s="19"/>
      <c r="H82" s="19"/>
      <c r="I82" s="19"/>
      <c r="K82" s="19"/>
      <c r="L82" s="19"/>
      <c r="M82" s="19"/>
    </row>
    <row r="83" spans="1:13">
      <c r="A83" s="19"/>
      <c r="B83" s="19"/>
      <c r="C83" s="19"/>
      <c r="D83" s="19"/>
      <c r="E83" s="19"/>
      <c r="F83" s="19"/>
      <c r="G83" s="19"/>
      <c r="H83" s="19"/>
      <c r="I83" s="19"/>
      <c r="K83" s="19"/>
      <c r="L83" s="19"/>
      <c r="M83" s="19"/>
    </row>
    <row r="84" spans="1:13">
      <c r="A84" s="19"/>
      <c r="B84" s="19"/>
      <c r="C84" s="19"/>
      <c r="D84" s="19"/>
      <c r="E84" s="19"/>
      <c r="F84" s="19"/>
      <c r="G84" s="19"/>
      <c r="H84" s="19"/>
      <c r="I84" s="19"/>
      <c r="K84" s="19"/>
      <c r="L84" s="19"/>
      <c r="M84" s="19"/>
    </row>
    <row r="85" spans="1:13">
      <c r="A85" s="19"/>
      <c r="B85" s="19"/>
      <c r="C85" s="19"/>
      <c r="D85" s="19"/>
      <c r="E85" s="19"/>
      <c r="F85" s="19"/>
      <c r="G85" s="19"/>
      <c r="H85" s="19"/>
      <c r="I85" s="19"/>
      <c r="K85" s="19"/>
      <c r="L85" s="19"/>
      <c r="M85" s="19"/>
    </row>
    <row r="86" spans="1:13">
      <c r="A86" s="19"/>
      <c r="B86" s="19"/>
      <c r="C86" s="19"/>
      <c r="D86" s="19"/>
      <c r="E86" s="19"/>
      <c r="F86" s="19"/>
      <c r="G86" s="19"/>
      <c r="H86" s="19"/>
      <c r="I86" s="19"/>
      <c r="K86" s="19"/>
      <c r="L86" s="19"/>
      <c r="M86" s="19"/>
    </row>
    <row r="87" spans="1:13">
      <c r="A87" s="19"/>
      <c r="B87" s="19"/>
      <c r="C87" s="19"/>
      <c r="D87" s="19"/>
      <c r="E87" s="19"/>
      <c r="F87" s="19"/>
      <c r="G87" s="19"/>
      <c r="H87" s="19"/>
      <c r="I87" s="19"/>
      <c r="K87" s="19"/>
      <c r="L87" s="19"/>
      <c r="M87" s="19"/>
    </row>
    <row r="88" spans="1:13">
      <c r="A88" s="19"/>
      <c r="B88" s="19"/>
      <c r="C88" s="19"/>
      <c r="D88" s="19"/>
      <c r="E88" s="19"/>
      <c r="F88" s="19"/>
      <c r="G88" s="19"/>
      <c r="H88" s="19"/>
      <c r="I88" s="19"/>
      <c r="K88" s="19"/>
      <c r="L88" s="19"/>
      <c r="M88" s="19"/>
    </row>
    <row r="89" spans="1:13">
      <c r="A89" s="19"/>
      <c r="B89" s="19"/>
      <c r="C89" s="19"/>
      <c r="D89" s="19"/>
      <c r="E89" s="19"/>
      <c r="F89" s="19"/>
      <c r="G89" s="19"/>
      <c r="H89" s="19"/>
      <c r="I89" s="19"/>
      <c r="K89" s="19"/>
      <c r="L89" s="19"/>
      <c r="M89" s="19"/>
    </row>
    <row r="90" spans="1:13">
      <c r="A90" s="19"/>
      <c r="B90" s="19"/>
      <c r="C90" s="19"/>
      <c r="D90" s="19"/>
      <c r="E90" s="19"/>
      <c r="F90" s="19"/>
      <c r="G90" s="19"/>
      <c r="H90" s="19"/>
      <c r="I90" s="19"/>
      <c r="K90" s="19"/>
      <c r="L90" s="19"/>
      <c r="M90" s="19"/>
    </row>
    <row r="91" spans="1:13">
      <c r="A91" s="19"/>
      <c r="B91" s="19"/>
      <c r="C91" s="19"/>
      <c r="D91" s="19"/>
      <c r="E91" s="19"/>
      <c r="F91" s="19"/>
      <c r="G91" s="19"/>
      <c r="H91" s="19"/>
      <c r="I91" s="19"/>
      <c r="K91" s="19"/>
      <c r="L91" s="19"/>
      <c r="M91" s="19"/>
    </row>
    <row r="92" spans="1:13">
      <c r="A92" s="19"/>
      <c r="B92" s="19"/>
      <c r="C92" s="19"/>
      <c r="D92" s="19"/>
      <c r="E92" s="19"/>
      <c r="F92" s="19"/>
      <c r="G92" s="19"/>
      <c r="H92" s="19"/>
      <c r="I92" s="19"/>
      <c r="K92" s="19"/>
      <c r="L92" s="19"/>
      <c r="M92" s="19"/>
    </row>
    <row r="93" spans="1:13">
      <c r="A93" s="19"/>
      <c r="B93" s="19"/>
      <c r="C93" s="19"/>
      <c r="D93" s="19"/>
      <c r="E93" s="19"/>
      <c r="F93" s="19"/>
      <c r="G93" s="19"/>
      <c r="H93" s="19"/>
      <c r="I93" s="19"/>
      <c r="K93" s="19"/>
      <c r="L93" s="19"/>
      <c r="M93" s="19"/>
    </row>
    <row r="94" spans="1:13">
      <c r="A94" s="19"/>
      <c r="B94" s="19"/>
      <c r="C94" s="19"/>
      <c r="D94" s="19"/>
      <c r="E94" s="19"/>
      <c r="F94" s="19"/>
      <c r="G94" s="19"/>
      <c r="H94" s="19"/>
      <c r="I94" s="19"/>
      <c r="K94" s="19"/>
      <c r="L94" s="19"/>
      <c r="M94" s="19"/>
    </row>
    <row r="95" spans="1:13">
      <c r="A95" s="19"/>
      <c r="B95" s="19"/>
      <c r="C95" s="19"/>
      <c r="D95" s="19"/>
      <c r="E95" s="19"/>
      <c r="F95" s="19"/>
      <c r="G95" s="19"/>
      <c r="H95" s="19"/>
      <c r="I95" s="19"/>
      <c r="K95" s="19"/>
      <c r="L95" s="19"/>
      <c r="M95" s="19"/>
    </row>
    <row r="96" spans="1:13">
      <c r="A96" s="19"/>
      <c r="B96" s="19"/>
      <c r="C96" s="19"/>
      <c r="D96" s="19"/>
      <c r="E96" s="19"/>
      <c r="F96" s="19"/>
      <c r="G96" s="19"/>
      <c r="H96" s="19"/>
      <c r="I96" s="19"/>
      <c r="K96" s="19"/>
      <c r="L96" s="19"/>
      <c r="M96" s="19"/>
    </row>
    <row r="97" spans="1:13">
      <c r="A97" s="19"/>
      <c r="B97" s="19"/>
      <c r="C97" s="19"/>
      <c r="D97" s="19"/>
      <c r="E97" s="19"/>
      <c r="F97" s="19"/>
      <c r="G97" s="19"/>
      <c r="H97" s="19"/>
      <c r="I97" s="19"/>
      <c r="K97" s="19"/>
      <c r="L97" s="19"/>
      <c r="M97" s="19"/>
    </row>
    <row r="98" spans="1:13">
      <c r="A98" s="19"/>
      <c r="B98" s="19"/>
      <c r="C98" s="19"/>
      <c r="D98" s="19"/>
      <c r="E98" s="19"/>
      <c r="F98" s="19"/>
      <c r="G98" s="19"/>
      <c r="H98" s="19"/>
      <c r="I98" s="19"/>
      <c r="K98" s="19"/>
      <c r="L98" s="19"/>
      <c r="M98" s="19"/>
    </row>
    <row r="99" spans="1:13">
      <c r="A99" s="19"/>
      <c r="B99" s="19"/>
      <c r="C99" s="19"/>
      <c r="D99" s="19"/>
      <c r="E99" s="19"/>
      <c r="F99" s="19"/>
      <c r="G99" s="19"/>
      <c r="H99" s="19"/>
      <c r="I99" s="19"/>
      <c r="K99" s="19"/>
      <c r="L99" s="19"/>
      <c r="M99" s="19"/>
    </row>
  </sheetData>
  <conditionalFormatting sqref="F2:F9">
    <cfRule type="colorScale" priority="1255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5CEC-166F-44F6-B7AE-9B7793B27655}">
  <sheetPr>
    <tabColor theme="0" tint="-0.14999847407452621"/>
  </sheetPr>
  <dimension ref="A1:AA128"/>
  <sheetViews>
    <sheetView workbookViewId="0">
      <selection activeCell="E18" sqref="E18"/>
    </sheetView>
  </sheetViews>
  <sheetFormatPr defaultRowHeight="15"/>
  <cols>
    <col min="1" max="1" width="12" bestFit="1" customWidth="1"/>
    <col min="2" max="2" width="28.42578125" customWidth="1"/>
    <col min="3" max="3" width="12" bestFit="1" customWidth="1"/>
    <col min="4" max="4" width="23" bestFit="1" customWidth="1"/>
    <col min="5" max="5" width="16" style="19" bestFit="1" customWidth="1"/>
    <col min="6" max="6" width="17" bestFit="1" customWidth="1"/>
    <col min="7" max="7" width="11.85546875" style="19" bestFit="1" customWidth="1"/>
    <col min="8" max="8" width="17" style="19" bestFit="1" customWidth="1"/>
    <col min="9" max="9" width="30" bestFit="1" customWidth="1"/>
    <col min="10" max="10" width="15.7109375" bestFit="1" customWidth="1"/>
    <col min="11" max="11" width="25.140625" style="19" customWidth="1"/>
    <col min="12" max="14" width="9.140625" style="19"/>
    <col min="18" max="18" width="9.140625" style="19"/>
  </cols>
  <sheetData>
    <row r="1" spans="1:27" s="19" customFormat="1" ht="23.25">
      <c r="A1" s="625" t="s">
        <v>814</v>
      </c>
      <c r="B1" s="625"/>
      <c r="C1" s="625"/>
      <c r="D1" s="625"/>
      <c r="E1" s="625"/>
      <c r="F1" s="625"/>
      <c r="G1" s="625"/>
      <c r="H1" s="625"/>
      <c r="I1" s="317"/>
      <c r="J1" s="317"/>
      <c r="K1" s="317"/>
      <c r="L1" s="317"/>
      <c r="M1" s="317"/>
      <c r="N1" s="317"/>
      <c r="O1" s="317"/>
    </row>
    <row r="2" spans="1:27">
      <c r="A2" s="19" t="s">
        <v>229</v>
      </c>
      <c r="B2" s="19" t="s">
        <v>815</v>
      </c>
      <c r="C2" s="19" t="s">
        <v>816</v>
      </c>
      <c r="D2" s="19" t="s">
        <v>817</v>
      </c>
      <c r="E2" s="19" t="s">
        <v>818</v>
      </c>
      <c r="F2" s="19" t="s">
        <v>819</v>
      </c>
      <c r="G2" s="19" t="s">
        <v>820</v>
      </c>
      <c r="H2" s="19" t="s">
        <v>821</v>
      </c>
      <c r="I2" s="19" t="s">
        <v>822</v>
      </c>
      <c r="J2" s="19" t="s">
        <v>823</v>
      </c>
      <c r="K2" s="19" t="s">
        <v>824</v>
      </c>
      <c r="O2" s="19"/>
      <c r="P2" s="19"/>
      <c r="Q2" s="19"/>
      <c r="S2" s="19"/>
      <c r="T2" s="19"/>
      <c r="U2" s="19"/>
      <c r="V2" s="19"/>
      <c r="W2" s="19"/>
      <c r="X2" s="19"/>
      <c r="Y2" s="19"/>
      <c r="Z2" s="19"/>
      <c r="AA2" s="19"/>
    </row>
    <row r="3" spans="1:27">
      <c r="A3" s="19">
        <f>_xlfn.XLOOKUP(RecallTable[[#This Row],[NAME]],MOLTable[Name],MOLTable[EDIPI])</f>
        <v>4741999075</v>
      </c>
      <c r="B3" s="19" t="s">
        <v>1094</v>
      </c>
      <c r="C3" s="19"/>
      <c r="D3" s="66">
        <v>45236</v>
      </c>
      <c r="E3" s="315">
        <v>0.59722222222222221</v>
      </c>
      <c r="F3" s="19" t="s">
        <v>825</v>
      </c>
      <c r="G3" s="19" t="str">
        <f>IF(COUNTIF(RecallTable[EDIPI],MedApptTable[[#This Row],[EDIPI]]),"DCO","")</f>
        <v>DCO</v>
      </c>
      <c r="I3" s="19"/>
      <c r="J3" s="19"/>
      <c r="O3" s="19"/>
      <c r="P3" s="19"/>
      <c r="Q3" s="19"/>
      <c r="S3" s="13" t="s">
        <v>826</v>
      </c>
      <c r="T3" s="19" t="s">
        <v>319</v>
      </c>
      <c r="U3" s="19">
        <v>1398247767</v>
      </c>
      <c r="V3" s="318">
        <v>42660</v>
      </c>
      <c r="W3" s="66">
        <v>42841</v>
      </c>
      <c r="X3" s="315" t="s">
        <v>827</v>
      </c>
      <c r="Y3" s="19"/>
      <c r="Z3" s="19" t="s">
        <v>828</v>
      </c>
      <c r="AA3" s="19"/>
    </row>
    <row r="4" spans="1:27">
      <c r="A4">
        <f>_xlfn.XLOOKUP(RecallTable[[#This Row],[NAME]],MOLTable[Name],MOLTable[EDIPI])</f>
        <v>1538999384</v>
      </c>
      <c r="B4" t="s">
        <v>1095</v>
      </c>
      <c r="D4" s="66">
        <v>45237</v>
      </c>
      <c r="E4" s="315">
        <v>0.63888888888888895</v>
      </c>
      <c r="F4" s="19" t="s">
        <v>825</v>
      </c>
      <c r="G4" s="57" t="str">
        <f>IF(COUNTIF(RecallTable[EDIPI],MedApptTable[[#This Row],[EDIPI]]),"DCO","")</f>
        <v>DCO</v>
      </c>
      <c r="O4" s="19"/>
      <c r="P4" s="19"/>
      <c r="Q4" s="19"/>
      <c r="S4" s="13" t="s">
        <v>829</v>
      </c>
      <c r="T4" s="19" t="s">
        <v>320</v>
      </c>
      <c r="U4" s="19">
        <v>1512009952</v>
      </c>
      <c r="V4" s="318">
        <v>44718</v>
      </c>
      <c r="W4" s="66">
        <v>44899</v>
      </c>
      <c r="X4" s="315" t="s">
        <v>827</v>
      </c>
      <c r="Y4" s="19" t="s">
        <v>830</v>
      </c>
      <c r="Z4" s="19" t="s">
        <v>831</v>
      </c>
      <c r="AA4" s="19"/>
    </row>
    <row r="5" spans="1:27">
      <c r="A5">
        <f>_xlfn.XLOOKUP(RecallTable[[#This Row],[NAME]],MOLTable[Name],MOLTable[EDIPI])</f>
        <v>1160110691</v>
      </c>
      <c r="B5" t="s">
        <v>1096</v>
      </c>
      <c r="D5" s="66">
        <v>45238</v>
      </c>
      <c r="E5" s="315">
        <v>0.68055555555555602</v>
      </c>
      <c r="F5" s="19" t="s">
        <v>825</v>
      </c>
      <c r="G5" s="57" t="str">
        <f>IF(COUNTIF(RecallTable[EDIPI],MedApptTable[[#This Row],[EDIPI]]),"DCO","")</f>
        <v>DCO</v>
      </c>
      <c r="O5" s="19"/>
      <c r="P5" s="19"/>
      <c r="Q5" s="19"/>
      <c r="S5" s="13" t="s">
        <v>832</v>
      </c>
      <c r="T5" s="19" t="s">
        <v>310</v>
      </c>
      <c r="U5" s="19">
        <v>1546565811</v>
      </c>
      <c r="V5" s="318">
        <v>44843</v>
      </c>
      <c r="W5" s="66">
        <v>45024</v>
      </c>
      <c r="X5" s="315" t="s">
        <v>827</v>
      </c>
      <c r="Y5" s="19"/>
      <c r="Z5" s="19" t="s">
        <v>833</v>
      </c>
      <c r="AA5" s="19"/>
    </row>
    <row r="6" spans="1:27">
      <c r="A6">
        <f>_xlfn.XLOOKUP(RecallTable[[#This Row],[NAME]],MOLTable[Name],MOLTable[EDIPI])</f>
        <v>1520074788</v>
      </c>
      <c r="B6" t="s">
        <v>1097</v>
      </c>
      <c r="D6" s="66">
        <v>45239</v>
      </c>
      <c r="E6" s="315">
        <v>0.72222222222222199</v>
      </c>
      <c r="F6" s="19" t="s">
        <v>825</v>
      </c>
      <c r="G6" s="57" t="str">
        <f>IF(COUNTIF(RecallTable[EDIPI],MedApptTable[[#This Row],[EDIPI]]),"DCO","")</f>
        <v>DCO</v>
      </c>
      <c r="O6" s="19"/>
      <c r="P6" s="19"/>
      <c r="Q6" s="19"/>
      <c r="S6" s="13" t="s">
        <v>834</v>
      </c>
      <c r="T6" s="19" t="s">
        <v>308</v>
      </c>
      <c r="U6" s="19">
        <v>1573256588</v>
      </c>
      <c r="V6" s="318">
        <v>45076</v>
      </c>
      <c r="W6" s="66">
        <v>45257</v>
      </c>
      <c r="X6" s="315" t="s">
        <v>835</v>
      </c>
      <c r="Y6" s="19"/>
      <c r="Z6" s="19" t="s">
        <v>836</v>
      </c>
      <c r="AA6" s="19"/>
    </row>
    <row r="7" spans="1:27">
      <c r="A7">
        <f>_xlfn.XLOOKUP(RecallTable[[#This Row],[NAME]],MOLTable[Name],MOLTable[EDIPI])</f>
        <v>1220711349</v>
      </c>
      <c r="B7" t="s">
        <v>1098</v>
      </c>
      <c r="D7" s="66">
        <v>45240</v>
      </c>
      <c r="E7" s="315">
        <v>0.76388888888888895</v>
      </c>
      <c r="F7" s="19" t="s">
        <v>825</v>
      </c>
      <c r="G7" s="57" t="str">
        <f>IF(COUNTIF(RecallTable[EDIPI],MedApptTable[[#This Row],[EDIPI]]),"DCO","")</f>
        <v>DCO</v>
      </c>
      <c r="O7" s="19"/>
      <c r="P7" s="19"/>
      <c r="Q7" s="19"/>
      <c r="S7" s="19" t="s">
        <v>837</v>
      </c>
      <c r="T7" s="19" t="s">
        <v>308</v>
      </c>
      <c r="U7" s="19">
        <v>1588329336</v>
      </c>
      <c r="V7" s="318">
        <v>45070</v>
      </c>
      <c r="W7" s="318">
        <v>45251</v>
      </c>
      <c r="X7" s="19" t="s">
        <v>835</v>
      </c>
      <c r="Y7" s="19"/>
      <c r="Z7" s="19" t="s">
        <v>836</v>
      </c>
      <c r="AA7" s="19"/>
    </row>
    <row r="8" spans="1:27">
      <c r="A8">
        <f>_xlfn.XLOOKUP(RecallTable[[#This Row],[NAME]],MOLTable[Name],MOLTable[EDIPI])</f>
        <v>1534568011</v>
      </c>
      <c r="B8" t="s">
        <v>1099</v>
      </c>
      <c r="D8" s="66">
        <v>45241</v>
      </c>
      <c r="E8" s="315">
        <v>0.80555555555555602</v>
      </c>
      <c r="F8" s="19" t="s">
        <v>825</v>
      </c>
      <c r="G8" s="57" t="str">
        <f>IF(COUNTIF(RecallTable[EDIPI],MedApptTable[[#This Row],[EDIPI]]),"DCO","")</f>
        <v>DCO</v>
      </c>
      <c r="O8" s="19"/>
      <c r="P8" s="19"/>
      <c r="Q8" s="19"/>
      <c r="S8" s="19"/>
      <c r="T8" s="19"/>
      <c r="U8" s="19"/>
      <c r="V8" s="19"/>
      <c r="W8" s="19"/>
      <c r="X8" s="19"/>
      <c r="Y8" s="19"/>
      <c r="Z8" s="19"/>
      <c r="AA8" s="19"/>
    </row>
    <row r="9" spans="1:27">
      <c r="A9">
        <f>_xlfn.XLOOKUP(RecallTable[[#This Row],[NAME]],MOLTable[Name],MOLTable[EDIPI])</f>
        <v>1418134206</v>
      </c>
      <c r="B9" t="s">
        <v>1100</v>
      </c>
      <c r="D9" s="66">
        <v>45242</v>
      </c>
      <c r="E9" s="315">
        <v>0.84722222222222199</v>
      </c>
      <c r="F9" s="19" t="s">
        <v>825</v>
      </c>
      <c r="G9" s="57" t="str">
        <f>IF(COUNTIF(RecallTable[EDIPI],MedApptTable[[#This Row],[EDIPI]]),"DCO","")</f>
        <v>DCO</v>
      </c>
      <c r="O9" s="19"/>
      <c r="P9" s="19"/>
      <c r="Q9" s="19"/>
      <c r="S9" s="19"/>
      <c r="T9" s="19"/>
      <c r="U9" s="19"/>
      <c r="V9" s="19"/>
      <c r="W9" s="19"/>
      <c r="X9" s="19"/>
      <c r="Y9" s="19"/>
      <c r="Z9" s="19"/>
      <c r="AA9" s="19"/>
    </row>
    <row r="10" spans="1:27">
      <c r="A10">
        <f>_xlfn.XLOOKUP(RecallTable[[#This Row],[NAME]],MOLTable[Name],MOLTable[EDIPI])</f>
        <v>1007476454</v>
      </c>
      <c r="B10" t="s">
        <v>1101</v>
      </c>
      <c r="D10" s="66">
        <v>45243</v>
      </c>
      <c r="E10" s="315">
        <v>0.88888888888888895</v>
      </c>
      <c r="F10" t="s">
        <v>838</v>
      </c>
      <c r="G10" s="57" t="str">
        <f>IF(COUNTIF(RecallTable[EDIPI],MedApptTable[[#This Row],[EDIPI]]),"DCO","")</f>
        <v>DCO</v>
      </c>
      <c r="H10" s="19" t="s">
        <v>799</v>
      </c>
      <c r="I10" t="s">
        <v>839</v>
      </c>
      <c r="J10" t="s">
        <v>799</v>
      </c>
      <c r="O10" s="19"/>
      <c r="P10" s="19"/>
      <c r="Q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>
      <c r="A11">
        <f>_xlfn.XLOOKUP(RecallTable[[#This Row],[NAME]],MOLTable[Name],MOLTable[EDIPI])</f>
        <v>1245991266</v>
      </c>
      <c r="B11" t="s">
        <v>1102</v>
      </c>
      <c r="D11" s="66">
        <v>45244</v>
      </c>
      <c r="E11" s="315">
        <v>0.93055555555555602</v>
      </c>
      <c r="F11" s="19" t="s">
        <v>838</v>
      </c>
      <c r="G11" s="57" t="str">
        <f>IF(COUNTIF(RecallTable[EDIPI],MedApptTable[[#This Row],[EDIPI]]),"DCO","")</f>
        <v>DCO</v>
      </c>
      <c r="H11" s="19" t="s">
        <v>839</v>
      </c>
      <c r="I11" t="s">
        <v>799</v>
      </c>
      <c r="J11" s="19" t="s">
        <v>799</v>
      </c>
      <c r="O11" s="19"/>
      <c r="P11" s="19"/>
      <c r="Q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>
      <c r="A12">
        <f>_xlfn.XLOOKUP(RecallTable[[#This Row],[NAME]],MOLTable[Name],MOLTable[EDIPI])</f>
        <v>1019647482</v>
      </c>
      <c r="B12" t="s">
        <v>1103</v>
      </c>
      <c r="D12" s="66">
        <v>45245</v>
      </c>
      <c r="E12" s="315">
        <v>0.97222222222222199</v>
      </c>
      <c r="F12" s="19" t="s">
        <v>838</v>
      </c>
      <c r="G12" s="57" t="str">
        <f>IF(COUNTIF(RecallTable[EDIPI],MedApptTable[[#This Row],[EDIPI]]),"DCO","")</f>
        <v>DCO</v>
      </c>
      <c r="H12" s="19" t="s">
        <v>839</v>
      </c>
      <c r="I12" t="s">
        <v>839</v>
      </c>
      <c r="J12" s="19" t="s">
        <v>799</v>
      </c>
      <c r="O12" s="19"/>
      <c r="P12" s="19"/>
      <c r="Q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>
      <c r="O13" s="19"/>
      <c r="P13" s="19"/>
      <c r="Q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>
      <c r="O14" s="19"/>
      <c r="P14" s="19"/>
      <c r="Q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>
      <c r="O15" s="19"/>
      <c r="P15" s="19"/>
      <c r="Q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>
      <c r="O16" s="19"/>
      <c r="P16" s="19"/>
      <c r="Q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5:22">
      <c r="O17" s="19"/>
      <c r="P17" s="19"/>
      <c r="Q17" s="19"/>
      <c r="S17" s="19"/>
      <c r="T17" s="19"/>
      <c r="U17" s="19"/>
      <c r="V17" s="19"/>
    </row>
    <row r="18" spans="15:22">
      <c r="O18" s="19"/>
      <c r="P18" s="19"/>
      <c r="Q18" s="19"/>
      <c r="S18" s="19"/>
      <c r="T18" s="19"/>
      <c r="U18" s="19"/>
      <c r="V18" s="19"/>
    </row>
    <row r="19" spans="15:22">
      <c r="O19" s="19"/>
      <c r="P19" s="19"/>
      <c r="Q19" s="19"/>
      <c r="S19" s="19"/>
      <c r="T19" s="19"/>
      <c r="U19" s="19"/>
      <c r="V19" s="19"/>
    </row>
    <row r="20" spans="15:22">
      <c r="O20" s="19"/>
      <c r="P20" s="19"/>
      <c r="Q20" s="19"/>
      <c r="S20" s="19"/>
      <c r="T20" s="19"/>
      <c r="U20" s="19"/>
      <c r="V20" s="19"/>
    </row>
    <row r="21" spans="15:22">
      <c r="O21" s="19"/>
      <c r="P21" s="19"/>
      <c r="Q21" s="19"/>
      <c r="S21" s="19"/>
      <c r="T21" s="19"/>
      <c r="U21" s="19"/>
      <c r="V21" s="19"/>
    </row>
    <row r="22" spans="15:22">
      <c r="O22" s="19"/>
      <c r="P22" s="19"/>
      <c r="Q22" s="19"/>
      <c r="S22" s="19"/>
      <c r="T22" s="19"/>
      <c r="U22" s="19"/>
      <c r="V22" s="19"/>
    </row>
    <row r="23" spans="15:22">
      <c r="O23" s="19"/>
      <c r="P23" s="19"/>
      <c r="Q23" s="19"/>
      <c r="S23" s="19"/>
      <c r="T23" s="19"/>
      <c r="U23" s="19"/>
      <c r="V23" s="19"/>
    </row>
    <row r="24" spans="15:22">
      <c r="O24" s="19"/>
      <c r="P24" s="19"/>
      <c r="Q24" s="19"/>
      <c r="S24" s="19"/>
      <c r="T24" s="19"/>
      <c r="U24" s="19"/>
      <c r="V24" s="19"/>
    </row>
    <row r="25" spans="15:22">
      <c r="O25" s="19"/>
      <c r="P25" s="19"/>
      <c r="Q25" s="19"/>
      <c r="S25" s="19"/>
      <c r="T25" s="19"/>
      <c r="U25" s="19"/>
      <c r="V25" s="19"/>
    </row>
    <row r="26" spans="15:22">
      <c r="O26" s="19"/>
      <c r="P26" s="19"/>
      <c r="Q26" s="19"/>
      <c r="S26" s="19"/>
      <c r="T26" s="19"/>
      <c r="U26" s="19"/>
      <c r="V26" s="19"/>
    </row>
    <row r="27" spans="15:22">
      <c r="O27" s="19"/>
      <c r="P27" s="19"/>
      <c r="Q27" s="19"/>
      <c r="S27" s="19"/>
      <c r="T27" s="19"/>
      <c r="U27" s="19"/>
      <c r="V27" s="19"/>
    </row>
    <row r="28" spans="15:22">
      <c r="O28" s="19"/>
      <c r="P28" s="19"/>
      <c r="Q28" s="19"/>
      <c r="S28" s="19"/>
      <c r="T28" s="19"/>
      <c r="U28" s="19"/>
      <c r="V28" s="19"/>
    </row>
    <row r="29" spans="15:22">
      <c r="O29" s="19"/>
      <c r="P29" s="19"/>
      <c r="Q29" s="19"/>
      <c r="S29" s="19"/>
      <c r="T29" s="19"/>
      <c r="U29" s="19"/>
      <c r="V29" s="19"/>
    </row>
    <row r="30" spans="15:22">
      <c r="O30" s="19"/>
      <c r="P30" s="19"/>
      <c r="Q30" s="19"/>
      <c r="S30" s="19"/>
      <c r="T30" s="19"/>
      <c r="U30" s="19"/>
      <c r="V30" s="19"/>
    </row>
    <row r="31" spans="15:22">
      <c r="O31" s="19"/>
      <c r="P31" s="19"/>
      <c r="Q31" s="19"/>
      <c r="S31" s="19"/>
      <c r="T31" s="19"/>
      <c r="U31" s="19"/>
      <c r="V31" s="19"/>
    </row>
    <row r="32" spans="15:22">
      <c r="O32" s="19"/>
      <c r="P32" s="19"/>
      <c r="Q32" s="19"/>
      <c r="S32" s="19"/>
      <c r="T32" s="19"/>
      <c r="U32" s="19"/>
      <c r="V32" s="19"/>
    </row>
    <row r="33" spans="15:22">
      <c r="O33" s="19"/>
      <c r="P33" s="19"/>
      <c r="Q33" s="19"/>
      <c r="S33" s="19"/>
      <c r="T33" s="19"/>
      <c r="U33" s="19"/>
      <c r="V33" s="19"/>
    </row>
    <row r="34" spans="15:22">
      <c r="O34" s="19"/>
      <c r="P34" s="19"/>
      <c r="Q34" s="19"/>
      <c r="S34" s="19"/>
      <c r="T34" s="19"/>
      <c r="U34" s="19"/>
      <c r="V34" s="19"/>
    </row>
    <row r="35" spans="15:22">
      <c r="O35" s="19"/>
      <c r="P35" s="19"/>
      <c r="Q35" s="19"/>
      <c r="S35" s="19"/>
      <c r="T35" s="19"/>
      <c r="U35" s="19"/>
      <c r="V35" s="19"/>
    </row>
    <row r="36" spans="15:22">
      <c r="O36" s="19"/>
      <c r="P36" s="19"/>
      <c r="Q36" s="19"/>
      <c r="S36" s="19"/>
      <c r="T36" s="19"/>
      <c r="U36" s="19"/>
      <c r="V36" s="19"/>
    </row>
    <row r="37" spans="15:22">
      <c r="O37" s="19"/>
      <c r="P37" s="19"/>
      <c r="Q37" s="19"/>
      <c r="S37" s="19"/>
      <c r="T37" s="19"/>
      <c r="U37" s="19"/>
      <c r="V37" s="19"/>
    </row>
    <row r="38" spans="15:22">
      <c r="O38" s="19"/>
      <c r="P38" s="19"/>
      <c r="Q38" s="19"/>
      <c r="S38" s="19"/>
      <c r="T38" s="19"/>
      <c r="U38" s="19"/>
      <c r="V38" s="19"/>
    </row>
    <row r="39" spans="15:22">
      <c r="O39" s="19"/>
      <c r="P39" s="19"/>
      <c r="Q39" s="19"/>
      <c r="S39" s="19"/>
      <c r="T39" s="19"/>
      <c r="U39" s="19"/>
      <c r="V39" s="19"/>
    </row>
    <row r="40" spans="15:22">
      <c r="O40" s="19"/>
      <c r="P40" s="19"/>
      <c r="Q40" s="19"/>
      <c r="S40" s="19"/>
      <c r="T40" s="19"/>
      <c r="U40" s="19"/>
      <c r="V40" s="19"/>
    </row>
    <row r="41" spans="15:22">
      <c r="O41" s="19"/>
      <c r="P41" s="19"/>
      <c r="Q41" s="19"/>
      <c r="S41" s="19"/>
      <c r="T41" s="19"/>
      <c r="U41" s="19"/>
      <c r="V41" s="19"/>
    </row>
    <row r="42" spans="15:22">
      <c r="O42" s="19"/>
      <c r="P42" s="19"/>
      <c r="Q42" s="19"/>
      <c r="S42" s="19"/>
      <c r="T42" s="19"/>
      <c r="U42" s="19"/>
      <c r="V42" s="19"/>
    </row>
    <row r="43" spans="15:22">
      <c r="O43" s="19"/>
      <c r="P43" s="19"/>
      <c r="Q43" s="19"/>
      <c r="S43" s="19"/>
      <c r="T43" s="19"/>
      <c r="U43" s="19"/>
      <c r="V43" s="19"/>
    </row>
    <row r="44" spans="15:22">
      <c r="O44" s="19"/>
      <c r="P44" s="19"/>
      <c r="Q44" s="19"/>
      <c r="S44" s="19"/>
      <c r="T44" s="19"/>
      <c r="U44" s="19"/>
      <c r="V44" s="19"/>
    </row>
    <row r="45" spans="15:22">
      <c r="O45" s="19"/>
      <c r="P45" s="19"/>
      <c r="Q45" s="19"/>
      <c r="S45" s="19"/>
      <c r="T45" s="19"/>
      <c r="U45" s="19"/>
      <c r="V45" s="19"/>
    </row>
    <row r="46" spans="15:22">
      <c r="O46" s="19"/>
      <c r="P46" s="19"/>
      <c r="Q46" s="19"/>
      <c r="S46" s="19"/>
      <c r="T46" s="19"/>
      <c r="U46" s="19"/>
      <c r="V46" s="19"/>
    </row>
    <row r="47" spans="15:22">
      <c r="O47" s="19"/>
      <c r="P47" s="19"/>
      <c r="Q47" s="19"/>
      <c r="S47" s="19"/>
      <c r="T47" s="19"/>
      <c r="U47" s="19"/>
      <c r="V47" s="19"/>
    </row>
    <row r="48" spans="15:22">
      <c r="O48" s="19"/>
      <c r="P48" s="19"/>
      <c r="Q48" s="19"/>
      <c r="S48" s="19"/>
      <c r="T48" s="19"/>
      <c r="U48" s="19"/>
      <c r="V48" s="19"/>
    </row>
    <row r="49" spans="15:22">
      <c r="O49" s="19"/>
      <c r="P49" s="19"/>
      <c r="Q49" s="19"/>
      <c r="S49" s="19"/>
      <c r="T49" s="19"/>
      <c r="U49" s="19"/>
      <c r="V49" s="19"/>
    </row>
    <row r="50" spans="15:22">
      <c r="O50" s="19"/>
      <c r="P50" s="19"/>
      <c r="Q50" s="19"/>
      <c r="S50" s="19"/>
      <c r="T50" s="19"/>
      <c r="U50" s="19"/>
      <c r="V50" s="19"/>
    </row>
    <row r="51" spans="15:22">
      <c r="O51" s="19"/>
      <c r="P51" s="19"/>
      <c r="Q51" s="19"/>
      <c r="S51" s="19"/>
      <c r="T51" s="19"/>
      <c r="U51" s="19"/>
      <c r="V51" s="19"/>
    </row>
    <row r="52" spans="15:22">
      <c r="O52" s="19"/>
      <c r="P52" s="19"/>
      <c r="Q52" s="19"/>
      <c r="S52" s="19"/>
      <c r="T52" s="19"/>
      <c r="U52" s="19"/>
      <c r="V52" s="19"/>
    </row>
    <row r="53" spans="15:22">
      <c r="O53" s="19"/>
      <c r="P53" s="19"/>
      <c r="Q53" s="19"/>
      <c r="S53" s="19"/>
      <c r="T53" s="19"/>
      <c r="U53" s="19"/>
      <c r="V53" s="19"/>
    </row>
    <row r="54" spans="15:22">
      <c r="O54" s="19"/>
      <c r="P54" s="19"/>
      <c r="Q54" s="19"/>
      <c r="S54" s="19"/>
      <c r="T54" s="19"/>
      <c r="U54" s="19"/>
      <c r="V54" s="19"/>
    </row>
    <row r="55" spans="15:22">
      <c r="O55" s="19"/>
      <c r="P55" s="19"/>
      <c r="Q55" s="19"/>
      <c r="S55" s="19"/>
      <c r="T55" s="19"/>
      <c r="U55" s="19"/>
      <c r="V55" s="19"/>
    </row>
    <row r="56" spans="15:22">
      <c r="O56" s="19"/>
      <c r="P56" s="19"/>
      <c r="Q56" s="19"/>
      <c r="S56" s="19"/>
      <c r="T56" s="19"/>
      <c r="U56" s="19"/>
      <c r="V56" s="19"/>
    </row>
    <row r="57" spans="15:22">
      <c r="O57" s="19"/>
      <c r="P57" s="19"/>
      <c r="Q57" s="19"/>
      <c r="S57" s="19"/>
      <c r="T57" s="19"/>
      <c r="U57" s="19"/>
      <c r="V57" s="19"/>
    </row>
    <row r="58" spans="15:22">
      <c r="O58" s="19"/>
      <c r="P58" s="19"/>
      <c r="Q58" s="19"/>
      <c r="S58" s="19"/>
      <c r="T58" s="19"/>
      <c r="U58" s="19"/>
      <c r="V58" s="19"/>
    </row>
    <row r="59" spans="15:22">
      <c r="O59" s="19"/>
      <c r="P59" s="19"/>
      <c r="Q59" s="19"/>
      <c r="S59" s="19"/>
      <c r="T59" s="19"/>
      <c r="U59" s="19"/>
      <c r="V59" s="19"/>
    </row>
    <row r="60" spans="15:22">
      <c r="O60" s="19"/>
      <c r="P60" s="19"/>
      <c r="Q60" s="19"/>
      <c r="S60" s="19"/>
      <c r="T60" s="19"/>
      <c r="U60" s="19"/>
      <c r="V60" s="19"/>
    </row>
    <row r="61" spans="15:22">
      <c r="O61" s="19"/>
      <c r="P61" s="19"/>
      <c r="Q61" s="19"/>
      <c r="S61" s="19"/>
      <c r="T61" s="19"/>
      <c r="U61" s="19"/>
      <c r="V61" s="19"/>
    </row>
    <row r="62" spans="15:22">
      <c r="O62" s="19"/>
      <c r="P62" s="19"/>
      <c r="Q62" s="19"/>
      <c r="S62" s="19"/>
      <c r="T62" s="19"/>
      <c r="U62" s="19"/>
      <c r="V62" s="19"/>
    </row>
    <row r="63" spans="15:22">
      <c r="O63" s="19"/>
      <c r="P63" s="19"/>
      <c r="Q63" s="19"/>
      <c r="S63" s="19"/>
      <c r="T63" s="19"/>
      <c r="U63" s="19"/>
      <c r="V63" s="19"/>
    </row>
    <row r="64" spans="15:22">
      <c r="O64" s="19"/>
      <c r="P64" s="19"/>
      <c r="Q64" s="19"/>
      <c r="S64" s="19"/>
      <c r="T64" s="19"/>
      <c r="U64" s="19"/>
      <c r="V64" s="19"/>
    </row>
    <row r="65" spans="15:22">
      <c r="O65" s="19"/>
      <c r="P65" s="19"/>
      <c r="Q65" s="19"/>
      <c r="S65" s="19"/>
      <c r="T65" s="19"/>
      <c r="U65" s="19"/>
      <c r="V65" s="19"/>
    </row>
    <row r="66" spans="15:22">
      <c r="O66" s="19"/>
      <c r="P66" s="19"/>
      <c r="Q66" s="19"/>
      <c r="S66" s="19"/>
      <c r="T66" s="19"/>
      <c r="U66" s="19"/>
      <c r="V66" s="19"/>
    </row>
    <row r="67" spans="15:22">
      <c r="O67" s="19"/>
      <c r="P67" s="19"/>
      <c r="Q67" s="19"/>
      <c r="S67" s="19"/>
      <c r="T67" s="19"/>
      <c r="U67" s="19"/>
      <c r="V67" s="19"/>
    </row>
    <row r="68" spans="15:22">
      <c r="O68" s="19"/>
      <c r="P68" s="19"/>
      <c r="Q68" s="19"/>
      <c r="S68" s="19"/>
      <c r="T68" s="19"/>
      <c r="U68" s="19"/>
      <c r="V68" s="19"/>
    </row>
    <row r="69" spans="15:22">
      <c r="O69" s="19"/>
      <c r="P69" s="19"/>
      <c r="Q69" s="19"/>
      <c r="S69" s="19"/>
      <c r="T69" s="19"/>
      <c r="U69" s="19"/>
      <c r="V69" s="19"/>
    </row>
    <row r="70" spans="15:22">
      <c r="O70" s="19"/>
      <c r="P70" s="19"/>
      <c r="Q70" s="19"/>
      <c r="S70" s="19"/>
      <c r="T70" s="19"/>
      <c r="U70" s="19"/>
      <c r="V70" s="19"/>
    </row>
    <row r="71" spans="15:22">
      <c r="O71" s="19"/>
      <c r="P71" s="19"/>
      <c r="Q71" s="19"/>
      <c r="S71" s="19"/>
      <c r="T71" s="19"/>
      <c r="U71" s="19"/>
      <c r="V71" s="19"/>
    </row>
    <row r="72" spans="15:22">
      <c r="O72" s="19"/>
      <c r="P72" s="19"/>
      <c r="Q72" s="19"/>
      <c r="S72" s="19"/>
      <c r="T72" s="19"/>
      <c r="U72" s="19"/>
      <c r="V72" s="19"/>
    </row>
    <row r="73" spans="15:22">
      <c r="O73" s="19"/>
      <c r="P73" s="19"/>
      <c r="Q73" s="19"/>
      <c r="S73" s="19"/>
      <c r="T73" s="19"/>
      <c r="U73" s="19"/>
      <c r="V73" s="19"/>
    </row>
    <row r="74" spans="15:22">
      <c r="O74" s="19"/>
      <c r="P74" s="19"/>
      <c r="Q74" s="19"/>
      <c r="S74" s="19"/>
      <c r="T74" s="19"/>
      <c r="U74" s="19"/>
      <c r="V74" s="19"/>
    </row>
    <row r="75" spans="15:22">
      <c r="O75" s="19"/>
      <c r="P75" s="19"/>
      <c r="Q75" s="19"/>
      <c r="S75" s="19"/>
      <c r="T75" s="19"/>
      <c r="U75" s="19"/>
      <c r="V75" s="19"/>
    </row>
    <row r="76" spans="15:22">
      <c r="O76" s="19"/>
      <c r="P76" s="19"/>
      <c r="Q76" s="19"/>
      <c r="S76" s="19"/>
      <c r="T76" s="19"/>
      <c r="U76" s="19"/>
      <c r="V76" s="19"/>
    </row>
    <row r="77" spans="15:22">
      <c r="O77" s="19"/>
      <c r="P77" s="19"/>
      <c r="Q77" s="19"/>
      <c r="S77" s="19"/>
      <c r="T77" s="19"/>
      <c r="U77" s="19"/>
      <c r="V77" s="19"/>
    </row>
    <row r="78" spans="15:22">
      <c r="O78" s="19"/>
      <c r="P78" s="19"/>
      <c r="Q78" s="19"/>
      <c r="S78" s="19"/>
      <c r="T78" s="19"/>
      <c r="U78" s="19"/>
      <c r="V78" s="19"/>
    </row>
    <row r="79" spans="15:22">
      <c r="O79" s="19"/>
      <c r="P79" s="19"/>
      <c r="Q79" s="19"/>
      <c r="S79" s="19"/>
      <c r="T79" s="19"/>
      <c r="U79" s="19"/>
      <c r="V79" s="19"/>
    </row>
    <row r="80" spans="15:22">
      <c r="O80" s="19"/>
      <c r="P80" s="19"/>
      <c r="Q80" s="19"/>
      <c r="S80" s="19"/>
      <c r="T80" s="19"/>
      <c r="U80" s="19"/>
      <c r="V80" s="19"/>
    </row>
    <row r="81" spans="15:22">
      <c r="O81" s="19"/>
      <c r="P81" s="19"/>
      <c r="Q81" s="19"/>
      <c r="S81" s="19"/>
      <c r="T81" s="19"/>
      <c r="U81" s="19"/>
      <c r="V81" s="19"/>
    </row>
    <row r="82" spans="15:22">
      <c r="O82" s="19"/>
      <c r="P82" s="19"/>
      <c r="Q82" s="19"/>
      <c r="S82" s="19"/>
      <c r="T82" s="19"/>
      <c r="U82" s="19"/>
      <c r="V82" s="19"/>
    </row>
    <row r="83" spans="15:22">
      <c r="O83" s="19"/>
      <c r="P83" s="19"/>
      <c r="Q83" s="19"/>
      <c r="S83" s="19"/>
      <c r="T83" s="19"/>
      <c r="U83" s="19"/>
      <c r="V83" s="19"/>
    </row>
    <row r="84" spans="15:22">
      <c r="O84" s="19"/>
      <c r="P84" s="19"/>
      <c r="Q84" s="19"/>
      <c r="S84" s="19"/>
      <c r="T84" s="19"/>
      <c r="U84" s="19"/>
      <c r="V84" s="19"/>
    </row>
    <row r="85" spans="15:22">
      <c r="O85" s="19"/>
      <c r="P85" s="19"/>
      <c r="Q85" s="19"/>
      <c r="S85" s="19"/>
      <c r="T85" s="19"/>
      <c r="U85" s="19"/>
      <c r="V85" s="19"/>
    </row>
    <row r="86" spans="15:22">
      <c r="O86" s="19"/>
      <c r="P86" s="19"/>
      <c r="Q86" s="19"/>
      <c r="S86" s="19"/>
      <c r="T86" s="19"/>
      <c r="U86" s="19"/>
      <c r="V86" s="19"/>
    </row>
    <row r="87" spans="15:22">
      <c r="O87" s="19"/>
      <c r="P87" s="19"/>
      <c r="Q87" s="19"/>
      <c r="S87" s="19"/>
      <c r="T87" s="19"/>
      <c r="U87" s="19"/>
      <c r="V87" s="19"/>
    </row>
    <row r="88" spans="15:22">
      <c r="O88" s="19"/>
      <c r="P88" s="19"/>
      <c r="Q88" s="19"/>
      <c r="S88" s="19"/>
      <c r="T88" s="19"/>
      <c r="U88" s="19"/>
      <c r="V88" s="19"/>
    </row>
    <row r="89" spans="15:22">
      <c r="O89" s="19"/>
      <c r="P89" s="19"/>
      <c r="Q89" s="19"/>
      <c r="S89" s="19"/>
      <c r="T89" s="19"/>
      <c r="U89" s="19"/>
      <c r="V89" s="19"/>
    </row>
    <row r="90" spans="15:22">
      <c r="O90" s="19"/>
      <c r="P90" s="19"/>
      <c r="Q90" s="19"/>
      <c r="S90" s="19"/>
      <c r="T90" s="19"/>
      <c r="U90" s="19"/>
      <c r="V90" s="19"/>
    </row>
    <row r="91" spans="15:22">
      <c r="O91" s="19"/>
      <c r="P91" s="19"/>
      <c r="Q91" s="19"/>
      <c r="S91" s="19"/>
      <c r="T91" s="19"/>
      <c r="U91" s="19"/>
      <c r="V91" s="19"/>
    </row>
    <row r="92" spans="15:22">
      <c r="O92" s="19"/>
      <c r="P92" s="19"/>
      <c r="Q92" s="19"/>
      <c r="S92" s="19"/>
      <c r="T92" s="19"/>
      <c r="U92" s="19"/>
      <c r="V92" s="19"/>
    </row>
    <row r="93" spans="15:22">
      <c r="O93" s="19"/>
      <c r="P93" s="19"/>
      <c r="Q93" s="19"/>
      <c r="S93" s="19"/>
      <c r="T93" s="19"/>
      <c r="U93" s="19"/>
      <c r="V93" s="19"/>
    </row>
    <row r="94" spans="15:22">
      <c r="O94" s="19"/>
      <c r="P94" s="19"/>
      <c r="Q94" s="19"/>
      <c r="S94" s="19"/>
      <c r="T94" s="19"/>
      <c r="U94" s="19"/>
      <c r="V94" s="19"/>
    </row>
    <row r="95" spans="15:22">
      <c r="O95" s="19"/>
      <c r="P95" s="19"/>
      <c r="Q95" s="19"/>
      <c r="S95" s="19"/>
      <c r="T95" s="19"/>
      <c r="U95" s="19"/>
      <c r="V95" s="19"/>
    </row>
    <row r="96" spans="15:22">
      <c r="O96" s="19"/>
      <c r="P96" s="19"/>
      <c r="Q96" s="19"/>
      <c r="S96" s="19"/>
      <c r="T96" s="19"/>
      <c r="U96" s="19"/>
      <c r="V96" s="19"/>
    </row>
    <row r="97" spans="15:22">
      <c r="O97" s="19"/>
      <c r="P97" s="19"/>
      <c r="Q97" s="19"/>
      <c r="S97" s="19"/>
      <c r="T97" s="19"/>
      <c r="U97" s="19"/>
      <c r="V97" s="19"/>
    </row>
    <row r="98" spans="15:22">
      <c r="O98" s="19"/>
      <c r="P98" s="19"/>
      <c r="Q98" s="19"/>
      <c r="S98" s="19"/>
      <c r="T98" s="19"/>
      <c r="U98" s="19"/>
      <c r="V98" s="19"/>
    </row>
    <row r="99" spans="15:22">
      <c r="O99" s="19"/>
      <c r="P99" s="19"/>
      <c r="Q99" s="19"/>
      <c r="S99" s="19"/>
      <c r="T99" s="19"/>
      <c r="U99" s="19"/>
      <c r="V99" s="19"/>
    </row>
    <row r="100" spans="15:22">
      <c r="O100" s="19"/>
      <c r="P100" s="19"/>
      <c r="Q100" s="19"/>
      <c r="S100" s="19"/>
      <c r="T100" s="19"/>
      <c r="U100" s="19"/>
      <c r="V100" s="19"/>
    </row>
    <row r="101" spans="15:22">
      <c r="O101" s="19"/>
      <c r="P101" s="19"/>
      <c r="Q101" s="19"/>
      <c r="S101" s="19"/>
      <c r="T101" s="19"/>
      <c r="U101" s="19"/>
      <c r="V101" s="19"/>
    </row>
    <row r="102" spans="15:22">
      <c r="O102" s="19"/>
      <c r="P102" s="19"/>
      <c r="Q102" s="19"/>
      <c r="S102" s="19"/>
      <c r="T102" s="19"/>
      <c r="U102" s="19"/>
      <c r="V102" s="19"/>
    </row>
    <row r="103" spans="15:22">
      <c r="O103" s="19"/>
      <c r="P103" s="19"/>
      <c r="Q103" s="19"/>
      <c r="S103" s="19"/>
      <c r="T103" s="19"/>
      <c r="U103" s="19"/>
      <c r="V103" s="19"/>
    </row>
    <row r="104" spans="15:22">
      <c r="O104" s="19"/>
      <c r="P104" s="19"/>
      <c r="Q104" s="19"/>
      <c r="S104" s="19"/>
      <c r="T104" s="19"/>
      <c r="U104" s="19"/>
      <c r="V104" s="19"/>
    </row>
    <row r="105" spans="15:22">
      <c r="O105" s="19"/>
      <c r="P105" s="19"/>
      <c r="Q105" s="19"/>
      <c r="S105" s="19"/>
      <c r="T105" s="19"/>
      <c r="U105" s="19"/>
      <c r="V105" s="19"/>
    </row>
    <row r="106" spans="15:22">
      <c r="O106" s="19"/>
      <c r="P106" s="19"/>
      <c r="Q106" s="19"/>
      <c r="S106" s="19"/>
      <c r="T106" s="19"/>
      <c r="U106" s="19"/>
      <c r="V106" s="19"/>
    </row>
    <row r="107" spans="15:22">
      <c r="O107" s="19"/>
      <c r="P107" s="19"/>
      <c r="Q107" s="19"/>
      <c r="S107" s="19"/>
      <c r="T107" s="19"/>
      <c r="U107" s="19"/>
      <c r="V107" s="19"/>
    </row>
    <row r="108" spans="15:22">
      <c r="O108" s="19"/>
      <c r="P108" s="19"/>
      <c r="Q108" s="19"/>
      <c r="S108" s="19"/>
      <c r="T108" s="19"/>
      <c r="U108" s="19"/>
      <c r="V108" s="19"/>
    </row>
    <row r="109" spans="15:22">
      <c r="O109" s="19"/>
      <c r="P109" s="19"/>
      <c r="Q109" s="19"/>
      <c r="S109" s="19"/>
      <c r="T109" s="19"/>
      <c r="U109" s="19"/>
      <c r="V109" s="19"/>
    </row>
    <row r="110" spans="15:22">
      <c r="O110" s="19"/>
      <c r="P110" s="19"/>
      <c r="Q110" s="19"/>
      <c r="S110" s="19"/>
      <c r="T110" s="19"/>
      <c r="U110" s="19"/>
      <c r="V110" s="19"/>
    </row>
    <row r="111" spans="15:22">
      <c r="O111" s="19"/>
      <c r="P111" s="19"/>
      <c r="Q111" s="19"/>
      <c r="S111" s="19"/>
      <c r="T111" s="19"/>
      <c r="U111" s="19"/>
      <c r="V111" s="19"/>
    </row>
    <row r="112" spans="15:22">
      <c r="O112" s="19"/>
      <c r="P112" s="19"/>
      <c r="Q112" s="19"/>
      <c r="S112" s="19"/>
      <c r="T112" s="19"/>
      <c r="U112" s="19"/>
      <c r="V112" s="19"/>
    </row>
    <row r="113" spans="15:22">
      <c r="O113" s="19"/>
      <c r="P113" s="19"/>
      <c r="Q113" s="19"/>
      <c r="S113" s="19"/>
      <c r="T113" s="19"/>
      <c r="U113" s="19"/>
      <c r="V113" s="19"/>
    </row>
    <row r="114" spans="15:22">
      <c r="O114" s="19"/>
      <c r="P114" s="19"/>
      <c r="Q114" s="19"/>
      <c r="S114" s="19"/>
      <c r="T114" s="19"/>
      <c r="U114" s="19"/>
      <c r="V114" s="19"/>
    </row>
    <row r="115" spans="15:22">
      <c r="O115" s="19"/>
      <c r="P115" s="19"/>
      <c r="Q115" s="19"/>
      <c r="S115" s="19"/>
      <c r="T115" s="19"/>
      <c r="U115" s="19"/>
      <c r="V115" s="19"/>
    </row>
    <row r="116" spans="15:22">
      <c r="O116" s="19"/>
      <c r="P116" s="19"/>
      <c r="Q116" s="19"/>
      <c r="S116" s="19"/>
      <c r="T116" s="19"/>
      <c r="U116" s="19"/>
      <c r="V116" s="19"/>
    </row>
    <row r="117" spans="15:22">
      <c r="O117" s="19"/>
      <c r="P117" s="19"/>
      <c r="Q117" s="19"/>
      <c r="S117" s="19"/>
      <c r="T117" s="19"/>
      <c r="U117" s="19"/>
      <c r="V117" s="19"/>
    </row>
    <row r="118" spans="15:22">
      <c r="O118" s="19"/>
      <c r="P118" s="19"/>
      <c r="Q118" s="19"/>
      <c r="S118" s="19"/>
      <c r="T118" s="19"/>
      <c r="U118" s="19"/>
      <c r="V118" s="19"/>
    </row>
    <row r="119" spans="15:22">
      <c r="O119" s="19"/>
      <c r="P119" s="19"/>
      <c r="Q119" s="19"/>
      <c r="S119" s="19"/>
      <c r="T119" s="19"/>
      <c r="U119" s="19"/>
      <c r="V119" s="19"/>
    </row>
    <row r="120" spans="15:22">
      <c r="O120" s="19"/>
      <c r="P120" s="19"/>
      <c r="Q120" s="19"/>
      <c r="S120" s="19"/>
      <c r="T120" s="19"/>
      <c r="U120" s="19"/>
      <c r="V120" s="19"/>
    </row>
    <row r="121" spans="15:22">
      <c r="O121" s="19"/>
      <c r="P121" s="19"/>
      <c r="Q121" s="19"/>
      <c r="S121" s="19"/>
      <c r="T121" s="19"/>
      <c r="U121" s="19"/>
      <c r="V121" s="19"/>
    </row>
    <row r="122" spans="15:22">
      <c r="O122" s="19"/>
      <c r="P122" s="19"/>
      <c r="Q122" s="19"/>
      <c r="S122" s="19"/>
      <c r="T122" s="19"/>
      <c r="U122" s="19"/>
      <c r="V122" s="19"/>
    </row>
    <row r="123" spans="15:22">
      <c r="O123" s="19"/>
      <c r="P123" s="19"/>
      <c r="Q123" s="19"/>
      <c r="S123" s="19"/>
      <c r="T123" s="19"/>
      <c r="U123" s="19"/>
      <c r="V123" s="19"/>
    </row>
    <row r="124" spans="15:22">
      <c r="O124" s="19"/>
      <c r="P124" s="19"/>
      <c r="Q124" s="19"/>
      <c r="S124" s="19"/>
      <c r="T124" s="19"/>
      <c r="U124" s="19"/>
      <c r="V124" s="19"/>
    </row>
    <row r="125" spans="15:22">
      <c r="O125" s="19"/>
      <c r="P125" s="19"/>
      <c r="Q125" s="19"/>
      <c r="S125" s="19"/>
      <c r="T125" s="19"/>
      <c r="U125" s="19"/>
      <c r="V125" s="19"/>
    </row>
    <row r="126" spans="15:22">
      <c r="O126" s="19"/>
      <c r="P126" s="19"/>
      <c r="Q126" s="19"/>
      <c r="S126" s="19"/>
      <c r="T126" s="19"/>
      <c r="U126" s="19"/>
      <c r="V126" s="19"/>
    </row>
    <row r="127" spans="15:22">
      <c r="O127" s="19"/>
      <c r="P127" s="19"/>
      <c r="Q127" s="19"/>
      <c r="S127" s="19"/>
      <c r="T127" s="19"/>
      <c r="U127" s="19"/>
      <c r="V127" s="19"/>
    </row>
    <row r="128" spans="15:22">
      <c r="O128" s="19"/>
      <c r="P128" s="19"/>
      <c r="Q128" s="19"/>
      <c r="S128" s="19"/>
      <c r="T128" s="19"/>
      <c r="U128" s="19"/>
      <c r="V128" s="19"/>
    </row>
  </sheetData>
  <mergeCells count="1">
    <mergeCell ref="A1:H1"/>
  </mergeCells>
  <conditionalFormatting sqref="A3:A12">
    <cfRule type="containsBlanks" dxfId="241" priority="6">
      <formula>LEN(TRIM(A3))=0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766C-2D5E-45BF-BD29-5C7BE07A0F14}">
  <sheetPr>
    <tabColor rgb="FFD6D6D6"/>
  </sheetPr>
  <dimension ref="A1:AR412"/>
  <sheetViews>
    <sheetView workbookViewId="0">
      <pane xSplit="5" topLeftCell="F1" activePane="topRight" state="frozen"/>
      <selection pane="topRight" activeCell="J82" sqref="J82"/>
    </sheetView>
  </sheetViews>
  <sheetFormatPr defaultColWidth="9.140625" defaultRowHeight="15"/>
  <cols>
    <col min="1" max="1" width="15.7109375" style="164" customWidth="1"/>
    <col min="2" max="2" width="12.7109375" style="164" customWidth="1"/>
    <col min="3" max="3" width="18.5703125" style="164" customWidth="1"/>
    <col min="4" max="4" width="15.85546875" style="164" customWidth="1"/>
    <col min="5" max="5" width="11.42578125" style="164" bestFit="1" customWidth="1"/>
    <col min="6" max="6" width="0.5703125" style="15" customWidth="1"/>
    <col min="7" max="7" width="0.7109375" style="165" customWidth="1"/>
    <col min="8" max="8" width="9.140625" style="27"/>
    <col min="9" max="9" width="9.140625" style="164"/>
    <col min="10" max="10" width="26.5703125" style="164" bestFit="1" customWidth="1"/>
    <col min="11" max="11" width="14.85546875" style="164" customWidth="1"/>
    <col min="12" max="12" width="6.5703125" style="164" bestFit="1" customWidth="1"/>
    <col min="13" max="13" width="10" style="164" bestFit="1" customWidth="1"/>
    <col min="14" max="14" width="16.85546875" style="164" customWidth="1"/>
    <col min="15" max="15" width="11.42578125" style="164" bestFit="1" customWidth="1"/>
    <col min="16" max="16" width="26.5703125" style="164" bestFit="1" customWidth="1"/>
    <col min="17" max="17" width="24.5703125" style="164" bestFit="1" customWidth="1"/>
    <col min="18" max="18" width="12.42578125" style="164" bestFit="1" customWidth="1"/>
    <col min="19" max="19" width="11.42578125" style="164" bestFit="1" customWidth="1"/>
    <col min="20" max="20" width="7.5703125" style="215" customWidth="1"/>
    <col min="21" max="21" width="7.85546875" style="160" customWidth="1"/>
    <col min="22" max="22" width="26.42578125" style="160" bestFit="1" customWidth="1"/>
    <col min="23" max="23" width="7.7109375" style="160" bestFit="1" customWidth="1"/>
    <col min="24" max="24" width="10.28515625" style="160" customWidth="1"/>
    <col min="25" max="25" width="14.28515625" style="160" customWidth="1"/>
    <col min="26" max="26" width="14" style="160" customWidth="1"/>
    <col min="27" max="27" width="16.42578125" style="164" customWidth="1"/>
    <col min="28" max="28" width="14.42578125" style="164" customWidth="1"/>
    <col min="29" max="16384" width="9.140625" style="164"/>
  </cols>
  <sheetData>
    <row r="1" spans="1:39">
      <c r="A1" s="537" t="s">
        <v>840</v>
      </c>
      <c r="B1" s="71">
        <f>PRODUCT(D1)</f>
        <v>0</v>
      </c>
      <c r="C1" s="537" t="s">
        <v>83</v>
      </c>
      <c r="D1" s="537" t="str">
        <f>IF(C1="UPDATE","true")</f>
        <v>true</v>
      </c>
      <c r="E1" s="71">
        <f ca="1">(TODAY())</f>
        <v>45398</v>
      </c>
      <c r="I1" s="626" t="s">
        <v>841</v>
      </c>
      <c r="J1" s="626"/>
      <c r="K1" s="626"/>
      <c r="L1" s="626"/>
      <c r="M1" s="626"/>
      <c r="N1" s="626"/>
      <c r="O1" s="626"/>
      <c r="P1" s="626"/>
      <c r="Q1" s="626"/>
      <c r="R1" s="626"/>
      <c r="S1" s="626"/>
      <c r="T1" s="538"/>
      <c r="U1" s="220"/>
      <c r="V1" s="26">
        <f>COUNTIF(ViewReports[Name],"*")</f>
        <v>79</v>
      </c>
      <c r="W1" s="220"/>
      <c r="X1" s="221" t="s">
        <v>842</v>
      </c>
      <c r="Y1" s="220"/>
      <c r="Z1" s="220"/>
      <c r="AA1" s="16"/>
      <c r="AB1" s="537"/>
      <c r="AC1" s="537"/>
      <c r="AD1" s="537"/>
      <c r="AE1" s="537"/>
      <c r="AF1" s="537"/>
      <c r="AG1" s="537"/>
      <c r="AH1" s="537"/>
      <c r="AI1" s="537"/>
      <c r="AJ1" s="537"/>
      <c r="AK1" s="537"/>
      <c r="AL1" s="537"/>
      <c r="AM1" s="537"/>
    </row>
    <row r="2" spans="1:39">
      <c r="A2" s="144" t="s">
        <v>843</v>
      </c>
      <c r="B2" s="142" t="s">
        <v>844</v>
      </c>
      <c r="C2" s="142" t="s">
        <v>845</v>
      </c>
      <c r="D2" s="147" t="s">
        <v>846</v>
      </c>
      <c r="E2" s="142" t="s">
        <v>847</v>
      </c>
      <c r="F2" s="161"/>
      <c r="H2" s="190" t="s">
        <v>221</v>
      </c>
      <c r="I2" s="30" t="s">
        <v>787</v>
      </c>
      <c r="J2" s="30" t="s">
        <v>155</v>
      </c>
      <c r="K2" s="30" t="s">
        <v>229</v>
      </c>
      <c r="L2" s="30" t="s">
        <v>848</v>
      </c>
      <c r="M2" s="30" t="s">
        <v>849</v>
      </c>
      <c r="N2" s="30" t="s">
        <v>850</v>
      </c>
      <c r="O2" s="30" t="s">
        <v>843</v>
      </c>
      <c r="P2" s="30" t="s">
        <v>2</v>
      </c>
      <c r="Q2" s="30" t="s">
        <v>74</v>
      </c>
      <c r="R2" s="30" t="s">
        <v>851</v>
      </c>
      <c r="S2" s="30" t="s">
        <v>852</v>
      </c>
      <c r="T2" s="16"/>
      <c r="U2" s="220" t="s">
        <v>787</v>
      </c>
      <c r="V2" s="220" t="s">
        <v>155</v>
      </c>
      <c r="W2" s="220" t="s">
        <v>221</v>
      </c>
      <c r="X2" s="220" t="s">
        <v>247</v>
      </c>
      <c r="Y2" s="220" t="s">
        <v>853</v>
      </c>
      <c r="Z2" s="220" t="s">
        <v>850</v>
      </c>
      <c r="AA2" s="537"/>
      <c r="AB2" s="537"/>
      <c r="AC2" s="537"/>
      <c r="AD2" s="537"/>
      <c r="AE2" s="537"/>
      <c r="AF2" s="537"/>
      <c r="AG2" s="537"/>
      <c r="AH2" s="537"/>
      <c r="AI2" s="537"/>
      <c r="AJ2" s="537"/>
      <c r="AK2" s="537"/>
      <c r="AL2" s="537"/>
      <c r="AM2" s="537"/>
    </row>
    <row r="3" spans="1:39">
      <c r="A3" s="145" t="s">
        <v>854</v>
      </c>
      <c r="B3" s="151">
        <f>(E56)</f>
        <v>8</v>
      </c>
      <c r="C3" s="151">
        <f>(E48)</f>
        <v>70</v>
      </c>
      <c r="D3" s="152">
        <f>SUM(Perstat[[#This Row],[MO]:[ME]])</f>
        <v>78</v>
      </c>
      <c r="E3" s="153"/>
      <c r="F3" s="162"/>
      <c r="H3" s="30">
        <f>_xlfn.XLOOKUP(MOLTable[[#This Row],[Name]],ViewReports[Name],ViewReports[MOS])</f>
        <v>1702</v>
      </c>
      <c r="I3" s="99" t="s">
        <v>319</v>
      </c>
      <c r="J3" s="99" t="s">
        <v>1094</v>
      </c>
      <c r="K3" s="99">
        <v>4741999075</v>
      </c>
      <c r="L3" s="99" t="s">
        <v>862</v>
      </c>
      <c r="M3" s="99"/>
      <c r="N3" s="52" t="s">
        <v>1087</v>
      </c>
      <c r="O3" s="99" t="s">
        <v>855</v>
      </c>
      <c r="P3" s="99" t="s">
        <v>856</v>
      </c>
      <c r="Q3" s="99"/>
      <c r="R3" s="312"/>
      <c r="S3" s="312"/>
      <c r="T3" s="295"/>
      <c r="U3" s="292" t="s">
        <v>319</v>
      </c>
      <c r="V3" s="292" t="s">
        <v>1094</v>
      </c>
      <c r="W3" s="292">
        <v>1702</v>
      </c>
      <c r="X3" s="294">
        <v>46452</v>
      </c>
      <c r="Y3" s="540">
        <v>1234567890</v>
      </c>
      <c r="Z3" s="293" t="s">
        <v>1087</v>
      </c>
      <c r="AA3" s="537"/>
      <c r="AB3" s="537"/>
      <c r="AC3" s="537"/>
      <c r="AD3" s="537"/>
      <c r="AE3" s="537"/>
      <c r="AF3" s="537"/>
      <c r="AG3" s="537"/>
      <c r="AH3" s="537"/>
      <c r="AI3" s="537"/>
      <c r="AJ3" s="537"/>
      <c r="AK3" s="537"/>
      <c r="AL3" s="537"/>
      <c r="AM3" s="537"/>
    </row>
    <row r="4" spans="1:39">
      <c r="A4" s="145" t="s">
        <v>857</v>
      </c>
      <c r="B4" s="141">
        <f>(B56)</f>
        <v>7</v>
      </c>
      <c r="C4" s="141">
        <f>(B48)</f>
        <v>56</v>
      </c>
      <c r="D4" s="148">
        <f>SUM(Perstat[[#This Row],[MO]:[ME]])</f>
        <v>63</v>
      </c>
      <c r="E4" s="154">
        <f>IF(Perstat[[#This Row],[TOTAL]]/$D$3,Perstat[[#This Row],[TOTAL]]/$D$3,"")</f>
        <v>0.80769230769230771</v>
      </c>
      <c r="F4" s="163"/>
      <c r="H4" s="30">
        <f>_xlfn.XLOOKUP(MOLTable[[#This Row],[Name]],ViewReports[Name],ViewReports[MOS])</f>
        <v>1721</v>
      </c>
      <c r="I4" s="99" t="s">
        <v>314</v>
      </c>
      <c r="J4" s="99" t="s">
        <v>1095</v>
      </c>
      <c r="K4" s="99">
        <v>1538999384</v>
      </c>
      <c r="L4" s="99" t="s">
        <v>660</v>
      </c>
      <c r="M4" s="99"/>
      <c r="N4" s="99" t="s">
        <v>1087</v>
      </c>
      <c r="O4" s="99" t="s">
        <v>855</v>
      </c>
      <c r="P4" s="99" t="s">
        <v>856</v>
      </c>
      <c r="Q4" s="99"/>
      <c r="R4" s="312"/>
      <c r="S4" s="312"/>
      <c r="T4" s="295"/>
      <c r="U4" s="292" t="s">
        <v>314</v>
      </c>
      <c r="V4" s="292" t="s">
        <v>1095</v>
      </c>
      <c r="W4" s="292">
        <v>1721</v>
      </c>
      <c r="X4" s="294">
        <v>46345</v>
      </c>
      <c r="Y4" s="540">
        <v>1234567890</v>
      </c>
      <c r="Z4" s="293" t="s">
        <v>1087</v>
      </c>
      <c r="AA4" s="537"/>
      <c r="AB4" s="537"/>
      <c r="AC4" s="537"/>
      <c r="AD4" s="537"/>
      <c r="AE4" s="537"/>
      <c r="AF4" s="537"/>
      <c r="AG4" s="537"/>
      <c r="AH4" s="537"/>
      <c r="AI4" s="537"/>
      <c r="AJ4" s="537"/>
      <c r="AK4" s="537"/>
      <c r="AL4" s="537"/>
      <c r="AM4" s="537"/>
    </row>
    <row r="5" spans="1:39">
      <c r="A5" s="145" t="s">
        <v>858</v>
      </c>
      <c r="B5" s="141" t="str">
        <f>IF(SUM(B59:B62),SUM(B59:B62),"")</f>
        <v/>
      </c>
      <c r="C5" s="141"/>
      <c r="D5" s="148">
        <f>SUM(Perstat[[#This Row],[MO]:[ME]])</f>
        <v>0</v>
      </c>
      <c r="E5" s="154" t="str">
        <f>IF(Perstat[[#This Row],[TOTAL]]/$D$3,Perstat[[#This Row],[TOTAL]]/$D$3,"")</f>
        <v/>
      </c>
      <c r="F5" s="163"/>
      <c r="H5" s="30">
        <f>_xlfn.XLOOKUP(MOLTable[[#This Row],[Name]],ViewReports[Name],ViewReports[MOS])</f>
        <v>1721</v>
      </c>
      <c r="I5" s="99" t="s">
        <v>312</v>
      </c>
      <c r="J5" s="99" t="s">
        <v>1096</v>
      </c>
      <c r="K5" s="99">
        <v>1160110691</v>
      </c>
      <c r="L5" s="99" t="s">
        <v>660</v>
      </c>
      <c r="M5" s="99"/>
      <c r="N5" s="99" t="s">
        <v>1087</v>
      </c>
      <c r="O5" s="99" t="s">
        <v>855</v>
      </c>
      <c r="P5" s="99" t="s">
        <v>856</v>
      </c>
      <c r="Q5" s="99"/>
      <c r="R5" s="312"/>
      <c r="S5" s="312"/>
      <c r="T5" s="295"/>
      <c r="U5" s="292" t="s">
        <v>312</v>
      </c>
      <c r="V5" s="292" t="s">
        <v>1096</v>
      </c>
      <c r="W5" s="292">
        <v>1721</v>
      </c>
      <c r="X5" s="294">
        <v>45750</v>
      </c>
      <c r="Y5" s="540">
        <v>1234567890</v>
      </c>
      <c r="Z5" s="293" t="s">
        <v>1087</v>
      </c>
      <c r="AA5" s="537"/>
      <c r="AB5" s="537"/>
      <c r="AC5" s="537"/>
      <c r="AD5" s="537"/>
      <c r="AE5" s="537"/>
      <c r="AF5" s="537"/>
      <c r="AG5" s="537"/>
      <c r="AH5" s="537"/>
      <c r="AI5" s="537"/>
      <c r="AJ5" s="537"/>
      <c r="AK5" s="537"/>
      <c r="AL5" s="537"/>
      <c r="AM5" s="537"/>
    </row>
    <row r="6" spans="1:39">
      <c r="A6" s="145" t="s">
        <v>859</v>
      </c>
      <c r="B6" s="141"/>
      <c r="C6" s="141"/>
      <c r="D6" s="148">
        <f>SUM(Perstat[[#This Row],[MO]:[ME]])</f>
        <v>0</v>
      </c>
      <c r="E6" s="154" t="str">
        <f>IF(Perstat[[#This Row],[TOTAL]]/$D$3,Perstat[[#This Row],[TOTAL]]/$D$3,"")</f>
        <v/>
      </c>
      <c r="F6" s="163"/>
      <c r="H6" s="30">
        <f>_xlfn.XLOOKUP(MOLTable[[#This Row],[Name]],ViewReports[Name],ViewReports[MOS])</f>
        <v>1721</v>
      </c>
      <c r="I6" s="99" t="s">
        <v>312</v>
      </c>
      <c r="J6" s="99" t="s">
        <v>1097</v>
      </c>
      <c r="K6" s="99">
        <v>1520074788</v>
      </c>
      <c r="L6" s="99" t="s">
        <v>660</v>
      </c>
      <c r="M6" s="99"/>
      <c r="N6" s="99" t="s">
        <v>1087</v>
      </c>
      <c r="O6" s="99" t="s">
        <v>855</v>
      </c>
      <c r="P6" s="99" t="s">
        <v>856</v>
      </c>
      <c r="Q6" s="99"/>
      <c r="R6" s="312"/>
      <c r="S6" s="312"/>
      <c r="T6" s="295"/>
      <c r="U6" s="292" t="s">
        <v>312</v>
      </c>
      <c r="V6" s="292" t="s">
        <v>1097</v>
      </c>
      <c r="W6" s="292">
        <v>1721</v>
      </c>
      <c r="X6" s="292">
        <v>46436</v>
      </c>
      <c r="Y6" s="540">
        <v>1234567890</v>
      </c>
      <c r="Z6" s="293" t="s">
        <v>1087</v>
      </c>
      <c r="AA6" s="537"/>
      <c r="AB6" s="537"/>
      <c r="AC6" s="537"/>
      <c r="AD6" s="537"/>
      <c r="AE6" s="537"/>
      <c r="AF6" s="537"/>
      <c r="AG6" s="537"/>
      <c r="AH6" s="537"/>
      <c r="AI6" s="537"/>
      <c r="AJ6" s="537"/>
      <c r="AK6" s="537"/>
      <c r="AL6" s="537"/>
      <c r="AM6" s="537"/>
    </row>
    <row r="7" spans="1:39">
      <c r="A7" s="145" t="s">
        <v>860</v>
      </c>
      <c r="B7" s="141">
        <f>SUM(COUNTIFS(DutyStatusTable[Rank],"*O*",DutyStatusTable[Duty Status],Perstat[[#This Row],[Category]]))</f>
        <v>1</v>
      </c>
      <c r="C7" s="141">
        <f>SUM(COUNTIFS(DutyStatusTable[Name],"*E*",DutyStatusTable[Duty Status],Perstat[[#This Row],[Category]]))</f>
        <v>3</v>
      </c>
      <c r="D7" s="148">
        <f>SUM(Perstat[[#This Row],[MO]:[ME]])</f>
        <v>4</v>
      </c>
      <c r="E7" s="154">
        <f>IF(Perstat[[#This Row],[TOTAL]]/$D$3,Perstat[[#This Row],[TOTAL]]/$D$3,"")</f>
        <v>5.128205128205128E-2</v>
      </c>
      <c r="F7" s="163"/>
      <c r="H7" s="30">
        <f>_xlfn.XLOOKUP(MOLTable[[#This Row],[Name]],ViewReports[Name],ViewReports[MOS])</f>
        <v>1721</v>
      </c>
      <c r="I7" s="99" t="s">
        <v>310</v>
      </c>
      <c r="J7" s="99" t="s">
        <v>1098</v>
      </c>
      <c r="K7" s="99">
        <v>1220711349</v>
      </c>
      <c r="L7" s="99" t="s">
        <v>660</v>
      </c>
      <c r="M7" s="99"/>
      <c r="N7" s="99" t="s">
        <v>1087</v>
      </c>
      <c r="O7" s="99" t="s">
        <v>855</v>
      </c>
      <c r="P7" s="99" t="s">
        <v>856</v>
      </c>
      <c r="Q7" s="99"/>
      <c r="R7" s="312"/>
      <c r="S7" s="312"/>
      <c r="T7" s="295"/>
      <c r="U7" s="292" t="s">
        <v>310</v>
      </c>
      <c r="V7" s="292" t="s">
        <v>1098</v>
      </c>
      <c r="W7" s="292">
        <v>1721</v>
      </c>
      <c r="X7" s="294">
        <v>47230</v>
      </c>
      <c r="Y7" s="540">
        <v>1234567890</v>
      </c>
      <c r="Z7" s="293" t="s">
        <v>1087</v>
      </c>
      <c r="AA7" s="537"/>
      <c r="AB7" s="537"/>
      <c r="AC7" s="537"/>
      <c r="AD7" s="537"/>
      <c r="AE7" s="537"/>
      <c r="AF7" s="537"/>
      <c r="AG7" s="101"/>
      <c r="AH7" s="537"/>
      <c r="AI7" s="537"/>
      <c r="AJ7" s="537"/>
      <c r="AK7" s="537"/>
      <c r="AL7" s="537"/>
      <c r="AM7" s="537"/>
    </row>
    <row r="8" spans="1:39">
      <c r="A8" s="145" t="s">
        <v>861</v>
      </c>
      <c r="B8" s="141">
        <f>SUM(COUNTIFS(DutyStatusTable[Rank],"*O*",DutyStatusTable[Duty Status],Perstat[[#This Row],[Category]]))</f>
        <v>0</v>
      </c>
      <c r="C8" s="141">
        <f>SUM(COUNTIFS(DutyStatusTable[Name],"*E*",DutyStatusTable[Duty Status],Perstat[[#This Row],[Category]]))</f>
        <v>4</v>
      </c>
      <c r="D8" s="148">
        <f>SUM(Perstat[[#This Row],[MO]:[ME]])</f>
        <v>4</v>
      </c>
      <c r="E8" s="154">
        <f>IF(Perstat[[#This Row],[TOTAL]]/$D$3,Perstat[[#This Row],[TOTAL]]/$D$3,"")</f>
        <v>5.128205128205128E-2</v>
      </c>
      <c r="F8" s="163"/>
      <c r="H8" s="30">
        <f>_xlfn.XLOOKUP(MOLTable[[#This Row],[Name]],ViewReports[Name],ViewReports[MOS])</f>
        <v>1721</v>
      </c>
      <c r="I8" s="99" t="s">
        <v>310</v>
      </c>
      <c r="J8" s="99" t="s">
        <v>1099</v>
      </c>
      <c r="K8" s="99">
        <v>1534568011</v>
      </c>
      <c r="L8" s="99" t="s">
        <v>660</v>
      </c>
      <c r="M8" s="99"/>
      <c r="N8" s="99" t="s">
        <v>1087</v>
      </c>
      <c r="O8" s="99" t="s">
        <v>855</v>
      </c>
      <c r="P8" s="99" t="s">
        <v>856</v>
      </c>
      <c r="Q8" s="99"/>
      <c r="R8" s="312"/>
      <c r="S8" s="312"/>
      <c r="T8" s="295"/>
      <c r="U8" s="292" t="s">
        <v>310</v>
      </c>
      <c r="V8" s="292" t="s">
        <v>1099</v>
      </c>
      <c r="W8" s="292">
        <v>1721</v>
      </c>
      <c r="X8" s="294">
        <v>47060</v>
      </c>
      <c r="Y8" s="540">
        <v>1234567890</v>
      </c>
      <c r="Z8" s="293" t="s">
        <v>1087</v>
      </c>
      <c r="AA8" s="537"/>
      <c r="AB8" s="537"/>
      <c r="AC8" s="537"/>
      <c r="AD8" s="537"/>
      <c r="AE8" s="537"/>
      <c r="AF8" s="537"/>
      <c r="AG8" s="537"/>
      <c r="AH8" s="537"/>
      <c r="AI8" s="537"/>
      <c r="AJ8" s="537"/>
      <c r="AK8" s="537"/>
      <c r="AL8" s="537"/>
      <c r="AM8" s="537"/>
    </row>
    <row r="9" spans="1:39">
      <c r="A9" s="145" t="s">
        <v>863</v>
      </c>
      <c r="B9" s="141">
        <f>SUM(COUNTIFS(DutyStatusTable[Rank],"*O*",DutyStatusTable[Duty Status],Perstat[[#This Row],[Category]]))</f>
        <v>0</v>
      </c>
      <c r="C9" s="141">
        <f>SUM(COUNTIFS(DutyStatusTable[Name],"*E*",DutyStatusTable[Duty Status],Perstat[[#This Row],[Category]]))</f>
        <v>0</v>
      </c>
      <c r="D9" s="148">
        <f>SUM(Perstat[[#This Row],[MO]:[ME]])</f>
        <v>0</v>
      </c>
      <c r="E9" s="154" t="str">
        <f>IF(Perstat[[#This Row],[TOTAL]]/$D$3,Perstat[[#This Row],[TOTAL]]/$D$3,"")</f>
        <v/>
      </c>
      <c r="F9" s="163"/>
      <c r="H9" s="30">
        <f>_xlfn.XLOOKUP(MOLTable[[#This Row],[Name]],ViewReports[Name],ViewReports[MOS])</f>
        <v>1700</v>
      </c>
      <c r="I9" s="99" t="s">
        <v>310</v>
      </c>
      <c r="J9" s="99" t="s">
        <v>1100</v>
      </c>
      <c r="K9" s="99">
        <v>1418134206</v>
      </c>
      <c r="L9" s="99" t="s">
        <v>660</v>
      </c>
      <c r="M9" s="99">
        <v>45449</v>
      </c>
      <c r="N9" s="99" t="s">
        <v>1087</v>
      </c>
      <c r="O9" s="99" t="s">
        <v>855</v>
      </c>
      <c r="P9" s="99" t="s">
        <v>856</v>
      </c>
      <c r="Q9" s="99"/>
      <c r="R9" s="312"/>
      <c r="S9" s="312"/>
      <c r="T9" s="295"/>
      <c r="U9" s="292" t="s">
        <v>310</v>
      </c>
      <c r="V9" s="292" t="s">
        <v>1100</v>
      </c>
      <c r="W9" s="292">
        <v>1700</v>
      </c>
      <c r="X9" s="294">
        <v>46407</v>
      </c>
      <c r="Y9" s="540">
        <v>1234567890</v>
      </c>
      <c r="Z9" s="293" t="s">
        <v>1087</v>
      </c>
      <c r="AA9" s="537"/>
      <c r="AB9" s="537"/>
      <c r="AC9" s="537"/>
      <c r="AD9" s="537"/>
      <c r="AE9" s="167">
        <v>0.6</v>
      </c>
      <c r="AF9" s="537"/>
      <c r="AG9" s="537"/>
      <c r="AH9" s="537"/>
      <c r="AI9" s="537"/>
      <c r="AJ9" s="537"/>
      <c r="AK9" s="537"/>
      <c r="AL9" s="537"/>
      <c r="AM9" s="537"/>
    </row>
    <row r="10" spans="1:39">
      <c r="A10" s="145" t="s">
        <v>864</v>
      </c>
      <c r="B10" s="141"/>
      <c r="C10" s="141"/>
      <c r="D10" s="148">
        <f>SUM(Perstat[[#This Row],[MO]:[ME]])</f>
        <v>0</v>
      </c>
      <c r="E10" s="154" t="str">
        <f>IF(Perstat[[#This Row],[TOTAL]]/$D$3,Perstat[[#This Row],[TOTAL]]/$D$3,"")</f>
        <v/>
      </c>
      <c r="F10" s="163"/>
      <c r="H10" s="30">
        <f>_xlfn.XLOOKUP(MOLTable[[#This Row],[Name]],ViewReports[Name],ViewReports[MOS])</f>
        <v>1721</v>
      </c>
      <c r="I10" s="99" t="s">
        <v>308</v>
      </c>
      <c r="J10" s="99" t="s">
        <v>1101</v>
      </c>
      <c r="K10" s="99">
        <v>1007476454</v>
      </c>
      <c r="L10" s="99" t="s">
        <v>660</v>
      </c>
      <c r="M10" s="99"/>
      <c r="N10" s="99" t="s">
        <v>1087</v>
      </c>
      <c r="O10" s="99" t="s">
        <v>855</v>
      </c>
      <c r="P10" s="99" t="s">
        <v>856</v>
      </c>
      <c r="Q10" s="99"/>
      <c r="R10" s="312"/>
      <c r="S10" s="312"/>
      <c r="T10" s="295"/>
      <c r="U10" s="292" t="s">
        <v>308</v>
      </c>
      <c r="V10" s="292" t="s">
        <v>1101</v>
      </c>
      <c r="W10" s="292">
        <v>1721</v>
      </c>
      <c r="X10" s="294">
        <v>47074</v>
      </c>
      <c r="Y10" s="540">
        <v>1234567890</v>
      </c>
      <c r="Z10" s="293" t="s">
        <v>1087</v>
      </c>
      <c r="AA10" s="537"/>
      <c r="AB10" s="537"/>
      <c r="AC10" s="537"/>
      <c r="AD10" s="537"/>
      <c r="AE10" s="167">
        <v>0.7</v>
      </c>
      <c r="AF10" s="537"/>
      <c r="AG10" s="537"/>
      <c r="AH10" s="537"/>
      <c r="AI10" s="537"/>
      <c r="AJ10" s="537"/>
      <c r="AK10" s="537"/>
      <c r="AL10" s="537"/>
      <c r="AM10" s="537"/>
    </row>
    <row r="11" spans="1:39">
      <c r="A11" s="145" t="s">
        <v>865</v>
      </c>
      <c r="B11" s="141">
        <f>SUM(E59:E62)</f>
        <v>0</v>
      </c>
      <c r="C11" s="141">
        <f>SUM(E63:E71)</f>
        <v>0</v>
      </c>
      <c r="D11" s="148">
        <f>SUM(Perstat[[#This Row],[MO]:[ME]])</f>
        <v>0</v>
      </c>
      <c r="E11" s="154" t="str">
        <f>IF(Perstat[[#This Row],[TOTAL]]/$D$3,Perstat[[#This Row],[TOTAL]]/$D$3,"")</f>
        <v/>
      </c>
      <c r="F11" s="163"/>
      <c r="H11" s="30">
        <f>_xlfn.XLOOKUP(MOLTable[[#This Row],[Name]],ViewReports[Name],ViewReports[MOS])</f>
        <v>1721</v>
      </c>
      <c r="I11" s="99" t="s">
        <v>308</v>
      </c>
      <c r="J11" s="99" t="s">
        <v>1102</v>
      </c>
      <c r="K11" s="99">
        <v>1245991266</v>
      </c>
      <c r="L11" s="99" t="s">
        <v>660</v>
      </c>
      <c r="M11" s="99"/>
      <c r="N11" s="99" t="s">
        <v>1087</v>
      </c>
      <c r="O11" s="99" t="s">
        <v>866</v>
      </c>
      <c r="P11" s="99" t="s">
        <v>867</v>
      </c>
      <c r="Q11" s="99" t="s">
        <v>868</v>
      </c>
      <c r="R11" s="312">
        <v>45383</v>
      </c>
      <c r="S11" s="312">
        <v>45401</v>
      </c>
      <c r="T11" s="295"/>
      <c r="U11" s="292" t="s">
        <v>308</v>
      </c>
      <c r="V11" s="292" t="s">
        <v>1102</v>
      </c>
      <c r="W11" s="292">
        <v>1721</v>
      </c>
      <c r="X11" s="294">
        <v>46866</v>
      </c>
      <c r="Y11" s="540">
        <v>1234567890</v>
      </c>
      <c r="Z11" s="293" t="s">
        <v>1087</v>
      </c>
      <c r="AA11" s="537"/>
      <c r="AB11" s="537"/>
      <c r="AC11" s="537"/>
      <c r="AD11" s="537"/>
      <c r="AE11" s="167">
        <v>0.8</v>
      </c>
      <c r="AF11" s="537"/>
      <c r="AG11" s="537"/>
      <c r="AH11" s="537"/>
      <c r="AI11" s="537"/>
      <c r="AJ11" s="18"/>
      <c r="AK11" s="537"/>
      <c r="AL11" s="537"/>
      <c r="AM11" s="537"/>
    </row>
    <row r="12" spans="1:39">
      <c r="A12" s="145" t="s">
        <v>869</v>
      </c>
      <c r="B12" s="151">
        <f>SUM(E74:E77)</f>
        <v>1</v>
      </c>
      <c r="C12" s="151">
        <f>SUM(E78:E86)</f>
        <v>14</v>
      </c>
      <c r="D12" s="152">
        <f>SUM(Perstat[[#This Row],[MO]:[ME]])</f>
        <v>15</v>
      </c>
      <c r="E12" s="154" t="e">
        <f>(Perstat[[#This Row],[TOTAL]]/D11)</f>
        <v>#DIV/0!</v>
      </c>
      <c r="F12" s="163"/>
      <c r="H12" s="30">
        <f>_xlfn.XLOOKUP(MOLTable[[#This Row],[Name]],ViewReports[Name],ViewReports[MOS])</f>
        <v>1721</v>
      </c>
      <c r="I12" s="99" t="s">
        <v>308</v>
      </c>
      <c r="J12" s="99" t="s">
        <v>1103</v>
      </c>
      <c r="K12" s="99">
        <v>1019647482</v>
      </c>
      <c r="L12" s="99" t="s">
        <v>660</v>
      </c>
      <c r="M12" s="312"/>
      <c r="N12" s="99" t="s">
        <v>1087</v>
      </c>
      <c r="O12" s="99" t="s">
        <v>866</v>
      </c>
      <c r="P12" s="99" t="s">
        <v>867</v>
      </c>
      <c r="Q12" s="99" t="s">
        <v>868</v>
      </c>
      <c r="R12" s="312">
        <v>45383</v>
      </c>
      <c r="S12" s="312">
        <v>45394</v>
      </c>
      <c r="T12" s="295"/>
      <c r="U12" s="292" t="s">
        <v>308</v>
      </c>
      <c r="V12" s="292" t="s">
        <v>1103</v>
      </c>
      <c r="W12" s="292">
        <v>1721</v>
      </c>
      <c r="X12" s="294">
        <v>45863</v>
      </c>
      <c r="Y12" s="540">
        <v>1234567890</v>
      </c>
      <c r="Z12" s="293" t="s">
        <v>1087</v>
      </c>
      <c r="AA12" s="537"/>
      <c r="AB12" s="166"/>
      <c r="AC12" s="537"/>
      <c r="AD12" s="537"/>
      <c r="AE12" s="167">
        <v>0.9</v>
      </c>
      <c r="AF12" s="537"/>
      <c r="AG12" s="537"/>
      <c r="AH12" s="537"/>
      <c r="AI12" s="537"/>
      <c r="AJ12" s="537"/>
      <c r="AK12" s="537"/>
      <c r="AL12" s="537"/>
      <c r="AM12" s="537"/>
    </row>
    <row r="13" spans="1:39">
      <c r="A13" s="145" t="s">
        <v>870</v>
      </c>
      <c r="B13" s="141"/>
      <c r="C13" s="141"/>
      <c r="D13" s="148">
        <f>COUNTIFS(MOLTable[Duty Status],"*SIQ*")</f>
        <v>0</v>
      </c>
      <c r="E13" s="154" t="str">
        <f>IF(Perstat[[#This Row],[TOTAL]]/$D$3,Perstat[[#This Row],[TOTAL]]/$D$3,"")</f>
        <v/>
      </c>
      <c r="F13" s="163"/>
      <c r="H13" s="30">
        <f>_xlfn.XLOOKUP(MOLTable[[#This Row],[Name]],ViewReports[Name],ViewReports[MOS])</f>
        <v>1721</v>
      </c>
      <c r="I13" s="99" t="s">
        <v>308</v>
      </c>
      <c r="J13" s="99" t="s">
        <v>1104</v>
      </c>
      <c r="K13" s="99">
        <v>1216965036</v>
      </c>
      <c r="L13" s="99" t="s">
        <v>660</v>
      </c>
      <c r="M13" s="99"/>
      <c r="N13" s="99" t="s">
        <v>1087</v>
      </c>
      <c r="O13" s="99" t="s">
        <v>855</v>
      </c>
      <c r="P13" s="99" t="s">
        <v>856</v>
      </c>
      <c r="Q13" s="99"/>
      <c r="R13" s="312"/>
      <c r="S13" s="312"/>
      <c r="T13" s="295"/>
      <c r="U13" s="292" t="s">
        <v>308</v>
      </c>
      <c r="V13" s="292" t="s">
        <v>1104</v>
      </c>
      <c r="W13" s="292">
        <v>1721</v>
      </c>
      <c r="X13" s="294">
        <v>45878</v>
      </c>
      <c r="Y13" s="540">
        <v>1234567890</v>
      </c>
      <c r="Z13" s="293" t="s">
        <v>1087</v>
      </c>
      <c r="AA13" s="537"/>
      <c r="AB13" s="537"/>
      <c r="AC13" s="537"/>
      <c r="AD13" s="537"/>
      <c r="AE13" s="167">
        <v>1</v>
      </c>
      <c r="AF13" s="537"/>
      <c r="AG13" s="537"/>
      <c r="AH13" s="537"/>
      <c r="AI13" s="537"/>
      <c r="AJ13" s="537"/>
      <c r="AK13" s="537"/>
      <c r="AL13" s="537"/>
      <c r="AM13" s="537"/>
    </row>
    <row r="14" spans="1:39">
      <c r="A14" s="145" t="s">
        <v>871</v>
      </c>
      <c r="B14" s="141">
        <f>SUM(B5:B9)</f>
        <v>1</v>
      </c>
      <c r="C14" s="141">
        <f>SUM(C5:C9)</f>
        <v>7</v>
      </c>
      <c r="D14" s="148">
        <f>SUM(Perstat[[#This Row],[MO]:[ME]])</f>
        <v>8</v>
      </c>
      <c r="E14" s="154">
        <f>IF(Perstat[[#This Row],[TOTAL]]/$D$3,Perstat[[#This Row],[TOTAL]]/$D$3,"")</f>
        <v>0.10256410256410256</v>
      </c>
      <c r="F14" s="163"/>
      <c r="H14" s="30">
        <f>_xlfn.XLOOKUP(MOLTable[[#This Row],[Name]],ViewReports[Name],ViewReports[MOS])</f>
        <v>1721</v>
      </c>
      <c r="I14" s="99" t="s">
        <v>308</v>
      </c>
      <c r="J14" s="99" t="s">
        <v>1105</v>
      </c>
      <c r="K14" s="99">
        <v>1014426852</v>
      </c>
      <c r="L14" s="99" t="s">
        <v>660</v>
      </c>
      <c r="M14" s="312"/>
      <c r="N14" s="99" t="s">
        <v>1087</v>
      </c>
      <c r="O14" s="99" t="s">
        <v>855</v>
      </c>
      <c r="P14" s="99" t="s">
        <v>856</v>
      </c>
      <c r="Q14" s="99"/>
      <c r="R14" s="312"/>
      <c r="S14" s="312"/>
      <c r="T14" s="295"/>
      <c r="U14" s="292" t="s">
        <v>308</v>
      </c>
      <c r="V14" s="292" t="s">
        <v>1105</v>
      </c>
      <c r="W14" s="292">
        <v>1721</v>
      </c>
      <c r="X14" s="294">
        <v>45733</v>
      </c>
      <c r="Y14" s="540">
        <v>1234567890</v>
      </c>
      <c r="Z14" s="293" t="s">
        <v>1087</v>
      </c>
      <c r="AA14" s="537"/>
      <c r="AB14" s="537"/>
      <c r="AC14" s="537"/>
      <c r="AD14" s="537"/>
      <c r="AE14" s="537"/>
      <c r="AF14" s="537"/>
      <c r="AG14" s="537"/>
      <c r="AH14" s="537"/>
      <c r="AI14" s="537"/>
      <c r="AJ14" s="167"/>
      <c r="AK14" s="537"/>
      <c r="AL14" s="537"/>
      <c r="AM14" s="537"/>
    </row>
    <row r="15" spans="1:39">
      <c r="A15" s="146" t="s">
        <v>872</v>
      </c>
      <c r="B15" s="143">
        <f>B3-B14</f>
        <v>7</v>
      </c>
      <c r="C15" s="143">
        <f>C3-C14</f>
        <v>63</v>
      </c>
      <c r="D15" s="149">
        <f>SUM(Perstat[[#This Row],[MO]:[ME]])</f>
        <v>70</v>
      </c>
      <c r="E15" s="154">
        <f>(Perstat[[#This Row],[TOTAL]]/D3)</f>
        <v>0.89743589743589747</v>
      </c>
      <c r="H15" s="30">
        <f>_xlfn.XLOOKUP(MOLTable[[#This Row],[Name]],ViewReports[Name],ViewReports[MOS])</f>
        <v>1721</v>
      </c>
      <c r="I15" s="99" t="s">
        <v>308</v>
      </c>
      <c r="J15" s="99" t="s">
        <v>1106</v>
      </c>
      <c r="K15" s="99">
        <v>1342870108</v>
      </c>
      <c r="L15" s="99" t="s">
        <v>660</v>
      </c>
      <c r="M15" s="312"/>
      <c r="N15" s="99" t="s">
        <v>1087</v>
      </c>
      <c r="O15" s="99" t="s">
        <v>855</v>
      </c>
      <c r="P15" s="99" t="s">
        <v>856</v>
      </c>
      <c r="Q15" s="99"/>
      <c r="R15" s="312"/>
      <c r="S15" s="312"/>
      <c r="T15" s="295"/>
      <c r="U15" s="292" t="s">
        <v>308</v>
      </c>
      <c r="V15" s="292" t="s">
        <v>1106</v>
      </c>
      <c r="W15" s="292">
        <v>1721</v>
      </c>
      <c r="X15" s="294">
        <v>47235</v>
      </c>
      <c r="Y15" s="540">
        <v>1234567890</v>
      </c>
      <c r="Z15" s="293" t="s">
        <v>1087</v>
      </c>
      <c r="AA15" s="537"/>
      <c r="AB15" s="537"/>
      <c r="AC15" s="537"/>
      <c r="AD15" s="537"/>
      <c r="AE15" s="537"/>
      <c r="AF15" s="537"/>
      <c r="AG15" s="537"/>
      <c r="AH15" s="537"/>
      <c r="AI15" s="537"/>
      <c r="AJ15" s="537"/>
      <c r="AK15" s="537"/>
      <c r="AL15" s="537"/>
      <c r="AM15" s="537"/>
    </row>
    <row r="16" spans="1:39">
      <c r="A16" s="537"/>
      <c r="B16" s="537"/>
      <c r="C16" s="537"/>
      <c r="D16" s="537"/>
      <c r="E16" s="537"/>
      <c r="H16" s="30">
        <f>_xlfn.XLOOKUP(MOLTable[[#This Row],[Name]],ViewReports[Name],ViewReports[MOS])</f>
        <v>1721</v>
      </c>
      <c r="I16" s="99" t="s">
        <v>308</v>
      </c>
      <c r="J16" s="99" t="s">
        <v>1107</v>
      </c>
      <c r="K16" s="99">
        <v>1563539788</v>
      </c>
      <c r="L16" s="99" t="s">
        <v>660</v>
      </c>
      <c r="M16" s="99"/>
      <c r="N16" s="99" t="s">
        <v>1087</v>
      </c>
      <c r="O16" s="99" t="s">
        <v>855</v>
      </c>
      <c r="P16" s="99" t="s">
        <v>856</v>
      </c>
      <c r="Q16" s="99"/>
      <c r="R16" s="312"/>
      <c r="S16" s="312"/>
      <c r="T16" s="295"/>
      <c r="U16" s="292" t="s">
        <v>308</v>
      </c>
      <c r="V16" s="292" t="s">
        <v>1107</v>
      </c>
      <c r="W16" s="292">
        <v>1721</v>
      </c>
      <c r="X16" s="294">
        <v>46663</v>
      </c>
      <c r="Y16" s="540">
        <v>1234567890</v>
      </c>
      <c r="Z16" s="293" t="s">
        <v>1087</v>
      </c>
      <c r="AA16" s="537"/>
      <c r="AB16" s="537"/>
      <c r="AC16" s="537"/>
      <c r="AD16" s="537"/>
      <c r="AE16" s="537"/>
      <c r="AF16" s="537"/>
      <c r="AG16" s="537"/>
      <c r="AH16" s="537"/>
      <c r="AI16" s="537"/>
      <c r="AJ16" s="537"/>
      <c r="AK16" s="537"/>
      <c r="AL16" s="537"/>
      <c r="AM16" s="537"/>
    </row>
    <row r="17" spans="1:39">
      <c r="A17" s="537"/>
      <c r="B17" s="537"/>
      <c r="C17" s="537"/>
      <c r="D17" s="537"/>
      <c r="E17" s="537"/>
      <c r="F17" s="161"/>
      <c r="H17" s="30">
        <f>_xlfn.XLOOKUP(MOLTable[[#This Row],[Name]],ViewReports[Name],ViewReports[MOS])</f>
        <v>1721</v>
      </c>
      <c r="I17" s="99" t="s">
        <v>306</v>
      </c>
      <c r="J17" s="99" t="s">
        <v>1108</v>
      </c>
      <c r="K17" s="99">
        <v>1243619874</v>
      </c>
      <c r="L17" s="99" t="s">
        <v>660</v>
      </c>
      <c r="M17" s="312"/>
      <c r="N17" s="99" t="s">
        <v>1087</v>
      </c>
      <c r="O17" s="99" t="s">
        <v>855</v>
      </c>
      <c r="P17" s="99" t="s">
        <v>856</v>
      </c>
      <c r="Q17" s="99"/>
      <c r="R17" s="312"/>
      <c r="S17" s="312"/>
      <c r="T17" s="295"/>
      <c r="U17" s="292" t="s">
        <v>306</v>
      </c>
      <c r="V17" s="292" t="s">
        <v>1108</v>
      </c>
      <c r="W17" s="292">
        <v>1721</v>
      </c>
      <c r="X17" s="294">
        <v>45701</v>
      </c>
      <c r="Y17" s="540">
        <v>1234567890</v>
      </c>
      <c r="Z17" s="293" t="s">
        <v>1087</v>
      </c>
      <c r="AA17" s="537"/>
      <c r="AB17" s="537"/>
      <c r="AC17" s="537"/>
      <c r="AD17" s="537"/>
      <c r="AE17" s="537"/>
      <c r="AF17" s="537"/>
      <c r="AG17" s="537"/>
      <c r="AH17" s="537"/>
      <c r="AI17" s="537"/>
      <c r="AJ17" s="537"/>
      <c r="AK17" s="537"/>
      <c r="AL17" s="537"/>
      <c r="AM17" s="537"/>
    </row>
    <row r="18" spans="1:39">
      <c r="A18" s="144" t="s">
        <v>806</v>
      </c>
      <c r="B18" s="142" t="s">
        <v>874</v>
      </c>
      <c r="C18" s="142" t="s">
        <v>875</v>
      </c>
      <c r="D18" s="142" t="s">
        <v>871</v>
      </c>
      <c r="E18" s="147" t="s">
        <v>876</v>
      </c>
      <c r="F18" s="161"/>
      <c r="H18" s="30">
        <f>_xlfn.XLOOKUP(MOLTable[[#This Row],[Name]],ViewReports[Name],ViewReports[MOS])</f>
        <v>1702</v>
      </c>
      <c r="I18" s="99" t="s">
        <v>319</v>
      </c>
      <c r="J18" s="99" t="s">
        <v>1109</v>
      </c>
      <c r="K18" s="99">
        <v>1204889319</v>
      </c>
      <c r="L18" s="99" t="s">
        <v>862</v>
      </c>
      <c r="M18" s="312"/>
      <c r="N18" s="99" t="s">
        <v>1088</v>
      </c>
      <c r="O18" s="99" t="s">
        <v>855</v>
      </c>
      <c r="P18" s="99" t="s">
        <v>856</v>
      </c>
      <c r="Q18" s="99"/>
      <c r="R18" s="312"/>
      <c r="S18" s="312"/>
      <c r="T18" s="295"/>
      <c r="U18" s="292" t="s">
        <v>319</v>
      </c>
      <c r="V18" s="292" t="s">
        <v>1109</v>
      </c>
      <c r="W18" s="292">
        <v>1702</v>
      </c>
      <c r="X18" s="294">
        <v>46863</v>
      </c>
      <c r="Y18" s="540">
        <v>1234567890</v>
      </c>
      <c r="Z18" s="293" t="s">
        <v>1088</v>
      </c>
      <c r="AA18" s="537"/>
      <c r="AB18" s="537"/>
      <c r="AC18" s="537"/>
      <c r="AD18" s="537"/>
      <c r="AE18" s="537"/>
      <c r="AF18" s="537"/>
      <c r="AG18" s="537"/>
      <c r="AH18" s="537"/>
      <c r="AI18" s="537"/>
      <c r="AJ18" s="537"/>
      <c r="AK18" s="537"/>
      <c r="AL18" s="537"/>
      <c r="AM18" s="537"/>
    </row>
    <row r="19" spans="1:39">
      <c r="A19" s="156" t="s">
        <v>878</v>
      </c>
      <c r="B19" s="157">
        <f>COUNTIFS(MOLTable[MOS],MOSs[[#This Row],[PMOS]],MOLTable[Category],"On Hand")</f>
        <v>4</v>
      </c>
      <c r="C19" s="150">
        <f>SUM(COUNTIFS(MOLTable[MOS],MOSs[[#This Row],[PMOS]],MOLTable[Location],"MRF-E"),COUNTIFS(MOLTable[MOS],MOSs[[#This Row],[PMOS]],MOLTable[Location],"*MEU"))</f>
        <v>0</v>
      </c>
      <c r="D19" s="150">
        <v>0</v>
      </c>
      <c r="E19" s="148">
        <f>(MOSs[[#This Row],[O/H]]-MOSs[[#This Row],[Detached/Deployed]]-MOSs[[#This Row],[Non-Deployable]])</f>
        <v>4</v>
      </c>
      <c r="F19" s="161"/>
      <c r="H19" s="30">
        <f>_xlfn.XLOOKUP(MOLTable[[#This Row],[Name]],ViewReports[Name],ViewReports[MOS])</f>
        <v>1721</v>
      </c>
      <c r="I19" s="99" t="s">
        <v>314</v>
      </c>
      <c r="J19" s="99" t="s">
        <v>1110</v>
      </c>
      <c r="K19" s="99">
        <v>1598039312</v>
      </c>
      <c r="L19" s="99" t="s">
        <v>660</v>
      </c>
      <c r="M19" s="312"/>
      <c r="N19" s="99" t="s">
        <v>1088</v>
      </c>
      <c r="O19" s="99" t="s">
        <v>855</v>
      </c>
      <c r="P19" s="99" t="s">
        <v>856</v>
      </c>
      <c r="Q19" s="99"/>
      <c r="R19" s="312"/>
      <c r="S19" s="312"/>
      <c r="T19" s="295"/>
      <c r="U19" s="222" t="s">
        <v>314</v>
      </c>
      <c r="V19" s="222" t="s">
        <v>1110</v>
      </c>
      <c r="W19" s="222">
        <v>1721</v>
      </c>
      <c r="X19" s="223">
        <v>46477</v>
      </c>
      <c r="Y19" s="541">
        <v>1234567890</v>
      </c>
      <c r="Z19" s="224" t="s">
        <v>1088</v>
      </c>
      <c r="AA19" s="537"/>
      <c r="AB19" s="537"/>
      <c r="AC19" s="537"/>
      <c r="AD19" s="537"/>
      <c r="AE19" s="537"/>
      <c r="AF19" s="537"/>
      <c r="AG19" s="537"/>
      <c r="AH19" s="537"/>
      <c r="AI19" s="537"/>
      <c r="AJ19" s="537"/>
      <c r="AK19" s="537"/>
      <c r="AL19" s="537"/>
      <c r="AM19" s="537"/>
    </row>
    <row r="20" spans="1:39">
      <c r="A20" s="156">
        <v>1721</v>
      </c>
      <c r="B20" s="157">
        <f>COUNTIFS(MOLTable[MOS],MOSs[[#This Row],[PMOS]],MOLTable[Category],"On Hand")</f>
        <v>49</v>
      </c>
      <c r="C20" s="150">
        <f>SUM(COUNTIFS(MOLTable[MOS],MOSs[[#This Row],[PMOS]],MOLTable[Location],"RADBN"),COUNTIFS(MOLTable[MOS],MOSs[[#This Row],[PMOS]],MOLTable[Location],"*MEU"))</f>
        <v>0</v>
      </c>
      <c r="D20" s="150">
        <v>3</v>
      </c>
      <c r="E20" s="148">
        <f>(MOSs[[#This Row],[O/H]]-MOSs[[#This Row],[Detached/Deployed]]-MOSs[[#This Row],[Non-Deployable]])</f>
        <v>46</v>
      </c>
      <c r="F20" s="161"/>
      <c r="H20" s="30">
        <f>_xlfn.XLOOKUP(MOLTable[[#This Row],[Name]],ViewReports[Name],ViewReports[MOS])</f>
        <v>1721</v>
      </c>
      <c r="I20" s="99" t="s">
        <v>312</v>
      </c>
      <c r="J20" s="99" t="s">
        <v>1111</v>
      </c>
      <c r="K20" s="99">
        <v>1057200841</v>
      </c>
      <c r="L20" s="99" t="s">
        <v>660</v>
      </c>
      <c r="M20" s="312"/>
      <c r="N20" s="99" t="s">
        <v>1088</v>
      </c>
      <c r="O20" s="99" t="s">
        <v>855</v>
      </c>
      <c r="P20" s="99" t="s">
        <v>856</v>
      </c>
      <c r="Q20" s="99"/>
      <c r="R20" s="312"/>
      <c r="S20" s="312"/>
      <c r="T20" s="295"/>
      <c r="U20" s="222" t="s">
        <v>312</v>
      </c>
      <c r="V20" s="222" t="s">
        <v>1111</v>
      </c>
      <c r="W20" s="222">
        <v>1721</v>
      </c>
      <c r="X20" s="223">
        <v>45697</v>
      </c>
      <c r="Y20" s="541">
        <v>1234567890</v>
      </c>
      <c r="Z20" s="224" t="s">
        <v>1088</v>
      </c>
      <c r="AA20" s="537"/>
      <c r="AB20" s="166"/>
      <c r="AC20" s="537"/>
      <c r="AD20" s="537"/>
      <c r="AE20" s="537"/>
      <c r="AF20" s="537"/>
      <c r="AG20" s="537"/>
      <c r="AH20" s="537"/>
      <c r="AI20" s="537"/>
      <c r="AJ20" s="537"/>
      <c r="AK20" s="537"/>
      <c r="AL20" s="537"/>
      <c r="AM20" s="537"/>
    </row>
    <row r="21" spans="1:39">
      <c r="A21" s="156" t="s">
        <v>662</v>
      </c>
      <c r="B21" s="157">
        <f>COUNTIFS(MOLTable[MOS],MOSs[[#This Row],[PMOS]],MOLTable[Category],"On Hand")</f>
        <v>8</v>
      </c>
      <c r="C21" s="150">
        <f>SUM(COUNTIFS(MOLTable[MOS],MOSs[[#This Row],[PMOS]],MOLTable[Location],"RADBN"),COUNTIFS(MOLTable[MOS],MOSs[[#This Row],[PMOS]],MOLTable[Location],"*MEU"))</f>
        <v>0</v>
      </c>
      <c r="D21" s="150">
        <v>0</v>
      </c>
      <c r="E21" s="148">
        <f>(MOSs[[#This Row],[O/H]]-MOSs[[#This Row],[Detached/Deployed]]-MOSs[[#This Row],[Non-Deployable]])</f>
        <v>8</v>
      </c>
      <c r="F21" s="161"/>
      <c r="H21" s="30">
        <f>_xlfn.XLOOKUP(MOLTable[[#This Row],[Name]],ViewReports[Name],ViewReports[MOS])</f>
        <v>1721</v>
      </c>
      <c r="I21" s="99" t="s">
        <v>312</v>
      </c>
      <c r="J21" s="99" t="s">
        <v>1112</v>
      </c>
      <c r="K21" s="99">
        <v>1605838371</v>
      </c>
      <c r="L21" s="99" t="s">
        <v>660</v>
      </c>
      <c r="M21" s="312"/>
      <c r="N21" s="99" t="s">
        <v>1088</v>
      </c>
      <c r="O21" s="99" t="s">
        <v>866</v>
      </c>
      <c r="P21" s="99" t="s">
        <v>867</v>
      </c>
      <c r="Q21" s="99" t="s">
        <v>868</v>
      </c>
      <c r="R21" s="312">
        <v>45383</v>
      </c>
      <c r="S21" s="312">
        <v>45401</v>
      </c>
      <c r="T21" s="295"/>
      <c r="U21" s="222" t="s">
        <v>312</v>
      </c>
      <c r="V21" s="222" t="s">
        <v>1112</v>
      </c>
      <c r="W21" s="222">
        <v>1721</v>
      </c>
      <c r="X21" s="223">
        <v>47127</v>
      </c>
      <c r="Y21" s="541">
        <v>1234567890</v>
      </c>
      <c r="Z21" s="224" t="s">
        <v>1088</v>
      </c>
      <c r="AA21" s="537"/>
      <c r="AB21" s="537"/>
      <c r="AC21" s="537"/>
      <c r="AD21" s="537"/>
      <c r="AE21" s="537"/>
      <c r="AF21" s="537"/>
      <c r="AG21" s="537"/>
      <c r="AH21" s="537"/>
      <c r="AI21" s="537"/>
      <c r="AJ21" s="537"/>
      <c r="AK21" s="537"/>
      <c r="AL21" s="537"/>
      <c r="AM21" s="537"/>
    </row>
    <row r="22" spans="1:39">
      <c r="A22" s="156" t="s">
        <v>663</v>
      </c>
      <c r="B22" s="157">
        <f>COUNTIFS(MOLTable[MOS],MOSs[[#This Row],[PMOS]],MOLTable[Category],"On Hand")</f>
        <v>0</v>
      </c>
      <c r="C22" s="150">
        <f>SUM(COUNTIFS(MOLTable[MOS],MOSs[[#This Row],[PMOS]],MOLTable[Location],"MRF-E"),COUNTIFS(MOLTable[MOS],MOSs[[#This Row],[PMOS]],MOLTable[Location],"*MEU"))</f>
        <v>0</v>
      </c>
      <c r="D22" s="150">
        <v>0</v>
      </c>
      <c r="E22" s="148">
        <f>(MOSs[[#This Row],[O/H]]-MOSs[[#This Row],[Detached/Deployed]]-MOSs[[#This Row],[Non-Deployable]])</f>
        <v>0</v>
      </c>
      <c r="F22" s="161"/>
      <c r="H22" s="30">
        <f>_xlfn.XLOOKUP(MOLTable[[#This Row],[Name]],ViewReports[Name],ViewReports[MOS])</f>
        <v>1721</v>
      </c>
      <c r="I22" s="99" t="s">
        <v>310</v>
      </c>
      <c r="J22" s="99" t="s">
        <v>1113</v>
      </c>
      <c r="K22" s="99">
        <v>1583777566</v>
      </c>
      <c r="L22" s="99" t="s">
        <v>660</v>
      </c>
      <c r="M22" s="99"/>
      <c r="N22" s="99" t="s">
        <v>1088</v>
      </c>
      <c r="O22" s="99" t="s">
        <v>866</v>
      </c>
      <c r="P22" s="99" t="s">
        <v>867</v>
      </c>
      <c r="Q22" s="99" t="s">
        <v>877</v>
      </c>
      <c r="R22" s="312">
        <v>45383</v>
      </c>
      <c r="S22" s="312">
        <v>45394</v>
      </c>
      <c r="T22" s="295"/>
      <c r="U22" s="292" t="s">
        <v>310</v>
      </c>
      <c r="V22" s="292" t="s">
        <v>1113</v>
      </c>
      <c r="W22" s="292">
        <v>1721</v>
      </c>
      <c r="X22" s="294">
        <v>47287</v>
      </c>
      <c r="Y22" s="540">
        <v>1234567890</v>
      </c>
      <c r="Z22" s="293" t="s">
        <v>1088</v>
      </c>
      <c r="AA22" s="537"/>
      <c r="AB22" s="537"/>
      <c r="AC22" s="537"/>
      <c r="AD22" s="537"/>
      <c r="AE22" s="537"/>
      <c r="AF22" s="537"/>
      <c r="AG22" s="537"/>
      <c r="AH22" s="537"/>
      <c r="AI22" s="537"/>
      <c r="AJ22" s="537"/>
      <c r="AK22" s="537"/>
      <c r="AL22" s="537"/>
      <c r="AM22" s="537"/>
    </row>
    <row r="23" spans="1:39">
      <c r="A23" s="156">
        <v>1799</v>
      </c>
      <c r="B23" s="157">
        <f>COUNTIFS(MOLTable[MOS],MOSs[[#This Row],[PMOS]],MOLTable[Category],"On Hand")</f>
        <v>1</v>
      </c>
      <c r="C23" s="150">
        <f>SUM(COUNTIFS(MOLTable[MOS],MOSs[[#This Row],[PMOS]],MOLTable[Location],"MRF-E"),COUNTIFS(MOLTable[MOS],MOSs[[#This Row],[PMOS]],MOLTable[Location],"*MEU"))</f>
        <v>0</v>
      </c>
      <c r="D23" s="150">
        <v>0</v>
      </c>
      <c r="E23" s="148">
        <f>(MOSs[[#This Row],[O/H]]-MOSs[[#This Row],[Detached/Deployed]]-MOSs[[#This Row],[Non-Deployable]])</f>
        <v>1</v>
      </c>
      <c r="F23" s="161"/>
      <c r="H23" s="30">
        <f>_xlfn.XLOOKUP(MOLTable[[#This Row],[Name]],ViewReports[Name],ViewReports[MOS])</f>
        <v>1721</v>
      </c>
      <c r="I23" s="99" t="s">
        <v>310</v>
      </c>
      <c r="J23" s="99" t="s">
        <v>1114</v>
      </c>
      <c r="K23" s="99">
        <v>1309210629</v>
      </c>
      <c r="L23" s="99" t="s">
        <v>660</v>
      </c>
      <c r="M23" s="312"/>
      <c r="N23" s="99" t="s">
        <v>1088</v>
      </c>
      <c r="O23" s="99" t="s">
        <v>855</v>
      </c>
      <c r="P23" s="99" t="s">
        <v>856</v>
      </c>
      <c r="Q23" s="99"/>
      <c r="R23" s="312"/>
      <c r="S23" s="312"/>
      <c r="T23" s="195"/>
      <c r="U23" s="222" t="s">
        <v>310</v>
      </c>
      <c r="V23" s="222" t="s">
        <v>1114</v>
      </c>
      <c r="W23" s="222">
        <v>1721</v>
      </c>
      <c r="X23" s="223">
        <v>45793</v>
      </c>
      <c r="Y23" s="541">
        <v>1234567890</v>
      </c>
      <c r="Z23" s="224" t="s">
        <v>1088</v>
      </c>
      <c r="AA23" s="537"/>
      <c r="AB23" s="537"/>
      <c r="AC23" s="537"/>
      <c r="AD23" s="537"/>
      <c r="AE23" s="537"/>
      <c r="AF23" s="537"/>
      <c r="AG23" s="537"/>
      <c r="AH23" s="537"/>
      <c r="AI23" s="537"/>
      <c r="AJ23" s="537"/>
      <c r="AK23" s="537"/>
      <c r="AL23" s="537"/>
      <c r="AM23" s="537"/>
    </row>
    <row r="24" spans="1:39">
      <c r="A24" s="156" t="s">
        <v>879</v>
      </c>
      <c r="B24" s="157">
        <f>COUNTIFS(MOLTable[MOS],MOSs[[#This Row],[PMOS]],MOLTable[Category],"On Hand")</f>
        <v>0</v>
      </c>
      <c r="C24" s="150">
        <f>SUM(COUNTIFS(MOLTable[MOS],MOSs[[#This Row],[PMOS]],MOLTable[Location],"MRF-E"),COUNTIFS(MOLTable[MOS],MOSs[[#This Row],[PMOS]],MOLTable[Location],"*MEU"))</f>
        <v>0</v>
      </c>
      <c r="D24" s="150">
        <v>0</v>
      </c>
      <c r="E24" s="148">
        <f>(MOSs[[#This Row],[O/H]]-MOSs[[#This Row],[Detached/Deployed]]-MOSs[[#This Row],[Non-Deployable]])</f>
        <v>0</v>
      </c>
      <c r="F24" s="161"/>
      <c r="H24" s="30">
        <f>_xlfn.XLOOKUP(MOLTable[[#This Row],[Name]],ViewReports[Name],ViewReports[MOS])</f>
        <v>1700</v>
      </c>
      <c r="I24" s="99" t="s">
        <v>310</v>
      </c>
      <c r="J24" s="99" t="s">
        <v>1115</v>
      </c>
      <c r="K24" s="99">
        <v>1068605275</v>
      </c>
      <c r="L24" s="99" t="s">
        <v>660</v>
      </c>
      <c r="M24" s="312">
        <v>45449</v>
      </c>
      <c r="N24" s="99" t="s">
        <v>1088</v>
      </c>
      <c r="O24" s="99" t="s">
        <v>855</v>
      </c>
      <c r="P24" s="99" t="s">
        <v>856</v>
      </c>
      <c r="Q24" s="99"/>
      <c r="R24" s="312"/>
      <c r="S24" s="312"/>
      <c r="T24" s="195"/>
      <c r="U24" s="222" t="s">
        <v>310</v>
      </c>
      <c r="V24" s="222" t="s">
        <v>1115</v>
      </c>
      <c r="W24" s="222">
        <v>1700</v>
      </c>
      <c r="X24" s="223">
        <v>45892</v>
      </c>
      <c r="Y24" s="541">
        <v>1234567890</v>
      </c>
      <c r="Z24" s="224" t="s">
        <v>1088</v>
      </c>
      <c r="AA24" s="537"/>
      <c r="AB24" s="537"/>
      <c r="AC24" s="537"/>
      <c r="AD24" s="537"/>
      <c r="AE24" s="537"/>
      <c r="AF24" s="537"/>
      <c r="AG24" s="537"/>
      <c r="AH24" s="537"/>
      <c r="AI24" s="537"/>
      <c r="AJ24" s="537"/>
      <c r="AK24" s="537"/>
      <c r="AL24" s="537"/>
      <c r="AM24" s="537"/>
    </row>
    <row r="25" spans="1:39">
      <c r="A25" s="156" t="s">
        <v>664</v>
      </c>
      <c r="B25" s="157">
        <f>COUNTIFS(MOLTable[MOS],MOSs[[#This Row],[PMOS]],MOLTable[Category],"On Hand")</f>
        <v>1</v>
      </c>
      <c r="C25" s="150">
        <f>SUM(COUNTIFS(MOLTable[MOS],MOSs[[#This Row],[PMOS]],MOLTable[Location],"MRF-E"),COUNTIFS(MOLTable[MOS],MOSs[[#This Row],[PMOS]],MOLTable[Location],"*MEU"))</f>
        <v>0</v>
      </c>
      <c r="D25" s="150">
        <v>0</v>
      </c>
      <c r="E25" s="148">
        <f>(MOSs[[#This Row],[O/H]]-MOSs[[#This Row],[Detached/Deployed]]-MOSs[[#This Row],[Non-Deployable]])</f>
        <v>1</v>
      </c>
      <c r="F25" s="161"/>
      <c r="H25" s="428">
        <f>_xlfn.XLOOKUP(MOLTable[[#This Row],[Name]],ViewReports[Name],ViewReports[MOS])</f>
        <v>1721</v>
      </c>
      <c r="I25" s="99" t="s">
        <v>308</v>
      </c>
      <c r="J25" s="99" t="s">
        <v>1116</v>
      </c>
      <c r="K25" s="99">
        <v>1504022008</v>
      </c>
      <c r="L25" s="99" t="s">
        <v>660</v>
      </c>
      <c r="M25" s="312"/>
      <c r="N25" s="99" t="s">
        <v>1088</v>
      </c>
      <c r="O25" s="99" t="s">
        <v>855</v>
      </c>
      <c r="P25" s="99" t="s">
        <v>856</v>
      </c>
      <c r="Q25" s="99"/>
      <c r="R25" s="312"/>
      <c r="S25" s="312"/>
      <c r="T25" s="195"/>
      <c r="U25" s="222" t="s">
        <v>308</v>
      </c>
      <c r="V25" s="222" t="s">
        <v>1116</v>
      </c>
      <c r="W25" s="222">
        <v>1721</v>
      </c>
      <c r="X25" s="223">
        <v>46189</v>
      </c>
      <c r="Y25" s="541">
        <v>1234567890</v>
      </c>
      <c r="Z25" s="224" t="s">
        <v>1088</v>
      </c>
      <c r="AA25" s="537"/>
      <c r="AB25" s="537"/>
      <c r="AC25" s="537"/>
      <c r="AD25" s="537"/>
      <c r="AE25" s="537"/>
      <c r="AF25" s="537"/>
      <c r="AG25" s="537"/>
      <c r="AH25" s="537"/>
      <c r="AI25" s="537"/>
      <c r="AJ25" s="537"/>
      <c r="AK25" s="537"/>
      <c r="AL25" s="537"/>
      <c r="AM25" s="537"/>
    </row>
    <row r="26" spans="1:39">
      <c r="A26" s="155" t="s">
        <v>846</v>
      </c>
      <c r="B26" s="143">
        <f>SUM(B19:B25)</f>
        <v>63</v>
      </c>
      <c r="C26" s="143">
        <f>SUM(C19:C25)</f>
        <v>0</v>
      </c>
      <c r="D26" s="143">
        <f>SUM(D19:D25)</f>
        <v>3</v>
      </c>
      <c r="E26" s="149">
        <f>(E19+E20+E21+E22+E23+E24+E25)</f>
        <v>60</v>
      </c>
      <c r="H26" s="30">
        <f>_xlfn.XLOOKUP(MOLTable[[#This Row],[Name]],ViewReports[Name],ViewReports[MOS])</f>
        <v>1721</v>
      </c>
      <c r="I26" s="99" t="s">
        <v>308</v>
      </c>
      <c r="J26" s="99" t="s">
        <v>1117</v>
      </c>
      <c r="K26" s="99">
        <v>1306349386</v>
      </c>
      <c r="L26" s="99" t="s">
        <v>660</v>
      </c>
      <c r="M26" s="312"/>
      <c r="N26" s="99" t="s">
        <v>1088</v>
      </c>
      <c r="O26" s="99" t="s">
        <v>855</v>
      </c>
      <c r="P26" s="99" t="s">
        <v>856</v>
      </c>
      <c r="Q26" s="99"/>
      <c r="R26" s="312"/>
      <c r="S26" s="312"/>
      <c r="T26" s="195"/>
      <c r="U26" s="222" t="s">
        <v>308</v>
      </c>
      <c r="V26" s="222" t="s">
        <v>1117</v>
      </c>
      <c r="W26" s="222">
        <v>1721</v>
      </c>
      <c r="X26" s="223">
        <v>47181</v>
      </c>
      <c r="Y26" s="541">
        <v>1234567890</v>
      </c>
      <c r="Z26" s="224" t="s">
        <v>1088</v>
      </c>
      <c r="AA26" s="537"/>
      <c r="AB26" s="537"/>
      <c r="AC26" s="537"/>
      <c r="AD26" s="537"/>
      <c r="AE26" s="537"/>
      <c r="AF26" s="537"/>
      <c r="AG26" s="537"/>
      <c r="AH26" s="537"/>
      <c r="AI26" s="537"/>
      <c r="AJ26" s="537"/>
      <c r="AK26" s="537"/>
      <c r="AL26" s="537"/>
      <c r="AM26" s="537"/>
    </row>
    <row r="27" spans="1:39">
      <c r="A27" s="537"/>
      <c r="B27" s="537"/>
      <c r="C27" s="537"/>
      <c r="D27" s="537"/>
      <c r="E27" s="537"/>
      <c r="H27" s="30">
        <f>_xlfn.XLOOKUP(MOLTable[[#This Row],[Name]],ViewReports[Name],ViewReports[MOS])</f>
        <v>1721</v>
      </c>
      <c r="I27" s="99" t="s">
        <v>308</v>
      </c>
      <c r="J27" s="99" t="s">
        <v>1118</v>
      </c>
      <c r="K27" s="99">
        <v>1320652076</v>
      </c>
      <c r="L27" s="99" t="s">
        <v>660</v>
      </c>
      <c r="M27" s="312"/>
      <c r="N27" s="99" t="s">
        <v>1088</v>
      </c>
      <c r="O27" s="99" t="s">
        <v>855</v>
      </c>
      <c r="P27" s="99" t="s">
        <v>856</v>
      </c>
      <c r="Q27" s="99"/>
      <c r="R27" s="312"/>
      <c r="S27" s="312"/>
      <c r="T27" s="195"/>
      <c r="U27" s="222" t="s">
        <v>308</v>
      </c>
      <c r="V27" s="222" t="s">
        <v>1118</v>
      </c>
      <c r="W27" s="222">
        <v>1721</v>
      </c>
      <c r="X27" s="223">
        <v>46181</v>
      </c>
      <c r="Y27" s="541">
        <v>1234567890</v>
      </c>
      <c r="Z27" s="224" t="s">
        <v>1088</v>
      </c>
      <c r="AA27" s="537"/>
      <c r="AB27" s="537"/>
      <c r="AC27" s="537"/>
      <c r="AD27" s="537"/>
      <c r="AE27" s="537"/>
      <c r="AF27" s="537"/>
      <c r="AG27" s="537"/>
      <c r="AH27" s="537"/>
      <c r="AI27" s="537"/>
      <c r="AJ27" s="537"/>
      <c r="AK27" s="537"/>
      <c r="AL27" s="537"/>
      <c r="AM27" s="537"/>
    </row>
    <row r="28" spans="1:39">
      <c r="A28" s="537"/>
      <c r="B28" s="537"/>
      <c r="C28" s="537"/>
      <c r="D28" s="537"/>
      <c r="E28" s="537"/>
      <c r="F28" s="26"/>
      <c r="H28" s="30">
        <f>_xlfn.XLOOKUP(MOLTable[[#This Row],[Name]],ViewReports[Name],ViewReports[MOS])</f>
        <v>1721</v>
      </c>
      <c r="I28" s="99" t="s">
        <v>308</v>
      </c>
      <c r="J28" s="99" t="s">
        <v>1119</v>
      </c>
      <c r="K28" s="99">
        <v>1478966980</v>
      </c>
      <c r="L28" s="99" t="s">
        <v>660</v>
      </c>
      <c r="M28" s="312"/>
      <c r="N28" s="99" t="s">
        <v>1088</v>
      </c>
      <c r="O28" s="99" t="s">
        <v>855</v>
      </c>
      <c r="P28" s="99" t="s">
        <v>856</v>
      </c>
      <c r="Q28" s="99"/>
      <c r="R28" s="312"/>
      <c r="S28" s="312"/>
      <c r="T28" s="195"/>
      <c r="U28" s="222" t="s">
        <v>308</v>
      </c>
      <c r="V28" s="222" t="s">
        <v>1119</v>
      </c>
      <c r="W28" s="222">
        <v>1721</v>
      </c>
      <c r="X28" s="223">
        <v>45977</v>
      </c>
      <c r="Y28" s="541">
        <v>1234567890</v>
      </c>
      <c r="Z28" s="224" t="s">
        <v>1088</v>
      </c>
      <c r="AA28" s="537"/>
      <c r="AB28" s="537"/>
      <c r="AC28" s="537"/>
      <c r="AD28" s="537"/>
      <c r="AE28" s="537"/>
      <c r="AF28" s="537"/>
      <c r="AG28" s="537"/>
      <c r="AH28" s="537"/>
      <c r="AI28" s="537"/>
      <c r="AJ28" s="537"/>
      <c r="AK28" s="537"/>
      <c r="AL28" s="537"/>
      <c r="AM28" s="537"/>
    </row>
    <row r="29" spans="1:39">
      <c r="A29" s="169" t="s">
        <v>195</v>
      </c>
      <c r="B29" s="170" t="s">
        <v>881</v>
      </c>
      <c r="C29" s="170" t="s">
        <v>882</v>
      </c>
      <c r="D29" s="170" t="s">
        <v>883</v>
      </c>
      <c r="E29" s="171" t="s">
        <v>884</v>
      </c>
      <c r="F29" s="26"/>
      <c r="H29" s="30">
        <f>_xlfn.XLOOKUP(MOLTable[[#This Row],[Name]],ViewReports[Name],ViewReports[MOS])</f>
        <v>1721</v>
      </c>
      <c r="I29" s="99" t="s">
        <v>308</v>
      </c>
      <c r="J29" s="99" t="s">
        <v>1120</v>
      </c>
      <c r="K29" s="99">
        <v>1308481514</v>
      </c>
      <c r="L29" s="99" t="s">
        <v>660</v>
      </c>
      <c r="M29" s="312"/>
      <c r="N29" s="99" t="s">
        <v>1088</v>
      </c>
      <c r="O29" s="99" t="s">
        <v>855</v>
      </c>
      <c r="P29" s="99" t="s">
        <v>856</v>
      </c>
      <c r="Q29" s="99"/>
      <c r="R29" s="312"/>
      <c r="S29" s="312"/>
      <c r="T29" s="195"/>
      <c r="U29" s="222" t="s">
        <v>308</v>
      </c>
      <c r="V29" s="222" t="s">
        <v>1120</v>
      </c>
      <c r="W29" s="222">
        <v>1721</v>
      </c>
      <c r="X29" s="223">
        <v>46993</v>
      </c>
      <c r="Y29" s="541">
        <v>1234567890</v>
      </c>
      <c r="Z29" s="224" t="s">
        <v>1088</v>
      </c>
      <c r="AA29" s="537"/>
      <c r="AB29" s="537"/>
      <c r="AC29" s="537"/>
      <c r="AD29" s="537"/>
      <c r="AE29" s="537"/>
      <c r="AF29" s="537"/>
      <c r="AG29" s="537"/>
      <c r="AH29" s="537"/>
      <c r="AI29" s="537"/>
      <c r="AJ29" s="537"/>
      <c r="AK29" s="537"/>
      <c r="AL29" s="537"/>
      <c r="AM29" s="537"/>
    </row>
    <row r="30" spans="1:39">
      <c r="A30" s="172" t="s">
        <v>885</v>
      </c>
      <c r="B30" s="118">
        <f>SUM(COUNTIFS(H:H,A19,N:N,"*1PLT*"))</f>
        <v>1</v>
      </c>
      <c r="C30" s="118" cm="1">
        <f t="array" ref="C30">SUM(COUNTIFS(H:H,A20:A25,N:N,"*1PLT*"))</f>
        <v>14</v>
      </c>
      <c r="D30" s="118" cm="1">
        <f t="array" ref="D30">SUM(COUNTIFS(I:I,A43:A46,N:N,"*1PLT*"))</f>
        <v>3</v>
      </c>
      <c r="E30" s="173"/>
      <c r="F30" s="26"/>
      <c r="H30" s="30">
        <f>_xlfn.XLOOKUP(MOLTable[[#This Row],[Name]],ViewReports[Name],ViewReports[MOS])</f>
        <v>1721</v>
      </c>
      <c r="I30" s="99" t="s">
        <v>308</v>
      </c>
      <c r="J30" s="99" t="s">
        <v>1121</v>
      </c>
      <c r="K30" s="99">
        <v>1511922179</v>
      </c>
      <c r="L30" s="99" t="s">
        <v>660</v>
      </c>
      <c r="M30" s="99"/>
      <c r="N30" s="99" t="s">
        <v>1088</v>
      </c>
      <c r="O30" s="99" t="s">
        <v>855</v>
      </c>
      <c r="P30" s="99" t="s">
        <v>856</v>
      </c>
      <c r="Q30" s="99"/>
      <c r="R30" s="312"/>
      <c r="S30" s="312"/>
      <c r="T30" s="195"/>
      <c r="U30" s="222" t="s">
        <v>308</v>
      </c>
      <c r="V30" s="222" t="s">
        <v>1121</v>
      </c>
      <c r="W30" s="222">
        <v>1721</v>
      </c>
      <c r="X30" s="223">
        <v>47257</v>
      </c>
      <c r="Y30" s="541">
        <v>1234567890</v>
      </c>
      <c r="Z30" s="224" t="s">
        <v>1088</v>
      </c>
      <c r="AA30" s="537"/>
      <c r="AB30" s="537"/>
      <c r="AC30" s="537"/>
      <c r="AD30" s="537"/>
      <c r="AE30" s="537"/>
      <c r="AF30" s="537"/>
      <c r="AG30" s="537"/>
      <c r="AH30" s="537"/>
      <c r="AI30" s="537"/>
      <c r="AJ30" s="537"/>
      <c r="AK30" s="537"/>
      <c r="AL30" s="537"/>
      <c r="AM30" s="537"/>
    </row>
    <row r="31" spans="1:39">
      <c r="A31" s="172" t="s">
        <v>886</v>
      </c>
      <c r="B31" s="118">
        <f>SUM(COUNTIFS(H:H,A19,N:N,"*2PLT*"))</f>
        <v>1</v>
      </c>
      <c r="C31" s="118" cm="1">
        <f t="array" ref="C31">SUM(COUNTIFS(H:H,A20:A25,N:N,"*2PLT*"))</f>
        <v>14</v>
      </c>
      <c r="D31" s="118" cm="1">
        <f t="array" ref="D31">SUM(COUNTIFS(I:I,A43:A46,N:N,"*2PLT*"))</f>
        <v>3</v>
      </c>
      <c r="E31" s="173"/>
      <c r="F31" s="26"/>
      <c r="H31" s="30">
        <f>_xlfn.XLOOKUP(MOLTable[[#This Row],[Name]],ViewReports[Name],ViewReports[MOS])</f>
        <v>1721</v>
      </c>
      <c r="I31" s="99" t="s">
        <v>308</v>
      </c>
      <c r="J31" s="99" t="s">
        <v>1122</v>
      </c>
      <c r="K31" s="99">
        <v>1363966758</v>
      </c>
      <c r="L31" s="99" t="s">
        <v>660</v>
      </c>
      <c r="M31" s="312"/>
      <c r="N31" s="99" t="s">
        <v>1088</v>
      </c>
      <c r="O31" s="99" t="s">
        <v>866</v>
      </c>
      <c r="P31" s="99" t="s">
        <v>867</v>
      </c>
      <c r="Q31" s="99" t="s">
        <v>868</v>
      </c>
      <c r="R31" s="312">
        <v>45383</v>
      </c>
      <c r="S31" s="312">
        <v>45401</v>
      </c>
      <c r="T31" s="195"/>
      <c r="U31" s="222" t="s">
        <v>308</v>
      </c>
      <c r="V31" s="222" t="s">
        <v>1122</v>
      </c>
      <c r="W31" s="222">
        <v>1721</v>
      </c>
      <c r="X31" s="223">
        <v>46150</v>
      </c>
      <c r="Y31" s="541">
        <v>1234567890</v>
      </c>
      <c r="Z31" s="224" t="s">
        <v>1088</v>
      </c>
      <c r="AA31" s="537"/>
      <c r="AB31" s="537"/>
      <c r="AC31" s="537"/>
      <c r="AD31" s="537"/>
      <c r="AE31" s="537"/>
      <c r="AF31" s="537"/>
      <c r="AG31" s="537"/>
      <c r="AH31" s="537"/>
      <c r="AI31" s="537"/>
      <c r="AJ31" s="537"/>
      <c r="AK31" s="537"/>
      <c r="AL31" s="537"/>
      <c r="AM31" s="537"/>
    </row>
    <row r="32" spans="1:39">
      <c r="A32" s="172" t="s">
        <v>887</v>
      </c>
      <c r="B32" s="118">
        <f>SUM(COUNTIFS(H:H,A19,N:N,"*3PLT*"))</f>
        <v>1</v>
      </c>
      <c r="C32" s="118" cm="1">
        <f t="array" ref="C32">SUM(COUNTIFS(H:H,A20:A25,N:N,"*3PLT*"))</f>
        <v>16</v>
      </c>
      <c r="D32" s="118" cm="1">
        <f t="array" ref="D32">SUM(COUNTIFS(I:I,A43:A46,N:N,"*3PLT*"))</f>
        <v>3</v>
      </c>
      <c r="E32" s="173"/>
      <c r="F32" s="26"/>
      <c r="H32" s="30">
        <f>_xlfn.XLOOKUP(MOLTable[[#This Row],[Name]],ViewReports[Name],ViewReports[MOS])</f>
        <v>1721</v>
      </c>
      <c r="I32" s="99" t="s">
        <v>306</v>
      </c>
      <c r="J32" s="99" t="s">
        <v>1123</v>
      </c>
      <c r="K32" s="99">
        <v>1212075255</v>
      </c>
      <c r="L32" s="99" t="s">
        <v>660</v>
      </c>
      <c r="M32" s="99"/>
      <c r="N32" s="99" t="s">
        <v>1088</v>
      </c>
      <c r="O32" s="99" t="s">
        <v>866</v>
      </c>
      <c r="P32" s="99" t="s">
        <v>867</v>
      </c>
      <c r="Q32" s="99" t="s">
        <v>277</v>
      </c>
      <c r="R32" s="312">
        <v>45383</v>
      </c>
      <c r="S32" s="312">
        <v>45394</v>
      </c>
      <c r="T32" s="195"/>
      <c r="U32" s="222" t="s">
        <v>306</v>
      </c>
      <c r="V32" s="222" t="s">
        <v>1123</v>
      </c>
      <c r="W32" s="222">
        <v>1721</v>
      </c>
      <c r="X32" s="223">
        <v>46844</v>
      </c>
      <c r="Y32" s="541">
        <v>1234567890</v>
      </c>
      <c r="Z32" s="224" t="s">
        <v>1088</v>
      </c>
      <c r="AA32" s="537"/>
      <c r="AB32" s="537"/>
      <c r="AC32" s="537"/>
      <c r="AD32" s="537"/>
      <c r="AE32" s="537"/>
      <c r="AF32" s="537"/>
      <c r="AG32" s="537"/>
      <c r="AH32" s="537"/>
      <c r="AI32" s="537"/>
      <c r="AJ32" s="537"/>
      <c r="AK32" s="537"/>
      <c r="AL32" s="537"/>
      <c r="AM32" s="537"/>
    </row>
    <row r="33" spans="1:39">
      <c r="A33" s="172" t="s">
        <v>888</v>
      </c>
      <c r="B33" s="118">
        <f>SUM(COUNTIFS(H:H,A19,N:N,"*DOPS*"))</f>
        <v>0</v>
      </c>
      <c r="C33" s="118" cm="1">
        <f t="array" ref="C33">SUM(COUNTIFS(H:H,A20:A25,N:N,"*DOPS*"))</f>
        <v>0</v>
      </c>
      <c r="D33" s="118" cm="1">
        <f t="array" ref="D33">SUM(COUNTIFS(I:I,A43:A46,N:N,"*DOPS*"))</f>
        <v>0</v>
      </c>
      <c r="E33" s="173"/>
      <c r="F33" s="26"/>
      <c r="H33" s="30">
        <f>_xlfn.XLOOKUP(MOLTable[[#This Row],[Name]],ViewReports[Name],ViewReports[MOS])</f>
        <v>1702</v>
      </c>
      <c r="I33" s="99" t="s">
        <v>319</v>
      </c>
      <c r="J33" s="527" t="s">
        <v>1124</v>
      </c>
      <c r="K33" s="99">
        <v>1039148847</v>
      </c>
      <c r="L33" s="99" t="s">
        <v>660</v>
      </c>
      <c r="M33" s="312"/>
      <c r="N33" s="99" t="s">
        <v>1089</v>
      </c>
      <c r="O33" s="99" t="s">
        <v>855</v>
      </c>
      <c r="P33" s="99" t="s">
        <v>856</v>
      </c>
      <c r="Q33" s="99"/>
      <c r="R33" s="312"/>
      <c r="S33" s="312"/>
      <c r="T33" s="195"/>
      <c r="U33" s="222" t="s">
        <v>319</v>
      </c>
      <c r="V33" s="222" t="s">
        <v>1124</v>
      </c>
      <c r="W33" s="222">
        <v>1702</v>
      </c>
      <c r="X33" s="223">
        <v>47341</v>
      </c>
      <c r="Y33" s="541">
        <v>1234567890</v>
      </c>
      <c r="Z33" s="224" t="s">
        <v>1089</v>
      </c>
      <c r="AA33" s="537"/>
      <c r="AB33" s="537"/>
      <c r="AC33" s="537"/>
      <c r="AD33" s="537"/>
      <c r="AE33" s="537"/>
      <c r="AF33" s="537"/>
      <c r="AG33" s="537"/>
      <c r="AH33" s="537"/>
      <c r="AI33" s="537"/>
      <c r="AJ33" s="537"/>
      <c r="AK33" s="537"/>
      <c r="AL33" s="537"/>
      <c r="AM33" s="537"/>
    </row>
    <row r="34" spans="1:39">
      <c r="A34" s="174" t="s">
        <v>60</v>
      </c>
      <c r="B34" s="118">
        <f>SUM(COUNTIFS(H:H,A19,N:N,"*HQPT*"))</f>
        <v>0</v>
      </c>
      <c r="C34" s="118" cm="1">
        <f t="array" ref="C34">SUM(COUNTIFS(H:H,A20:A25,N:N,"*HQPT*"))</f>
        <v>0</v>
      </c>
      <c r="D34" s="118" cm="1">
        <f t="array" ref="D34">SUM(COUNTIFS(I:I,A43:A46,N:N,"*HQPT*"))</f>
        <v>0</v>
      </c>
      <c r="E34" s="175"/>
      <c r="H34" s="30">
        <f>_xlfn.XLOOKUP(MOLTable[[#This Row],[Name]],ViewReports[Name],ViewReports[MOS])</f>
        <v>1721</v>
      </c>
      <c r="I34" s="99" t="s">
        <v>314</v>
      </c>
      <c r="J34" s="99" t="s">
        <v>1125</v>
      </c>
      <c r="K34" s="99">
        <v>1282303798</v>
      </c>
      <c r="L34" s="99" t="s">
        <v>862</v>
      </c>
      <c r="M34" s="312"/>
      <c r="N34" s="99" t="s">
        <v>1089</v>
      </c>
      <c r="O34" s="99" t="s">
        <v>855</v>
      </c>
      <c r="P34" s="99" t="s">
        <v>856</v>
      </c>
      <c r="Q34" s="99"/>
      <c r="R34" s="312"/>
      <c r="S34" s="312"/>
      <c r="T34" s="195"/>
      <c r="U34" s="222" t="s">
        <v>314</v>
      </c>
      <c r="V34" s="222" t="s">
        <v>1125</v>
      </c>
      <c r="W34" s="222">
        <v>1721</v>
      </c>
      <c r="X34" s="223">
        <v>46450</v>
      </c>
      <c r="Y34" s="541">
        <v>1234567890</v>
      </c>
      <c r="Z34" s="224" t="s">
        <v>1089</v>
      </c>
      <c r="AA34" s="537"/>
      <c r="AB34" s="537"/>
      <c r="AC34" s="537"/>
      <c r="AD34" s="537"/>
      <c r="AE34" s="537"/>
      <c r="AF34" s="537"/>
      <c r="AG34" s="537"/>
      <c r="AH34" s="537"/>
      <c r="AI34" s="537"/>
      <c r="AJ34" s="537"/>
      <c r="AK34" s="537"/>
      <c r="AL34" s="537"/>
      <c r="AM34" s="537"/>
    </row>
    <row r="35" spans="1:39">
      <c r="A35" s="537"/>
      <c r="B35" s="537"/>
      <c r="C35" s="537"/>
      <c r="D35" s="537"/>
      <c r="E35" s="537"/>
      <c r="H35" s="30">
        <f>_xlfn.XLOOKUP(MOLTable[[#This Row],[Name]],ViewReports[Name],ViewReports[MOS])</f>
        <v>1721</v>
      </c>
      <c r="I35" s="99" t="s">
        <v>312</v>
      </c>
      <c r="J35" s="99" t="s">
        <v>1126</v>
      </c>
      <c r="K35" s="99">
        <v>1456272150</v>
      </c>
      <c r="L35" s="99" t="s">
        <v>660</v>
      </c>
      <c r="M35" s="312"/>
      <c r="N35" s="99" t="s">
        <v>1089</v>
      </c>
      <c r="O35" s="99" t="s">
        <v>855</v>
      </c>
      <c r="P35" s="99" t="s">
        <v>856</v>
      </c>
      <c r="Q35" s="99"/>
      <c r="R35" s="312"/>
      <c r="S35" s="312"/>
      <c r="T35" s="195"/>
      <c r="U35" s="222" t="s">
        <v>312</v>
      </c>
      <c r="V35" s="222" t="s">
        <v>1126</v>
      </c>
      <c r="W35" s="222">
        <v>1721</v>
      </c>
      <c r="X35" s="223">
        <v>46387</v>
      </c>
      <c r="Y35" s="541">
        <v>1234567890</v>
      </c>
      <c r="Z35" s="224" t="s">
        <v>1089</v>
      </c>
      <c r="AA35" s="537"/>
      <c r="AB35" s="537"/>
      <c r="AC35" s="537"/>
      <c r="AD35" s="537"/>
      <c r="AE35" s="537"/>
      <c r="AF35" s="537"/>
      <c r="AG35" s="537"/>
      <c r="AH35" s="537"/>
      <c r="AI35" s="537"/>
      <c r="AJ35" s="537"/>
      <c r="AK35" s="537"/>
      <c r="AL35" s="537"/>
      <c r="AM35" s="537"/>
    </row>
    <row r="36" spans="1:39">
      <c r="A36" s="537"/>
      <c r="B36" s="537"/>
      <c r="C36" s="537"/>
      <c r="D36" s="537"/>
      <c r="E36" s="537"/>
      <c r="H36" s="30">
        <f>_xlfn.XLOOKUP(MOLTable[[#This Row],[Name]],ViewReports[Name],ViewReports[MOS])</f>
        <v>1721</v>
      </c>
      <c r="I36" s="99" t="s">
        <v>312</v>
      </c>
      <c r="J36" s="99" t="s">
        <v>1127</v>
      </c>
      <c r="K36" s="99">
        <v>1364104581</v>
      </c>
      <c r="L36" s="99" t="s">
        <v>660</v>
      </c>
      <c r="M36" s="312"/>
      <c r="N36" s="99" t="s">
        <v>1089</v>
      </c>
      <c r="O36" s="99" t="s">
        <v>855</v>
      </c>
      <c r="P36" s="99" t="s">
        <v>856</v>
      </c>
      <c r="Q36" s="99"/>
      <c r="R36" s="312"/>
      <c r="S36" s="312"/>
      <c r="T36" s="195"/>
      <c r="U36" s="222" t="s">
        <v>312</v>
      </c>
      <c r="V36" s="222" t="s">
        <v>1127</v>
      </c>
      <c r="W36" s="222">
        <v>1721</v>
      </c>
      <c r="X36" s="223">
        <v>46618</v>
      </c>
      <c r="Y36" s="541">
        <v>1234567890</v>
      </c>
      <c r="Z36" s="224" t="s">
        <v>1089</v>
      </c>
      <c r="AA36" s="537"/>
      <c r="AB36" s="537"/>
      <c r="AC36" s="537"/>
      <c r="AD36" s="537"/>
      <c r="AE36" s="537"/>
      <c r="AF36" s="537"/>
      <c r="AG36" s="537"/>
      <c r="AH36" s="537"/>
      <c r="AI36" s="537"/>
      <c r="AJ36" s="537"/>
      <c r="AK36" s="537"/>
      <c r="AL36" s="537"/>
      <c r="AM36" s="537"/>
    </row>
    <row r="37" spans="1:39">
      <c r="A37" s="200" t="s">
        <v>889</v>
      </c>
      <c r="B37" s="537"/>
      <c r="C37" s="537"/>
      <c r="D37" s="101" t="s">
        <v>890</v>
      </c>
      <c r="E37" s="537"/>
      <c r="H37" s="30">
        <f>_xlfn.XLOOKUP(MOLTable[[#This Row],[Name]],ViewReports[Name],ViewReports[MOS])</f>
        <v>1721</v>
      </c>
      <c r="I37" s="99" t="s">
        <v>310</v>
      </c>
      <c r="J37" s="99" t="s">
        <v>1128</v>
      </c>
      <c r="K37" s="99">
        <v>1599673202</v>
      </c>
      <c r="L37" s="99" t="s">
        <v>660</v>
      </c>
      <c r="M37" s="99"/>
      <c r="N37" s="99" t="s">
        <v>1089</v>
      </c>
      <c r="O37" s="99" t="s">
        <v>855</v>
      </c>
      <c r="P37" s="99" t="s">
        <v>856</v>
      </c>
      <c r="Q37" s="99"/>
      <c r="R37" s="312"/>
      <c r="S37" s="312"/>
      <c r="T37" s="195"/>
      <c r="U37" s="222" t="s">
        <v>310</v>
      </c>
      <c r="V37" s="222" t="s">
        <v>1128</v>
      </c>
      <c r="W37" s="222">
        <v>1721</v>
      </c>
      <c r="X37" s="223">
        <v>47138</v>
      </c>
      <c r="Y37" s="541">
        <v>1234567890</v>
      </c>
      <c r="Z37" s="224" t="s">
        <v>1089</v>
      </c>
      <c r="AA37" s="537"/>
      <c r="AB37" s="537"/>
      <c r="AC37" s="537"/>
      <c r="AD37" s="537"/>
      <c r="AE37" s="537"/>
      <c r="AF37" s="537"/>
      <c r="AG37" s="537"/>
      <c r="AH37" s="537"/>
      <c r="AI37" s="537"/>
      <c r="AJ37" s="537"/>
      <c r="AK37" s="537"/>
      <c r="AL37" s="537"/>
      <c r="AM37" s="537"/>
    </row>
    <row r="38" spans="1:39">
      <c r="A38" s="537" t="s">
        <v>301</v>
      </c>
      <c r="B38" s="537">
        <f>COUNTIFS(I:I,"PVT",O:O,"On Hand")</f>
        <v>0</v>
      </c>
      <c r="C38" s="537"/>
      <c r="D38" s="537" t="s">
        <v>301</v>
      </c>
      <c r="E38" s="537">
        <f t="shared" ref="E38:E46" si="0">COUNTIF(I:I,D38)</f>
        <v>0</v>
      </c>
      <c r="H38" s="30">
        <f>_xlfn.XLOOKUP(MOLTable[[#This Row],[Name]],ViewReports[Name],ViewReports[MOS])</f>
        <v>1721</v>
      </c>
      <c r="I38" s="99" t="s">
        <v>310</v>
      </c>
      <c r="J38" s="99" t="s">
        <v>1129</v>
      </c>
      <c r="K38" s="99">
        <v>1163508456</v>
      </c>
      <c r="L38" s="99" t="s">
        <v>660</v>
      </c>
      <c r="M38" s="312"/>
      <c r="N38" s="99" t="s">
        <v>1089</v>
      </c>
      <c r="O38" s="99" t="s">
        <v>855</v>
      </c>
      <c r="P38" s="99" t="s">
        <v>856</v>
      </c>
      <c r="Q38" s="99"/>
      <c r="R38" s="312"/>
      <c r="S38" s="312"/>
      <c r="T38" s="195"/>
      <c r="U38" s="222" t="s">
        <v>310</v>
      </c>
      <c r="V38" s="222" t="s">
        <v>1129</v>
      </c>
      <c r="W38" s="222">
        <v>1721</v>
      </c>
      <c r="X38" s="223">
        <v>46562</v>
      </c>
      <c r="Y38" s="541">
        <v>1234567890</v>
      </c>
      <c r="Z38" s="224" t="s">
        <v>1089</v>
      </c>
      <c r="AA38" s="537"/>
      <c r="AB38" s="537"/>
      <c r="AC38" s="537"/>
      <c r="AD38" s="537"/>
      <c r="AE38" s="537"/>
      <c r="AF38" s="537"/>
      <c r="AG38" s="537"/>
      <c r="AH38" s="537"/>
      <c r="AI38" s="537"/>
      <c r="AJ38" s="537"/>
      <c r="AK38" s="537"/>
      <c r="AL38" s="537"/>
      <c r="AM38" s="537"/>
    </row>
    <row r="39" spans="1:39">
      <c r="A39" s="537" t="s">
        <v>304</v>
      </c>
      <c r="B39" s="537">
        <f>COUNTIFS(I:I,"PFC",O:O,"On Hand")</f>
        <v>0</v>
      </c>
      <c r="C39" s="537"/>
      <c r="D39" s="537" t="s">
        <v>304</v>
      </c>
      <c r="E39" s="537">
        <f t="shared" si="0"/>
        <v>0</v>
      </c>
      <c r="H39" s="30">
        <f>_xlfn.XLOOKUP(MOLTable[[#This Row],[Name]],ViewReports[Name],ViewReports[MOS])</f>
        <v>1700</v>
      </c>
      <c r="I39" s="99" t="s">
        <v>310</v>
      </c>
      <c r="J39" s="99" t="s">
        <v>1130</v>
      </c>
      <c r="K39" s="99">
        <v>1093026721</v>
      </c>
      <c r="L39" s="99" t="s">
        <v>660</v>
      </c>
      <c r="M39" s="312">
        <v>45449</v>
      </c>
      <c r="N39" s="99" t="s">
        <v>1089</v>
      </c>
      <c r="O39" s="99" t="s">
        <v>855</v>
      </c>
      <c r="P39" s="99" t="s">
        <v>856</v>
      </c>
      <c r="Q39" s="99"/>
      <c r="R39" s="312"/>
      <c r="S39" s="312"/>
      <c r="T39" s="195"/>
      <c r="U39" s="222" t="s">
        <v>310</v>
      </c>
      <c r="V39" s="222" t="s">
        <v>1130</v>
      </c>
      <c r="W39" s="222">
        <v>1700</v>
      </c>
      <c r="X39" s="223">
        <v>46098</v>
      </c>
      <c r="Y39" s="541">
        <v>1234567890</v>
      </c>
      <c r="Z39" s="224" t="s">
        <v>1089</v>
      </c>
      <c r="AA39" s="537"/>
      <c r="AB39" s="537"/>
      <c r="AC39" s="537"/>
      <c r="AD39" s="537"/>
      <c r="AE39" s="537"/>
      <c r="AF39" s="537"/>
      <c r="AG39" s="537"/>
      <c r="AH39" s="537"/>
      <c r="AI39" s="537"/>
      <c r="AJ39" s="537"/>
      <c r="AK39" s="537"/>
      <c r="AL39" s="537"/>
      <c r="AM39" s="537"/>
    </row>
    <row r="40" spans="1:39">
      <c r="A40" s="537" t="s">
        <v>306</v>
      </c>
      <c r="B40" s="537">
        <f>COUNTIFS(I:I,"LCPL",O:O,"On Hand")</f>
        <v>5</v>
      </c>
      <c r="C40" s="537"/>
      <c r="D40" s="537" t="s">
        <v>306</v>
      </c>
      <c r="E40" s="537">
        <f t="shared" si="0"/>
        <v>6</v>
      </c>
      <c r="H40" s="30">
        <f>_xlfn.XLOOKUP(MOLTable[[#This Row],[Name]],ViewReports[Name],ViewReports[MOS])</f>
        <v>1721</v>
      </c>
      <c r="I40" s="99" t="s">
        <v>308</v>
      </c>
      <c r="J40" s="99" t="s">
        <v>1131</v>
      </c>
      <c r="K40" s="99">
        <v>1523342542</v>
      </c>
      <c r="L40" s="99" t="s">
        <v>660</v>
      </c>
      <c r="M40" s="312"/>
      <c r="N40" s="99" t="s">
        <v>1089</v>
      </c>
      <c r="O40" s="99" t="s">
        <v>855</v>
      </c>
      <c r="P40" s="99" t="s">
        <v>856</v>
      </c>
      <c r="Q40" s="99"/>
      <c r="R40" s="312"/>
      <c r="S40" s="312"/>
      <c r="T40" s="195"/>
      <c r="U40" s="222" t="s">
        <v>308</v>
      </c>
      <c r="V40" s="222" t="s">
        <v>1131</v>
      </c>
      <c r="W40" s="222">
        <v>1721</v>
      </c>
      <c r="X40" s="223">
        <v>46425</v>
      </c>
      <c r="Y40" s="541">
        <v>1234567890</v>
      </c>
      <c r="Z40" s="224" t="s">
        <v>1089</v>
      </c>
      <c r="AA40" s="537"/>
      <c r="AB40" s="537"/>
      <c r="AC40" s="537"/>
      <c r="AD40" s="537"/>
      <c r="AE40" s="537"/>
      <c r="AF40" s="537"/>
      <c r="AG40" s="537"/>
      <c r="AH40" s="537"/>
      <c r="AI40" s="537"/>
      <c r="AJ40" s="537"/>
      <c r="AK40" s="537"/>
      <c r="AL40" s="537"/>
      <c r="AM40" s="537"/>
    </row>
    <row r="41" spans="1:39">
      <c r="A41" s="537" t="s">
        <v>308</v>
      </c>
      <c r="B41" s="537">
        <f>COUNTIFS(I:I,"CPL",O:O,"On Hand")</f>
        <v>21</v>
      </c>
      <c r="C41" s="537"/>
      <c r="D41" s="537" t="s">
        <v>308</v>
      </c>
      <c r="E41" s="537">
        <f t="shared" si="0"/>
        <v>29</v>
      </c>
      <c r="H41" s="30">
        <f>_xlfn.XLOOKUP(MOLTable[[#This Row],[Name]],ViewReports[Name],ViewReports[MOS])</f>
        <v>1721</v>
      </c>
      <c r="I41" s="99" t="s">
        <v>308</v>
      </c>
      <c r="J41" s="99" t="s">
        <v>1132</v>
      </c>
      <c r="K41" s="99">
        <v>1128365853</v>
      </c>
      <c r="L41" s="99" t="s">
        <v>660</v>
      </c>
      <c r="M41" s="312"/>
      <c r="N41" s="99" t="s">
        <v>1089</v>
      </c>
      <c r="O41" s="99" t="s">
        <v>866</v>
      </c>
      <c r="P41" s="99" t="s">
        <v>867</v>
      </c>
      <c r="Q41" s="99" t="s">
        <v>277</v>
      </c>
      <c r="R41" s="312">
        <v>45383</v>
      </c>
      <c r="S41" s="312">
        <v>45401</v>
      </c>
      <c r="T41" s="195"/>
      <c r="U41" s="222" t="s">
        <v>308</v>
      </c>
      <c r="V41" s="222" t="s">
        <v>1132</v>
      </c>
      <c r="W41" s="222">
        <v>1721</v>
      </c>
      <c r="X41" s="223">
        <v>47428</v>
      </c>
      <c r="Y41" s="541">
        <v>1234567890</v>
      </c>
      <c r="Z41" s="224" t="s">
        <v>1089</v>
      </c>
      <c r="AA41" s="537"/>
      <c r="AB41" s="537"/>
      <c r="AC41" s="537"/>
      <c r="AD41" s="537"/>
      <c r="AE41" s="537"/>
      <c r="AF41" s="537"/>
      <c r="AG41" s="537"/>
      <c r="AH41" s="537"/>
      <c r="AI41" s="537"/>
      <c r="AJ41" s="537"/>
      <c r="AK41" s="537"/>
      <c r="AL41" s="537"/>
      <c r="AM41" s="537"/>
    </row>
    <row r="42" spans="1:39">
      <c r="A42" s="537" t="s">
        <v>310</v>
      </c>
      <c r="B42" s="537">
        <f>COUNTIFS(I:I,"SGT",O:O,"On Hand")</f>
        <v>15</v>
      </c>
      <c r="C42" s="537"/>
      <c r="D42" s="537" t="s">
        <v>310</v>
      </c>
      <c r="E42" s="537">
        <f t="shared" si="0"/>
        <v>16</v>
      </c>
      <c r="H42" s="30">
        <f>_xlfn.XLOOKUP(MOLTable[[#This Row],[Name]],ViewReports[Name],ViewReports[MOS])</f>
        <v>1721</v>
      </c>
      <c r="I42" s="99" t="s">
        <v>308</v>
      </c>
      <c r="J42" s="99" t="s">
        <v>1133</v>
      </c>
      <c r="K42" s="99">
        <v>1164109197</v>
      </c>
      <c r="L42" s="99" t="s">
        <v>660</v>
      </c>
      <c r="M42" s="312"/>
      <c r="N42" s="99" t="s">
        <v>1089</v>
      </c>
      <c r="O42" s="99" t="s">
        <v>866</v>
      </c>
      <c r="P42" s="99" t="s">
        <v>867</v>
      </c>
      <c r="Q42" s="99" t="s">
        <v>277</v>
      </c>
      <c r="R42" s="312">
        <v>45383</v>
      </c>
      <c r="S42" s="312">
        <v>45394</v>
      </c>
      <c r="T42" s="195"/>
      <c r="U42" s="222" t="s">
        <v>308</v>
      </c>
      <c r="V42" s="222" t="s">
        <v>1133</v>
      </c>
      <c r="W42" s="222">
        <v>1721</v>
      </c>
      <c r="X42" s="223">
        <v>45921</v>
      </c>
      <c r="Y42" s="541">
        <v>1234567890</v>
      </c>
      <c r="Z42" s="224" t="s">
        <v>1089</v>
      </c>
      <c r="AA42" s="537"/>
      <c r="AB42" s="537"/>
      <c r="AC42" s="537"/>
      <c r="AD42" s="537"/>
      <c r="AE42" s="537"/>
      <c r="AF42" s="537"/>
      <c r="AG42" s="537"/>
      <c r="AH42" s="537"/>
      <c r="AI42" s="537"/>
      <c r="AJ42" s="537"/>
      <c r="AK42" s="537"/>
      <c r="AL42" s="537"/>
      <c r="AM42" s="537"/>
    </row>
    <row r="43" spans="1:39">
      <c r="A43" s="537" t="s">
        <v>312</v>
      </c>
      <c r="B43" s="537">
        <f>COUNTIFS(I:I,"SSGT",O:O,"On Hand")</f>
        <v>9</v>
      </c>
      <c r="C43" s="537"/>
      <c r="D43" s="537" t="s">
        <v>312</v>
      </c>
      <c r="E43" s="537">
        <f t="shared" si="0"/>
        <v>11</v>
      </c>
      <c r="H43" s="30">
        <f>_xlfn.XLOOKUP(MOLTable[[#This Row],[Name]],ViewReports[Name],ViewReports[MOS])</f>
        <v>1721</v>
      </c>
      <c r="I43" s="99" t="s">
        <v>308</v>
      </c>
      <c r="J43" s="99" t="s">
        <v>1134</v>
      </c>
      <c r="K43" s="99">
        <v>1397980725</v>
      </c>
      <c r="L43" s="99" t="s">
        <v>660</v>
      </c>
      <c r="M43" s="312"/>
      <c r="N43" s="99" t="s">
        <v>1089</v>
      </c>
      <c r="O43" s="99" t="s">
        <v>855</v>
      </c>
      <c r="P43" s="99" t="s">
        <v>856</v>
      </c>
      <c r="Q43" s="99"/>
      <c r="R43" s="312"/>
      <c r="S43" s="312"/>
      <c r="T43" s="195"/>
      <c r="U43" s="222" t="s">
        <v>308</v>
      </c>
      <c r="V43" s="222" t="s">
        <v>1134</v>
      </c>
      <c r="W43" s="222">
        <v>1721</v>
      </c>
      <c r="X43" s="223">
        <v>46098</v>
      </c>
      <c r="Y43" s="541">
        <v>1234567890</v>
      </c>
      <c r="Z43" s="224" t="s">
        <v>1089</v>
      </c>
      <c r="AA43" s="16"/>
      <c r="AB43" s="537"/>
      <c r="AC43" s="537"/>
      <c r="AD43" s="537"/>
      <c r="AE43" s="537"/>
      <c r="AF43" s="537"/>
      <c r="AG43" s="537"/>
      <c r="AH43" s="537"/>
      <c r="AI43" s="537"/>
      <c r="AJ43" s="537"/>
      <c r="AK43" s="537"/>
      <c r="AL43" s="537"/>
      <c r="AM43" s="537"/>
    </row>
    <row r="44" spans="1:39">
      <c r="A44" s="537" t="s">
        <v>314</v>
      </c>
      <c r="B44" s="537">
        <f>COUNTIFS(I:I,"GYSGT",O:O,"On Hand")</f>
        <v>4</v>
      </c>
      <c r="C44" s="537"/>
      <c r="D44" s="537" t="s">
        <v>314</v>
      </c>
      <c r="E44" s="537">
        <f t="shared" si="0"/>
        <v>6</v>
      </c>
      <c r="H44" s="30">
        <f>_xlfn.XLOOKUP(MOLTable[[#This Row],[Name]],ViewReports[Name],ViewReports[MOS])</f>
        <v>1721</v>
      </c>
      <c r="I44" s="99" t="s">
        <v>308</v>
      </c>
      <c r="J44" s="99" t="s">
        <v>1135</v>
      </c>
      <c r="K44" s="99">
        <v>1135673321</v>
      </c>
      <c r="L44" s="99" t="s">
        <v>660</v>
      </c>
      <c r="M44" s="312"/>
      <c r="N44" s="99" t="s">
        <v>1089</v>
      </c>
      <c r="O44" s="99" t="s">
        <v>855</v>
      </c>
      <c r="P44" s="99" t="s">
        <v>856</v>
      </c>
      <c r="Q44" s="99"/>
      <c r="R44" s="312"/>
      <c r="S44" s="312"/>
      <c r="T44" s="195"/>
      <c r="U44" s="222" t="s">
        <v>308</v>
      </c>
      <c r="V44" s="222" t="s">
        <v>1135</v>
      </c>
      <c r="W44" s="222">
        <v>1721</v>
      </c>
      <c r="X44" s="223">
        <v>46004</v>
      </c>
      <c r="Y44" s="541">
        <v>1234567890</v>
      </c>
      <c r="Z44" s="224" t="s">
        <v>1089</v>
      </c>
      <c r="AA44" s="16"/>
      <c r="AB44" s="537"/>
      <c r="AC44" s="537"/>
      <c r="AD44" s="537"/>
      <c r="AE44" s="537"/>
      <c r="AF44" s="537"/>
      <c r="AG44" s="537"/>
      <c r="AH44" s="537"/>
      <c r="AI44" s="537"/>
      <c r="AJ44" s="537"/>
      <c r="AK44" s="537"/>
      <c r="AL44" s="537"/>
      <c r="AM44" s="537"/>
    </row>
    <row r="45" spans="1:39">
      <c r="A45" s="537" t="s">
        <v>317</v>
      </c>
      <c r="B45" s="537">
        <f>COUNTIFS(I:I,"MSGT",O:O,"On Hand")</f>
        <v>0</v>
      </c>
      <c r="C45" s="537"/>
      <c r="D45" s="537" t="s">
        <v>317</v>
      </c>
      <c r="E45" s="537">
        <f t="shared" si="0"/>
        <v>0</v>
      </c>
      <c r="H45" s="30">
        <f>_xlfn.XLOOKUP(MOLTable[[#This Row],[Name]],ViewReports[Name],ViewReports[MOS])</f>
        <v>1721</v>
      </c>
      <c r="I45" s="99" t="s">
        <v>308</v>
      </c>
      <c r="J45" s="99" t="s">
        <v>1136</v>
      </c>
      <c r="K45" s="99">
        <v>1502371969</v>
      </c>
      <c r="L45" s="99" t="s">
        <v>660</v>
      </c>
      <c r="M45" s="312"/>
      <c r="N45" s="99" t="s">
        <v>1089</v>
      </c>
      <c r="O45" s="99" t="s">
        <v>855</v>
      </c>
      <c r="P45" s="99" t="s">
        <v>856</v>
      </c>
      <c r="Q45" s="99"/>
      <c r="R45" s="312"/>
      <c r="S45" s="312"/>
      <c r="T45" s="195"/>
      <c r="U45" s="222" t="s">
        <v>308</v>
      </c>
      <c r="V45" s="222" t="s">
        <v>1136</v>
      </c>
      <c r="W45" s="222">
        <v>1721</v>
      </c>
      <c r="X45" s="223">
        <v>46797</v>
      </c>
      <c r="Y45" s="541">
        <v>1234567890</v>
      </c>
      <c r="Z45" s="224" t="s">
        <v>1089</v>
      </c>
      <c r="AA45" s="16"/>
      <c r="AB45" s="537"/>
      <c r="AC45" s="537"/>
      <c r="AD45" s="537"/>
      <c r="AE45" s="537"/>
      <c r="AF45" s="537"/>
      <c r="AG45" s="537"/>
      <c r="AH45" s="537"/>
      <c r="AI45" s="537"/>
      <c r="AJ45" s="537"/>
      <c r="AK45" s="537"/>
      <c r="AL45" s="537"/>
      <c r="AM45" s="537"/>
    </row>
    <row r="46" spans="1:39">
      <c r="A46" s="537" t="s">
        <v>316</v>
      </c>
      <c r="B46" s="537">
        <f>COUNTIFS(I:I,"1STSGT",O:O,"On Hand")</f>
        <v>2</v>
      </c>
      <c r="C46" s="537"/>
      <c r="D46" s="537" t="s">
        <v>316</v>
      </c>
      <c r="E46" s="537">
        <f t="shared" si="0"/>
        <v>2</v>
      </c>
      <c r="H46" s="30">
        <f>_xlfn.XLOOKUP(MOLTable[[#This Row],[Name]],ViewReports[Name],ViewReports[MOS])</f>
        <v>1721</v>
      </c>
      <c r="I46" s="99" t="s">
        <v>308</v>
      </c>
      <c r="J46" s="99" t="s">
        <v>1137</v>
      </c>
      <c r="K46" s="99">
        <v>1397447603</v>
      </c>
      <c r="L46" s="99" t="s">
        <v>660</v>
      </c>
      <c r="M46" s="312"/>
      <c r="N46" s="99" t="s">
        <v>1089</v>
      </c>
      <c r="O46" s="99" t="s">
        <v>855</v>
      </c>
      <c r="P46" s="99" t="s">
        <v>856</v>
      </c>
      <c r="Q46" s="99"/>
      <c r="R46" s="312"/>
      <c r="S46" s="312"/>
      <c r="T46" s="195"/>
      <c r="U46" s="222" t="s">
        <v>308</v>
      </c>
      <c r="V46" s="222" t="s">
        <v>1137</v>
      </c>
      <c r="W46" s="222">
        <v>1721</v>
      </c>
      <c r="X46" s="223">
        <v>46480</v>
      </c>
      <c r="Y46" s="541">
        <v>1234567890</v>
      </c>
      <c r="Z46" s="224" t="s">
        <v>1089</v>
      </c>
      <c r="AA46" s="16"/>
      <c r="AB46" s="537"/>
      <c r="AC46" s="537"/>
      <c r="AD46" s="537"/>
      <c r="AE46" s="537"/>
      <c r="AF46" s="537"/>
      <c r="AG46" s="537"/>
      <c r="AH46" s="537"/>
      <c r="AI46" s="537"/>
      <c r="AJ46" s="537"/>
      <c r="AK46" s="537"/>
      <c r="AL46" s="537"/>
      <c r="AM46" s="537"/>
    </row>
    <row r="47" spans="1:39">
      <c r="A47" s="537"/>
      <c r="B47" s="537"/>
      <c r="C47" s="537"/>
      <c r="D47" s="537"/>
      <c r="E47" s="537"/>
      <c r="H47" s="30">
        <f>_xlfn.XLOOKUP(MOLTable[[#This Row],[Name]],ViewReports[Name],ViewReports[MOS])</f>
        <v>1721</v>
      </c>
      <c r="I47" s="99" t="s">
        <v>306</v>
      </c>
      <c r="J47" s="99" t="s">
        <v>1138</v>
      </c>
      <c r="K47" s="99">
        <v>1207085014</v>
      </c>
      <c r="L47" s="99" t="s">
        <v>862</v>
      </c>
      <c r="M47" s="312"/>
      <c r="N47" s="99" t="s">
        <v>1089</v>
      </c>
      <c r="O47" s="99" t="s">
        <v>855</v>
      </c>
      <c r="P47" s="99" t="s">
        <v>856</v>
      </c>
      <c r="Q47" s="99"/>
      <c r="R47" s="312"/>
      <c r="S47" s="312"/>
      <c r="T47" s="195"/>
      <c r="U47" s="222" t="s">
        <v>306</v>
      </c>
      <c r="V47" s="222" t="s">
        <v>1138</v>
      </c>
      <c r="W47" s="222">
        <v>1721</v>
      </c>
      <c r="X47" s="223">
        <v>47244</v>
      </c>
      <c r="Y47" s="541">
        <v>1234567890</v>
      </c>
      <c r="Z47" s="224" t="s">
        <v>1089</v>
      </c>
      <c r="AA47" s="16"/>
      <c r="AB47" s="537"/>
      <c r="AC47" s="537"/>
      <c r="AD47" s="537"/>
      <c r="AE47" s="537"/>
      <c r="AF47" s="537"/>
      <c r="AG47" s="537"/>
      <c r="AH47" s="537"/>
      <c r="AI47" s="537"/>
      <c r="AJ47" s="537"/>
      <c r="AK47" s="537"/>
      <c r="AL47" s="537"/>
      <c r="AM47" s="537"/>
    </row>
    <row r="48" spans="1:39">
      <c r="A48" s="101" t="s">
        <v>891</v>
      </c>
      <c r="B48" s="101">
        <f>SUM(B38:B46)</f>
        <v>56</v>
      </c>
      <c r="C48" s="537" t="str">
        <f>_xlfn.CONCAT("M/E Readiness: ", ROUND((B48/E48),2)*100,"%")</f>
        <v>M/E Readiness: 80%</v>
      </c>
      <c r="D48" s="101" t="s">
        <v>892</v>
      </c>
      <c r="E48" s="101">
        <f>SUM(E38:E46)</f>
        <v>70</v>
      </c>
      <c r="H48" s="30">
        <f>_xlfn.XLOOKUP(MOLTable[[#This Row],[Name]],ViewReports[Name],ViewReports[MOS])</f>
        <v>1721</v>
      </c>
      <c r="I48" s="99" t="s">
        <v>310</v>
      </c>
      <c r="J48" s="99" t="s">
        <v>1139</v>
      </c>
      <c r="K48" s="99">
        <v>1045261897</v>
      </c>
      <c r="L48" s="99" t="s">
        <v>660</v>
      </c>
      <c r="M48" s="99"/>
      <c r="N48" s="99" t="s">
        <v>1089</v>
      </c>
      <c r="O48" s="99" t="s">
        <v>855</v>
      </c>
      <c r="P48" s="99" t="s">
        <v>856</v>
      </c>
      <c r="Q48" s="99"/>
      <c r="R48" s="312"/>
      <c r="S48" s="312"/>
      <c r="T48" s="195"/>
      <c r="U48" s="222" t="s">
        <v>310</v>
      </c>
      <c r="V48" s="222" t="s">
        <v>1139</v>
      </c>
      <c r="W48" s="222">
        <v>1721</v>
      </c>
      <c r="X48" s="223">
        <v>47189</v>
      </c>
      <c r="Y48" s="541">
        <v>1234567890</v>
      </c>
      <c r="Z48" s="224" t="s">
        <v>1089</v>
      </c>
      <c r="AA48" s="16"/>
      <c r="AB48" s="537"/>
      <c r="AC48" s="537"/>
      <c r="AD48" s="537"/>
      <c r="AE48" s="537"/>
      <c r="AF48" s="537"/>
      <c r="AG48" s="537"/>
      <c r="AH48" s="537"/>
      <c r="AI48" s="537"/>
      <c r="AJ48" s="537"/>
      <c r="AK48" s="537"/>
      <c r="AL48" s="537"/>
      <c r="AM48" s="537"/>
    </row>
    <row r="49" spans="1:39">
      <c r="A49" s="101" t="s">
        <v>891</v>
      </c>
      <c r="B49" s="537">
        <f>SUM(COUNTIFS(I:I,"PVT",O:O,"On Hand"),COUNTIFS(I:I,"PFC",O:O,"On Hand"),COUNTIFS(I:I,"LCPL",O:O,"On Hand"),COUNTIFS(I:I,"CPL",O:O,"On Hand"),COUNTIFS(I:I,"SGT",O:O,"On Hand"),COUNTIFS(I:I,"SSGT",O:O,"On Hand"),COUNTIFS(I:I,"GYSGT",O:O,"On Hand"),COUNTIFS(I:I,"MSGT",O:O,"On Hand"),COUNTIFS(I:I,"1STSGT",O:O,"On Hand"))</f>
        <v>56</v>
      </c>
      <c r="C49" s="537"/>
      <c r="D49" s="537"/>
      <c r="E49" s="537"/>
      <c r="H49" s="30">
        <f>_xlfn.XLOOKUP(MOLTable[[#This Row],[Name]],ViewReports[Name],ViewReports[MOS])</f>
        <v>1721</v>
      </c>
      <c r="I49" s="99" t="s">
        <v>306</v>
      </c>
      <c r="J49" s="99" t="s">
        <v>1140</v>
      </c>
      <c r="K49" s="99">
        <v>1043584855</v>
      </c>
      <c r="L49" s="99" t="s">
        <v>660</v>
      </c>
      <c r="M49" s="312"/>
      <c r="N49" s="99" t="s">
        <v>1089</v>
      </c>
      <c r="O49" s="99" t="s">
        <v>855</v>
      </c>
      <c r="P49" s="99" t="s">
        <v>856</v>
      </c>
      <c r="Q49" s="99"/>
      <c r="R49" s="312"/>
      <c r="S49" s="312"/>
      <c r="T49" s="195"/>
      <c r="U49" s="222" t="s">
        <v>306</v>
      </c>
      <c r="V49" s="222" t="s">
        <v>1140</v>
      </c>
      <c r="W49" s="222">
        <v>1721</v>
      </c>
      <c r="X49" s="223">
        <v>46297</v>
      </c>
      <c r="Y49" s="541">
        <v>1234567890</v>
      </c>
      <c r="Z49" s="224" t="s">
        <v>1089</v>
      </c>
      <c r="AA49" s="16"/>
      <c r="AB49" s="537"/>
      <c r="AC49" s="537"/>
      <c r="AD49" s="537"/>
      <c r="AE49" s="537"/>
      <c r="AF49" s="537"/>
      <c r="AG49" s="537"/>
      <c r="AH49" s="537"/>
      <c r="AI49" s="537"/>
      <c r="AJ49" s="537"/>
      <c r="AK49" s="537"/>
      <c r="AL49" s="537"/>
      <c r="AM49" s="537"/>
    </row>
    <row r="50" spans="1:39">
      <c r="A50" s="537" t="s">
        <v>893</v>
      </c>
      <c r="B50" s="537"/>
      <c r="C50" s="537"/>
      <c r="D50" s="537" t="s">
        <v>894</v>
      </c>
      <c r="E50" s="537"/>
      <c r="H50" s="30">
        <f>_xlfn.XLOOKUP(MOLTable[[#This Row],[Name]],ViewReports[Name],ViewReports[MOS])</f>
        <v>1702</v>
      </c>
      <c r="I50" s="99" t="s">
        <v>319</v>
      </c>
      <c r="J50" s="99" t="s">
        <v>1141</v>
      </c>
      <c r="K50" s="99">
        <v>1466955974</v>
      </c>
      <c r="L50" s="99" t="s">
        <v>660</v>
      </c>
      <c r="M50" s="312"/>
      <c r="N50" s="99" t="s">
        <v>1090</v>
      </c>
      <c r="O50" s="99" t="s">
        <v>855</v>
      </c>
      <c r="P50" s="99" t="s">
        <v>856</v>
      </c>
      <c r="Q50" s="99"/>
      <c r="R50" s="312"/>
      <c r="S50" s="312"/>
      <c r="T50" s="195"/>
      <c r="U50" s="222" t="s">
        <v>319</v>
      </c>
      <c r="V50" s="222" t="s">
        <v>1141</v>
      </c>
      <c r="W50" s="222">
        <v>1702</v>
      </c>
      <c r="X50" s="223">
        <v>46238</v>
      </c>
      <c r="Y50" s="541">
        <v>1234567890</v>
      </c>
      <c r="Z50" s="224" t="s">
        <v>1090</v>
      </c>
      <c r="AA50" s="16"/>
      <c r="AB50" s="537"/>
      <c r="AC50" s="537"/>
      <c r="AD50" s="537"/>
      <c r="AE50" s="537"/>
      <c r="AF50" s="537"/>
      <c r="AG50" s="537"/>
      <c r="AH50" s="537"/>
      <c r="AI50" s="537"/>
      <c r="AJ50" s="537"/>
      <c r="AK50" s="537"/>
      <c r="AL50" s="537"/>
      <c r="AM50" s="537"/>
    </row>
    <row r="51" spans="1:39">
      <c r="A51" s="537" t="s">
        <v>318</v>
      </c>
      <c r="B51" s="537">
        <f>COUNTIFS(I:I,A51,O:O,"On Hand")</f>
        <v>0</v>
      </c>
      <c r="C51" s="537"/>
      <c r="D51" s="537" t="s">
        <v>318</v>
      </c>
      <c r="E51" s="537">
        <f>COUNTIF(I:I,D51)</f>
        <v>0</v>
      </c>
      <c r="H51" s="30">
        <f>_xlfn.XLOOKUP(MOLTable[[#This Row],[Name]],ViewReports[Name],ViewReports[MOS])</f>
        <v>1721</v>
      </c>
      <c r="I51" s="99" t="s">
        <v>314</v>
      </c>
      <c r="J51" s="99" t="s">
        <v>1142</v>
      </c>
      <c r="K51" s="99">
        <v>1086482908</v>
      </c>
      <c r="L51" s="99" t="s">
        <v>660</v>
      </c>
      <c r="M51" s="312"/>
      <c r="N51" s="99" t="s">
        <v>1090</v>
      </c>
      <c r="O51" s="99" t="s">
        <v>866</v>
      </c>
      <c r="P51" s="99" t="s">
        <v>867</v>
      </c>
      <c r="Q51" s="99" t="s">
        <v>868</v>
      </c>
      <c r="R51" s="312">
        <v>45383</v>
      </c>
      <c r="S51" s="312">
        <v>45401</v>
      </c>
      <c r="T51" s="195"/>
      <c r="U51" s="222" t="s">
        <v>314</v>
      </c>
      <c r="V51" s="222" t="s">
        <v>1142</v>
      </c>
      <c r="W51" s="222">
        <v>1721</v>
      </c>
      <c r="X51" s="223">
        <v>46995</v>
      </c>
      <c r="Y51" s="541">
        <v>1234567890</v>
      </c>
      <c r="Z51" s="224" t="s">
        <v>1090</v>
      </c>
      <c r="AA51" s="16"/>
      <c r="AB51" s="537"/>
      <c r="AC51" s="537"/>
      <c r="AD51" s="537"/>
      <c r="AE51" s="537"/>
      <c r="AF51" s="537"/>
      <c r="AG51" s="537"/>
      <c r="AH51" s="537"/>
      <c r="AI51" s="537"/>
      <c r="AJ51" s="537"/>
      <c r="AK51" s="537"/>
      <c r="AL51" s="537"/>
      <c r="AM51" s="537"/>
    </row>
    <row r="52" spans="1:39">
      <c r="A52" s="537" t="s">
        <v>319</v>
      </c>
      <c r="B52" s="537">
        <f>COUNTIFS(I:I,A52,O:O,"On Hand")</f>
        <v>6</v>
      </c>
      <c r="C52" s="537"/>
      <c r="D52" s="537" t="s">
        <v>319</v>
      </c>
      <c r="E52" s="537">
        <f>COUNTIF(I:I,D52)</f>
        <v>7</v>
      </c>
      <c r="H52" s="30">
        <f>_xlfn.XLOOKUP(MOLTable[[#This Row],[Name]],ViewReports[Name],ViewReports[MOS])</f>
        <v>1721</v>
      </c>
      <c r="I52" s="99" t="s">
        <v>312</v>
      </c>
      <c r="J52" s="99" t="s">
        <v>1143</v>
      </c>
      <c r="K52" s="99">
        <v>1378280647</v>
      </c>
      <c r="L52" s="99" t="s">
        <v>660</v>
      </c>
      <c r="M52" s="312"/>
      <c r="N52" s="99" t="s">
        <v>1090</v>
      </c>
      <c r="O52" s="99" t="s">
        <v>866</v>
      </c>
      <c r="P52" s="99" t="s">
        <v>867</v>
      </c>
      <c r="Q52" s="99" t="s">
        <v>277</v>
      </c>
      <c r="R52" s="312">
        <v>45383</v>
      </c>
      <c r="S52" s="312">
        <v>45394</v>
      </c>
      <c r="T52" s="195"/>
      <c r="U52" s="222" t="s">
        <v>312</v>
      </c>
      <c r="V52" s="222" t="s">
        <v>1143</v>
      </c>
      <c r="W52" s="222">
        <v>1721</v>
      </c>
      <c r="X52" s="223">
        <v>45824</v>
      </c>
      <c r="Y52" s="541">
        <v>1234567890</v>
      </c>
      <c r="Z52" s="224" t="s">
        <v>1090</v>
      </c>
      <c r="AA52" s="16"/>
      <c r="AB52" s="537"/>
      <c r="AC52" s="537"/>
      <c r="AD52" s="537"/>
      <c r="AE52" s="537"/>
      <c r="AF52" s="537"/>
      <c r="AG52" s="537"/>
      <c r="AH52" s="537"/>
      <c r="AI52" s="537"/>
      <c r="AJ52" s="537"/>
      <c r="AK52" s="537"/>
      <c r="AL52" s="537"/>
      <c r="AM52" s="537"/>
    </row>
    <row r="53" spans="1:39">
      <c r="A53" s="537" t="s">
        <v>320</v>
      </c>
      <c r="B53" s="537">
        <f>COUNTIFS(I:I,A53,O:O,"On Hand")</f>
        <v>1</v>
      </c>
      <c r="C53" s="537"/>
      <c r="D53" s="537" t="s">
        <v>320</v>
      </c>
      <c r="E53" s="537">
        <f>COUNTIF(I:I,D53)</f>
        <v>1</v>
      </c>
      <c r="H53" s="30">
        <f>_xlfn.XLOOKUP(MOLTable[[#This Row],[Name]],ViewReports[Name],ViewReports[MOS])</f>
        <v>1721</v>
      </c>
      <c r="I53" s="99" t="s">
        <v>312</v>
      </c>
      <c r="J53" s="99" t="s">
        <v>1144</v>
      </c>
      <c r="K53" s="99">
        <v>1376933246</v>
      </c>
      <c r="L53" s="99" t="s">
        <v>660</v>
      </c>
      <c r="M53" s="312"/>
      <c r="N53" s="99" t="s">
        <v>1090</v>
      </c>
      <c r="O53" s="99" t="s">
        <v>855</v>
      </c>
      <c r="P53" s="99" t="s">
        <v>856</v>
      </c>
      <c r="Q53" s="99"/>
      <c r="R53" s="312"/>
      <c r="S53" s="312"/>
      <c r="T53" s="195"/>
      <c r="U53" s="222" t="s">
        <v>312</v>
      </c>
      <c r="V53" s="222" t="s">
        <v>1144</v>
      </c>
      <c r="W53" s="222">
        <v>1721</v>
      </c>
      <c r="X53" s="223">
        <v>46854</v>
      </c>
      <c r="Y53" s="541">
        <v>1234567890</v>
      </c>
      <c r="Z53" s="224" t="s">
        <v>1090</v>
      </c>
      <c r="AA53" s="16"/>
      <c r="AB53" s="537"/>
      <c r="AC53" s="537"/>
      <c r="AD53" s="537"/>
      <c r="AE53" s="537"/>
      <c r="AF53" s="537"/>
      <c r="AG53" s="537"/>
      <c r="AH53" s="537"/>
      <c r="AI53" s="537"/>
      <c r="AJ53" s="537"/>
      <c r="AK53" s="537"/>
      <c r="AL53" s="537"/>
      <c r="AM53" s="537"/>
    </row>
    <row r="54" spans="1:39">
      <c r="A54" s="537" t="s">
        <v>186</v>
      </c>
      <c r="B54" s="537">
        <f>COUNTIFS(I:I,A54,O:O,"On Hand")</f>
        <v>0</v>
      </c>
      <c r="C54" s="537"/>
      <c r="D54" s="537" t="s">
        <v>186</v>
      </c>
      <c r="E54" s="537">
        <f>COUNTIF(I:I,D54)</f>
        <v>0</v>
      </c>
      <c r="H54" s="30">
        <f>_xlfn.XLOOKUP(MOLTable[[#This Row],[Name]],ViewReports[Name],ViewReports[MOS])</f>
        <v>1721</v>
      </c>
      <c r="I54" s="99" t="s">
        <v>310</v>
      </c>
      <c r="J54" s="99" t="s">
        <v>1145</v>
      </c>
      <c r="K54" s="99">
        <v>1480655370</v>
      </c>
      <c r="L54" s="99" t="s">
        <v>660</v>
      </c>
      <c r="M54" s="312"/>
      <c r="N54" s="99" t="s">
        <v>1090</v>
      </c>
      <c r="O54" s="99" t="s">
        <v>855</v>
      </c>
      <c r="P54" s="99" t="s">
        <v>856</v>
      </c>
      <c r="Q54" s="99"/>
      <c r="R54" s="312"/>
      <c r="S54" s="312"/>
      <c r="T54" s="195"/>
      <c r="U54" s="222" t="s">
        <v>310</v>
      </c>
      <c r="V54" s="222" t="s">
        <v>1145</v>
      </c>
      <c r="W54" s="222">
        <v>1721</v>
      </c>
      <c r="X54" s="223">
        <v>46535</v>
      </c>
      <c r="Y54" s="541">
        <v>1234567890</v>
      </c>
      <c r="Z54" s="224" t="s">
        <v>1090</v>
      </c>
      <c r="AA54" s="16"/>
      <c r="AB54" s="537"/>
      <c r="AC54" s="537"/>
      <c r="AD54" s="537"/>
      <c r="AE54" s="537"/>
      <c r="AF54" s="537"/>
      <c r="AG54" s="537"/>
      <c r="AH54" s="537"/>
      <c r="AI54" s="537"/>
      <c r="AJ54" s="537"/>
      <c r="AK54" s="537"/>
      <c r="AL54" s="537"/>
      <c r="AM54" s="537"/>
    </row>
    <row r="55" spans="1:39">
      <c r="A55" s="537"/>
      <c r="B55" s="537"/>
      <c r="C55" s="537"/>
      <c r="D55" s="537"/>
      <c r="E55" s="537"/>
      <c r="H55" s="30">
        <f>_xlfn.XLOOKUP(MOLTable[[#This Row],[Name]],ViewReports[Name],ViewReports[MOS])</f>
        <v>1721</v>
      </c>
      <c r="I55" s="99" t="s">
        <v>310</v>
      </c>
      <c r="J55" s="99" t="s">
        <v>1146</v>
      </c>
      <c r="K55" s="99">
        <v>1328891644</v>
      </c>
      <c r="L55" s="99" t="s">
        <v>660</v>
      </c>
      <c r="M55" s="99"/>
      <c r="N55" s="99" t="s">
        <v>1090</v>
      </c>
      <c r="O55" s="99" t="s">
        <v>855</v>
      </c>
      <c r="P55" s="99" t="s">
        <v>856</v>
      </c>
      <c r="Q55" s="99"/>
      <c r="R55" s="312"/>
      <c r="S55" s="312"/>
      <c r="T55" s="195"/>
      <c r="U55" s="222" t="s">
        <v>310</v>
      </c>
      <c r="V55" s="222" t="s">
        <v>1146</v>
      </c>
      <c r="W55" s="222">
        <v>1721</v>
      </c>
      <c r="X55" s="223">
        <v>46186</v>
      </c>
      <c r="Y55" s="541">
        <v>1234567890</v>
      </c>
      <c r="Z55" s="224" t="s">
        <v>1090</v>
      </c>
      <c r="AA55" s="16"/>
      <c r="AB55" s="537"/>
      <c r="AC55" s="537"/>
      <c r="AD55" s="537"/>
      <c r="AE55" s="537"/>
      <c r="AF55" s="537"/>
      <c r="AG55" s="537"/>
      <c r="AH55" s="537"/>
      <c r="AI55" s="537"/>
      <c r="AJ55" s="537"/>
      <c r="AK55" s="537"/>
      <c r="AL55" s="537"/>
      <c r="AM55" s="537"/>
    </row>
    <row r="56" spans="1:39">
      <c r="A56" s="101" t="s">
        <v>895</v>
      </c>
      <c r="B56" s="101">
        <f>SUM(B51:B54)</f>
        <v>7</v>
      </c>
      <c r="C56" s="537" t="str">
        <f>_xlfn.CONCAT("M/O Readiness: ", ROUND((B56/E56),2)*100,"%")</f>
        <v>M/O Readiness: 88%</v>
      </c>
      <c r="D56" s="101" t="s">
        <v>896</v>
      </c>
      <c r="E56" s="101">
        <f>SUM(E51:E54)</f>
        <v>8</v>
      </c>
      <c r="H56" s="55">
        <f>_xlfn.XLOOKUP(MOLTable[[#This Row],[Name]],ViewReports[Name],ViewReports[MOS])</f>
        <v>1700</v>
      </c>
      <c r="I56" s="99" t="s">
        <v>310</v>
      </c>
      <c r="J56" s="99" t="s">
        <v>1147</v>
      </c>
      <c r="K56" s="99">
        <v>1583347169</v>
      </c>
      <c r="L56" s="99" t="s">
        <v>660</v>
      </c>
      <c r="M56" s="99">
        <v>45449</v>
      </c>
      <c r="N56" s="99" t="s">
        <v>1090</v>
      </c>
      <c r="O56" s="99" t="s">
        <v>855</v>
      </c>
      <c r="P56" s="99" t="s">
        <v>856</v>
      </c>
      <c r="Q56" s="99"/>
      <c r="R56" s="312"/>
      <c r="S56" s="312"/>
      <c r="T56" s="195"/>
      <c r="U56" s="222" t="s">
        <v>310</v>
      </c>
      <c r="V56" s="222" t="s">
        <v>1147</v>
      </c>
      <c r="W56" s="222">
        <v>1700</v>
      </c>
      <c r="X56" s="223">
        <v>47045</v>
      </c>
      <c r="Y56" s="541">
        <v>1234567890</v>
      </c>
      <c r="Z56" s="224" t="s">
        <v>1090</v>
      </c>
      <c r="AA56" s="16"/>
      <c r="AB56" s="537"/>
      <c r="AC56" s="537"/>
      <c r="AD56" s="537"/>
      <c r="AE56" s="537"/>
      <c r="AF56" s="537"/>
      <c r="AG56" s="537"/>
      <c r="AH56" s="537"/>
      <c r="AI56" s="537"/>
      <c r="AJ56" s="537"/>
      <c r="AK56" s="537"/>
      <c r="AL56" s="537"/>
      <c r="AM56" s="537"/>
    </row>
    <row r="57" spans="1:39">
      <c r="A57" s="537"/>
      <c r="B57" s="537"/>
      <c r="C57" s="537"/>
      <c r="D57" s="537"/>
      <c r="E57" s="537"/>
      <c r="H57" s="30">
        <f>_xlfn.XLOOKUP(MOLTable[[#This Row],[Name]],ViewReports[Name],ViewReports[MOS])</f>
        <v>1721</v>
      </c>
      <c r="I57" s="99" t="s">
        <v>308</v>
      </c>
      <c r="J57" s="99" t="s">
        <v>1148</v>
      </c>
      <c r="K57" s="99">
        <v>1110516278</v>
      </c>
      <c r="L57" s="99" t="s">
        <v>660</v>
      </c>
      <c r="M57" s="99"/>
      <c r="N57" s="99" t="s">
        <v>1090</v>
      </c>
      <c r="O57" s="99" t="s">
        <v>855</v>
      </c>
      <c r="P57" s="99" t="s">
        <v>856</v>
      </c>
      <c r="Q57" s="99"/>
      <c r="R57" s="312"/>
      <c r="S57" s="312"/>
      <c r="T57" s="195"/>
      <c r="U57" s="222" t="s">
        <v>308</v>
      </c>
      <c r="V57" s="222" t="s">
        <v>1148</v>
      </c>
      <c r="W57" s="222">
        <v>1721</v>
      </c>
      <c r="X57" s="223">
        <v>47365</v>
      </c>
      <c r="Y57" s="541">
        <v>1234567890</v>
      </c>
      <c r="Z57" s="224" t="s">
        <v>1090</v>
      </c>
      <c r="AA57" s="16"/>
      <c r="AB57" s="537"/>
      <c r="AC57" s="537"/>
      <c r="AD57" s="537"/>
      <c r="AE57" s="537"/>
      <c r="AF57" s="537"/>
      <c r="AG57" s="537"/>
      <c r="AH57" s="537"/>
      <c r="AI57" s="537"/>
      <c r="AJ57" s="537"/>
      <c r="AK57" s="537"/>
      <c r="AL57" s="537"/>
      <c r="AM57" s="537"/>
    </row>
    <row r="58" spans="1:39">
      <c r="A58" s="101" t="s">
        <v>858</v>
      </c>
      <c r="B58" s="537"/>
      <c r="C58" s="537"/>
      <c r="D58" s="168" t="s">
        <v>865</v>
      </c>
      <c r="E58" s="537"/>
      <c r="H58" s="30">
        <f>_xlfn.XLOOKUP(MOLTable[[#This Row],[Name]],ViewReports[Name],ViewReports[MOS])</f>
        <v>1721</v>
      </c>
      <c r="I58" s="99" t="s">
        <v>308</v>
      </c>
      <c r="J58" s="99" t="s">
        <v>1149</v>
      </c>
      <c r="K58" s="99">
        <v>1288365821</v>
      </c>
      <c r="L58" s="99" t="s">
        <v>862</v>
      </c>
      <c r="M58" s="99"/>
      <c r="N58" s="99" t="s">
        <v>1090</v>
      </c>
      <c r="O58" s="99" t="s">
        <v>855</v>
      </c>
      <c r="P58" s="99" t="s">
        <v>856</v>
      </c>
      <c r="Q58" s="99"/>
      <c r="R58" s="312"/>
      <c r="S58" s="312"/>
      <c r="T58" s="195"/>
      <c r="U58" s="222" t="s">
        <v>308</v>
      </c>
      <c r="V58" s="222" t="s">
        <v>1149</v>
      </c>
      <c r="W58" s="222">
        <v>1721</v>
      </c>
      <c r="X58" s="223">
        <v>45820</v>
      </c>
      <c r="Y58" s="541">
        <v>1234567890</v>
      </c>
      <c r="Z58" s="224" t="s">
        <v>1090</v>
      </c>
      <c r="AA58" s="16"/>
      <c r="AB58" s="537"/>
      <c r="AC58" s="537"/>
      <c r="AD58" s="537"/>
      <c r="AE58" s="537"/>
      <c r="AF58" s="537"/>
      <c r="AG58" s="537"/>
      <c r="AH58" s="537"/>
      <c r="AI58" s="537"/>
      <c r="AJ58" s="537"/>
      <c r="AK58" s="537"/>
      <c r="AL58" s="537"/>
      <c r="AM58" s="537"/>
    </row>
    <row r="59" spans="1:39">
      <c r="A59" s="537" t="s">
        <v>318</v>
      </c>
      <c r="B59" s="537">
        <f t="shared" ref="B59:B71" si="1">COUNTIFS(I:I,A59,P:P,"Leave(Terminal)")</f>
        <v>0</v>
      </c>
      <c r="C59" s="537"/>
      <c r="D59" s="537" t="s">
        <v>318</v>
      </c>
      <c r="E59" s="537">
        <f t="shared" ref="E59:E71" si="2">COUNTIFS(I:I,D59,P:P,"TAD(31 days or more)")</f>
        <v>0</v>
      </c>
      <c r="H59" s="30">
        <f>_xlfn.XLOOKUP(MOLTable[[#This Row],[Name]],ViewReports[Name],ViewReports[MOS])</f>
        <v>1721</v>
      </c>
      <c r="I59" s="99" t="s">
        <v>308</v>
      </c>
      <c r="J59" s="99" t="s">
        <v>1150</v>
      </c>
      <c r="K59" s="99">
        <v>1236623846</v>
      </c>
      <c r="L59" s="99" t="s">
        <v>660</v>
      </c>
      <c r="M59" s="99"/>
      <c r="N59" s="99" t="s">
        <v>1090</v>
      </c>
      <c r="O59" s="99" t="s">
        <v>855</v>
      </c>
      <c r="P59" s="99" t="s">
        <v>856</v>
      </c>
      <c r="Q59" s="99"/>
      <c r="R59" s="312"/>
      <c r="S59" s="312"/>
      <c r="T59" s="195"/>
      <c r="U59" s="222" t="s">
        <v>308</v>
      </c>
      <c r="V59" s="222" t="s">
        <v>1150</v>
      </c>
      <c r="W59" s="222">
        <v>1721</v>
      </c>
      <c r="X59" s="223">
        <v>46828</v>
      </c>
      <c r="Y59" s="541">
        <v>1234567890</v>
      </c>
      <c r="Z59" s="224" t="s">
        <v>1090</v>
      </c>
      <c r="AA59" s="16"/>
      <c r="AB59" s="537"/>
      <c r="AC59" s="537"/>
      <c r="AD59" s="537"/>
      <c r="AE59" s="537"/>
      <c r="AF59" s="537"/>
      <c r="AG59" s="537"/>
      <c r="AH59" s="537"/>
      <c r="AI59" s="537"/>
      <c r="AJ59" s="537"/>
      <c r="AK59" s="537"/>
      <c r="AL59" s="537"/>
      <c r="AM59" s="537"/>
    </row>
    <row r="60" spans="1:39">
      <c r="A60" s="537" t="s">
        <v>319</v>
      </c>
      <c r="B60" s="537">
        <f t="shared" si="1"/>
        <v>0</v>
      </c>
      <c r="C60" s="537"/>
      <c r="D60" s="537" t="s">
        <v>319</v>
      </c>
      <c r="E60" s="537">
        <f t="shared" si="2"/>
        <v>0</v>
      </c>
      <c r="H60" s="30">
        <f>_xlfn.XLOOKUP(MOLTable[[#This Row],[Name]],ViewReports[Name],ViewReports[MOS])</f>
        <v>1721</v>
      </c>
      <c r="I60" s="99" t="s">
        <v>308</v>
      </c>
      <c r="J60" s="99" t="s">
        <v>1151</v>
      </c>
      <c r="K60" s="99">
        <v>1565683368</v>
      </c>
      <c r="L60" s="99" t="s">
        <v>660</v>
      </c>
      <c r="M60" s="99"/>
      <c r="N60" s="99" t="s">
        <v>1090</v>
      </c>
      <c r="O60" s="99" t="s">
        <v>855</v>
      </c>
      <c r="P60" s="99" t="s">
        <v>856</v>
      </c>
      <c r="Q60" s="99"/>
      <c r="R60" s="312"/>
      <c r="S60" s="312"/>
      <c r="T60" s="195"/>
      <c r="U60" s="222" t="s">
        <v>308</v>
      </c>
      <c r="V60" s="222" t="s">
        <v>1151</v>
      </c>
      <c r="W60" s="222">
        <v>1721</v>
      </c>
      <c r="X60" s="223">
        <v>46376</v>
      </c>
      <c r="Y60" s="541">
        <v>1234567890</v>
      </c>
      <c r="Z60" s="224" t="s">
        <v>1090</v>
      </c>
      <c r="AA60" s="16"/>
      <c r="AB60" s="537"/>
      <c r="AC60" s="537"/>
      <c r="AD60" s="537"/>
      <c r="AE60" s="537"/>
      <c r="AF60" s="537"/>
      <c r="AG60" s="537"/>
      <c r="AH60" s="537"/>
      <c r="AI60" s="537"/>
      <c r="AJ60" s="537"/>
      <c r="AK60" s="537"/>
      <c r="AL60" s="537"/>
      <c r="AM60" s="537"/>
    </row>
    <row r="61" spans="1:39">
      <c r="A61" s="537" t="s">
        <v>320</v>
      </c>
      <c r="B61" s="537">
        <f t="shared" si="1"/>
        <v>0</v>
      </c>
      <c r="C61" s="537"/>
      <c r="D61" s="537" t="s">
        <v>320</v>
      </c>
      <c r="E61" s="537">
        <f t="shared" si="2"/>
        <v>0</v>
      </c>
      <c r="H61" s="30">
        <f>_xlfn.XLOOKUP(MOLTable[[#This Row],[Name]],ViewReports[Name],ViewReports[MOS])</f>
        <v>1721</v>
      </c>
      <c r="I61" s="99" t="s">
        <v>308</v>
      </c>
      <c r="J61" s="99" t="s">
        <v>1152</v>
      </c>
      <c r="K61" s="99">
        <v>1064194807</v>
      </c>
      <c r="L61" s="99" t="s">
        <v>660</v>
      </c>
      <c r="M61" s="312"/>
      <c r="N61" s="99" t="s">
        <v>1090</v>
      </c>
      <c r="O61" s="99" t="s">
        <v>866</v>
      </c>
      <c r="P61" s="99" t="s">
        <v>867</v>
      </c>
      <c r="Q61" s="99" t="s">
        <v>868</v>
      </c>
      <c r="R61" s="312">
        <v>45383</v>
      </c>
      <c r="S61" s="312">
        <v>45401</v>
      </c>
      <c r="T61" s="195"/>
      <c r="U61" s="222" t="s">
        <v>308</v>
      </c>
      <c r="V61" s="222" t="s">
        <v>1152</v>
      </c>
      <c r="W61" s="361">
        <v>1721</v>
      </c>
      <c r="X61" s="223">
        <v>46818</v>
      </c>
      <c r="Y61" s="541">
        <v>1234567890</v>
      </c>
      <c r="Z61" s="224" t="s">
        <v>1090</v>
      </c>
      <c r="AA61" s="16"/>
      <c r="AB61" s="537"/>
      <c r="AC61" s="537"/>
      <c r="AD61" s="537"/>
      <c r="AE61" s="537"/>
      <c r="AF61" s="537"/>
      <c r="AG61" s="537"/>
      <c r="AH61" s="537"/>
      <c r="AI61" s="537"/>
      <c r="AJ61" s="537"/>
      <c r="AK61" s="537"/>
      <c r="AL61" s="537"/>
      <c r="AM61" s="537"/>
    </row>
    <row r="62" spans="1:39">
      <c r="A62" s="537" t="s">
        <v>186</v>
      </c>
      <c r="B62" s="537">
        <f t="shared" si="1"/>
        <v>0</v>
      </c>
      <c r="C62" s="537"/>
      <c r="D62" s="537" t="s">
        <v>186</v>
      </c>
      <c r="E62" s="537">
        <f t="shared" si="2"/>
        <v>0</v>
      </c>
      <c r="H62" s="30">
        <f>_xlfn.XLOOKUP(MOLTable[[#This Row],[Name]],ViewReports[Name],ViewReports[MOS])</f>
        <v>1721</v>
      </c>
      <c r="I62" s="99" t="s">
        <v>308</v>
      </c>
      <c r="J62" s="99" t="s">
        <v>1153</v>
      </c>
      <c r="K62" s="99">
        <v>1288033004</v>
      </c>
      <c r="L62" s="99" t="s">
        <v>660</v>
      </c>
      <c r="M62" s="312"/>
      <c r="N62" s="99" t="s">
        <v>1090</v>
      </c>
      <c r="O62" s="99" t="s">
        <v>866</v>
      </c>
      <c r="P62" s="99" t="s">
        <v>867</v>
      </c>
      <c r="Q62" s="99" t="s">
        <v>277</v>
      </c>
      <c r="R62" s="312">
        <v>45383</v>
      </c>
      <c r="S62" s="312">
        <v>45394</v>
      </c>
      <c r="T62" s="195"/>
      <c r="U62" s="222" t="s">
        <v>308</v>
      </c>
      <c r="V62" s="222" t="s">
        <v>1153</v>
      </c>
      <c r="W62" s="222">
        <v>1721</v>
      </c>
      <c r="X62" s="223">
        <v>46137</v>
      </c>
      <c r="Y62" s="541">
        <v>1234567890</v>
      </c>
      <c r="Z62" s="224" t="s">
        <v>1090</v>
      </c>
      <c r="AA62" s="16"/>
      <c r="AB62" s="537"/>
      <c r="AC62" s="537"/>
      <c r="AD62" s="537"/>
      <c r="AE62" s="537"/>
      <c r="AF62" s="537"/>
      <c r="AG62" s="537"/>
      <c r="AH62" s="537"/>
      <c r="AI62" s="537"/>
      <c r="AJ62" s="537"/>
      <c r="AK62" s="537"/>
      <c r="AL62" s="537"/>
      <c r="AM62" s="537"/>
    </row>
    <row r="63" spans="1:39">
      <c r="A63" s="537" t="s">
        <v>301</v>
      </c>
      <c r="B63" s="537">
        <f t="shared" si="1"/>
        <v>0</v>
      </c>
      <c r="C63" s="537"/>
      <c r="D63" s="537" t="s">
        <v>301</v>
      </c>
      <c r="E63" s="537">
        <f t="shared" si="2"/>
        <v>0</v>
      </c>
      <c r="H63" s="30">
        <f>_xlfn.XLOOKUP(MOLTable[[#This Row],[Name]],ViewReports[Name],ViewReports[MOS])</f>
        <v>1702</v>
      </c>
      <c r="I63" s="99" t="s">
        <v>320</v>
      </c>
      <c r="J63" s="99" t="s">
        <v>1154</v>
      </c>
      <c r="K63" s="99">
        <v>1392481230</v>
      </c>
      <c r="L63" s="99" t="s">
        <v>660</v>
      </c>
      <c r="M63" s="312"/>
      <c r="N63" s="99" t="s">
        <v>1091</v>
      </c>
      <c r="O63" s="99" t="s">
        <v>855</v>
      </c>
      <c r="P63" s="99" t="s">
        <v>856</v>
      </c>
      <c r="Q63" s="99"/>
      <c r="R63" s="312"/>
      <c r="S63" s="312"/>
      <c r="T63" s="195"/>
      <c r="U63" s="222" t="s">
        <v>320</v>
      </c>
      <c r="V63" s="222" t="s">
        <v>1154</v>
      </c>
      <c r="W63" s="222">
        <v>1702</v>
      </c>
      <c r="X63" s="223">
        <v>46210</v>
      </c>
      <c r="Y63" s="541">
        <v>1234567890</v>
      </c>
      <c r="Z63" s="224" t="s">
        <v>1091</v>
      </c>
      <c r="AA63" s="16"/>
      <c r="AB63" s="537"/>
      <c r="AC63" s="537"/>
      <c r="AD63" s="537"/>
      <c r="AE63" s="537"/>
      <c r="AF63" s="537"/>
      <c r="AG63" s="537"/>
      <c r="AH63" s="537"/>
      <c r="AI63" s="537"/>
      <c r="AJ63" s="537"/>
      <c r="AK63" s="537"/>
      <c r="AL63" s="537"/>
      <c r="AM63" s="537"/>
    </row>
    <row r="64" spans="1:39">
      <c r="A64" s="537" t="s">
        <v>304</v>
      </c>
      <c r="B64" s="537">
        <f t="shared" si="1"/>
        <v>0</v>
      </c>
      <c r="C64" s="537"/>
      <c r="D64" s="537" t="s">
        <v>304</v>
      </c>
      <c r="E64" s="537">
        <f t="shared" si="2"/>
        <v>0</v>
      </c>
      <c r="H64" s="30">
        <f>_xlfn.XLOOKUP(MOLTable[[#This Row],[Name]],ViewReports[Name],ViewReports[MOS])</f>
        <v>1702</v>
      </c>
      <c r="I64" s="99" t="s">
        <v>319</v>
      </c>
      <c r="J64" s="99" t="s">
        <v>1155</v>
      </c>
      <c r="K64" s="99">
        <v>1218608114</v>
      </c>
      <c r="L64" s="99" t="s">
        <v>660</v>
      </c>
      <c r="M64" s="312"/>
      <c r="N64" s="99" t="s">
        <v>1091</v>
      </c>
      <c r="O64" s="99" t="s">
        <v>855</v>
      </c>
      <c r="P64" s="99" t="s">
        <v>856</v>
      </c>
      <c r="Q64" s="99"/>
      <c r="R64" s="312"/>
      <c r="S64" s="312"/>
      <c r="T64" s="195"/>
      <c r="U64" s="222" t="s">
        <v>319</v>
      </c>
      <c r="V64" s="222" t="s">
        <v>1155</v>
      </c>
      <c r="W64" s="222">
        <v>1702</v>
      </c>
      <c r="X64" s="223">
        <v>46102</v>
      </c>
      <c r="Y64" s="541">
        <v>1234567890</v>
      </c>
      <c r="Z64" s="224" t="s">
        <v>1091</v>
      </c>
      <c r="AA64" s="16"/>
      <c r="AB64" s="537"/>
      <c r="AC64" s="537"/>
      <c r="AD64" s="537"/>
      <c r="AE64" s="537"/>
      <c r="AF64" s="537"/>
      <c r="AG64" s="537"/>
      <c r="AH64" s="537"/>
      <c r="AI64" s="537"/>
      <c r="AJ64" s="537"/>
      <c r="AK64" s="537"/>
      <c r="AL64" s="537"/>
      <c r="AM64" s="537"/>
    </row>
    <row r="65" spans="1:39">
      <c r="A65" s="537" t="s">
        <v>306</v>
      </c>
      <c r="B65" s="537">
        <f t="shared" si="1"/>
        <v>0</v>
      </c>
      <c r="C65" s="537"/>
      <c r="D65" s="537" t="s">
        <v>306</v>
      </c>
      <c r="E65" s="537">
        <f t="shared" si="2"/>
        <v>0</v>
      </c>
      <c r="H65" s="30">
        <f>_xlfn.XLOOKUP(MOLTable[[#This Row],[Name]],ViewReports[Name],ViewReports[MOS])</f>
        <v>1799</v>
      </c>
      <c r="I65" s="99" t="s">
        <v>316</v>
      </c>
      <c r="J65" s="99" t="s">
        <v>1156</v>
      </c>
      <c r="K65" s="99">
        <v>1337008006</v>
      </c>
      <c r="L65" s="99" t="s">
        <v>660</v>
      </c>
      <c r="M65" s="312"/>
      <c r="N65" s="99" t="s">
        <v>1091</v>
      </c>
      <c r="O65" s="99" t="s">
        <v>855</v>
      </c>
      <c r="P65" s="99" t="s">
        <v>856</v>
      </c>
      <c r="Q65" s="99"/>
      <c r="R65" s="312"/>
      <c r="S65" s="312"/>
      <c r="T65" s="195"/>
      <c r="U65" s="222" t="s">
        <v>316</v>
      </c>
      <c r="V65" s="222" t="s">
        <v>1156</v>
      </c>
      <c r="W65" s="222">
        <v>1799</v>
      </c>
      <c r="X65" s="223">
        <v>46206</v>
      </c>
      <c r="Y65" s="541">
        <v>1234567890</v>
      </c>
      <c r="Z65" s="224" t="s">
        <v>1091</v>
      </c>
      <c r="AA65" s="16"/>
      <c r="AB65" s="537"/>
      <c r="AC65" s="537"/>
      <c r="AD65" s="537"/>
      <c r="AE65" s="537"/>
      <c r="AF65" s="537"/>
      <c r="AG65" s="537"/>
      <c r="AH65" s="537"/>
      <c r="AI65" s="537"/>
      <c r="AJ65" s="537"/>
      <c r="AK65" s="537"/>
      <c r="AL65" s="537"/>
      <c r="AM65" s="537"/>
    </row>
    <row r="66" spans="1:39">
      <c r="A66" s="537" t="s">
        <v>308</v>
      </c>
      <c r="B66" s="537">
        <f t="shared" si="1"/>
        <v>0</v>
      </c>
      <c r="C66" s="537"/>
      <c r="D66" s="537" t="s">
        <v>308</v>
      </c>
      <c r="E66" s="537">
        <f t="shared" si="2"/>
        <v>0</v>
      </c>
      <c r="H66" s="30">
        <f>_xlfn.XLOOKUP(MOLTable[[#This Row],[Name]],ViewReports[Name],ViewReports[MOS])</f>
        <v>1721</v>
      </c>
      <c r="I66" s="99" t="s">
        <v>314</v>
      </c>
      <c r="J66" s="99" t="s">
        <v>1157</v>
      </c>
      <c r="K66" s="99">
        <v>1492116113</v>
      </c>
      <c r="L66" s="99" t="s">
        <v>660</v>
      </c>
      <c r="M66" s="312"/>
      <c r="N66" s="99" t="s">
        <v>1091</v>
      </c>
      <c r="O66" s="99" t="s">
        <v>855</v>
      </c>
      <c r="P66" s="99" t="s">
        <v>856</v>
      </c>
      <c r="Q66" s="99"/>
      <c r="R66" s="312"/>
      <c r="S66" s="312"/>
      <c r="T66" s="195"/>
      <c r="U66" s="222" t="s">
        <v>314</v>
      </c>
      <c r="V66" s="222" t="s">
        <v>1157</v>
      </c>
      <c r="W66" s="222">
        <v>1721</v>
      </c>
      <c r="X66" s="223">
        <v>47126</v>
      </c>
      <c r="Y66" s="541">
        <v>1234567890</v>
      </c>
      <c r="Z66" s="224" t="s">
        <v>1091</v>
      </c>
      <c r="AA66" s="16"/>
      <c r="AB66" s="537"/>
      <c r="AC66" s="537"/>
      <c r="AD66" s="537"/>
      <c r="AE66" s="537"/>
      <c r="AF66" s="537"/>
      <c r="AG66" s="537"/>
      <c r="AH66" s="537"/>
      <c r="AI66" s="537"/>
      <c r="AJ66" s="537"/>
      <c r="AK66" s="537"/>
      <c r="AL66" s="537"/>
      <c r="AM66" s="537"/>
    </row>
    <row r="67" spans="1:39">
      <c r="A67" s="537" t="s">
        <v>310</v>
      </c>
      <c r="B67" s="537">
        <f t="shared" si="1"/>
        <v>0</v>
      </c>
      <c r="C67" s="537"/>
      <c r="D67" s="537" t="s">
        <v>310</v>
      </c>
      <c r="E67" s="537">
        <f t="shared" si="2"/>
        <v>0</v>
      </c>
      <c r="H67" s="30">
        <f>_xlfn.XLOOKUP(MOLTable[[#This Row],[Name]],ViewReports[Name],ViewReports[MOS])</f>
        <v>1721</v>
      </c>
      <c r="I67" s="99" t="s">
        <v>312</v>
      </c>
      <c r="J67" s="99" t="s">
        <v>1158</v>
      </c>
      <c r="K67" s="99">
        <v>1362430276</v>
      </c>
      <c r="L67" s="99" t="s">
        <v>660</v>
      </c>
      <c r="M67" s="312"/>
      <c r="N67" s="99" t="s">
        <v>1091</v>
      </c>
      <c r="O67" s="99" t="s">
        <v>855</v>
      </c>
      <c r="P67" s="99" t="s">
        <v>856</v>
      </c>
      <c r="Q67" s="99"/>
      <c r="R67" s="312"/>
      <c r="S67" s="312"/>
      <c r="T67" s="195"/>
      <c r="U67" s="222" t="s">
        <v>312</v>
      </c>
      <c r="V67" s="222" t="s">
        <v>1158</v>
      </c>
      <c r="W67" s="222">
        <v>1721</v>
      </c>
      <c r="X67" s="223">
        <v>46584</v>
      </c>
      <c r="Y67" s="541">
        <v>1234567890</v>
      </c>
      <c r="Z67" s="224" t="s">
        <v>1091</v>
      </c>
      <c r="AA67" s="16"/>
      <c r="AB67" s="537"/>
      <c r="AC67" s="537"/>
      <c r="AD67" s="537"/>
      <c r="AE67" s="537"/>
      <c r="AF67" s="537"/>
      <c r="AG67" s="537"/>
      <c r="AH67" s="537"/>
      <c r="AI67" s="537"/>
      <c r="AJ67" s="537"/>
      <c r="AK67" s="537"/>
      <c r="AL67" s="537"/>
      <c r="AM67" s="537"/>
    </row>
    <row r="68" spans="1:39">
      <c r="A68" s="537" t="s">
        <v>312</v>
      </c>
      <c r="B68" s="537">
        <f t="shared" si="1"/>
        <v>0</v>
      </c>
      <c r="C68" s="537"/>
      <c r="D68" s="537" t="s">
        <v>312</v>
      </c>
      <c r="E68" s="537">
        <f t="shared" si="2"/>
        <v>0</v>
      </c>
      <c r="H68" s="30">
        <f>_xlfn.XLOOKUP(MOLTable[[#This Row],[Name]],ViewReports[Name],ViewReports[MOS])</f>
        <v>1721</v>
      </c>
      <c r="I68" s="99" t="s">
        <v>312</v>
      </c>
      <c r="J68" s="99" t="s">
        <v>1159</v>
      </c>
      <c r="K68" s="99">
        <v>1505173816</v>
      </c>
      <c r="L68" s="99" t="s">
        <v>862</v>
      </c>
      <c r="M68" s="312"/>
      <c r="N68" s="99" t="s">
        <v>1091</v>
      </c>
      <c r="O68" s="99" t="s">
        <v>855</v>
      </c>
      <c r="P68" s="99" t="s">
        <v>856</v>
      </c>
      <c r="Q68" s="99"/>
      <c r="R68" s="312"/>
      <c r="S68" s="312"/>
      <c r="T68" s="195"/>
      <c r="U68" s="222" t="s">
        <v>312</v>
      </c>
      <c r="V68" s="222" t="s">
        <v>1159</v>
      </c>
      <c r="W68" s="222">
        <v>1721</v>
      </c>
      <c r="X68" s="223">
        <v>46525</v>
      </c>
      <c r="Y68" s="541">
        <v>1234567890</v>
      </c>
      <c r="Z68" s="224" t="s">
        <v>1091</v>
      </c>
      <c r="AA68" s="16"/>
      <c r="AB68" s="537"/>
      <c r="AC68" s="537"/>
      <c r="AD68" s="537"/>
      <c r="AE68" s="537"/>
      <c r="AF68" s="537"/>
      <c r="AG68" s="537"/>
      <c r="AH68" s="537"/>
      <c r="AI68" s="537"/>
      <c r="AJ68" s="537"/>
      <c r="AK68" s="537"/>
      <c r="AL68" s="537"/>
      <c r="AM68" s="537"/>
    </row>
    <row r="69" spans="1:39">
      <c r="A69" s="537" t="s">
        <v>314</v>
      </c>
      <c r="B69" s="537">
        <f t="shared" si="1"/>
        <v>0</v>
      </c>
      <c r="C69" s="537"/>
      <c r="D69" s="537" t="s">
        <v>314</v>
      </c>
      <c r="E69" s="537">
        <f t="shared" si="2"/>
        <v>0</v>
      </c>
      <c r="H69" s="30">
        <f>_xlfn.XLOOKUP(MOLTable[[#This Row],[Name]],ViewReports[Name],ViewReports[MOS])</f>
        <v>1721</v>
      </c>
      <c r="I69" s="99" t="s">
        <v>310</v>
      </c>
      <c r="J69" s="99" t="s">
        <v>1160</v>
      </c>
      <c r="K69" s="99">
        <v>1224436146</v>
      </c>
      <c r="L69" s="99" t="s">
        <v>660</v>
      </c>
      <c r="M69" s="312"/>
      <c r="N69" s="99" t="s">
        <v>1091</v>
      </c>
      <c r="O69" s="99" t="s">
        <v>855</v>
      </c>
      <c r="P69" s="99" t="s">
        <v>856</v>
      </c>
      <c r="Q69" s="99"/>
      <c r="R69" s="312"/>
      <c r="S69" s="312"/>
      <c r="T69" s="195"/>
      <c r="U69" s="222" t="s">
        <v>310</v>
      </c>
      <c r="V69" s="222" t="s">
        <v>1160</v>
      </c>
      <c r="W69" s="222">
        <v>1721</v>
      </c>
      <c r="X69" s="223">
        <v>45974</v>
      </c>
      <c r="Y69" s="541">
        <v>1234567890</v>
      </c>
      <c r="Z69" s="224" t="s">
        <v>1091</v>
      </c>
      <c r="AA69" s="16"/>
      <c r="AB69" s="537"/>
      <c r="AC69" s="537"/>
      <c r="AD69" s="537"/>
      <c r="AE69" s="537"/>
      <c r="AF69" s="537"/>
      <c r="AG69" s="537"/>
      <c r="AH69" s="537"/>
      <c r="AI69" s="537"/>
      <c r="AJ69" s="537"/>
      <c r="AK69" s="537"/>
      <c r="AL69" s="537"/>
      <c r="AM69" s="537"/>
    </row>
    <row r="70" spans="1:39">
      <c r="A70" s="537" t="s">
        <v>317</v>
      </c>
      <c r="B70" s="537">
        <f t="shared" si="1"/>
        <v>0</v>
      </c>
      <c r="C70" s="537"/>
      <c r="D70" s="537" t="s">
        <v>317</v>
      </c>
      <c r="E70" s="537">
        <f t="shared" si="2"/>
        <v>0</v>
      </c>
      <c r="H70" s="30">
        <f>_xlfn.XLOOKUP(MOLTable[[#This Row],[Name]],ViewReports[Name],ViewReports[MOS])</f>
        <v>1721</v>
      </c>
      <c r="I70" s="99" t="s">
        <v>310</v>
      </c>
      <c r="J70" s="99" t="s">
        <v>1161</v>
      </c>
      <c r="K70" s="99">
        <v>1273180803</v>
      </c>
      <c r="L70" s="99" t="s">
        <v>660</v>
      </c>
      <c r="M70" s="312"/>
      <c r="N70" s="99" t="s">
        <v>1091</v>
      </c>
      <c r="O70" s="99" t="s">
        <v>855</v>
      </c>
      <c r="P70" s="99" t="s">
        <v>856</v>
      </c>
      <c r="Q70" s="99"/>
      <c r="R70" s="312"/>
      <c r="S70" s="312"/>
      <c r="T70" s="195"/>
      <c r="U70" s="222" t="s">
        <v>310</v>
      </c>
      <c r="V70" s="222" t="s">
        <v>1161</v>
      </c>
      <c r="W70" s="222">
        <v>1721</v>
      </c>
      <c r="X70" s="223">
        <v>47175</v>
      </c>
      <c r="Y70" s="541">
        <v>1234567890</v>
      </c>
      <c r="Z70" s="224" t="s">
        <v>1091</v>
      </c>
      <c r="AA70" s="16"/>
      <c r="AB70" s="537"/>
      <c r="AC70" s="537"/>
      <c r="AD70" s="537"/>
      <c r="AE70" s="537"/>
      <c r="AF70" s="537"/>
      <c r="AG70" s="537"/>
      <c r="AH70" s="537"/>
      <c r="AI70" s="537"/>
      <c r="AJ70" s="537"/>
      <c r="AK70" s="537"/>
      <c r="AL70" s="537"/>
      <c r="AM70" s="537"/>
    </row>
    <row r="71" spans="1:39">
      <c r="A71" s="537" t="s">
        <v>316</v>
      </c>
      <c r="B71" s="537">
        <f t="shared" si="1"/>
        <v>0</v>
      </c>
      <c r="C71" s="537"/>
      <c r="D71" s="537" t="s">
        <v>316</v>
      </c>
      <c r="E71" s="537">
        <f t="shared" si="2"/>
        <v>0</v>
      </c>
      <c r="H71" s="30">
        <f>_xlfn.XLOOKUP(MOLTable[[#This Row],[Name]],ViewReports[Name],ViewReports[MOS])</f>
        <v>1702</v>
      </c>
      <c r="I71" s="99" t="s">
        <v>319</v>
      </c>
      <c r="J71" s="99" t="s">
        <v>1162</v>
      </c>
      <c r="K71" s="99">
        <v>1144600478</v>
      </c>
      <c r="L71" s="99" t="s">
        <v>660</v>
      </c>
      <c r="M71" s="312"/>
      <c r="N71" s="99" t="s">
        <v>1092</v>
      </c>
      <c r="O71" s="99" t="s">
        <v>866</v>
      </c>
      <c r="P71" s="99" t="s">
        <v>867</v>
      </c>
      <c r="Q71" s="99" t="s">
        <v>868</v>
      </c>
      <c r="R71" s="312">
        <v>45383</v>
      </c>
      <c r="S71" s="312">
        <v>45401</v>
      </c>
      <c r="T71" s="195"/>
      <c r="U71" s="222" t="s">
        <v>319</v>
      </c>
      <c r="V71" s="222" t="s">
        <v>1162</v>
      </c>
      <c r="W71" s="222">
        <v>1702</v>
      </c>
      <c r="X71" s="223">
        <v>46239</v>
      </c>
      <c r="Y71" s="541">
        <v>1234567890</v>
      </c>
      <c r="Z71" s="224" t="s">
        <v>1092</v>
      </c>
      <c r="AA71" s="16"/>
      <c r="AB71" s="537"/>
      <c r="AC71" s="537"/>
      <c r="AD71" s="537"/>
      <c r="AE71" s="537"/>
      <c r="AF71" s="537"/>
      <c r="AG71" s="537"/>
      <c r="AH71" s="537"/>
      <c r="AI71" s="537"/>
      <c r="AJ71" s="537"/>
      <c r="AK71" s="537"/>
      <c r="AL71" s="537"/>
      <c r="AM71" s="537"/>
    </row>
    <row r="72" spans="1:39">
      <c r="A72" s="537"/>
      <c r="B72" s="537"/>
      <c r="C72" s="537"/>
      <c r="D72" s="537"/>
      <c r="E72" s="537"/>
      <c r="H72" s="30">
        <f>_xlfn.XLOOKUP(MOLTable[[#This Row],[Name]],ViewReports[Name],ViewReports[MOS])</f>
        <v>1721</v>
      </c>
      <c r="I72" s="99" t="s">
        <v>314</v>
      </c>
      <c r="J72" s="99" t="s">
        <v>1163</v>
      </c>
      <c r="K72" s="99">
        <v>1208649546</v>
      </c>
      <c r="L72" s="99" t="s">
        <v>660</v>
      </c>
      <c r="M72" s="312"/>
      <c r="N72" s="99" t="s">
        <v>1092</v>
      </c>
      <c r="O72" s="99" t="s">
        <v>866</v>
      </c>
      <c r="P72" s="99" t="s">
        <v>867</v>
      </c>
      <c r="Q72" s="99" t="s">
        <v>277</v>
      </c>
      <c r="R72" s="312">
        <v>45383</v>
      </c>
      <c r="S72" s="312">
        <v>45394</v>
      </c>
      <c r="T72" s="195"/>
      <c r="U72" s="222" t="s">
        <v>314</v>
      </c>
      <c r="V72" s="222" t="s">
        <v>1163</v>
      </c>
      <c r="W72" s="222">
        <v>1721</v>
      </c>
      <c r="X72" s="223">
        <v>46432</v>
      </c>
      <c r="Y72" s="541">
        <v>1234567890</v>
      </c>
      <c r="Z72" s="224" t="s">
        <v>1092</v>
      </c>
      <c r="AA72" s="16"/>
      <c r="AB72" s="537"/>
      <c r="AC72" s="537"/>
      <c r="AD72" s="537"/>
      <c r="AE72" s="537"/>
      <c r="AF72" s="537"/>
      <c r="AG72" s="537"/>
      <c r="AH72" s="537"/>
      <c r="AI72" s="537"/>
      <c r="AJ72" s="537"/>
      <c r="AK72" s="537"/>
      <c r="AL72" s="537"/>
      <c r="AM72" s="537"/>
    </row>
    <row r="73" spans="1:39">
      <c r="A73" s="537"/>
      <c r="B73" s="537"/>
      <c r="C73" s="537"/>
      <c r="D73" s="168" t="s">
        <v>869</v>
      </c>
      <c r="E73" s="537"/>
      <c r="H73" s="428">
        <f>_xlfn.XLOOKUP(MOLTable[[#This Row],[Name]],ViewReports[Name],ViewReports[MOS])</f>
        <v>1721</v>
      </c>
      <c r="I73" s="99" t="s">
        <v>310</v>
      </c>
      <c r="J73" s="99" t="s">
        <v>1164</v>
      </c>
      <c r="K73" s="99">
        <v>1433270027</v>
      </c>
      <c r="L73" s="99" t="s">
        <v>660</v>
      </c>
      <c r="M73" s="312"/>
      <c r="N73" s="99" t="s">
        <v>1092</v>
      </c>
      <c r="O73" s="99" t="s">
        <v>855</v>
      </c>
      <c r="P73" s="99" t="s">
        <v>856</v>
      </c>
      <c r="Q73" s="99"/>
      <c r="R73" s="312"/>
      <c r="S73" s="312"/>
      <c r="T73" s="195"/>
      <c r="U73" s="222" t="s">
        <v>310</v>
      </c>
      <c r="V73" s="222" t="s">
        <v>1164</v>
      </c>
      <c r="W73" s="222">
        <v>1721</v>
      </c>
      <c r="X73" s="223">
        <v>46396</v>
      </c>
      <c r="Y73" s="541">
        <v>1234567890</v>
      </c>
      <c r="Z73" s="224" t="s">
        <v>1092</v>
      </c>
      <c r="AA73" s="16"/>
      <c r="AB73" s="537"/>
      <c r="AC73" s="537"/>
      <c r="AD73" s="537"/>
      <c r="AE73" s="537"/>
      <c r="AF73" s="537"/>
      <c r="AG73" s="537"/>
      <c r="AH73" s="537"/>
      <c r="AI73" s="537"/>
      <c r="AJ73" s="537"/>
      <c r="AK73" s="537"/>
      <c r="AL73" s="537"/>
      <c r="AM73" s="537"/>
    </row>
    <row r="74" spans="1:39">
      <c r="A74" s="537"/>
      <c r="B74" s="537"/>
      <c r="C74" s="537"/>
      <c r="D74" s="537" t="s">
        <v>318</v>
      </c>
      <c r="E74" s="537">
        <f t="shared" ref="E74:E86" si="3">COUNTIFS(I:I,D74,P:P,"TAD(30 days or less)")</f>
        <v>0</v>
      </c>
      <c r="H74" s="30">
        <f>_xlfn.XLOOKUP(MOLTable[[#This Row],[Name]],ViewReports[Name],ViewReports[MOS])</f>
        <v>1721</v>
      </c>
      <c r="I74" s="99" t="s">
        <v>308</v>
      </c>
      <c r="J74" s="99" t="s">
        <v>1165</v>
      </c>
      <c r="K74" s="99">
        <v>1517276328</v>
      </c>
      <c r="L74" s="99" t="s">
        <v>660</v>
      </c>
      <c r="M74" s="99"/>
      <c r="N74" s="99" t="s">
        <v>1092</v>
      </c>
      <c r="O74" s="99" t="s">
        <v>855</v>
      </c>
      <c r="P74" s="99" t="s">
        <v>856</v>
      </c>
      <c r="Q74" s="99"/>
      <c r="R74" s="312"/>
      <c r="S74" s="312"/>
      <c r="T74" s="195"/>
      <c r="U74" s="222" t="s">
        <v>308</v>
      </c>
      <c r="V74" s="222" t="s">
        <v>1165</v>
      </c>
      <c r="W74" s="222">
        <v>1721</v>
      </c>
      <c r="X74" s="223">
        <v>46661</v>
      </c>
      <c r="Y74" s="541">
        <v>1234567890</v>
      </c>
      <c r="Z74" s="224" t="s">
        <v>1092</v>
      </c>
      <c r="AA74" s="16"/>
      <c r="AB74" s="537"/>
      <c r="AC74" s="537"/>
      <c r="AD74" s="537"/>
      <c r="AE74" s="537"/>
      <c r="AF74" s="537"/>
      <c r="AG74" s="537"/>
      <c r="AH74" s="537"/>
      <c r="AI74" s="537"/>
      <c r="AJ74" s="537"/>
      <c r="AK74" s="537"/>
      <c r="AL74" s="537"/>
      <c r="AM74" s="537"/>
    </row>
    <row r="75" spans="1:39">
      <c r="A75" s="537"/>
      <c r="B75" s="537"/>
      <c r="C75" s="537"/>
      <c r="D75" s="537" t="s">
        <v>319</v>
      </c>
      <c r="E75" s="537">
        <f t="shared" si="3"/>
        <v>1</v>
      </c>
      <c r="H75" s="30">
        <f>_xlfn.XLOOKUP(MOLTable[[#This Row],[Name]],ViewReports[Name],ViewReports[MOS])</f>
        <v>231</v>
      </c>
      <c r="I75" s="99" t="s">
        <v>306</v>
      </c>
      <c r="J75" s="99" t="s">
        <v>1166</v>
      </c>
      <c r="K75" s="99">
        <v>1312308399</v>
      </c>
      <c r="L75" s="99" t="s">
        <v>660</v>
      </c>
      <c r="M75" s="312"/>
      <c r="N75" s="99" t="s">
        <v>1092</v>
      </c>
      <c r="O75" s="99" t="s">
        <v>855</v>
      </c>
      <c r="P75" s="99" t="s">
        <v>856</v>
      </c>
      <c r="Q75" s="99"/>
      <c r="R75" s="312"/>
      <c r="S75" s="312"/>
      <c r="T75" s="195"/>
      <c r="U75" s="222" t="s">
        <v>306</v>
      </c>
      <c r="V75" s="222" t="s">
        <v>1166</v>
      </c>
      <c r="W75" s="222">
        <v>231</v>
      </c>
      <c r="X75" s="223">
        <v>47411</v>
      </c>
      <c r="Y75" s="541">
        <v>1234567890</v>
      </c>
      <c r="Z75" s="224" t="s">
        <v>1092</v>
      </c>
      <c r="AA75" s="16"/>
      <c r="AB75" s="537"/>
      <c r="AC75" s="537"/>
      <c r="AD75" s="537"/>
      <c r="AE75" s="537"/>
      <c r="AF75" s="537"/>
      <c r="AG75" s="537"/>
      <c r="AH75" s="537"/>
      <c r="AI75" s="537"/>
      <c r="AJ75" s="537"/>
      <c r="AK75" s="537"/>
      <c r="AL75" s="537"/>
      <c r="AM75" s="537"/>
    </row>
    <row r="76" spans="1:39">
      <c r="A76" s="537"/>
      <c r="B76" s="537"/>
      <c r="C76" s="537"/>
      <c r="D76" s="537" t="s">
        <v>320</v>
      </c>
      <c r="E76" s="537">
        <f t="shared" si="3"/>
        <v>0</v>
      </c>
      <c r="H76" s="30">
        <f>_xlfn.XLOOKUP(MOLTable[[#This Row],[Name]],ViewReports[Name],ViewReports[MOS])</f>
        <v>1721</v>
      </c>
      <c r="I76" s="99" t="s">
        <v>306</v>
      </c>
      <c r="J76" s="99" t="s">
        <v>1167</v>
      </c>
      <c r="K76" s="99">
        <v>1025451492</v>
      </c>
      <c r="L76" s="99" t="s">
        <v>660</v>
      </c>
      <c r="M76" s="312"/>
      <c r="N76" s="99" t="s">
        <v>1092</v>
      </c>
      <c r="O76" s="99" t="s">
        <v>855</v>
      </c>
      <c r="P76" s="99" t="s">
        <v>856</v>
      </c>
      <c r="Q76" s="99"/>
      <c r="R76" s="312"/>
      <c r="S76" s="312"/>
      <c r="T76" s="195"/>
      <c r="U76" s="222" t="s">
        <v>306</v>
      </c>
      <c r="V76" s="222" t="s">
        <v>1167</v>
      </c>
      <c r="W76" s="222">
        <v>1721</v>
      </c>
      <c r="X76" s="223">
        <v>45943</v>
      </c>
      <c r="Y76" s="541">
        <v>1234567890</v>
      </c>
      <c r="Z76" s="224" t="s">
        <v>1092</v>
      </c>
      <c r="AA76" s="16"/>
      <c r="AB76" s="537"/>
      <c r="AC76" s="537"/>
      <c r="AD76" s="537"/>
      <c r="AE76" s="537"/>
      <c r="AF76" s="537"/>
      <c r="AG76" s="537"/>
      <c r="AH76" s="537"/>
      <c r="AI76" s="537"/>
      <c r="AJ76" s="537"/>
      <c r="AK76" s="537"/>
      <c r="AL76" s="537"/>
      <c r="AM76" s="537"/>
    </row>
    <row r="77" spans="1:39">
      <c r="A77" s="537"/>
      <c r="B77" s="537"/>
      <c r="C77" s="537"/>
      <c r="D77" s="537" t="s">
        <v>186</v>
      </c>
      <c r="E77" s="537">
        <f t="shared" si="3"/>
        <v>0</v>
      </c>
      <c r="H77" s="30">
        <f>_xlfn.XLOOKUP(MOLTable[[#This Row],[Name]],ViewReports[Name],ViewReports[MOS])</f>
        <v>1702</v>
      </c>
      <c r="I77" s="99" t="s">
        <v>323</v>
      </c>
      <c r="J77" s="99" t="s">
        <v>1168</v>
      </c>
      <c r="K77" s="99">
        <v>1041964509</v>
      </c>
      <c r="L77" s="99" t="s">
        <v>660</v>
      </c>
      <c r="M77" s="312"/>
      <c r="N77" s="99" t="s">
        <v>1093</v>
      </c>
      <c r="O77" s="99" t="s">
        <v>855</v>
      </c>
      <c r="P77" s="99" t="s">
        <v>856</v>
      </c>
      <c r="Q77" s="99"/>
      <c r="R77" s="312"/>
      <c r="S77" s="312"/>
      <c r="T77" s="195"/>
      <c r="U77" s="222" t="s">
        <v>323</v>
      </c>
      <c r="V77" s="222" t="s">
        <v>1168</v>
      </c>
      <c r="W77" s="222">
        <v>1702</v>
      </c>
      <c r="X77" s="223">
        <v>46540</v>
      </c>
      <c r="Y77" s="541">
        <v>1234567890</v>
      </c>
      <c r="Z77" s="224" t="s">
        <v>1093</v>
      </c>
      <c r="AA77" s="16"/>
      <c r="AB77" s="537"/>
      <c r="AC77" s="537"/>
      <c r="AD77" s="537"/>
      <c r="AE77" s="537"/>
      <c r="AF77" s="537"/>
      <c r="AG77" s="537"/>
      <c r="AH77" s="537"/>
      <c r="AI77" s="537"/>
      <c r="AJ77" s="537"/>
      <c r="AK77" s="537"/>
      <c r="AL77" s="537"/>
      <c r="AM77" s="537"/>
    </row>
    <row r="78" spans="1:39">
      <c r="A78" s="537"/>
      <c r="B78" s="537"/>
      <c r="C78" s="537"/>
      <c r="D78" s="537" t="s">
        <v>301</v>
      </c>
      <c r="E78" s="537">
        <f t="shared" si="3"/>
        <v>0</v>
      </c>
      <c r="H78" s="30">
        <f>_xlfn.XLOOKUP(MOLTable[[#This Row],[Name]],ViewReports[Name],ViewReports[MOS])</f>
        <v>1702</v>
      </c>
      <c r="I78" s="99" t="s">
        <v>319</v>
      </c>
      <c r="J78" s="99" t="s">
        <v>1169</v>
      </c>
      <c r="K78" s="99">
        <v>1366872660</v>
      </c>
      <c r="L78" s="99" t="s">
        <v>862</v>
      </c>
      <c r="M78" s="312"/>
      <c r="N78" s="99" t="s">
        <v>1093</v>
      </c>
      <c r="O78" s="99" t="s">
        <v>855</v>
      </c>
      <c r="P78" s="99" t="s">
        <v>856</v>
      </c>
      <c r="Q78" s="99"/>
      <c r="R78" s="312"/>
      <c r="S78" s="312"/>
      <c r="T78" s="195"/>
      <c r="U78" s="222" t="s">
        <v>319</v>
      </c>
      <c r="V78" s="222" t="s">
        <v>1169</v>
      </c>
      <c r="W78" s="222">
        <v>1702</v>
      </c>
      <c r="X78" s="223">
        <v>46576</v>
      </c>
      <c r="Y78" s="541">
        <v>1234567890</v>
      </c>
      <c r="Z78" s="224" t="s">
        <v>1093</v>
      </c>
      <c r="AA78" s="16"/>
      <c r="AB78" s="537"/>
      <c r="AC78" s="537"/>
      <c r="AD78" s="537"/>
      <c r="AE78" s="537"/>
      <c r="AF78" s="537"/>
      <c r="AG78" s="537"/>
      <c r="AH78" s="537"/>
      <c r="AI78" s="537"/>
      <c r="AJ78" s="537"/>
      <c r="AK78" s="537"/>
      <c r="AL78" s="537"/>
      <c r="AM78" s="537"/>
    </row>
    <row r="79" spans="1:39">
      <c r="A79" s="537"/>
      <c r="B79" s="537"/>
      <c r="C79" s="537"/>
      <c r="D79" s="537" t="s">
        <v>304</v>
      </c>
      <c r="E79" s="537">
        <f t="shared" si="3"/>
        <v>0</v>
      </c>
      <c r="H79" s="30">
        <f>_xlfn.XLOOKUP(MOLTable[[#This Row],[Name]],ViewReports[Name],ViewReports[MOS])</f>
        <v>8999</v>
      </c>
      <c r="I79" s="99" t="s">
        <v>316</v>
      </c>
      <c r="J79" s="99" t="s">
        <v>1170</v>
      </c>
      <c r="K79" s="99">
        <v>1163650418</v>
      </c>
      <c r="L79" s="99" t="s">
        <v>660</v>
      </c>
      <c r="M79" s="312"/>
      <c r="N79" s="99" t="s">
        <v>1093</v>
      </c>
      <c r="O79" s="99" t="s">
        <v>855</v>
      </c>
      <c r="P79" s="99" t="s">
        <v>856</v>
      </c>
      <c r="Q79" s="99"/>
      <c r="R79" s="312"/>
      <c r="S79" s="312"/>
      <c r="T79" s="195"/>
      <c r="U79" s="222" t="s">
        <v>316</v>
      </c>
      <c r="V79" s="222" t="s">
        <v>1170</v>
      </c>
      <c r="W79" s="222">
        <v>8999</v>
      </c>
      <c r="X79" s="223">
        <v>46498</v>
      </c>
      <c r="Y79" s="541">
        <v>1234567890</v>
      </c>
      <c r="Z79" s="224" t="s">
        <v>1093</v>
      </c>
      <c r="AA79" s="16"/>
      <c r="AB79" s="537"/>
      <c r="AC79" s="537"/>
      <c r="AD79" s="537"/>
      <c r="AE79" s="537"/>
      <c r="AF79" s="537"/>
      <c r="AG79" s="537"/>
      <c r="AH79" s="537"/>
      <c r="AI79" s="537"/>
      <c r="AJ79" s="537"/>
      <c r="AK79" s="537"/>
      <c r="AL79" s="537"/>
      <c r="AM79" s="537"/>
    </row>
    <row r="80" spans="1:39">
      <c r="A80" s="537"/>
      <c r="B80" s="537"/>
      <c r="C80" s="537"/>
      <c r="D80" s="537" t="s">
        <v>306</v>
      </c>
      <c r="E80" s="537">
        <f t="shared" si="3"/>
        <v>1</v>
      </c>
      <c r="H80" s="30">
        <f>_xlfn.XLOOKUP(MOLTable[[#This Row],[Name]],ViewReports[Name],ViewReports[MOS])</f>
        <v>1721</v>
      </c>
      <c r="I80" s="99" t="s">
        <v>312</v>
      </c>
      <c r="J80" s="99" t="s">
        <v>1171</v>
      </c>
      <c r="K80" s="99">
        <v>1269922284</v>
      </c>
      <c r="L80" s="99" t="s">
        <v>660</v>
      </c>
      <c r="M80" s="312"/>
      <c r="N80" s="99" t="s">
        <v>1093</v>
      </c>
      <c r="O80" s="99" t="s">
        <v>855</v>
      </c>
      <c r="P80" s="99" t="s">
        <v>856</v>
      </c>
      <c r="Q80" s="99"/>
      <c r="R80" s="312"/>
      <c r="S80" s="312"/>
      <c r="T80" s="195"/>
      <c r="U80" s="225" t="s">
        <v>312</v>
      </c>
      <c r="V80" s="225" t="s">
        <v>1171</v>
      </c>
      <c r="W80" s="225">
        <v>1721</v>
      </c>
      <c r="X80" s="226">
        <v>46027</v>
      </c>
      <c r="Y80" s="542">
        <v>1234567890</v>
      </c>
      <c r="Z80" s="227" t="s">
        <v>1093</v>
      </c>
      <c r="AA80" s="16"/>
      <c r="AB80" s="537"/>
      <c r="AC80" s="537"/>
      <c r="AD80" s="537"/>
      <c r="AE80" s="537"/>
      <c r="AF80" s="537"/>
      <c r="AG80" s="537"/>
      <c r="AH80" s="537"/>
      <c r="AI80" s="537"/>
      <c r="AJ80" s="537"/>
      <c r="AK80" s="537"/>
      <c r="AL80" s="537"/>
      <c r="AM80" s="537"/>
    </row>
    <row r="81" spans="1:39">
      <c r="A81" s="537"/>
      <c r="B81" s="537"/>
      <c r="C81" s="537"/>
      <c r="D81" s="537" t="s">
        <v>308</v>
      </c>
      <c r="E81" s="537">
        <f t="shared" si="3"/>
        <v>8</v>
      </c>
      <c r="H81" s="55">
        <f>_xlfn.XLOOKUP(MOLTable[[#This Row],[Name]],ViewReports[Name],ViewReports[MOS])</f>
        <v>1721</v>
      </c>
      <c r="I81" s="99" t="s">
        <v>308</v>
      </c>
      <c r="J81" s="99" t="s">
        <v>1172</v>
      </c>
      <c r="K81" s="99">
        <v>1410597200</v>
      </c>
      <c r="L81" s="99" t="s">
        <v>660</v>
      </c>
      <c r="M81" s="312"/>
      <c r="N81" s="99" t="s">
        <v>1093</v>
      </c>
      <c r="O81" s="99" t="s">
        <v>866</v>
      </c>
      <c r="P81" s="99" t="s">
        <v>867</v>
      </c>
      <c r="Q81" s="99"/>
      <c r="R81" s="312">
        <v>45383</v>
      </c>
      <c r="S81" s="312">
        <v>45401</v>
      </c>
      <c r="T81" s="195"/>
      <c r="U81" s="225" t="s">
        <v>308</v>
      </c>
      <c r="V81" s="225" t="s">
        <v>1172</v>
      </c>
      <c r="W81" s="225">
        <v>1721</v>
      </c>
      <c r="X81" s="226">
        <v>45905</v>
      </c>
      <c r="Y81" s="542">
        <v>1234567890</v>
      </c>
      <c r="Z81" s="225" t="s">
        <v>1093</v>
      </c>
      <c r="AA81" s="16"/>
      <c r="AB81" s="537"/>
      <c r="AC81" s="537"/>
      <c r="AD81" s="537"/>
      <c r="AE81" s="537"/>
      <c r="AF81" s="537"/>
      <c r="AG81" s="537"/>
      <c r="AH81" s="537"/>
      <c r="AI81" s="537"/>
      <c r="AJ81" s="537"/>
      <c r="AK81" s="537"/>
      <c r="AL81" s="537"/>
      <c r="AM81" s="537"/>
    </row>
    <row r="82" spans="1:39">
      <c r="A82" s="537"/>
      <c r="B82" s="537"/>
      <c r="C82" s="537"/>
      <c r="D82" s="537" t="s">
        <v>310</v>
      </c>
      <c r="E82" s="537">
        <f t="shared" si="3"/>
        <v>1</v>
      </c>
      <c r="I82" s="537"/>
      <c r="J82" s="537"/>
      <c r="K82" s="537"/>
      <c r="L82" s="537"/>
      <c r="M82" s="537"/>
      <c r="N82" s="537"/>
      <c r="O82" s="537"/>
      <c r="P82" s="537"/>
      <c r="Q82" s="537"/>
      <c r="R82" s="537"/>
      <c r="S82" s="537"/>
      <c r="T82" s="195"/>
      <c r="U82" s="231"/>
      <c r="AA82" s="16"/>
      <c r="AB82" s="537"/>
      <c r="AC82" s="537"/>
      <c r="AD82" s="537"/>
      <c r="AE82" s="537"/>
      <c r="AF82" s="537"/>
      <c r="AG82" s="537"/>
      <c r="AH82" s="537"/>
      <c r="AI82" s="537"/>
      <c r="AJ82" s="537"/>
      <c r="AK82" s="537"/>
      <c r="AL82" s="537"/>
      <c r="AM82" s="537"/>
    </row>
    <row r="83" spans="1:39">
      <c r="A83" s="537"/>
      <c r="B83" s="537"/>
      <c r="C83" s="537"/>
      <c r="D83" s="537" t="s">
        <v>312</v>
      </c>
      <c r="E83" s="537">
        <f t="shared" si="3"/>
        <v>2</v>
      </c>
      <c r="I83" s="537"/>
      <c r="J83" s="537"/>
      <c r="K83" s="537"/>
      <c r="L83" s="537"/>
      <c r="M83" s="537"/>
      <c r="N83" s="537"/>
      <c r="O83" s="537"/>
      <c r="P83" s="537"/>
      <c r="Q83" s="537"/>
      <c r="R83" s="537"/>
      <c r="S83" s="537"/>
      <c r="T83" s="195"/>
      <c r="AA83" s="16"/>
      <c r="AB83" s="537"/>
      <c r="AC83" s="537"/>
      <c r="AD83" s="537"/>
      <c r="AE83" s="537"/>
      <c r="AF83" s="537"/>
      <c r="AG83" s="537"/>
      <c r="AH83" s="537"/>
      <c r="AI83" s="537"/>
      <c r="AJ83" s="537"/>
      <c r="AK83" s="537"/>
      <c r="AL83" s="537"/>
      <c r="AM83" s="537"/>
    </row>
    <row r="84" spans="1:39">
      <c r="A84" s="537"/>
      <c r="B84" s="537"/>
      <c r="C84" s="537"/>
      <c r="D84" s="537" t="s">
        <v>314</v>
      </c>
      <c r="E84" s="537">
        <f t="shared" si="3"/>
        <v>2</v>
      </c>
      <c r="I84" s="537"/>
      <c r="J84" s="537"/>
      <c r="K84" s="537"/>
      <c r="L84" s="537"/>
      <c r="M84" s="537"/>
      <c r="N84" s="537"/>
      <c r="O84" s="537"/>
      <c r="P84" s="537"/>
      <c r="Q84" s="537"/>
      <c r="R84" s="537"/>
      <c r="S84" s="537"/>
      <c r="T84" s="195"/>
      <c r="AA84" s="16"/>
      <c r="AB84" s="537"/>
      <c r="AC84" s="537"/>
      <c r="AD84" s="537"/>
      <c r="AE84" s="537"/>
      <c r="AF84" s="537"/>
      <c r="AG84" s="537"/>
      <c r="AH84" s="537"/>
      <c r="AI84" s="537"/>
      <c r="AJ84" s="537"/>
      <c r="AK84" s="537"/>
      <c r="AL84" s="537"/>
      <c r="AM84" s="537"/>
    </row>
    <row r="85" spans="1:39">
      <c r="A85" s="537"/>
      <c r="B85" s="537"/>
      <c r="C85" s="537"/>
      <c r="D85" s="537" t="s">
        <v>317</v>
      </c>
      <c r="E85" s="537">
        <f t="shared" si="3"/>
        <v>0</v>
      </c>
      <c r="I85" s="537"/>
      <c r="J85" s="537"/>
      <c r="K85" s="537"/>
      <c r="L85" s="537"/>
      <c r="M85" s="537"/>
      <c r="N85" s="537"/>
      <c r="O85" s="537"/>
      <c r="P85" s="537"/>
      <c r="Q85" s="537"/>
      <c r="R85" s="537"/>
      <c r="S85" s="537"/>
      <c r="T85" s="195"/>
      <c r="AA85" s="16"/>
      <c r="AB85" s="537"/>
      <c r="AC85" s="537"/>
      <c r="AD85" s="537"/>
      <c r="AE85" s="537"/>
      <c r="AF85" s="537"/>
      <c r="AG85" s="537"/>
      <c r="AH85" s="537"/>
      <c r="AI85" s="537"/>
      <c r="AJ85" s="537"/>
      <c r="AK85" s="537"/>
      <c r="AL85" s="537"/>
      <c r="AM85" s="537"/>
    </row>
    <row r="86" spans="1:39">
      <c r="A86" s="537"/>
      <c r="B86" s="537"/>
      <c r="C86" s="537"/>
      <c r="D86" s="537" t="s">
        <v>316</v>
      </c>
      <c r="E86" s="537">
        <f t="shared" si="3"/>
        <v>0</v>
      </c>
      <c r="I86" s="537"/>
      <c r="J86" s="537"/>
      <c r="K86" s="537"/>
      <c r="L86" s="537"/>
      <c r="M86" s="537"/>
      <c r="N86" s="537"/>
      <c r="O86" s="537"/>
      <c r="P86" s="537"/>
      <c r="Q86" s="537"/>
      <c r="R86" s="537"/>
      <c r="S86" s="537"/>
      <c r="T86" s="195"/>
      <c r="AA86" s="16"/>
      <c r="AB86" s="537"/>
      <c r="AC86" s="537"/>
      <c r="AD86" s="537"/>
      <c r="AE86" s="537"/>
      <c r="AF86" s="537"/>
      <c r="AG86" s="537"/>
      <c r="AH86" s="537"/>
      <c r="AI86" s="537"/>
      <c r="AJ86" s="537"/>
      <c r="AK86" s="537"/>
      <c r="AL86" s="537"/>
      <c r="AM86" s="537"/>
    </row>
    <row r="87" spans="1:39">
      <c r="A87" s="537"/>
      <c r="B87" s="537"/>
      <c r="C87" s="537"/>
      <c r="D87" s="537"/>
      <c r="E87" s="537">
        <f>SUM(E74:E86)</f>
        <v>15</v>
      </c>
      <c r="I87" s="537"/>
      <c r="J87" s="537"/>
      <c r="K87" s="537"/>
      <c r="L87" s="537"/>
      <c r="M87" s="537"/>
      <c r="N87" s="537"/>
      <c r="O87" s="537"/>
      <c r="P87" s="537"/>
      <c r="Q87" s="537"/>
      <c r="R87" s="537"/>
      <c r="S87" s="537"/>
      <c r="T87" s="195"/>
      <c r="AA87" s="16"/>
      <c r="AB87" s="537"/>
      <c r="AC87" s="537"/>
      <c r="AD87" s="537"/>
      <c r="AE87" s="537"/>
      <c r="AF87" s="537"/>
      <c r="AG87" s="537"/>
      <c r="AH87" s="537"/>
      <c r="AI87" s="537"/>
      <c r="AJ87" s="537"/>
      <c r="AK87" s="537"/>
      <c r="AL87" s="537"/>
      <c r="AM87" s="537"/>
    </row>
    <row r="88" spans="1:39">
      <c r="A88" s="537"/>
      <c r="B88" s="537"/>
      <c r="C88" s="537"/>
      <c r="D88" s="537"/>
      <c r="E88" s="537"/>
      <c r="I88" s="537"/>
      <c r="J88" s="537"/>
      <c r="K88" s="537"/>
      <c r="L88" s="537"/>
      <c r="M88" s="537"/>
      <c r="N88" s="537"/>
      <c r="O88" s="537"/>
      <c r="P88" s="537"/>
      <c r="Q88" s="537"/>
      <c r="R88" s="537"/>
      <c r="S88" s="537"/>
      <c r="T88" s="195"/>
      <c r="AA88" s="16"/>
      <c r="AB88" s="537"/>
      <c r="AC88" s="537"/>
      <c r="AD88" s="537"/>
      <c r="AE88" s="537"/>
      <c r="AF88" s="537"/>
      <c r="AG88" s="537"/>
      <c r="AH88" s="537"/>
      <c r="AI88" s="537"/>
      <c r="AJ88" s="537"/>
      <c r="AK88" s="537"/>
      <c r="AL88" s="537"/>
      <c r="AM88" s="537"/>
    </row>
    <row r="89" spans="1:39">
      <c r="A89" s="537"/>
      <c r="B89" s="537"/>
      <c r="C89" s="537"/>
      <c r="D89" s="537"/>
      <c r="E89" s="537"/>
      <c r="I89" s="537"/>
      <c r="J89" s="537" t="s">
        <v>897</v>
      </c>
      <c r="K89" s="537"/>
      <c r="L89" s="537"/>
      <c r="M89" s="537"/>
      <c r="N89" s="200"/>
      <c r="O89" s="537"/>
      <c r="P89" s="537"/>
      <c r="Q89" s="537"/>
      <c r="R89" s="537"/>
      <c r="S89" s="537"/>
      <c r="T89" s="195"/>
      <c r="AA89" s="16"/>
      <c r="AB89" s="537"/>
      <c r="AC89" s="537"/>
      <c r="AD89" s="537"/>
      <c r="AE89" s="537"/>
      <c r="AF89" s="537"/>
      <c r="AG89" s="537"/>
      <c r="AH89" s="537"/>
      <c r="AI89" s="537"/>
      <c r="AJ89" s="537"/>
      <c r="AK89" s="537"/>
      <c r="AL89" s="537"/>
      <c r="AM89" s="537"/>
    </row>
    <row r="90" spans="1:39">
      <c r="A90" s="537"/>
      <c r="B90" s="537"/>
      <c r="C90" s="537"/>
      <c r="D90" s="537"/>
      <c r="E90" s="537"/>
      <c r="I90" s="537"/>
      <c r="J90" s="18" t="s">
        <v>1094</v>
      </c>
      <c r="K90" s="537"/>
      <c r="L90" s="537"/>
      <c r="M90" s="537"/>
      <c r="N90" s="537"/>
      <c r="O90" s="537"/>
      <c r="P90" s="537"/>
      <c r="Q90" s="537"/>
      <c r="R90" s="537"/>
      <c r="S90" s="537"/>
      <c r="T90" s="195"/>
      <c r="AA90" s="16"/>
      <c r="AB90" s="537"/>
      <c r="AC90" s="537"/>
      <c r="AD90" s="537"/>
      <c r="AE90" s="537"/>
      <c r="AF90" s="537"/>
      <c r="AG90" s="537"/>
      <c r="AH90" s="537"/>
      <c r="AI90" s="537"/>
      <c r="AJ90" s="537"/>
      <c r="AK90" s="537"/>
      <c r="AL90" s="537"/>
      <c r="AM90" s="537"/>
    </row>
    <row r="91" spans="1:39">
      <c r="A91" s="537"/>
      <c r="B91" s="537"/>
      <c r="C91" s="537"/>
      <c r="D91" s="537"/>
      <c r="E91" s="537"/>
      <c r="I91" s="537"/>
      <c r="J91" s="18" t="s">
        <v>1095</v>
      </c>
      <c r="K91" s="537"/>
      <c r="L91" s="537"/>
      <c r="M91" s="537"/>
      <c r="N91" s="537"/>
      <c r="O91" s="537"/>
      <c r="P91" s="537"/>
      <c r="Q91" s="537"/>
      <c r="R91" s="537"/>
      <c r="S91" s="537"/>
      <c r="T91" s="195"/>
      <c r="AA91" s="16"/>
      <c r="AB91" s="537"/>
      <c r="AC91" s="537"/>
      <c r="AD91" s="537"/>
      <c r="AE91" s="537"/>
      <c r="AF91" s="537"/>
      <c r="AG91" s="537"/>
      <c r="AH91" s="537"/>
      <c r="AI91" s="537"/>
      <c r="AJ91" s="537"/>
      <c r="AK91" s="537"/>
      <c r="AL91" s="537"/>
      <c r="AM91" s="537"/>
    </row>
    <row r="92" spans="1:39">
      <c r="A92" s="537"/>
      <c r="B92" s="537"/>
      <c r="C92" s="537"/>
      <c r="D92" s="537"/>
      <c r="E92" s="537"/>
      <c r="I92" s="537"/>
      <c r="J92" s="18" t="s">
        <v>1096</v>
      </c>
      <c r="K92" s="537"/>
      <c r="L92" s="537"/>
      <c r="M92" s="537"/>
      <c r="N92" s="537"/>
      <c r="O92" s="537"/>
      <c r="P92" s="537"/>
      <c r="Q92" s="537"/>
      <c r="R92" s="537"/>
      <c r="S92" s="537"/>
      <c r="T92" s="195"/>
      <c r="AA92" s="16"/>
      <c r="AB92" s="537"/>
      <c r="AC92" s="537"/>
      <c r="AD92" s="537"/>
      <c r="AE92" s="537"/>
      <c r="AF92" s="537"/>
      <c r="AG92" s="537"/>
      <c r="AH92" s="537"/>
      <c r="AI92" s="537"/>
      <c r="AJ92" s="537"/>
      <c r="AK92" s="537"/>
      <c r="AL92" s="537"/>
      <c r="AM92" s="537"/>
    </row>
    <row r="93" spans="1:39">
      <c r="A93" s="537"/>
      <c r="B93" s="537"/>
      <c r="C93" s="537"/>
      <c r="D93" s="537"/>
      <c r="E93" s="537"/>
      <c r="I93" s="537"/>
      <c r="J93" s="18" t="s">
        <v>1097</v>
      </c>
      <c r="K93" s="537"/>
      <c r="L93" s="537"/>
      <c r="M93" s="537"/>
      <c r="N93" s="537"/>
      <c r="O93" s="537"/>
      <c r="P93" s="537"/>
      <c r="Q93" s="537"/>
      <c r="R93" s="537"/>
      <c r="S93" s="537"/>
      <c r="T93" s="195"/>
      <c r="AA93" s="16"/>
      <c r="AB93" s="537"/>
      <c r="AC93" s="537"/>
      <c r="AD93" s="537"/>
      <c r="AE93" s="537"/>
      <c r="AF93" s="537"/>
      <c r="AG93" s="537"/>
      <c r="AH93" s="537"/>
      <c r="AI93" s="537"/>
      <c r="AJ93" s="537"/>
      <c r="AK93" s="537"/>
      <c r="AL93" s="537"/>
      <c r="AM93" s="537"/>
    </row>
    <row r="94" spans="1:39">
      <c r="A94" s="537"/>
      <c r="B94" s="537"/>
      <c r="C94" s="537"/>
      <c r="D94" s="537"/>
      <c r="E94" s="537"/>
      <c r="I94" s="537"/>
      <c r="J94" s="18" t="s">
        <v>1098</v>
      </c>
      <c r="K94" s="537"/>
      <c r="L94" s="537"/>
      <c r="M94" s="537"/>
      <c r="N94" s="537"/>
      <c r="O94" s="537"/>
      <c r="P94" s="537"/>
      <c r="Q94" s="537"/>
      <c r="R94" s="537"/>
      <c r="S94" s="537"/>
      <c r="T94" s="195"/>
      <c r="AA94" s="16"/>
      <c r="AB94" s="537"/>
      <c r="AC94" s="537"/>
      <c r="AD94" s="537"/>
      <c r="AE94" s="537"/>
      <c r="AF94" s="537"/>
      <c r="AG94" s="537"/>
      <c r="AH94" s="537"/>
      <c r="AI94" s="537"/>
      <c r="AJ94" s="537"/>
      <c r="AK94" s="537"/>
      <c r="AL94" s="537"/>
      <c r="AM94" s="537"/>
    </row>
    <row r="95" spans="1:39">
      <c r="A95" s="537"/>
      <c r="B95" s="537"/>
      <c r="C95" s="537"/>
      <c r="D95" s="537"/>
      <c r="E95" s="537"/>
      <c r="I95" s="537"/>
      <c r="J95" s="18" t="s">
        <v>1099</v>
      </c>
      <c r="K95" s="537"/>
      <c r="L95" s="537"/>
      <c r="M95" s="537"/>
      <c r="N95" s="537"/>
      <c r="O95" s="537"/>
      <c r="P95" s="537"/>
      <c r="Q95" s="537"/>
      <c r="R95" s="537"/>
      <c r="S95" s="537"/>
      <c r="T95" s="195"/>
      <c r="AA95" s="16"/>
      <c r="AB95" s="537"/>
      <c r="AC95" s="537"/>
      <c r="AD95" s="537"/>
      <c r="AE95" s="537"/>
      <c r="AF95" s="537"/>
      <c r="AG95" s="537"/>
      <c r="AH95" s="537"/>
      <c r="AI95" s="537"/>
      <c r="AJ95" s="537"/>
      <c r="AK95" s="537"/>
      <c r="AL95" s="537"/>
      <c r="AM95" s="537"/>
    </row>
    <row r="96" spans="1:39">
      <c r="A96" s="537"/>
      <c r="B96" s="537"/>
      <c r="C96" s="537"/>
      <c r="D96" s="537"/>
      <c r="E96" s="537"/>
      <c r="I96" s="537"/>
      <c r="J96" s="18" t="s">
        <v>1100</v>
      </c>
      <c r="K96" s="537"/>
      <c r="L96" s="537"/>
      <c r="M96" s="537"/>
      <c r="N96" s="537"/>
      <c r="O96" s="537"/>
      <c r="P96" s="537"/>
      <c r="Q96" s="537"/>
      <c r="R96" s="537"/>
      <c r="S96" s="537"/>
      <c r="T96" s="16"/>
      <c r="AA96" s="16"/>
      <c r="AB96" s="537"/>
      <c r="AC96" s="537"/>
      <c r="AD96" s="537"/>
      <c r="AE96" s="537"/>
      <c r="AF96" s="537"/>
      <c r="AG96" s="537"/>
      <c r="AH96" s="537"/>
      <c r="AI96" s="537"/>
      <c r="AJ96" s="537"/>
      <c r="AK96" s="537"/>
      <c r="AL96" s="537"/>
      <c r="AM96" s="537"/>
    </row>
    <row r="97" spans="1:44">
      <c r="A97" s="537"/>
      <c r="B97" s="537"/>
      <c r="C97" s="537"/>
      <c r="D97" s="537"/>
      <c r="E97" s="537"/>
      <c r="I97" s="537"/>
      <c r="J97" s="18" t="s">
        <v>1101</v>
      </c>
      <c r="K97" s="537"/>
      <c r="L97" s="537"/>
      <c r="M97" s="537"/>
      <c r="N97" s="537"/>
      <c r="O97" s="537"/>
      <c r="P97" s="537"/>
      <c r="Q97" s="537"/>
      <c r="R97" s="537"/>
      <c r="S97" s="537"/>
      <c r="T97" s="537"/>
      <c r="AA97" s="16"/>
      <c r="AB97" s="537"/>
      <c r="AC97" s="537"/>
      <c r="AD97" s="537"/>
      <c r="AE97" s="537"/>
      <c r="AF97" s="537"/>
      <c r="AG97" s="537"/>
      <c r="AH97" s="537"/>
      <c r="AI97" s="537"/>
      <c r="AJ97" s="537"/>
      <c r="AK97" s="537"/>
      <c r="AL97" s="537"/>
      <c r="AM97" s="537"/>
      <c r="AN97" s="537"/>
      <c r="AO97" s="537"/>
      <c r="AP97" s="537"/>
      <c r="AQ97" s="537"/>
      <c r="AR97" s="537"/>
    </row>
    <row r="98" spans="1:44">
      <c r="A98" s="537"/>
      <c r="B98" s="537"/>
      <c r="C98" s="537"/>
      <c r="D98" s="537"/>
      <c r="E98" s="537"/>
      <c r="I98" s="537"/>
      <c r="J98" s="18" t="s">
        <v>1102</v>
      </c>
      <c r="K98" s="537"/>
      <c r="L98" s="537"/>
      <c r="M98" s="537"/>
      <c r="N98" s="537"/>
      <c r="O98" s="537"/>
      <c r="P98" s="537"/>
      <c r="Q98" s="537"/>
      <c r="R98" s="537"/>
      <c r="S98" s="537"/>
      <c r="T98" s="537"/>
      <c r="AA98" s="537"/>
      <c r="AB98" s="16"/>
      <c r="AC98" s="537"/>
      <c r="AD98" s="537"/>
      <c r="AE98" s="537"/>
      <c r="AF98" s="537"/>
      <c r="AG98" s="537"/>
      <c r="AH98" s="537"/>
      <c r="AI98" s="537"/>
      <c r="AJ98" s="537"/>
      <c r="AK98" s="537"/>
      <c r="AL98" s="537"/>
      <c r="AM98" s="537"/>
      <c r="AN98" s="537"/>
      <c r="AO98" s="537"/>
      <c r="AP98" s="537"/>
      <c r="AQ98" s="537"/>
      <c r="AR98" s="537"/>
    </row>
    <row r="99" spans="1:44">
      <c r="A99" s="537"/>
      <c r="B99" s="537"/>
      <c r="C99" s="537"/>
      <c r="D99" s="537"/>
      <c r="E99" s="537"/>
      <c r="I99" s="537"/>
      <c r="J99" s="18" t="s">
        <v>1103</v>
      </c>
      <c r="K99" s="537"/>
      <c r="L99" s="537"/>
      <c r="M99" s="537"/>
      <c r="N99" s="537"/>
      <c r="O99" s="537"/>
      <c r="P99" s="537"/>
      <c r="Q99" s="537"/>
      <c r="R99" s="537"/>
      <c r="S99" s="537"/>
      <c r="T99" s="537"/>
      <c r="AA99" s="537"/>
      <c r="AB99" s="16"/>
      <c r="AC99" s="537"/>
      <c r="AD99" s="537"/>
      <c r="AE99" s="537"/>
      <c r="AF99" s="537"/>
      <c r="AG99" s="537"/>
      <c r="AH99" s="537"/>
      <c r="AI99" s="537"/>
      <c r="AJ99" s="537"/>
      <c r="AK99" s="537"/>
      <c r="AL99" s="537"/>
      <c r="AM99" s="537"/>
      <c r="AN99" s="537"/>
      <c r="AO99" s="537"/>
      <c r="AP99" s="537"/>
      <c r="AQ99" s="537"/>
      <c r="AR99" s="537"/>
    </row>
    <row r="100" spans="1:44">
      <c r="A100" s="537"/>
      <c r="B100" s="537"/>
      <c r="C100" s="537"/>
      <c r="D100" s="537"/>
      <c r="E100" s="537"/>
      <c r="I100" s="537"/>
      <c r="J100" s="18" t="s">
        <v>1104</v>
      </c>
      <c r="K100" s="537"/>
      <c r="L100" s="537"/>
      <c r="M100" s="537"/>
      <c r="N100" s="537"/>
      <c r="O100" s="537"/>
      <c r="P100" s="537"/>
      <c r="Q100" s="537"/>
      <c r="R100" s="537"/>
      <c r="S100" s="537"/>
      <c r="T100" s="537"/>
      <c r="AA100" s="537"/>
      <c r="AB100" s="16"/>
      <c r="AC100" s="537"/>
      <c r="AD100" s="537"/>
      <c r="AE100" s="537"/>
      <c r="AF100" s="537"/>
      <c r="AG100" s="537"/>
      <c r="AH100" s="537"/>
      <c r="AI100" s="537"/>
      <c r="AJ100" s="537"/>
      <c r="AK100" s="537"/>
      <c r="AL100" s="537"/>
      <c r="AM100" s="537"/>
      <c r="AN100" s="537"/>
      <c r="AO100" s="537"/>
      <c r="AP100" s="537"/>
      <c r="AQ100" s="537"/>
      <c r="AR100" s="537"/>
    </row>
    <row r="101" spans="1:44">
      <c r="A101" s="537"/>
      <c r="B101" s="537"/>
      <c r="C101" s="537"/>
      <c r="D101" s="537"/>
      <c r="E101" s="537"/>
      <c r="I101" s="537"/>
      <c r="J101" s="18" t="s">
        <v>1105</v>
      </c>
      <c r="K101" s="537"/>
      <c r="L101" s="537"/>
      <c r="M101" s="537"/>
      <c r="N101" s="537"/>
      <c r="O101" s="537"/>
      <c r="P101" s="537"/>
      <c r="Q101" s="537"/>
      <c r="R101" s="537"/>
      <c r="S101" s="537"/>
      <c r="T101" s="537"/>
      <c r="AA101" s="537"/>
      <c r="AB101" s="16"/>
      <c r="AC101" s="537"/>
      <c r="AD101" s="537"/>
      <c r="AE101" s="537"/>
      <c r="AF101" s="537"/>
      <c r="AG101" s="537"/>
      <c r="AH101" s="537"/>
      <c r="AI101" s="537"/>
      <c r="AJ101" s="537"/>
      <c r="AK101" s="537"/>
      <c r="AL101" s="537"/>
      <c r="AM101" s="537"/>
      <c r="AN101" s="537"/>
      <c r="AO101" s="537"/>
      <c r="AP101" s="537"/>
      <c r="AQ101" s="537"/>
      <c r="AR101" s="537"/>
    </row>
    <row r="102" spans="1:44">
      <c r="A102" s="537"/>
      <c r="B102" s="537"/>
      <c r="C102" s="537"/>
      <c r="D102" s="537"/>
      <c r="E102" s="537"/>
      <c r="I102" s="537"/>
      <c r="J102" s="18" t="s">
        <v>1106</v>
      </c>
      <c r="K102" s="537"/>
      <c r="L102" s="537"/>
      <c r="M102" s="537"/>
      <c r="N102" s="537"/>
      <c r="O102" s="537"/>
      <c r="P102" s="537"/>
      <c r="Q102" s="537"/>
      <c r="R102" s="537"/>
      <c r="S102" s="537"/>
      <c r="T102" s="537"/>
      <c r="AA102" s="537"/>
      <c r="AB102" s="16"/>
      <c r="AC102" s="537"/>
      <c r="AD102" s="537"/>
      <c r="AE102" s="537"/>
      <c r="AF102" s="537"/>
      <c r="AG102" s="537"/>
      <c r="AH102" s="537"/>
      <c r="AI102" s="537"/>
      <c r="AJ102" s="537"/>
      <c r="AK102" s="537"/>
      <c r="AL102" s="537"/>
      <c r="AM102" s="537"/>
      <c r="AN102" s="537"/>
      <c r="AO102" s="537"/>
      <c r="AP102" s="537"/>
      <c r="AQ102" s="537"/>
      <c r="AR102" s="537"/>
    </row>
    <row r="103" spans="1:44">
      <c r="A103" s="537"/>
      <c r="B103" s="537"/>
      <c r="C103" s="537"/>
      <c r="D103" s="537"/>
      <c r="E103" s="537"/>
      <c r="I103" s="537"/>
      <c r="J103" s="18" t="s">
        <v>1107</v>
      </c>
      <c r="K103" s="537"/>
      <c r="L103" s="537"/>
      <c r="M103" s="537"/>
      <c r="N103" s="537"/>
      <c r="O103" s="537"/>
      <c r="P103" s="537"/>
      <c r="Q103" s="537"/>
      <c r="R103" s="537"/>
      <c r="S103" s="537"/>
      <c r="T103" s="537"/>
      <c r="AA103" s="537"/>
      <c r="AB103" s="16"/>
      <c r="AC103" s="537"/>
      <c r="AD103" s="537"/>
      <c r="AE103" s="537"/>
      <c r="AF103" s="537"/>
      <c r="AG103" s="537"/>
      <c r="AH103" s="537"/>
      <c r="AI103" s="537"/>
      <c r="AJ103" s="537"/>
      <c r="AK103" s="537"/>
      <c r="AL103" s="537"/>
      <c r="AM103" s="537"/>
      <c r="AN103" s="537"/>
      <c r="AO103" s="537"/>
      <c r="AP103" s="537"/>
      <c r="AQ103" s="537"/>
      <c r="AR103" s="537"/>
    </row>
    <row r="104" spans="1:44">
      <c r="A104" s="537"/>
      <c r="B104" s="537"/>
      <c r="C104" s="537"/>
      <c r="D104" s="537"/>
      <c r="E104" s="537"/>
      <c r="I104" s="537"/>
      <c r="J104" s="18" t="s">
        <v>1108</v>
      </c>
      <c r="K104" s="537"/>
      <c r="L104" s="537"/>
      <c r="M104" s="537"/>
      <c r="N104" s="537"/>
      <c r="O104" s="537"/>
      <c r="P104" s="537"/>
      <c r="Q104" s="537"/>
      <c r="R104" s="537"/>
      <c r="S104" s="537"/>
      <c r="T104" s="537"/>
      <c r="AA104" s="537"/>
      <c r="AB104" s="16"/>
      <c r="AC104" s="537"/>
      <c r="AD104" s="537"/>
      <c r="AE104" s="537"/>
      <c r="AF104" s="537"/>
      <c r="AG104" s="537"/>
      <c r="AH104" s="537"/>
      <c r="AI104" s="537"/>
      <c r="AJ104" s="537"/>
      <c r="AK104" s="537"/>
      <c r="AL104" s="537"/>
      <c r="AM104" s="537"/>
      <c r="AN104" s="537"/>
      <c r="AO104" s="537"/>
      <c r="AP104" s="537"/>
      <c r="AQ104" s="537"/>
      <c r="AR104" s="537"/>
    </row>
    <row r="105" spans="1:44">
      <c r="A105" s="537"/>
      <c r="B105" s="537"/>
      <c r="C105" s="537"/>
      <c r="D105" s="537"/>
      <c r="E105" s="537"/>
      <c r="I105" s="537"/>
      <c r="J105" s="18" t="s">
        <v>1109</v>
      </c>
      <c r="K105" s="537"/>
      <c r="L105" s="537"/>
      <c r="M105" s="537"/>
      <c r="N105" s="537"/>
      <c r="O105" s="537"/>
      <c r="P105" s="537"/>
      <c r="Q105" s="537"/>
      <c r="R105" s="537"/>
      <c r="S105" s="537"/>
      <c r="T105" s="537"/>
      <c r="AA105" s="537"/>
      <c r="AB105" s="16"/>
      <c r="AC105" s="537"/>
      <c r="AD105" s="537"/>
      <c r="AE105" s="537"/>
      <c r="AF105" s="537"/>
      <c r="AG105" s="537"/>
      <c r="AH105" s="537"/>
      <c r="AI105" s="537"/>
      <c r="AJ105" s="537"/>
      <c r="AK105" s="537"/>
      <c r="AL105" s="537"/>
      <c r="AM105" s="537"/>
      <c r="AN105" s="537"/>
      <c r="AO105" s="537"/>
      <c r="AP105" s="537"/>
      <c r="AQ105" s="537"/>
      <c r="AR105" s="537"/>
    </row>
    <row r="106" spans="1:44">
      <c r="A106" s="537"/>
      <c r="B106" s="537"/>
      <c r="C106" s="537"/>
      <c r="D106" s="537"/>
      <c r="E106" s="537"/>
      <c r="I106" s="537"/>
      <c r="J106" s="18" t="s">
        <v>1110</v>
      </c>
      <c r="K106" s="537"/>
      <c r="L106" s="537"/>
      <c r="M106" s="537"/>
      <c r="N106" s="537"/>
      <c r="O106" s="537"/>
      <c r="P106" s="537"/>
      <c r="Q106" s="537"/>
      <c r="R106" s="537"/>
      <c r="S106" s="537"/>
      <c r="T106" s="537"/>
      <c r="AA106" s="537"/>
      <c r="AB106" s="16"/>
      <c r="AC106" s="537"/>
      <c r="AD106" s="537"/>
      <c r="AE106" s="537"/>
      <c r="AF106" s="537"/>
      <c r="AG106" s="537"/>
      <c r="AH106" s="537"/>
      <c r="AI106" s="537"/>
      <c r="AJ106" s="537"/>
      <c r="AK106" s="537"/>
      <c r="AL106" s="537"/>
      <c r="AM106" s="537"/>
      <c r="AN106" s="537"/>
      <c r="AO106" s="537"/>
      <c r="AP106" s="537"/>
      <c r="AQ106" s="537"/>
      <c r="AR106" s="537"/>
    </row>
    <row r="107" spans="1:44">
      <c r="A107" s="537"/>
      <c r="B107" s="537"/>
      <c r="C107" s="537"/>
      <c r="D107" s="537"/>
      <c r="E107" s="537"/>
      <c r="I107" s="537"/>
      <c r="J107" s="18" t="s">
        <v>1111</v>
      </c>
      <c r="K107" s="537"/>
      <c r="L107" s="537"/>
      <c r="M107" s="537"/>
      <c r="N107" s="537"/>
      <c r="O107" s="537"/>
      <c r="P107" s="537"/>
      <c r="Q107" s="537"/>
      <c r="R107" s="537"/>
      <c r="S107" s="537"/>
      <c r="T107" s="537"/>
      <c r="AA107" s="537"/>
      <c r="AB107" s="16"/>
      <c r="AC107" s="537"/>
      <c r="AD107" s="537"/>
      <c r="AE107" s="537"/>
      <c r="AF107" s="537"/>
      <c r="AG107" s="537"/>
      <c r="AH107" s="537"/>
      <c r="AI107" s="537"/>
      <c r="AJ107" s="537"/>
      <c r="AK107" s="537"/>
      <c r="AL107" s="537"/>
      <c r="AM107" s="537"/>
      <c r="AN107" s="537"/>
      <c r="AO107" s="537"/>
      <c r="AP107" s="537"/>
      <c r="AQ107" s="537"/>
      <c r="AR107" s="537"/>
    </row>
    <row r="108" spans="1:44">
      <c r="A108" s="537"/>
      <c r="B108" s="537"/>
      <c r="C108" s="537"/>
      <c r="D108" s="537"/>
      <c r="E108" s="537"/>
      <c r="I108" s="537"/>
      <c r="J108" s="18" t="s">
        <v>1112</v>
      </c>
      <c r="K108" s="537"/>
      <c r="L108" s="537"/>
      <c r="M108" s="537"/>
      <c r="N108" s="537"/>
      <c r="O108" s="537"/>
      <c r="P108" s="537"/>
      <c r="Q108" s="537"/>
      <c r="R108" s="537"/>
      <c r="S108" s="537"/>
      <c r="T108" s="537"/>
      <c r="AA108" s="537"/>
      <c r="AB108" s="16"/>
      <c r="AC108" s="537"/>
      <c r="AD108" s="537"/>
      <c r="AE108" s="537"/>
      <c r="AF108" s="537"/>
      <c r="AG108" s="537"/>
      <c r="AH108" s="537"/>
      <c r="AI108" s="537"/>
      <c r="AJ108" s="537"/>
      <c r="AK108" s="537"/>
      <c r="AL108" s="537"/>
      <c r="AM108" s="537"/>
      <c r="AN108" s="537"/>
      <c r="AO108" s="537"/>
      <c r="AP108" s="537"/>
      <c r="AQ108" s="537"/>
      <c r="AR108" s="537"/>
    </row>
    <row r="109" spans="1:44">
      <c r="A109" s="537"/>
      <c r="B109" s="537"/>
      <c r="C109" s="537"/>
      <c r="D109" s="537"/>
      <c r="E109" s="537"/>
      <c r="I109" s="537"/>
      <c r="J109" s="18" t="s">
        <v>1113</v>
      </c>
      <c r="K109" s="537"/>
      <c r="L109" s="537"/>
      <c r="M109" s="537"/>
      <c r="N109" s="537"/>
      <c r="O109" s="537"/>
      <c r="P109" s="537"/>
      <c r="Q109" s="537"/>
      <c r="R109" s="537"/>
      <c r="S109" s="537"/>
      <c r="T109" s="537"/>
      <c r="AA109" s="537"/>
      <c r="AB109" s="16"/>
      <c r="AC109" s="537"/>
      <c r="AD109" s="537"/>
      <c r="AE109" s="537"/>
      <c r="AF109" s="537"/>
      <c r="AG109" s="537"/>
      <c r="AH109" s="537"/>
      <c r="AI109" s="537"/>
      <c r="AJ109" s="537"/>
      <c r="AK109" s="537"/>
      <c r="AL109" s="537"/>
      <c r="AM109" s="537"/>
      <c r="AN109" s="537"/>
      <c r="AO109" s="537"/>
      <c r="AP109" s="537"/>
      <c r="AQ109" s="537"/>
      <c r="AR109" s="537"/>
    </row>
    <row r="110" spans="1:44">
      <c r="A110" s="537"/>
      <c r="B110" s="537"/>
      <c r="C110" s="537"/>
      <c r="D110" s="537"/>
      <c r="E110" s="537"/>
      <c r="I110" s="537"/>
      <c r="J110" s="18" t="s">
        <v>1114</v>
      </c>
      <c r="K110" s="537"/>
      <c r="L110" s="537"/>
      <c r="M110" s="537"/>
      <c r="N110" s="537"/>
      <c r="O110" s="537"/>
      <c r="P110" s="537"/>
      <c r="Q110" s="537"/>
      <c r="R110" s="537"/>
      <c r="S110" s="537"/>
      <c r="T110" s="537"/>
      <c r="AA110" s="537"/>
      <c r="AB110" s="16"/>
      <c r="AC110" s="537"/>
      <c r="AD110" s="537"/>
      <c r="AE110" s="537"/>
      <c r="AF110" s="537"/>
      <c r="AG110" s="537"/>
      <c r="AH110" s="537"/>
      <c r="AI110" s="537"/>
      <c r="AJ110" s="537"/>
      <c r="AK110" s="537"/>
      <c r="AL110" s="537"/>
      <c r="AM110" s="537"/>
      <c r="AN110" s="537"/>
      <c r="AO110" s="537"/>
      <c r="AP110" s="537"/>
      <c r="AQ110" s="537"/>
      <c r="AR110" s="537"/>
    </row>
    <row r="111" spans="1:44">
      <c r="A111" s="537"/>
      <c r="B111" s="537"/>
      <c r="C111" s="537"/>
      <c r="D111" s="537"/>
      <c r="E111" s="537"/>
      <c r="I111" s="537"/>
      <c r="J111" s="18" t="s">
        <v>1115</v>
      </c>
      <c r="K111" s="537"/>
      <c r="L111" s="537"/>
      <c r="M111" s="537"/>
      <c r="N111" s="537"/>
      <c r="O111" s="537"/>
      <c r="P111" s="537"/>
      <c r="Q111" s="537"/>
      <c r="R111" s="537"/>
      <c r="S111" s="537"/>
      <c r="T111" s="537"/>
      <c r="AA111" s="537"/>
      <c r="AB111" s="16"/>
      <c r="AC111" s="537"/>
      <c r="AD111" s="537"/>
      <c r="AE111" s="537"/>
      <c r="AF111" s="537"/>
      <c r="AG111" s="537"/>
      <c r="AH111" s="537"/>
      <c r="AI111" s="537"/>
      <c r="AJ111" s="537"/>
      <c r="AK111" s="537"/>
      <c r="AL111" s="537"/>
      <c r="AM111" s="537"/>
      <c r="AN111" s="537"/>
      <c r="AO111" s="537"/>
      <c r="AP111" s="537"/>
      <c r="AQ111" s="537"/>
      <c r="AR111" s="537"/>
    </row>
    <row r="112" spans="1:44">
      <c r="A112" s="537"/>
      <c r="B112" s="537"/>
      <c r="C112" s="537"/>
      <c r="D112" s="537"/>
      <c r="E112" s="537"/>
      <c r="I112" s="537"/>
      <c r="J112" s="18" t="s">
        <v>1116</v>
      </c>
      <c r="K112" s="537"/>
      <c r="L112" s="537"/>
      <c r="M112" s="537"/>
      <c r="N112" s="537"/>
      <c r="O112" s="537"/>
      <c r="P112" s="537"/>
      <c r="Q112" s="537"/>
      <c r="R112" s="537"/>
      <c r="S112" s="537"/>
      <c r="T112" s="537"/>
      <c r="AA112" s="537"/>
      <c r="AB112" s="16"/>
      <c r="AC112" s="537"/>
      <c r="AD112" s="537"/>
      <c r="AE112" s="537"/>
      <c r="AF112" s="537"/>
      <c r="AG112" s="537"/>
      <c r="AH112" s="537"/>
      <c r="AI112" s="537"/>
      <c r="AJ112" s="537"/>
      <c r="AK112" s="537"/>
      <c r="AL112" s="537"/>
      <c r="AM112" s="537"/>
      <c r="AN112" s="537"/>
      <c r="AO112" s="537"/>
      <c r="AP112" s="537"/>
      <c r="AQ112" s="537"/>
      <c r="AR112" s="537"/>
    </row>
    <row r="113" spans="1:44">
      <c r="A113" s="537"/>
      <c r="B113" s="537"/>
      <c r="C113" s="537"/>
      <c r="D113" s="537"/>
      <c r="E113" s="537"/>
      <c r="I113" s="537"/>
      <c r="J113" s="18" t="s">
        <v>1117</v>
      </c>
      <c r="K113" s="537"/>
      <c r="L113" s="537"/>
      <c r="M113" s="537"/>
      <c r="N113" s="537"/>
      <c r="O113" s="537"/>
      <c r="P113" s="537"/>
      <c r="Q113" s="537"/>
      <c r="R113" s="262"/>
      <c r="S113" s="262"/>
      <c r="T113" s="537"/>
      <c r="AA113" s="537"/>
      <c r="AB113" s="16"/>
      <c r="AC113" s="537"/>
      <c r="AD113" s="537"/>
      <c r="AE113" s="537"/>
      <c r="AF113" s="537"/>
      <c r="AG113" s="537"/>
      <c r="AH113" s="537"/>
      <c r="AI113" s="537"/>
      <c r="AJ113" s="537"/>
      <c r="AK113" s="537"/>
      <c r="AL113" s="537"/>
      <c r="AM113" s="537"/>
      <c r="AN113" s="537"/>
      <c r="AO113" s="537"/>
      <c r="AP113" s="537"/>
      <c r="AQ113" s="537"/>
      <c r="AR113" s="537"/>
    </row>
    <row r="114" spans="1:44">
      <c r="A114" s="537"/>
      <c r="B114" s="537"/>
      <c r="C114" s="537"/>
      <c r="D114" s="537"/>
      <c r="E114" s="537"/>
      <c r="I114" s="537"/>
      <c r="J114" s="18" t="s">
        <v>1118</v>
      </c>
      <c r="K114" s="537"/>
      <c r="L114" s="537"/>
      <c r="M114" s="537"/>
      <c r="N114" s="537"/>
      <c r="O114" s="537"/>
      <c r="P114" s="537"/>
      <c r="Q114" s="537"/>
      <c r="R114" s="262"/>
      <c r="S114" s="262"/>
      <c r="T114" s="537"/>
      <c r="AA114" s="537"/>
      <c r="AB114" s="16"/>
      <c r="AC114" s="537"/>
      <c r="AD114" s="537"/>
      <c r="AE114" s="537"/>
      <c r="AF114" s="537"/>
      <c r="AG114" s="537"/>
      <c r="AH114" s="537"/>
      <c r="AI114" s="537"/>
      <c r="AJ114" s="537"/>
      <c r="AK114" s="537"/>
      <c r="AL114" s="537"/>
      <c r="AM114" s="537"/>
      <c r="AN114" s="537"/>
      <c r="AO114" s="537"/>
      <c r="AP114" s="537"/>
      <c r="AQ114" s="537"/>
      <c r="AR114" s="537"/>
    </row>
    <row r="115" spans="1:44">
      <c r="A115" s="537"/>
      <c r="B115" s="537"/>
      <c r="C115" s="537"/>
      <c r="D115" s="537"/>
      <c r="E115" s="537"/>
      <c r="I115" s="537"/>
      <c r="J115" s="18" t="s">
        <v>1119</v>
      </c>
      <c r="K115" s="537"/>
      <c r="L115" s="537"/>
      <c r="M115" s="537"/>
      <c r="N115" s="537"/>
      <c r="O115" s="537"/>
      <c r="P115" s="537"/>
      <c r="Q115" s="537"/>
      <c r="R115" s="262"/>
      <c r="S115" s="262"/>
      <c r="T115" s="537"/>
      <c r="AA115" s="537"/>
      <c r="AB115" s="16"/>
      <c r="AC115" s="537"/>
      <c r="AD115" s="537"/>
      <c r="AE115" s="537"/>
      <c r="AF115" s="537"/>
      <c r="AG115" s="537"/>
      <c r="AH115" s="537"/>
      <c r="AI115" s="537"/>
      <c r="AJ115" s="537"/>
      <c r="AK115" s="537"/>
      <c r="AL115" s="537"/>
      <c r="AM115" s="537"/>
      <c r="AN115" s="537"/>
      <c r="AO115" s="537"/>
      <c r="AP115" s="537"/>
      <c r="AQ115" s="537"/>
      <c r="AR115" s="537"/>
    </row>
    <row r="116" spans="1:44">
      <c r="A116" s="537"/>
      <c r="B116" s="537"/>
      <c r="C116" s="537"/>
      <c r="D116" s="537"/>
      <c r="E116" s="537"/>
      <c r="I116" s="537"/>
      <c r="J116" s="18" t="s">
        <v>1120</v>
      </c>
      <c r="K116" s="537"/>
      <c r="L116" s="537"/>
      <c r="M116" s="537"/>
      <c r="N116" s="537"/>
      <c r="O116" s="537"/>
      <c r="P116" s="537"/>
      <c r="Q116" s="537"/>
      <c r="R116" s="262"/>
      <c r="S116" s="262"/>
      <c r="T116" s="537"/>
      <c r="AA116" s="537"/>
      <c r="AB116" s="16"/>
      <c r="AC116" s="537"/>
      <c r="AD116" s="537"/>
      <c r="AE116" s="537"/>
      <c r="AF116" s="537"/>
      <c r="AG116" s="537"/>
      <c r="AH116" s="537"/>
      <c r="AI116" s="537"/>
      <c r="AJ116" s="537"/>
      <c r="AK116" s="537"/>
      <c r="AL116" s="537"/>
      <c r="AM116" s="537"/>
      <c r="AN116" s="537"/>
      <c r="AO116" s="537"/>
      <c r="AP116" s="537"/>
      <c r="AQ116" s="537"/>
      <c r="AR116" s="537"/>
    </row>
    <row r="117" spans="1:44">
      <c r="A117" s="537"/>
      <c r="B117" s="537"/>
      <c r="C117" s="537"/>
      <c r="D117" s="537"/>
      <c r="E117" s="537"/>
      <c r="I117" s="537"/>
      <c r="J117" s="18" t="s">
        <v>1121</v>
      </c>
      <c r="K117" s="537"/>
      <c r="L117" s="537"/>
      <c r="M117" s="537"/>
      <c r="N117" s="537"/>
      <c r="O117" s="537"/>
      <c r="P117" s="537"/>
      <c r="Q117" s="537"/>
      <c r="R117" s="262"/>
      <c r="S117" s="262"/>
      <c r="T117" s="537"/>
      <c r="AA117" s="537"/>
      <c r="AB117" s="16"/>
      <c r="AC117" s="537"/>
      <c r="AD117" s="537"/>
      <c r="AE117" s="537"/>
      <c r="AF117" s="537"/>
      <c r="AG117" s="537"/>
      <c r="AH117" s="537"/>
      <c r="AI117" s="537"/>
      <c r="AJ117" s="537"/>
      <c r="AK117" s="537"/>
      <c r="AL117" s="537"/>
      <c r="AM117" s="537"/>
      <c r="AN117" s="537"/>
      <c r="AO117" s="537"/>
      <c r="AP117" s="537"/>
      <c r="AQ117" s="537"/>
      <c r="AR117" s="537"/>
    </row>
    <row r="118" spans="1:44">
      <c r="A118" s="537"/>
      <c r="B118" s="537"/>
      <c r="C118" s="537"/>
      <c r="D118" s="537"/>
      <c r="E118" s="537"/>
      <c r="I118" s="537"/>
      <c r="J118" s="18" t="s">
        <v>1122</v>
      </c>
      <c r="K118" s="537"/>
      <c r="L118" s="537"/>
      <c r="M118" s="537"/>
      <c r="N118" s="537"/>
      <c r="O118" s="537"/>
      <c r="P118" s="537"/>
      <c r="Q118" s="537"/>
      <c r="R118" s="262"/>
      <c r="S118" s="262"/>
      <c r="T118" s="537"/>
      <c r="AA118" s="537"/>
      <c r="AB118" s="16"/>
      <c r="AC118" s="537"/>
      <c r="AD118" s="537"/>
      <c r="AE118" s="537"/>
      <c r="AF118" s="537"/>
      <c r="AG118" s="537"/>
      <c r="AH118" s="537"/>
      <c r="AI118" s="537"/>
      <c r="AJ118" s="537"/>
      <c r="AK118" s="537"/>
      <c r="AL118" s="537"/>
      <c r="AM118" s="537"/>
      <c r="AN118" s="537"/>
      <c r="AO118" s="537"/>
      <c r="AP118" s="537"/>
      <c r="AQ118" s="537"/>
      <c r="AR118" s="537"/>
    </row>
    <row r="119" spans="1:44">
      <c r="A119" s="537"/>
      <c r="B119" s="537"/>
      <c r="C119" s="537"/>
      <c r="D119" s="537"/>
      <c r="E119" s="537"/>
      <c r="I119" s="537"/>
      <c r="J119" s="18" t="s">
        <v>1123</v>
      </c>
      <c r="K119" s="537"/>
      <c r="L119" s="537"/>
      <c r="M119" s="537"/>
      <c r="N119" s="537"/>
      <c r="O119" s="537"/>
      <c r="P119" s="537"/>
      <c r="Q119" s="537"/>
      <c r="R119" s="262"/>
      <c r="S119" s="262"/>
      <c r="T119" s="537"/>
      <c r="AA119" s="537"/>
      <c r="AB119" s="16"/>
      <c r="AC119" s="537"/>
      <c r="AD119" s="537"/>
      <c r="AE119" s="537"/>
      <c r="AF119" s="537"/>
      <c r="AG119" s="537"/>
      <c r="AH119" s="537"/>
      <c r="AI119" s="537"/>
      <c r="AJ119" s="537"/>
      <c r="AK119" s="537"/>
      <c r="AL119" s="537"/>
      <c r="AM119" s="537"/>
      <c r="AN119" s="537"/>
      <c r="AO119" s="537"/>
      <c r="AP119" s="537"/>
      <c r="AQ119" s="537"/>
      <c r="AR119" s="537"/>
    </row>
    <row r="120" spans="1:44">
      <c r="A120" s="537"/>
      <c r="B120" s="537"/>
      <c r="C120" s="537"/>
      <c r="D120" s="537"/>
      <c r="E120" s="537"/>
      <c r="I120" s="537"/>
      <c r="J120" s="18" t="s">
        <v>1124</v>
      </c>
      <c r="K120" s="537"/>
      <c r="L120" s="537"/>
      <c r="M120" s="537"/>
      <c r="N120" s="537"/>
      <c r="O120" s="537"/>
      <c r="P120" s="537"/>
      <c r="Q120" s="537"/>
      <c r="R120" s="262"/>
      <c r="S120" s="262"/>
      <c r="T120" s="537"/>
      <c r="AA120" s="537"/>
      <c r="AB120" s="16"/>
      <c r="AC120" s="537"/>
      <c r="AD120" s="537"/>
      <c r="AE120" s="537"/>
      <c r="AF120" s="537"/>
      <c r="AG120" s="537"/>
      <c r="AH120" s="537"/>
      <c r="AI120" s="537"/>
      <c r="AJ120" s="537"/>
      <c r="AK120" s="537"/>
      <c r="AL120" s="537"/>
      <c r="AM120" s="537"/>
      <c r="AN120" s="537"/>
      <c r="AO120" s="537"/>
      <c r="AP120" s="537"/>
      <c r="AQ120" s="537"/>
      <c r="AR120" s="537"/>
    </row>
    <row r="121" spans="1:44">
      <c r="A121" s="537"/>
      <c r="B121" s="537"/>
      <c r="C121" s="537"/>
      <c r="D121" s="537"/>
      <c r="E121" s="537"/>
      <c r="I121" s="537"/>
      <c r="J121" s="18" t="s">
        <v>1125</v>
      </c>
      <c r="K121" s="537"/>
      <c r="L121" s="537"/>
      <c r="M121" s="537"/>
      <c r="N121" s="537"/>
      <c r="O121" s="537"/>
      <c r="P121" s="537"/>
      <c r="Q121" s="537"/>
      <c r="R121" s="262"/>
      <c r="S121" s="262"/>
      <c r="T121" s="537"/>
      <c r="AA121" s="537"/>
      <c r="AB121" s="16"/>
      <c r="AC121" s="537"/>
      <c r="AD121" s="537"/>
      <c r="AE121" s="537"/>
      <c r="AF121" s="537"/>
      <c r="AG121" s="537"/>
      <c r="AH121" s="537"/>
      <c r="AI121" s="537"/>
      <c r="AJ121" s="537"/>
      <c r="AK121" s="537"/>
      <c r="AL121" s="537"/>
      <c r="AM121" s="537"/>
      <c r="AN121" s="537"/>
      <c r="AO121" s="537"/>
      <c r="AP121" s="537"/>
      <c r="AQ121" s="537"/>
      <c r="AR121" s="537"/>
    </row>
    <row r="122" spans="1:44">
      <c r="A122" s="537"/>
      <c r="B122" s="537"/>
      <c r="C122" s="537"/>
      <c r="D122" s="537"/>
      <c r="E122" s="537"/>
      <c r="I122" s="537"/>
      <c r="J122" s="18" t="s">
        <v>1126</v>
      </c>
      <c r="K122" s="537"/>
      <c r="L122" s="537"/>
      <c r="M122" s="537"/>
      <c r="N122" s="537"/>
      <c r="O122" s="537"/>
      <c r="P122" s="537"/>
      <c r="Q122" s="537"/>
      <c r="R122" s="262"/>
      <c r="S122" s="262"/>
      <c r="T122" s="537"/>
      <c r="AA122" s="537"/>
      <c r="AB122" s="16"/>
      <c r="AC122" s="537"/>
      <c r="AD122" s="537"/>
      <c r="AE122" s="537"/>
      <c r="AF122" s="537"/>
      <c r="AG122" s="537"/>
      <c r="AH122" s="537"/>
      <c r="AI122" s="537"/>
      <c r="AJ122" s="537"/>
      <c r="AK122" s="537"/>
      <c r="AL122" s="537"/>
      <c r="AM122" s="537"/>
      <c r="AN122" s="537"/>
      <c r="AO122" s="537"/>
      <c r="AP122" s="537"/>
      <c r="AQ122" s="537"/>
      <c r="AR122" s="537"/>
    </row>
    <row r="123" spans="1:44">
      <c r="A123" s="537"/>
      <c r="B123" s="537"/>
      <c r="C123" s="537"/>
      <c r="D123" s="537"/>
      <c r="E123" s="537"/>
      <c r="I123" s="537"/>
      <c r="J123" s="18" t="s">
        <v>1127</v>
      </c>
      <c r="K123" s="537"/>
      <c r="L123" s="537"/>
      <c r="M123" s="537"/>
      <c r="N123" s="537"/>
      <c r="O123" s="537"/>
      <c r="P123" s="537"/>
      <c r="Q123" s="537"/>
      <c r="R123" s="262"/>
      <c r="S123" s="262"/>
      <c r="T123" s="537"/>
      <c r="AA123" s="537"/>
      <c r="AB123" s="16"/>
      <c r="AC123" s="537"/>
      <c r="AD123" s="537"/>
      <c r="AE123" s="537"/>
      <c r="AF123" s="537"/>
      <c r="AG123" s="537"/>
      <c r="AH123" s="537"/>
      <c r="AI123" s="537"/>
      <c r="AJ123" s="537"/>
      <c r="AK123" s="537"/>
      <c r="AL123" s="537"/>
      <c r="AM123" s="537"/>
      <c r="AN123" s="537"/>
      <c r="AO123" s="537"/>
      <c r="AP123" s="537"/>
      <c r="AQ123" s="537"/>
      <c r="AR123" s="537"/>
    </row>
    <row r="124" spans="1:44">
      <c r="A124" s="537"/>
      <c r="B124" s="537"/>
      <c r="C124" s="537"/>
      <c r="D124" s="537"/>
      <c r="E124" s="537"/>
      <c r="I124" s="537"/>
      <c r="J124" s="18" t="s">
        <v>1128</v>
      </c>
      <c r="K124" s="537"/>
      <c r="L124" s="537"/>
      <c r="M124" s="537"/>
      <c r="N124" s="537"/>
      <c r="O124" s="537"/>
      <c r="P124" s="537"/>
      <c r="Q124" s="537"/>
      <c r="R124" s="262"/>
      <c r="S124" s="262"/>
      <c r="T124" s="537"/>
      <c r="AA124" s="537"/>
      <c r="AB124" s="16"/>
      <c r="AC124" s="537"/>
      <c r="AD124" s="537"/>
      <c r="AE124" s="537"/>
      <c r="AF124" s="537"/>
      <c r="AG124" s="537"/>
      <c r="AH124" s="537"/>
      <c r="AI124" s="537"/>
      <c r="AJ124" s="537"/>
      <c r="AK124" s="537"/>
      <c r="AL124" s="537"/>
      <c r="AM124" s="537"/>
      <c r="AN124" s="537"/>
      <c r="AO124" s="537"/>
      <c r="AP124" s="537"/>
      <c r="AQ124" s="537"/>
      <c r="AR124" s="537"/>
    </row>
    <row r="125" spans="1:44">
      <c r="A125" s="537"/>
      <c r="B125" s="537"/>
      <c r="C125" s="537"/>
      <c r="D125" s="537"/>
      <c r="E125" s="537"/>
      <c r="I125" s="537"/>
      <c r="J125" s="18" t="s">
        <v>1129</v>
      </c>
      <c r="K125" s="537"/>
      <c r="L125" s="537"/>
      <c r="M125" s="537"/>
      <c r="N125" s="537"/>
      <c r="O125" s="537"/>
      <c r="P125" s="537"/>
      <c r="Q125" s="537"/>
      <c r="R125" s="262"/>
      <c r="S125" s="262"/>
      <c r="T125" s="537"/>
      <c r="AA125" s="537"/>
      <c r="AB125" s="16"/>
      <c r="AC125" s="537"/>
      <c r="AD125" s="537"/>
      <c r="AE125" s="537"/>
      <c r="AF125" s="537"/>
      <c r="AG125" s="537"/>
      <c r="AH125" s="537"/>
      <c r="AI125" s="537"/>
      <c r="AJ125" s="537"/>
      <c r="AK125" s="537"/>
      <c r="AL125" s="537"/>
      <c r="AM125" s="537"/>
      <c r="AN125" s="537"/>
      <c r="AO125" s="537"/>
      <c r="AP125" s="537"/>
      <c r="AQ125" s="537"/>
      <c r="AR125" s="537"/>
    </row>
    <row r="126" spans="1:44">
      <c r="A126" s="537"/>
      <c r="B126" s="537"/>
      <c r="C126" s="537"/>
      <c r="D126" s="537"/>
      <c r="E126" s="537"/>
      <c r="I126" s="537"/>
      <c r="J126" s="18" t="s">
        <v>1130</v>
      </c>
      <c r="K126" s="537"/>
      <c r="L126" s="537"/>
      <c r="M126" s="537"/>
      <c r="N126" s="537"/>
      <c r="O126" s="537"/>
      <c r="P126" s="537"/>
      <c r="Q126" s="537"/>
      <c r="R126" s="262"/>
      <c r="S126" s="262"/>
      <c r="T126" s="537"/>
      <c r="AA126" s="537"/>
      <c r="AB126" s="16"/>
      <c r="AC126" s="537"/>
      <c r="AD126" s="537"/>
      <c r="AE126" s="537"/>
      <c r="AF126" s="537"/>
      <c r="AG126" s="537"/>
      <c r="AH126" s="537"/>
      <c r="AI126" s="537"/>
      <c r="AJ126" s="537"/>
      <c r="AK126" s="537"/>
      <c r="AL126" s="537"/>
      <c r="AM126" s="537"/>
      <c r="AN126" s="537"/>
      <c r="AO126" s="537"/>
      <c r="AP126" s="537"/>
      <c r="AQ126" s="537"/>
      <c r="AR126" s="537"/>
    </row>
    <row r="127" spans="1:44">
      <c r="A127" s="537"/>
      <c r="B127" s="537"/>
      <c r="C127" s="537"/>
      <c r="D127" s="537"/>
      <c r="E127" s="537"/>
      <c r="I127" s="537"/>
      <c r="J127" s="18" t="s">
        <v>1131</v>
      </c>
      <c r="K127" s="537"/>
      <c r="L127" s="537"/>
      <c r="M127" s="537"/>
      <c r="N127" s="537"/>
      <c r="O127" s="537"/>
      <c r="P127" s="537"/>
      <c r="Q127" s="537"/>
      <c r="R127" s="262"/>
      <c r="S127" s="262"/>
      <c r="T127" s="537"/>
      <c r="AA127" s="537"/>
      <c r="AB127" s="16"/>
      <c r="AC127" s="537"/>
      <c r="AD127" s="537"/>
      <c r="AE127" s="537"/>
      <c r="AF127" s="537"/>
      <c r="AG127" s="537"/>
      <c r="AH127" s="537"/>
      <c r="AI127" s="537"/>
      <c r="AJ127" s="537"/>
      <c r="AK127" s="537"/>
      <c r="AL127" s="537"/>
      <c r="AM127" s="537"/>
      <c r="AN127" s="537"/>
      <c r="AO127" s="537"/>
      <c r="AP127" s="537"/>
      <c r="AQ127" s="537"/>
      <c r="AR127" s="537"/>
    </row>
    <row r="128" spans="1:44">
      <c r="A128" s="537"/>
      <c r="B128" s="537"/>
      <c r="C128" s="537"/>
      <c r="D128" s="537"/>
      <c r="E128" s="537"/>
      <c r="I128" s="537"/>
      <c r="J128" s="18" t="s">
        <v>1132</v>
      </c>
      <c r="K128" s="537"/>
      <c r="L128" s="537"/>
      <c r="M128" s="537"/>
      <c r="N128" s="537"/>
      <c r="O128" s="537"/>
      <c r="P128" s="537"/>
      <c r="Q128" s="537"/>
      <c r="R128" s="262"/>
      <c r="S128" s="262"/>
      <c r="T128" s="537"/>
      <c r="AA128" s="537"/>
      <c r="AB128" s="16"/>
      <c r="AC128" s="537"/>
      <c r="AD128" s="537"/>
      <c r="AE128" s="537"/>
      <c r="AF128" s="537"/>
      <c r="AG128" s="537"/>
      <c r="AH128" s="537"/>
      <c r="AI128" s="537"/>
      <c r="AJ128" s="537"/>
      <c r="AK128" s="537"/>
      <c r="AL128" s="537"/>
      <c r="AM128" s="537"/>
      <c r="AN128" s="537"/>
      <c r="AO128" s="537"/>
      <c r="AP128" s="537"/>
      <c r="AQ128" s="537"/>
      <c r="AR128" s="537"/>
    </row>
    <row r="129" spans="1:44">
      <c r="A129" s="537"/>
      <c r="B129" s="537"/>
      <c r="C129" s="537"/>
      <c r="D129" s="537"/>
      <c r="E129" s="537"/>
      <c r="I129" s="537"/>
      <c r="J129" s="18" t="s">
        <v>1133</v>
      </c>
      <c r="K129" s="537"/>
      <c r="L129" s="537"/>
      <c r="M129" s="537"/>
      <c r="N129" s="537"/>
      <c r="O129" s="537"/>
      <c r="P129" s="537"/>
      <c r="Q129" s="537"/>
      <c r="R129" s="262"/>
      <c r="S129" s="262"/>
      <c r="T129" s="537"/>
      <c r="AA129" s="537"/>
      <c r="AB129" s="16"/>
      <c r="AC129" s="537"/>
      <c r="AD129" s="537"/>
      <c r="AE129" s="537"/>
      <c r="AF129" s="537"/>
      <c r="AG129" s="537"/>
      <c r="AH129" s="537"/>
      <c r="AI129" s="537"/>
      <c r="AJ129" s="537"/>
      <c r="AK129" s="537"/>
      <c r="AL129" s="537"/>
      <c r="AM129" s="537"/>
      <c r="AN129" s="537"/>
      <c r="AO129" s="537"/>
      <c r="AP129" s="537"/>
      <c r="AQ129" s="537"/>
      <c r="AR129" s="537"/>
    </row>
    <row r="130" spans="1:44">
      <c r="A130" s="537"/>
      <c r="B130" s="537"/>
      <c r="C130" s="537"/>
      <c r="D130" s="537"/>
      <c r="E130" s="537"/>
      <c r="I130" s="537"/>
      <c r="J130" s="18" t="s">
        <v>1134</v>
      </c>
      <c r="K130" s="537"/>
      <c r="L130" s="537"/>
      <c r="M130" s="537"/>
      <c r="N130" s="537"/>
      <c r="O130" s="537"/>
      <c r="P130" s="537"/>
      <c r="Q130" s="537"/>
      <c r="R130" s="262"/>
      <c r="S130" s="262"/>
      <c r="T130" s="537"/>
      <c r="AA130" s="537"/>
      <c r="AB130" s="16"/>
      <c r="AC130" s="537"/>
      <c r="AD130" s="537"/>
      <c r="AE130" s="537"/>
      <c r="AF130" s="537"/>
      <c r="AG130" s="537"/>
      <c r="AH130" s="537"/>
      <c r="AI130" s="537"/>
      <c r="AJ130" s="537"/>
      <c r="AK130" s="537"/>
      <c r="AL130" s="537"/>
      <c r="AM130" s="537"/>
      <c r="AN130" s="537"/>
      <c r="AO130" s="537"/>
      <c r="AP130" s="537"/>
      <c r="AQ130" s="537"/>
      <c r="AR130" s="537"/>
    </row>
    <row r="131" spans="1:44">
      <c r="A131" s="537"/>
      <c r="B131" s="537"/>
      <c r="C131" s="537"/>
      <c r="D131" s="537"/>
      <c r="E131" s="537"/>
      <c r="I131" s="537"/>
      <c r="J131" s="18" t="s">
        <v>1135</v>
      </c>
      <c r="K131" s="537"/>
      <c r="L131" s="537"/>
      <c r="M131" s="537"/>
      <c r="N131" s="537"/>
      <c r="O131" s="537"/>
      <c r="P131" s="537"/>
      <c r="Q131" s="537"/>
      <c r="R131" s="262"/>
      <c r="S131" s="262"/>
      <c r="T131" s="537"/>
      <c r="AA131" s="537"/>
      <c r="AB131" s="16"/>
      <c r="AC131" s="537"/>
      <c r="AD131" s="537"/>
      <c r="AE131" s="537"/>
      <c r="AF131" s="537"/>
      <c r="AG131" s="537"/>
      <c r="AH131" s="537"/>
      <c r="AI131" s="537"/>
      <c r="AJ131" s="537"/>
      <c r="AK131" s="537"/>
      <c r="AL131" s="537"/>
      <c r="AM131" s="537"/>
      <c r="AN131" s="537"/>
      <c r="AO131" s="537"/>
      <c r="AP131" s="537"/>
      <c r="AQ131" s="537"/>
      <c r="AR131" s="537"/>
    </row>
    <row r="132" spans="1:44">
      <c r="A132" s="537"/>
      <c r="B132" s="537"/>
      <c r="C132" s="537"/>
      <c r="D132" s="537"/>
      <c r="E132" s="537"/>
      <c r="I132" s="537"/>
      <c r="J132" s="18" t="s">
        <v>1136</v>
      </c>
      <c r="K132" s="537"/>
      <c r="L132" s="537"/>
      <c r="M132" s="537"/>
      <c r="N132" s="537"/>
      <c r="O132" s="537"/>
      <c r="P132" s="537"/>
      <c r="Q132" s="537"/>
      <c r="R132" s="262"/>
      <c r="S132" s="262"/>
      <c r="T132" s="537"/>
      <c r="AA132" s="537"/>
      <c r="AB132" s="16"/>
      <c r="AC132" s="537"/>
      <c r="AD132" s="537"/>
      <c r="AE132" s="537"/>
      <c r="AF132" s="537"/>
      <c r="AG132" s="537"/>
      <c r="AH132" s="537"/>
      <c r="AI132" s="537"/>
      <c r="AJ132" s="537"/>
      <c r="AK132" s="537"/>
      <c r="AL132" s="537"/>
      <c r="AM132" s="537"/>
      <c r="AN132" s="537"/>
      <c r="AO132" s="537"/>
      <c r="AP132" s="537"/>
      <c r="AQ132" s="537"/>
      <c r="AR132" s="537"/>
    </row>
    <row r="133" spans="1:44">
      <c r="A133" s="537"/>
      <c r="B133" s="537"/>
      <c r="C133" s="537"/>
      <c r="D133" s="537"/>
      <c r="E133" s="537"/>
      <c r="I133" s="537"/>
      <c r="J133" s="18" t="s">
        <v>1137</v>
      </c>
      <c r="K133" s="537"/>
      <c r="L133" s="537"/>
      <c r="M133" s="537"/>
      <c r="N133" s="537"/>
      <c r="O133" s="537"/>
      <c r="P133" s="537"/>
      <c r="Q133" s="537"/>
      <c r="R133" s="262"/>
      <c r="S133" s="262"/>
      <c r="T133" s="537"/>
      <c r="AA133" s="537"/>
      <c r="AB133" s="16"/>
      <c r="AC133" s="537"/>
      <c r="AD133" s="537"/>
      <c r="AE133" s="537"/>
      <c r="AF133" s="537"/>
      <c r="AG133" s="537"/>
      <c r="AH133" s="537"/>
      <c r="AI133" s="537"/>
      <c r="AJ133" s="537"/>
      <c r="AK133" s="537"/>
      <c r="AL133" s="537"/>
      <c r="AM133" s="537"/>
      <c r="AN133" s="537"/>
      <c r="AO133" s="537"/>
      <c r="AP133" s="537"/>
      <c r="AQ133" s="537"/>
      <c r="AR133" s="537"/>
    </row>
    <row r="134" spans="1:44">
      <c r="A134" s="537"/>
      <c r="B134" s="537"/>
      <c r="C134" s="537"/>
      <c r="D134" s="537"/>
      <c r="E134" s="537"/>
      <c r="I134" s="537"/>
      <c r="J134" s="18" t="s">
        <v>1138</v>
      </c>
      <c r="K134" s="537"/>
      <c r="L134" s="537"/>
      <c r="M134" s="537"/>
      <c r="N134" s="537"/>
      <c r="O134" s="537"/>
      <c r="P134" s="537"/>
      <c r="Q134" s="537"/>
      <c r="R134" s="262"/>
      <c r="S134" s="262"/>
      <c r="T134" s="537"/>
      <c r="AA134" s="537"/>
      <c r="AB134" s="16"/>
      <c r="AC134" s="537"/>
      <c r="AD134" s="537"/>
      <c r="AE134" s="537"/>
      <c r="AF134" s="537"/>
      <c r="AG134" s="537"/>
      <c r="AH134" s="537"/>
      <c r="AI134" s="537"/>
      <c r="AJ134" s="537"/>
      <c r="AK134" s="537"/>
      <c r="AL134" s="537"/>
      <c r="AM134" s="537"/>
      <c r="AN134" s="537"/>
      <c r="AO134" s="537"/>
      <c r="AP134" s="537"/>
      <c r="AQ134" s="537"/>
      <c r="AR134" s="537"/>
    </row>
    <row r="135" spans="1:44">
      <c r="A135" s="537"/>
      <c r="B135" s="537"/>
      <c r="C135" s="537"/>
      <c r="D135" s="537"/>
      <c r="E135" s="537"/>
      <c r="I135" s="537"/>
      <c r="J135" s="18" t="s">
        <v>1139</v>
      </c>
      <c r="K135" s="537"/>
      <c r="L135" s="537"/>
      <c r="M135" s="537"/>
      <c r="N135" s="537"/>
      <c r="O135" s="537"/>
      <c r="P135" s="537"/>
      <c r="Q135" s="537"/>
      <c r="R135" s="262"/>
      <c r="S135" s="262"/>
      <c r="T135" s="262"/>
      <c r="AA135" s="537"/>
      <c r="AB135" s="16"/>
      <c r="AC135" s="537"/>
      <c r="AD135" s="537"/>
      <c r="AE135" s="537"/>
      <c r="AF135" s="537"/>
      <c r="AG135" s="537"/>
      <c r="AH135" s="537"/>
      <c r="AI135" s="537"/>
      <c r="AJ135" s="537"/>
      <c r="AK135" s="537"/>
      <c r="AL135" s="537"/>
      <c r="AM135" s="537"/>
      <c r="AN135" s="537"/>
      <c r="AO135" s="537"/>
      <c r="AP135" s="537"/>
      <c r="AQ135" s="537"/>
      <c r="AR135" s="537"/>
    </row>
    <row r="136" spans="1:44">
      <c r="A136" s="537"/>
      <c r="B136" s="537"/>
      <c r="C136" s="537"/>
      <c r="D136" s="537"/>
      <c r="E136" s="537"/>
      <c r="I136" s="537"/>
      <c r="J136" s="18" t="s">
        <v>1140</v>
      </c>
      <c r="K136" s="537"/>
      <c r="L136" s="537"/>
      <c r="M136" s="537"/>
      <c r="N136" s="537"/>
      <c r="O136" s="537"/>
      <c r="P136" s="537"/>
      <c r="Q136" s="537"/>
      <c r="R136" s="262"/>
      <c r="S136" s="262"/>
      <c r="T136" s="262"/>
      <c r="AA136" s="537"/>
      <c r="AB136" s="16"/>
      <c r="AC136" s="537"/>
      <c r="AD136" s="537"/>
      <c r="AE136" s="537"/>
      <c r="AF136" s="537"/>
      <c r="AG136" s="537"/>
      <c r="AH136" s="537"/>
      <c r="AI136" s="537"/>
      <c r="AJ136" s="537"/>
      <c r="AK136" s="537"/>
      <c r="AL136" s="537"/>
      <c r="AM136" s="537"/>
      <c r="AN136" s="537"/>
      <c r="AO136" s="537"/>
      <c r="AP136" s="537"/>
      <c r="AQ136" s="537"/>
      <c r="AR136" s="537"/>
    </row>
    <row r="137" spans="1:44">
      <c r="A137" s="537"/>
      <c r="B137" s="537"/>
      <c r="C137" s="537"/>
      <c r="D137" s="537"/>
      <c r="E137" s="537"/>
      <c r="I137" s="537"/>
      <c r="J137" s="18" t="s">
        <v>1141</v>
      </c>
      <c r="K137" s="537"/>
      <c r="L137" s="537"/>
      <c r="M137" s="537"/>
      <c r="N137" s="537"/>
      <c r="O137" s="537"/>
      <c r="P137" s="537"/>
      <c r="Q137" s="537"/>
      <c r="R137" s="262"/>
      <c r="S137" s="262"/>
      <c r="T137" s="262"/>
      <c r="AA137" s="537"/>
      <c r="AB137" s="16"/>
      <c r="AC137" s="537"/>
      <c r="AD137" s="537"/>
      <c r="AE137" s="537"/>
      <c r="AF137" s="537"/>
      <c r="AG137" s="537"/>
      <c r="AH137" s="537"/>
      <c r="AI137" s="537"/>
      <c r="AJ137" s="537"/>
      <c r="AK137" s="537"/>
      <c r="AL137" s="537"/>
      <c r="AM137" s="537"/>
      <c r="AN137" s="537"/>
      <c r="AO137" s="537"/>
      <c r="AP137" s="537"/>
      <c r="AQ137" s="537"/>
      <c r="AR137" s="537"/>
    </row>
    <row r="138" spans="1:44">
      <c r="A138" s="537"/>
      <c r="B138" s="537"/>
      <c r="C138" s="537"/>
      <c r="D138" s="537"/>
      <c r="E138" s="537"/>
      <c r="I138" s="537"/>
      <c r="J138" s="18" t="s">
        <v>1142</v>
      </c>
      <c r="K138" s="537"/>
      <c r="L138" s="537"/>
      <c r="M138" s="537"/>
      <c r="N138" s="537"/>
      <c r="O138" s="537"/>
      <c r="P138" s="537"/>
      <c r="Q138" s="537"/>
      <c r="R138" s="262"/>
      <c r="S138" s="262"/>
      <c r="T138" s="262"/>
      <c r="AA138" s="537"/>
      <c r="AB138" s="16"/>
      <c r="AC138" s="537"/>
      <c r="AD138" s="537"/>
      <c r="AE138" s="537"/>
      <c r="AF138" s="537"/>
      <c r="AG138" s="537"/>
      <c r="AH138" s="537"/>
      <c r="AI138" s="537"/>
      <c r="AJ138" s="537"/>
      <c r="AK138" s="537"/>
      <c r="AL138" s="537"/>
      <c r="AM138" s="537"/>
      <c r="AN138" s="537"/>
      <c r="AO138" s="537"/>
      <c r="AP138" s="537"/>
      <c r="AQ138" s="537"/>
      <c r="AR138" s="537"/>
    </row>
    <row r="139" spans="1:44">
      <c r="A139" s="537"/>
      <c r="B139" s="537"/>
      <c r="C139" s="537"/>
      <c r="D139" s="537"/>
      <c r="E139" s="537"/>
      <c r="I139" s="537"/>
      <c r="J139" s="18" t="s">
        <v>1143</v>
      </c>
      <c r="K139" s="537"/>
      <c r="L139" s="537"/>
      <c r="M139" s="537"/>
      <c r="N139" s="537"/>
      <c r="O139" s="537"/>
      <c r="P139" s="537"/>
      <c r="Q139" s="537"/>
      <c r="R139" s="262"/>
      <c r="S139" s="262"/>
      <c r="T139" s="262"/>
      <c r="AA139" s="537"/>
      <c r="AB139" s="16"/>
      <c r="AC139" s="537"/>
      <c r="AD139" s="537"/>
      <c r="AE139" s="537"/>
      <c r="AF139" s="537"/>
      <c r="AG139" s="537"/>
      <c r="AH139" s="537"/>
      <c r="AI139" s="537"/>
      <c r="AJ139" s="537"/>
      <c r="AK139" s="537"/>
      <c r="AL139" s="537"/>
      <c r="AM139" s="537"/>
      <c r="AN139" s="537"/>
      <c r="AO139" s="537"/>
      <c r="AP139" s="537"/>
      <c r="AQ139" s="537"/>
      <c r="AR139" s="537"/>
    </row>
    <row r="140" spans="1:44">
      <c r="A140" s="537"/>
      <c r="B140" s="537"/>
      <c r="C140" s="537"/>
      <c r="D140" s="537"/>
      <c r="E140" s="537"/>
      <c r="I140" s="537"/>
      <c r="J140" s="18" t="s">
        <v>1144</v>
      </c>
      <c r="K140" s="537"/>
      <c r="L140" s="537"/>
      <c r="M140" s="537"/>
      <c r="N140" s="537"/>
      <c r="O140" s="537"/>
      <c r="P140" s="537"/>
      <c r="Q140" s="537"/>
      <c r="R140" s="262"/>
      <c r="S140" s="262"/>
      <c r="T140" s="262"/>
      <c r="AA140" s="537"/>
      <c r="AB140" s="537"/>
      <c r="AC140" s="537"/>
      <c r="AD140" s="537"/>
      <c r="AE140" s="537"/>
      <c r="AF140" s="537"/>
      <c r="AG140" s="537"/>
      <c r="AH140" s="537"/>
      <c r="AI140" s="537"/>
      <c r="AJ140" s="537"/>
      <c r="AK140" s="537"/>
      <c r="AL140" s="537"/>
      <c r="AM140" s="537"/>
      <c r="AN140" s="537"/>
      <c r="AO140" s="537"/>
      <c r="AP140" s="537"/>
      <c r="AQ140" s="537"/>
      <c r="AR140" s="537"/>
    </row>
    <row r="141" spans="1:44">
      <c r="A141" s="537"/>
      <c r="B141" s="537"/>
      <c r="C141" s="537"/>
      <c r="D141" s="537"/>
      <c r="E141" s="537"/>
      <c r="I141" s="537"/>
      <c r="J141" s="18" t="s">
        <v>1145</v>
      </c>
      <c r="K141" s="537"/>
      <c r="L141" s="537"/>
      <c r="M141" s="537"/>
      <c r="N141" s="537"/>
      <c r="O141" s="537"/>
      <c r="P141" s="537"/>
      <c r="Q141" s="537"/>
      <c r="R141" s="262"/>
      <c r="S141" s="262"/>
      <c r="T141" s="262"/>
      <c r="AA141" s="537"/>
      <c r="AB141" s="537"/>
      <c r="AC141" s="537"/>
      <c r="AD141" s="537"/>
      <c r="AE141" s="537"/>
      <c r="AF141" s="537"/>
      <c r="AG141" s="537"/>
      <c r="AH141" s="537"/>
      <c r="AI141" s="537"/>
      <c r="AJ141" s="537"/>
      <c r="AK141" s="537"/>
      <c r="AL141" s="537"/>
      <c r="AM141" s="537"/>
      <c r="AN141" s="537"/>
      <c r="AO141" s="537"/>
      <c r="AP141" s="537"/>
      <c r="AQ141" s="537"/>
      <c r="AR141" s="537"/>
    </row>
    <row r="142" spans="1:44">
      <c r="A142" s="537"/>
      <c r="B142" s="537"/>
      <c r="C142" s="537"/>
      <c r="D142" s="537"/>
      <c r="E142" s="537"/>
      <c r="I142" s="537"/>
      <c r="J142" s="18" t="s">
        <v>1146</v>
      </c>
      <c r="K142" s="537"/>
      <c r="L142" s="537"/>
      <c r="M142" s="537"/>
      <c r="N142" s="537"/>
      <c r="O142" s="537"/>
      <c r="P142" s="537"/>
      <c r="Q142" s="537"/>
      <c r="R142" s="262"/>
      <c r="S142" s="262"/>
      <c r="T142" s="262"/>
      <c r="AA142" s="537"/>
      <c r="AB142" s="537"/>
      <c r="AC142" s="537"/>
      <c r="AD142" s="537"/>
      <c r="AE142" s="537"/>
      <c r="AF142" s="537"/>
      <c r="AG142" s="537"/>
      <c r="AH142" s="537"/>
      <c r="AI142" s="537"/>
      <c r="AJ142" s="537"/>
      <c r="AK142" s="537"/>
      <c r="AL142" s="537"/>
      <c r="AM142" s="537"/>
      <c r="AN142" s="537"/>
      <c r="AO142" s="537"/>
      <c r="AP142" s="537"/>
      <c r="AQ142" s="537"/>
      <c r="AR142" s="537"/>
    </row>
    <row r="143" spans="1:44">
      <c r="A143" s="537"/>
      <c r="B143" s="537"/>
      <c r="C143" s="537"/>
      <c r="D143" s="537"/>
      <c r="E143" s="537"/>
      <c r="I143" s="537"/>
      <c r="J143" s="18" t="s">
        <v>1147</v>
      </c>
      <c r="K143" s="537"/>
      <c r="L143" s="537"/>
      <c r="M143" s="537"/>
      <c r="N143" s="537"/>
      <c r="O143" s="537"/>
      <c r="P143" s="537"/>
      <c r="Q143" s="537"/>
      <c r="R143" s="262"/>
      <c r="S143" s="262"/>
      <c r="T143" s="262"/>
      <c r="AA143" s="537"/>
      <c r="AB143" s="537"/>
      <c r="AC143" s="537"/>
      <c r="AD143" s="537"/>
      <c r="AE143" s="537"/>
      <c r="AF143" s="537"/>
      <c r="AG143" s="537"/>
      <c r="AH143" s="537"/>
      <c r="AI143" s="537"/>
      <c r="AJ143" s="537"/>
      <c r="AK143" s="537"/>
      <c r="AL143" s="537"/>
      <c r="AM143" s="537"/>
      <c r="AN143" s="537"/>
      <c r="AO143" s="537"/>
      <c r="AP143" s="537"/>
      <c r="AQ143" s="537"/>
      <c r="AR143" s="537"/>
    </row>
    <row r="144" spans="1:44">
      <c r="A144" s="537"/>
      <c r="B144" s="537"/>
      <c r="C144" s="537"/>
      <c r="D144" s="537"/>
      <c r="E144" s="537"/>
      <c r="I144" s="537"/>
      <c r="J144" s="18" t="s">
        <v>1148</v>
      </c>
      <c r="K144" s="537"/>
      <c r="L144" s="537"/>
      <c r="M144" s="537"/>
      <c r="N144" s="537"/>
      <c r="O144" s="537"/>
      <c r="P144" s="537"/>
      <c r="Q144" s="537"/>
      <c r="R144" s="262"/>
      <c r="S144" s="262"/>
      <c r="T144" s="262"/>
      <c r="AA144" s="537"/>
      <c r="AB144" s="537"/>
      <c r="AC144" s="537"/>
      <c r="AD144" s="537"/>
      <c r="AE144" s="537"/>
      <c r="AF144" s="537"/>
      <c r="AG144" s="537"/>
      <c r="AH144" s="537"/>
      <c r="AI144" s="537"/>
      <c r="AJ144" s="537"/>
      <c r="AK144" s="537"/>
      <c r="AL144" s="537"/>
      <c r="AM144" s="537"/>
      <c r="AN144" s="537"/>
      <c r="AO144" s="537"/>
      <c r="AP144" s="537"/>
      <c r="AQ144" s="537"/>
      <c r="AR144" s="537"/>
    </row>
    <row r="145" spans="1:44">
      <c r="A145" s="537"/>
      <c r="B145" s="537"/>
      <c r="C145" s="537"/>
      <c r="D145" s="537"/>
      <c r="E145" s="537"/>
      <c r="I145" s="537"/>
      <c r="J145" s="18" t="s">
        <v>1149</v>
      </c>
      <c r="K145" s="537"/>
      <c r="L145" s="537"/>
      <c r="M145" s="537"/>
      <c r="N145" s="537"/>
      <c r="O145" s="537"/>
      <c r="P145" s="537"/>
      <c r="Q145" s="537"/>
      <c r="R145" s="262"/>
      <c r="S145" s="262"/>
      <c r="T145" s="262"/>
      <c r="AA145" s="537"/>
      <c r="AB145" s="537"/>
      <c r="AC145" s="537"/>
      <c r="AD145" s="537"/>
      <c r="AE145" s="537"/>
      <c r="AF145" s="537"/>
      <c r="AG145" s="537"/>
      <c r="AH145" s="537"/>
      <c r="AI145" s="537"/>
      <c r="AJ145" s="537"/>
      <c r="AK145" s="537"/>
      <c r="AL145" s="537"/>
      <c r="AM145" s="537"/>
      <c r="AN145" s="537"/>
      <c r="AO145" s="537"/>
      <c r="AP145" s="537"/>
      <c r="AQ145" s="537"/>
      <c r="AR145" s="537"/>
    </row>
    <row r="146" spans="1:44">
      <c r="A146" s="537"/>
      <c r="B146" s="537"/>
      <c r="C146" s="537"/>
      <c r="D146" s="537"/>
      <c r="E146" s="537"/>
      <c r="I146" s="537"/>
      <c r="J146" s="18" t="s">
        <v>1150</v>
      </c>
      <c r="K146" s="537"/>
      <c r="L146" s="537"/>
      <c r="M146" s="537"/>
      <c r="N146" s="537"/>
      <c r="O146" s="537"/>
      <c r="P146" s="537"/>
      <c r="Q146" s="537"/>
      <c r="R146" s="262"/>
      <c r="S146" s="262"/>
      <c r="T146" s="262"/>
      <c r="AA146" s="537"/>
      <c r="AB146" s="537"/>
      <c r="AC146" s="537"/>
      <c r="AD146" s="537"/>
      <c r="AE146" s="537"/>
      <c r="AF146" s="537"/>
      <c r="AG146" s="537"/>
      <c r="AH146" s="537"/>
      <c r="AI146" s="537"/>
      <c r="AJ146" s="537"/>
      <c r="AK146" s="537"/>
      <c r="AL146" s="537"/>
      <c r="AM146" s="537"/>
      <c r="AN146" s="537"/>
      <c r="AO146" s="537"/>
      <c r="AP146" s="537"/>
      <c r="AQ146" s="537"/>
      <c r="AR146" s="537"/>
    </row>
    <row r="147" spans="1:44">
      <c r="A147" s="537"/>
      <c r="B147" s="537"/>
      <c r="C147" s="537"/>
      <c r="D147" s="537"/>
      <c r="E147" s="537"/>
      <c r="I147" s="537"/>
      <c r="J147" s="18" t="s">
        <v>1151</v>
      </c>
      <c r="K147" s="537"/>
      <c r="L147" s="537"/>
      <c r="M147" s="537"/>
      <c r="N147" s="537"/>
      <c r="O147" s="537"/>
      <c r="P147" s="537"/>
      <c r="Q147" s="537"/>
      <c r="R147" s="262"/>
      <c r="S147" s="262"/>
      <c r="T147" s="262"/>
      <c r="AA147" s="537"/>
      <c r="AB147" s="537"/>
      <c r="AC147" s="537"/>
      <c r="AD147" s="537"/>
      <c r="AE147" s="537"/>
      <c r="AF147" s="537"/>
      <c r="AG147" s="537"/>
      <c r="AH147" s="537"/>
      <c r="AI147" s="537"/>
      <c r="AJ147" s="537"/>
      <c r="AK147" s="537"/>
      <c r="AL147" s="537"/>
      <c r="AM147" s="537"/>
      <c r="AN147" s="537"/>
      <c r="AO147" s="537"/>
      <c r="AP147" s="537"/>
      <c r="AQ147" s="537"/>
      <c r="AR147" s="537"/>
    </row>
    <row r="148" spans="1:44">
      <c r="A148" s="537"/>
      <c r="B148" s="537"/>
      <c r="C148" s="537"/>
      <c r="D148" s="537"/>
      <c r="E148" s="537"/>
      <c r="I148" s="537"/>
      <c r="J148" s="18" t="s">
        <v>1152</v>
      </c>
      <c r="K148" s="537"/>
      <c r="L148" s="537"/>
      <c r="M148" s="537"/>
      <c r="N148" s="537"/>
      <c r="O148" s="537"/>
      <c r="P148" s="537"/>
      <c r="Q148" s="537"/>
      <c r="R148" s="262"/>
      <c r="S148" s="262"/>
      <c r="T148" s="262"/>
      <c r="AA148" s="537"/>
      <c r="AB148" s="537"/>
      <c r="AC148" s="537"/>
      <c r="AD148" s="537"/>
      <c r="AE148" s="537"/>
      <c r="AF148" s="537"/>
      <c r="AG148" s="537"/>
      <c r="AH148" s="537"/>
      <c r="AI148" s="537"/>
      <c r="AJ148" s="537"/>
      <c r="AK148" s="537"/>
      <c r="AL148" s="537"/>
      <c r="AM148" s="537"/>
      <c r="AN148" s="537"/>
      <c r="AO148" s="537"/>
      <c r="AP148" s="537"/>
      <c r="AQ148" s="537"/>
      <c r="AR148" s="537"/>
    </row>
    <row r="149" spans="1:44">
      <c r="A149" s="537"/>
      <c r="B149" s="537"/>
      <c r="C149" s="537"/>
      <c r="D149" s="537"/>
      <c r="E149" s="537"/>
      <c r="I149" s="537"/>
      <c r="J149" s="18" t="s">
        <v>1153</v>
      </c>
      <c r="K149" s="537"/>
      <c r="L149" s="537"/>
      <c r="M149" s="537"/>
      <c r="N149" s="537"/>
      <c r="O149" s="537"/>
      <c r="P149" s="537"/>
      <c r="Q149" s="537"/>
      <c r="R149" s="262"/>
      <c r="S149" s="262"/>
      <c r="T149" s="262"/>
      <c r="AA149" s="537"/>
      <c r="AB149" s="537"/>
      <c r="AC149" s="537"/>
      <c r="AD149" s="537"/>
      <c r="AE149" s="537"/>
      <c r="AF149" s="537"/>
      <c r="AG149" s="537"/>
      <c r="AH149" s="537"/>
      <c r="AI149" s="537"/>
      <c r="AJ149" s="537"/>
      <c r="AK149" s="537"/>
      <c r="AL149" s="537"/>
      <c r="AM149" s="537"/>
      <c r="AN149" s="537"/>
      <c r="AO149" s="537"/>
      <c r="AP149" s="537"/>
      <c r="AQ149" s="537"/>
      <c r="AR149" s="537"/>
    </row>
    <row r="150" spans="1:44">
      <c r="A150" s="537"/>
      <c r="B150" s="537"/>
      <c r="C150" s="537"/>
      <c r="D150" s="537"/>
      <c r="E150" s="537"/>
      <c r="I150" s="537"/>
      <c r="J150" s="18" t="s">
        <v>1154</v>
      </c>
      <c r="K150" s="537"/>
      <c r="L150" s="537"/>
      <c r="M150" s="537"/>
      <c r="N150" s="537"/>
      <c r="O150" s="537"/>
      <c r="P150" s="537"/>
      <c r="Q150" s="537"/>
      <c r="R150" s="262"/>
      <c r="S150" s="262"/>
      <c r="T150" s="262"/>
      <c r="AA150" s="537"/>
      <c r="AB150" s="537"/>
      <c r="AC150" s="537"/>
      <c r="AD150" s="537"/>
      <c r="AE150" s="537"/>
      <c r="AF150" s="537"/>
      <c r="AG150" s="537"/>
      <c r="AH150" s="537"/>
      <c r="AI150" s="537"/>
      <c r="AJ150" s="537"/>
      <c r="AK150" s="537"/>
      <c r="AL150" s="537"/>
      <c r="AM150" s="537"/>
      <c r="AN150" s="537"/>
      <c r="AO150" s="537"/>
      <c r="AP150" s="537"/>
      <c r="AQ150" s="537"/>
      <c r="AR150" s="537"/>
    </row>
    <row r="151" spans="1:44">
      <c r="A151" s="537"/>
      <c r="B151" s="537"/>
      <c r="C151" s="537"/>
      <c r="D151" s="537"/>
      <c r="E151" s="537"/>
      <c r="I151" s="537"/>
      <c r="J151" s="18" t="s">
        <v>1155</v>
      </c>
      <c r="K151" s="537"/>
      <c r="L151" s="537"/>
      <c r="M151" s="537"/>
      <c r="N151" s="537"/>
      <c r="O151" s="537"/>
      <c r="P151" s="537"/>
      <c r="Q151" s="537"/>
      <c r="R151" s="262"/>
      <c r="S151" s="262"/>
      <c r="T151" s="262"/>
      <c r="AA151" s="537"/>
      <c r="AB151" s="537"/>
      <c r="AC151" s="537"/>
      <c r="AD151" s="537"/>
      <c r="AE151" s="537"/>
      <c r="AF151" s="537"/>
      <c r="AG151" s="537"/>
      <c r="AH151" s="537"/>
      <c r="AI151" s="537"/>
      <c r="AJ151" s="537"/>
      <c r="AK151" s="537"/>
      <c r="AL151" s="537"/>
      <c r="AM151" s="537"/>
      <c r="AN151" s="537"/>
      <c r="AO151" s="537"/>
      <c r="AP151" s="537"/>
      <c r="AQ151" s="537"/>
      <c r="AR151" s="537"/>
    </row>
    <row r="152" spans="1:44">
      <c r="A152" s="537"/>
      <c r="B152" s="537"/>
      <c r="C152" s="537"/>
      <c r="D152" s="537"/>
      <c r="E152" s="537"/>
      <c r="I152" s="537"/>
      <c r="J152" s="18" t="s">
        <v>1156</v>
      </c>
      <c r="K152" s="537"/>
      <c r="L152" s="537"/>
      <c r="M152" s="537"/>
      <c r="N152" s="537"/>
      <c r="O152" s="537"/>
      <c r="P152" s="537"/>
      <c r="Q152" s="537"/>
      <c r="R152" s="262"/>
      <c r="S152" s="262"/>
      <c r="T152" s="262"/>
      <c r="AA152" s="537"/>
      <c r="AB152" s="537"/>
      <c r="AC152" s="537"/>
      <c r="AD152" s="537"/>
      <c r="AE152" s="537"/>
      <c r="AF152" s="537"/>
      <c r="AG152" s="537"/>
      <c r="AH152" s="537"/>
      <c r="AI152" s="537"/>
      <c r="AJ152" s="537"/>
      <c r="AK152" s="537"/>
      <c r="AL152" s="537"/>
      <c r="AM152" s="537"/>
      <c r="AN152" s="537"/>
      <c r="AO152" s="537"/>
      <c r="AP152" s="537"/>
      <c r="AQ152" s="537"/>
      <c r="AR152" s="537"/>
    </row>
    <row r="153" spans="1:44">
      <c r="A153" s="537"/>
      <c r="B153" s="537"/>
      <c r="C153" s="537"/>
      <c r="D153" s="537"/>
      <c r="E153" s="537"/>
      <c r="I153" s="537"/>
      <c r="J153" s="18" t="s">
        <v>1157</v>
      </c>
      <c r="K153" s="537"/>
      <c r="L153" s="537"/>
      <c r="M153" s="537"/>
      <c r="N153" s="537"/>
      <c r="O153" s="537"/>
      <c r="P153" s="537"/>
      <c r="Q153" s="537"/>
      <c r="R153" s="262"/>
      <c r="S153" s="262"/>
      <c r="T153" s="262"/>
      <c r="AA153" s="537"/>
      <c r="AB153" s="537"/>
      <c r="AC153" s="537"/>
      <c r="AD153" s="537"/>
      <c r="AE153" s="537"/>
      <c r="AF153" s="537"/>
      <c r="AG153" s="537"/>
      <c r="AH153" s="537"/>
      <c r="AI153" s="537"/>
      <c r="AJ153" s="537"/>
      <c r="AK153" s="537"/>
      <c r="AL153" s="537"/>
      <c r="AM153" s="537"/>
      <c r="AN153" s="537"/>
      <c r="AO153" s="537"/>
      <c r="AP153" s="537"/>
      <c r="AQ153" s="537"/>
      <c r="AR153" s="537"/>
    </row>
    <row r="154" spans="1:44">
      <c r="A154" s="537"/>
      <c r="B154" s="537"/>
      <c r="C154" s="537"/>
      <c r="D154" s="537"/>
      <c r="E154" s="537"/>
      <c r="I154" s="537"/>
      <c r="J154" s="18" t="s">
        <v>1158</v>
      </c>
      <c r="K154" s="537"/>
      <c r="L154" s="537"/>
      <c r="M154" s="537"/>
      <c r="N154" s="537"/>
      <c r="O154" s="537"/>
      <c r="P154" s="537"/>
      <c r="Q154" s="537"/>
      <c r="R154" s="262"/>
      <c r="S154" s="262"/>
      <c r="T154" s="262"/>
      <c r="AA154" s="537"/>
      <c r="AB154" s="537"/>
      <c r="AC154" s="537"/>
      <c r="AD154" s="537"/>
      <c r="AE154" s="537"/>
      <c r="AF154" s="537"/>
      <c r="AG154" s="537"/>
      <c r="AH154" s="537"/>
      <c r="AI154" s="537"/>
      <c r="AJ154" s="537"/>
      <c r="AK154" s="537"/>
      <c r="AL154" s="537"/>
      <c r="AM154" s="537"/>
      <c r="AN154" s="537"/>
      <c r="AO154" s="537"/>
      <c r="AP154" s="537"/>
      <c r="AQ154" s="537"/>
      <c r="AR154" s="537"/>
    </row>
    <row r="155" spans="1:44">
      <c r="A155" s="537"/>
      <c r="B155" s="537"/>
      <c r="C155" s="537"/>
      <c r="D155" s="537"/>
      <c r="E155" s="537"/>
      <c r="I155" s="537"/>
      <c r="J155" s="18" t="s">
        <v>1159</v>
      </c>
      <c r="K155" s="537"/>
      <c r="L155" s="537"/>
      <c r="M155" s="537"/>
      <c r="N155" s="537"/>
      <c r="O155" s="537"/>
      <c r="P155" s="537"/>
      <c r="Q155" s="537"/>
      <c r="R155" s="262"/>
      <c r="S155" s="262"/>
      <c r="T155" s="262"/>
      <c r="AA155" s="537"/>
      <c r="AB155" s="537"/>
      <c r="AC155" s="537"/>
      <c r="AD155" s="537"/>
      <c r="AE155" s="537"/>
      <c r="AF155" s="537"/>
      <c r="AG155" s="537"/>
      <c r="AH155" s="537"/>
      <c r="AI155" s="537"/>
      <c r="AJ155" s="537"/>
      <c r="AK155" s="537"/>
      <c r="AL155" s="537"/>
      <c r="AM155" s="537"/>
      <c r="AN155" s="537"/>
      <c r="AO155" s="537"/>
      <c r="AP155" s="537"/>
      <c r="AQ155" s="537"/>
      <c r="AR155" s="537"/>
    </row>
    <row r="156" spans="1:44">
      <c r="A156" s="537"/>
      <c r="B156" s="537"/>
      <c r="C156" s="537"/>
      <c r="D156" s="537"/>
      <c r="E156" s="537"/>
      <c r="I156" s="537"/>
      <c r="J156" s="18" t="s">
        <v>1160</v>
      </c>
      <c r="K156" s="537"/>
      <c r="L156" s="537"/>
      <c r="M156" s="537"/>
      <c r="N156" s="537"/>
      <c r="O156" s="537"/>
      <c r="P156" s="537"/>
      <c r="Q156" s="537"/>
      <c r="R156" s="262"/>
      <c r="S156" s="262"/>
      <c r="T156" s="262"/>
      <c r="AA156" s="537"/>
      <c r="AB156" s="537"/>
      <c r="AC156" s="537"/>
      <c r="AD156" s="537"/>
      <c r="AE156" s="537"/>
      <c r="AF156" s="537"/>
      <c r="AG156" s="537"/>
      <c r="AH156" s="537"/>
      <c r="AI156" s="537"/>
      <c r="AJ156" s="537"/>
      <c r="AK156" s="537"/>
      <c r="AL156" s="537"/>
      <c r="AM156" s="537"/>
      <c r="AN156" s="537"/>
      <c r="AO156" s="537"/>
      <c r="AP156" s="537"/>
      <c r="AQ156" s="537"/>
      <c r="AR156" s="537"/>
    </row>
    <row r="157" spans="1:44">
      <c r="A157" s="537"/>
      <c r="B157" s="537"/>
      <c r="C157" s="537"/>
      <c r="D157" s="537"/>
      <c r="E157" s="537"/>
      <c r="I157" s="537"/>
      <c r="J157" s="18" t="s">
        <v>1161</v>
      </c>
      <c r="K157" s="537"/>
      <c r="L157" s="537"/>
      <c r="M157" s="537"/>
      <c r="N157" s="537"/>
      <c r="O157" s="537"/>
      <c r="P157" s="537"/>
      <c r="Q157" s="537"/>
      <c r="R157" s="262"/>
      <c r="S157" s="262"/>
      <c r="T157" s="262"/>
      <c r="AA157" s="537"/>
      <c r="AB157" s="537"/>
      <c r="AC157" s="537"/>
      <c r="AD157" s="537"/>
      <c r="AE157" s="537"/>
      <c r="AF157" s="537"/>
      <c r="AG157" s="537"/>
      <c r="AH157" s="537"/>
      <c r="AI157" s="537"/>
      <c r="AJ157" s="537"/>
      <c r="AK157" s="537"/>
      <c r="AL157" s="537"/>
      <c r="AM157" s="537"/>
      <c r="AN157" s="537"/>
      <c r="AO157" s="537"/>
      <c r="AP157" s="537"/>
      <c r="AQ157" s="537"/>
      <c r="AR157" s="537"/>
    </row>
    <row r="158" spans="1:44">
      <c r="A158" s="537"/>
      <c r="B158" s="537"/>
      <c r="C158" s="537"/>
      <c r="D158" s="537"/>
      <c r="E158" s="537"/>
      <c r="I158" s="537"/>
      <c r="J158" s="18" t="s">
        <v>1162</v>
      </c>
      <c r="K158" s="537"/>
      <c r="L158" s="537"/>
      <c r="M158" s="537"/>
      <c r="N158" s="537"/>
      <c r="O158" s="537"/>
      <c r="P158" s="537"/>
      <c r="Q158" s="537"/>
      <c r="R158" s="262"/>
      <c r="S158" s="262"/>
      <c r="T158" s="262"/>
      <c r="AA158" s="537"/>
      <c r="AB158" s="537"/>
      <c r="AC158" s="537"/>
      <c r="AD158" s="537"/>
      <c r="AE158" s="537"/>
      <c r="AF158" s="537"/>
      <c r="AG158" s="537"/>
      <c r="AH158" s="537"/>
      <c r="AI158" s="537"/>
      <c r="AJ158" s="537"/>
      <c r="AK158" s="537"/>
      <c r="AL158" s="537"/>
      <c r="AM158" s="537"/>
      <c r="AN158" s="537"/>
      <c r="AO158" s="537"/>
      <c r="AP158" s="537"/>
      <c r="AQ158" s="537"/>
      <c r="AR158" s="537"/>
    </row>
    <row r="159" spans="1:44">
      <c r="A159" s="537"/>
      <c r="B159" s="537"/>
      <c r="C159" s="537"/>
      <c r="D159" s="537"/>
      <c r="E159" s="537"/>
      <c r="I159" s="537"/>
      <c r="J159" s="18" t="s">
        <v>1163</v>
      </c>
      <c r="K159" s="537"/>
      <c r="L159" s="537"/>
      <c r="M159" s="537"/>
      <c r="N159" s="537"/>
      <c r="O159" s="537"/>
      <c r="P159" s="537"/>
      <c r="Q159" s="537"/>
      <c r="R159" s="262"/>
      <c r="S159" s="262"/>
      <c r="T159" s="262"/>
      <c r="AA159" s="537"/>
      <c r="AB159" s="537"/>
      <c r="AC159" s="537"/>
      <c r="AD159" s="537"/>
      <c r="AE159" s="537"/>
      <c r="AF159" s="537"/>
      <c r="AG159" s="537"/>
      <c r="AH159" s="537"/>
      <c r="AI159" s="537"/>
      <c r="AJ159" s="537"/>
      <c r="AK159" s="537"/>
      <c r="AL159" s="537"/>
      <c r="AM159" s="537"/>
      <c r="AN159" s="537"/>
      <c r="AO159" s="537"/>
      <c r="AP159" s="537"/>
      <c r="AQ159" s="537"/>
      <c r="AR159" s="537"/>
    </row>
    <row r="160" spans="1:44">
      <c r="A160" s="537"/>
      <c r="B160" s="537"/>
      <c r="C160" s="537"/>
      <c r="D160" s="537"/>
      <c r="E160" s="537"/>
      <c r="I160" s="537"/>
      <c r="J160" s="18" t="s">
        <v>1164</v>
      </c>
      <c r="K160" s="537"/>
      <c r="L160" s="537"/>
      <c r="M160" s="537"/>
      <c r="N160" s="537"/>
      <c r="O160" s="537"/>
      <c r="P160" s="537"/>
      <c r="Q160" s="537"/>
      <c r="R160" s="262"/>
      <c r="S160" s="262"/>
      <c r="T160" s="262"/>
      <c r="AA160" s="537"/>
      <c r="AB160" s="537"/>
      <c r="AC160" s="537"/>
      <c r="AD160" s="537"/>
      <c r="AE160" s="537"/>
      <c r="AF160" s="537"/>
      <c r="AG160" s="537"/>
      <c r="AH160" s="537"/>
      <c r="AI160" s="537"/>
      <c r="AJ160" s="537"/>
      <c r="AK160" s="537"/>
      <c r="AL160" s="537"/>
      <c r="AM160" s="537"/>
      <c r="AN160" s="537"/>
      <c r="AO160" s="537"/>
      <c r="AP160" s="537"/>
      <c r="AQ160" s="537"/>
      <c r="AR160" s="537"/>
    </row>
    <row r="161" spans="1:44">
      <c r="A161" s="537"/>
      <c r="B161" s="537"/>
      <c r="C161" s="537"/>
      <c r="D161" s="537"/>
      <c r="E161" s="537"/>
      <c r="I161" s="537"/>
      <c r="J161" s="18" t="s">
        <v>1165</v>
      </c>
      <c r="K161" s="537"/>
      <c r="L161" s="537"/>
      <c r="M161" s="537"/>
      <c r="N161" s="537"/>
      <c r="O161" s="537"/>
      <c r="P161" s="537"/>
      <c r="Q161" s="537"/>
      <c r="R161" s="262"/>
      <c r="S161" s="262"/>
      <c r="T161" s="262"/>
      <c r="AA161" s="537"/>
      <c r="AB161" s="537"/>
      <c r="AC161" s="537"/>
      <c r="AD161" s="537"/>
      <c r="AE161" s="537"/>
      <c r="AF161" s="537"/>
      <c r="AG161" s="537"/>
      <c r="AH161" s="537"/>
      <c r="AI161" s="537"/>
      <c r="AJ161" s="537"/>
      <c r="AK161" s="537"/>
      <c r="AL161" s="537"/>
      <c r="AM161" s="537"/>
      <c r="AN161" s="537"/>
      <c r="AO161" s="537"/>
      <c r="AP161" s="537"/>
      <c r="AQ161" s="537"/>
      <c r="AR161" s="537"/>
    </row>
    <row r="162" spans="1:44">
      <c r="A162" s="537"/>
      <c r="B162" s="537"/>
      <c r="C162" s="537"/>
      <c r="D162" s="537"/>
      <c r="E162" s="537"/>
      <c r="I162" s="537"/>
      <c r="J162" s="18" t="s">
        <v>1166</v>
      </c>
      <c r="K162" s="537"/>
      <c r="L162" s="537"/>
      <c r="M162" s="537"/>
      <c r="N162" s="537"/>
      <c r="O162" s="537"/>
      <c r="P162" s="537"/>
      <c r="Q162" s="537"/>
      <c r="R162" s="262"/>
      <c r="S162" s="262"/>
      <c r="T162" s="262"/>
      <c r="AA162" s="537"/>
      <c r="AB162" s="537"/>
      <c r="AC162" s="537"/>
      <c r="AD162" s="537"/>
      <c r="AE162" s="537"/>
      <c r="AF162" s="537"/>
      <c r="AG162" s="537"/>
      <c r="AH162" s="537"/>
      <c r="AI162" s="537"/>
      <c r="AJ162" s="537"/>
      <c r="AK162" s="537"/>
      <c r="AL162" s="537"/>
      <c r="AM162" s="537"/>
      <c r="AN162" s="537"/>
      <c r="AO162" s="537"/>
      <c r="AP162" s="537"/>
      <c r="AQ162" s="537"/>
      <c r="AR162" s="537"/>
    </row>
    <row r="163" spans="1:44">
      <c r="A163" s="537"/>
      <c r="B163" s="537"/>
      <c r="C163" s="537"/>
      <c r="D163" s="537"/>
      <c r="E163" s="537"/>
      <c r="I163" s="537"/>
      <c r="J163" s="18" t="s">
        <v>1167</v>
      </c>
      <c r="K163" s="537"/>
      <c r="L163" s="537"/>
      <c r="M163" s="537"/>
      <c r="N163" s="537"/>
      <c r="O163" s="537"/>
      <c r="P163" s="537"/>
      <c r="Q163" s="537"/>
      <c r="R163" s="262"/>
      <c r="S163" s="262"/>
      <c r="T163" s="262"/>
      <c r="U163" s="262"/>
      <c r="AA163" s="537"/>
      <c r="AB163" s="537"/>
      <c r="AC163" s="537"/>
      <c r="AD163" s="537"/>
      <c r="AE163" s="537"/>
      <c r="AF163" s="537"/>
      <c r="AG163" s="537"/>
      <c r="AH163" s="537"/>
      <c r="AI163" s="537"/>
      <c r="AJ163" s="537"/>
      <c r="AK163" s="537"/>
      <c r="AL163" s="537"/>
      <c r="AM163" s="537"/>
      <c r="AN163" s="537"/>
      <c r="AO163" s="537"/>
      <c r="AP163" s="537"/>
      <c r="AQ163" s="537"/>
      <c r="AR163" s="537"/>
    </row>
    <row r="164" spans="1:44">
      <c r="A164" s="537"/>
      <c r="B164" s="537"/>
      <c r="C164" s="537"/>
      <c r="D164" s="537"/>
      <c r="E164" s="537"/>
      <c r="I164" s="537"/>
      <c r="J164" s="18" t="s">
        <v>1168</v>
      </c>
      <c r="K164" s="537"/>
      <c r="L164" s="537"/>
      <c r="M164" s="537"/>
      <c r="N164" s="537"/>
      <c r="O164" s="537"/>
      <c r="P164" s="537"/>
      <c r="Q164" s="537"/>
      <c r="R164" s="262"/>
      <c r="S164" s="262"/>
      <c r="T164" s="262"/>
      <c r="AA164" s="537"/>
      <c r="AB164" s="537"/>
      <c r="AC164" s="537"/>
      <c r="AD164" s="537"/>
      <c r="AE164" s="537"/>
      <c r="AF164" s="537"/>
      <c r="AG164" s="537"/>
      <c r="AH164" s="537"/>
      <c r="AI164" s="537"/>
      <c r="AJ164" s="537"/>
      <c r="AK164" s="537"/>
      <c r="AL164" s="537"/>
      <c r="AM164" s="537"/>
      <c r="AN164" s="537"/>
      <c r="AO164" s="537"/>
      <c r="AP164" s="537"/>
      <c r="AQ164" s="537"/>
      <c r="AR164" s="537"/>
    </row>
    <row r="165" spans="1:44">
      <c r="A165" s="537"/>
      <c r="B165" s="537"/>
      <c r="C165" s="537"/>
      <c r="D165" s="537"/>
      <c r="E165" s="537"/>
      <c r="I165" s="537"/>
      <c r="J165" s="18" t="s">
        <v>1169</v>
      </c>
      <c r="K165" s="537"/>
      <c r="L165" s="537"/>
      <c r="M165" s="537"/>
      <c r="N165" s="537"/>
      <c r="O165" s="537"/>
      <c r="P165" s="537"/>
      <c r="Q165" s="537"/>
      <c r="R165" s="262"/>
      <c r="S165" s="262"/>
      <c r="T165" s="262"/>
      <c r="AA165" s="537"/>
      <c r="AB165" s="537"/>
      <c r="AC165" s="537"/>
      <c r="AD165" s="537"/>
      <c r="AE165" s="537"/>
      <c r="AF165" s="537"/>
      <c r="AG165" s="537"/>
      <c r="AH165" s="537"/>
      <c r="AI165" s="537"/>
      <c r="AJ165" s="537"/>
      <c r="AK165" s="537"/>
      <c r="AL165" s="537"/>
      <c r="AM165" s="537"/>
      <c r="AN165" s="537"/>
      <c r="AO165" s="537"/>
      <c r="AP165" s="537"/>
      <c r="AQ165" s="537"/>
      <c r="AR165" s="537"/>
    </row>
    <row r="166" spans="1:44">
      <c r="A166" s="537"/>
      <c r="B166" s="537"/>
      <c r="C166" s="537"/>
      <c r="D166" s="537"/>
      <c r="E166" s="537"/>
      <c r="I166" s="537"/>
      <c r="J166" s="18" t="s">
        <v>1170</v>
      </c>
      <c r="K166" s="537"/>
      <c r="L166" s="537"/>
      <c r="M166" s="537"/>
      <c r="N166" s="537"/>
      <c r="O166" s="537"/>
      <c r="P166" s="537"/>
      <c r="Q166" s="537"/>
      <c r="R166" s="262"/>
      <c r="S166" s="262"/>
      <c r="T166" s="262"/>
      <c r="AA166" s="537"/>
      <c r="AB166" s="537"/>
      <c r="AC166" s="537"/>
      <c r="AD166" s="537"/>
      <c r="AE166" s="537"/>
      <c r="AF166" s="537"/>
      <c r="AG166" s="537"/>
      <c r="AH166" s="537"/>
      <c r="AI166" s="537"/>
      <c r="AJ166" s="537"/>
      <c r="AK166" s="537"/>
      <c r="AL166" s="537"/>
      <c r="AM166" s="537"/>
      <c r="AN166" s="537"/>
      <c r="AO166" s="537"/>
      <c r="AP166" s="537"/>
      <c r="AQ166" s="537"/>
      <c r="AR166" s="537"/>
    </row>
    <row r="167" spans="1:44">
      <c r="A167" s="537"/>
      <c r="B167" s="537"/>
      <c r="C167" s="537"/>
      <c r="D167" s="537"/>
      <c r="E167" s="537"/>
      <c r="I167" s="537"/>
      <c r="J167" s="18" t="s">
        <v>1171</v>
      </c>
      <c r="K167" s="537"/>
      <c r="L167" s="537"/>
      <c r="M167" s="537"/>
      <c r="N167" s="537"/>
      <c r="O167" s="537"/>
      <c r="P167" s="537"/>
      <c r="Q167" s="537"/>
      <c r="R167" s="262"/>
      <c r="S167" s="262"/>
      <c r="T167" s="262"/>
      <c r="AA167" s="537"/>
      <c r="AB167" s="537"/>
      <c r="AC167" s="537"/>
      <c r="AD167" s="537"/>
      <c r="AE167" s="537"/>
      <c r="AF167" s="537"/>
      <c r="AG167" s="537"/>
      <c r="AH167" s="537"/>
      <c r="AI167" s="537"/>
      <c r="AJ167" s="537"/>
      <c r="AK167" s="537"/>
      <c r="AL167" s="537"/>
      <c r="AM167" s="537"/>
      <c r="AN167" s="537"/>
      <c r="AO167" s="537"/>
      <c r="AP167" s="537"/>
      <c r="AQ167" s="537"/>
      <c r="AR167" s="537"/>
    </row>
    <row r="168" spans="1:44">
      <c r="A168" s="537"/>
      <c r="B168" s="537"/>
      <c r="C168" s="537"/>
      <c r="D168" s="537"/>
      <c r="E168" s="537"/>
      <c r="I168" s="537"/>
      <c r="J168" s="18" t="s">
        <v>1172</v>
      </c>
      <c r="K168" s="537"/>
      <c r="L168" s="537"/>
      <c r="M168" s="537"/>
      <c r="N168" s="537"/>
      <c r="O168" s="537"/>
      <c r="P168" s="537"/>
      <c r="Q168" s="537"/>
      <c r="R168" s="262"/>
      <c r="S168" s="262"/>
      <c r="T168" s="262"/>
      <c r="AA168" s="537"/>
      <c r="AB168" s="537"/>
      <c r="AC168" s="537"/>
      <c r="AD168" s="537"/>
      <c r="AE168" s="537"/>
      <c r="AF168" s="537"/>
      <c r="AG168" s="537"/>
      <c r="AH168" s="537"/>
      <c r="AI168" s="537"/>
      <c r="AJ168" s="537"/>
      <c r="AK168" s="537"/>
      <c r="AL168" s="537"/>
      <c r="AM168" s="537"/>
      <c r="AN168" s="537"/>
      <c r="AO168" s="537"/>
      <c r="AP168" s="537"/>
      <c r="AQ168" s="537"/>
      <c r="AR168" s="537"/>
    </row>
    <row r="169" spans="1:44">
      <c r="A169" s="537"/>
      <c r="B169" s="537"/>
      <c r="C169" s="537"/>
      <c r="D169" s="537"/>
      <c r="E169" s="537"/>
      <c r="I169" s="537"/>
      <c r="J169" s="18"/>
      <c r="K169" s="537"/>
      <c r="L169" s="537"/>
      <c r="M169" s="537"/>
      <c r="N169" s="537"/>
      <c r="O169" s="537"/>
      <c r="P169" s="537"/>
      <c r="Q169" s="537"/>
      <c r="R169" s="262"/>
      <c r="S169" s="262"/>
      <c r="T169" s="262"/>
      <c r="AA169" s="537"/>
      <c r="AB169" s="537"/>
      <c r="AC169" s="537"/>
      <c r="AD169" s="537"/>
      <c r="AE169" s="537"/>
      <c r="AF169" s="537"/>
      <c r="AG169" s="537"/>
      <c r="AH169" s="537"/>
      <c r="AI169" s="537"/>
      <c r="AJ169" s="537"/>
      <c r="AK169" s="537"/>
      <c r="AL169" s="537"/>
      <c r="AM169" s="537"/>
      <c r="AN169" s="537"/>
      <c r="AO169" s="537"/>
      <c r="AP169" s="537"/>
      <c r="AQ169" s="537"/>
      <c r="AR169" s="537"/>
    </row>
    <row r="170" spans="1:44">
      <c r="A170" s="537"/>
      <c r="B170" s="537"/>
      <c r="C170" s="537"/>
      <c r="D170" s="537"/>
      <c r="E170" s="537"/>
      <c r="I170" s="537"/>
      <c r="J170" s="18"/>
      <c r="K170" s="537"/>
      <c r="L170" s="537"/>
      <c r="M170" s="537"/>
      <c r="N170" s="537"/>
      <c r="O170" s="537"/>
      <c r="P170" s="537"/>
      <c r="Q170" s="537"/>
      <c r="R170" s="262"/>
      <c r="S170" s="262"/>
      <c r="T170" s="262"/>
      <c r="AA170" s="537"/>
      <c r="AB170" s="537"/>
      <c r="AC170" s="537"/>
      <c r="AD170" s="537"/>
      <c r="AE170" s="537"/>
      <c r="AF170" s="537"/>
      <c r="AG170" s="537"/>
      <c r="AH170" s="537"/>
      <c r="AI170" s="537"/>
      <c r="AJ170" s="537"/>
      <c r="AK170" s="537"/>
      <c r="AL170" s="537"/>
      <c r="AM170" s="537"/>
      <c r="AN170" s="537"/>
      <c r="AO170" s="537"/>
      <c r="AP170" s="537"/>
      <c r="AQ170" s="537"/>
      <c r="AR170" s="537"/>
    </row>
    <row r="171" spans="1:44">
      <c r="A171" s="537"/>
      <c r="B171" s="537"/>
      <c r="C171" s="537"/>
      <c r="D171" s="537"/>
      <c r="E171" s="537"/>
      <c r="I171" s="537"/>
      <c r="J171" s="18"/>
      <c r="K171" s="537"/>
      <c r="L171" s="537"/>
      <c r="M171" s="537"/>
      <c r="N171" s="537"/>
      <c r="O171" s="537"/>
      <c r="P171" s="537"/>
      <c r="Q171" s="537"/>
      <c r="R171" s="262"/>
      <c r="S171" s="262"/>
      <c r="T171" s="262"/>
      <c r="AA171" s="537"/>
      <c r="AB171" s="537"/>
      <c r="AC171" s="537"/>
      <c r="AD171" s="537"/>
      <c r="AE171" s="537"/>
      <c r="AF171" s="537"/>
      <c r="AG171" s="537"/>
      <c r="AH171" s="537"/>
      <c r="AI171" s="537"/>
      <c r="AJ171" s="537"/>
      <c r="AK171" s="537"/>
      <c r="AL171" s="537"/>
      <c r="AM171" s="537"/>
      <c r="AN171" s="537"/>
      <c r="AO171" s="537"/>
      <c r="AP171" s="537"/>
      <c r="AQ171" s="537"/>
      <c r="AR171" s="537"/>
    </row>
    <row r="172" spans="1:44">
      <c r="A172" s="537"/>
      <c r="B172" s="537"/>
      <c r="C172" s="537"/>
      <c r="D172" s="537"/>
      <c r="E172" s="537"/>
      <c r="I172" s="537"/>
      <c r="J172" s="18"/>
      <c r="K172" s="537"/>
      <c r="L172" s="537"/>
      <c r="M172" s="537"/>
      <c r="N172" s="537"/>
      <c r="O172" s="537"/>
      <c r="P172" s="537"/>
      <c r="Q172" s="537"/>
      <c r="R172" s="262"/>
      <c r="S172" s="262"/>
      <c r="T172" s="262"/>
      <c r="AA172" s="537"/>
      <c r="AB172" s="537"/>
      <c r="AC172" s="537"/>
      <c r="AD172" s="537"/>
      <c r="AE172" s="537"/>
      <c r="AF172" s="537"/>
      <c r="AG172" s="537"/>
      <c r="AH172" s="537"/>
      <c r="AI172" s="537"/>
      <c r="AJ172" s="537"/>
      <c r="AK172" s="537"/>
      <c r="AL172" s="537"/>
      <c r="AM172" s="537"/>
      <c r="AN172" s="537"/>
      <c r="AO172" s="537"/>
      <c r="AP172" s="537"/>
      <c r="AQ172" s="537"/>
      <c r="AR172" s="537"/>
    </row>
    <row r="173" spans="1:44">
      <c r="A173" s="537"/>
      <c r="B173" s="537"/>
      <c r="C173" s="537"/>
      <c r="D173" s="537"/>
      <c r="E173" s="537"/>
      <c r="I173" s="537"/>
      <c r="J173" s="18"/>
      <c r="K173" s="537"/>
      <c r="L173" s="537"/>
      <c r="M173" s="537"/>
      <c r="N173" s="537"/>
      <c r="O173" s="537"/>
      <c r="P173" s="537"/>
      <c r="Q173" s="537"/>
      <c r="R173" s="262"/>
      <c r="S173" s="262"/>
      <c r="T173" s="262"/>
      <c r="AA173" s="537"/>
      <c r="AB173" s="537"/>
      <c r="AC173" s="537"/>
      <c r="AD173" s="537"/>
      <c r="AE173" s="537"/>
      <c r="AF173" s="537"/>
      <c r="AG173" s="537"/>
      <c r="AH173" s="537"/>
      <c r="AI173" s="537"/>
      <c r="AJ173" s="537"/>
      <c r="AK173" s="537"/>
      <c r="AL173" s="537"/>
      <c r="AM173" s="537"/>
      <c r="AN173" s="537"/>
      <c r="AO173" s="537"/>
      <c r="AP173" s="537"/>
      <c r="AQ173" s="537"/>
      <c r="AR173" s="537"/>
    </row>
    <row r="174" spans="1:44">
      <c r="A174" s="537"/>
      <c r="B174" s="537"/>
      <c r="C174" s="537"/>
      <c r="D174" s="537"/>
      <c r="E174" s="537"/>
      <c r="I174" s="537"/>
      <c r="J174" s="18"/>
      <c r="K174" s="537"/>
      <c r="L174" s="537"/>
      <c r="M174" s="537"/>
      <c r="N174" s="537"/>
      <c r="O174" s="537"/>
      <c r="P174" s="537"/>
      <c r="Q174" s="537"/>
      <c r="R174" s="262"/>
      <c r="S174" s="262"/>
      <c r="T174" s="262"/>
      <c r="AA174" s="537"/>
      <c r="AB174" s="537"/>
      <c r="AC174" s="537"/>
      <c r="AD174" s="537"/>
      <c r="AE174" s="537"/>
      <c r="AF174" s="537"/>
      <c r="AG174" s="537"/>
      <c r="AH174" s="537"/>
      <c r="AI174" s="537"/>
      <c r="AJ174" s="537"/>
      <c r="AK174" s="537"/>
      <c r="AL174" s="537"/>
      <c r="AM174" s="537"/>
      <c r="AN174" s="537"/>
      <c r="AO174" s="537"/>
      <c r="AP174" s="537"/>
      <c r="AQ174" s="537"/>
      <c r="AR174" s="537"/>
    </row>
    <row r="175" spans="1:44">
      <c r="A175" s="537"/>
      <c r="B175" s="537"/>
      <c r="C175" s="537"/>
      <c r="D175" s="537"/>
      <c r="E175" s="537"/>
      <c r="I175" s="537"/>
      <c r="J175" s="18"/>
      <c r="K175" s="537"/>
      <c r="L175" s="537"/>
      <c r="M175" s="537"/>
      <c r="N175" s="537"/>
      <c r="O175" s="537"/>
      <c r="P175" s="537"/>
      <c r="Q175" s="537"/>
      <c r="R175" s="262"/>
      <c r="S175" s="262"/>
      <c r="T175" s="262"/>
      <c r="AA175" s="537"/>
      <c r="AB175" s="537"/>
      <c r="AC175" s="537"/>
      <c r="AD175" s="537"/>
      <c r="AE175" s="537"/>
      <c r="AF175" s="537"/>
      <c r="AG175" s="537"/>
      <c r="AH175" s="537"/>
      <c r="AI175" s="537"/>
      <c r="AJ175" s="537"/>
      <c r="AK175" s="537"/>
      <c r="AL175" s="537"/>
      <c r="AM175" s="537"/>
      <c r="AN175" s="537"/>
      <c r="AO175" s="537"/>
      <c r="AP175" s="537"/>
      <c r="AQ175" s="537"/>
      <c r="AR175" s="537"/>
    </row>
    <row r="176" spans="1:44">
      <c r="A176" s="537"/>
      <c r="B176" s="537"/>
      <c r="C176" s="537"/>
      <c r="D176" s="537"/>
      <c r="E176" s="537"/>
      <c r="I176" s="537"/>
      <c r="J176" s="18"/>
      <c r="K176" s="537"/>
      <c r="L176" s="537"/>
      <c r="M176" s="537"/>
      <c r="N176" s="537"/>
      <c r="O176" s="537"/>
      <c r="P176" s="537"/>
      <c r="Q176" s="537"/>
      <c r="R176" s="262"/>
      <c r="S176" s="262"/>
      <c r="T176" s="262"/>
      <c r="AA176" s="537"/>
      <c r="AB176" s="537"/>
      <c r="AC176" s="537"/>
      <c r="AD176" s="537"/>
      <c r="AE176" s="537"/>
      <c r="AF176" s="537"/>
      <c r="AG176" s="537"/>
      <c r="AH176" s="537"/>
      <c r="AI176" s="537"/>
      <c r="AJ176" s="537"/>
      <c r="AK176" s="537"/>
      <c r="AL176" s="537"/>
      <c r="AM176" s="537"/>
      <c r="AN176" s="537"/>
      <c r="AO176" s="537"/>
      <c r="AP176" s="537"/>
      <c r="AQ176" s="537"/>
      <c r="AR176" s="537"/>
    </row>
    <row r="177" spans="1:44">
      <c r="A177" s="537"/>
      <c r="B177" s="537"/>
      <c r="C177" s="537"/>
      <c r="D177" s="537"/>
      <c r="E177" s="537"/>
      <c r="I177" s="537"/>
      <c r="J177" s="18"/>
      <c r="K177" s="537"/>
      <c r="L177" s="537"/>
      <c r="M177" s="537"/>
      <c r="N177" s="537"/>
      <c r="O177" s="537"/>
      <c r="P177" s="537"/>
      <c r="Q177" s="537"/>
      <c r="R177" s="262"/>
      <c r="S177" s="262"/>
      <c r="T177" s="262"/>
      <c r="AA177" s="537"/>
      <c r="AB177" s="537"/>
      <c r="AC177" s="537"/>
      <c r="AD177" s="537"/>
      <c r="AE177" s="537"/>
      <c r="AF177" s="537"/>
      <c r="AG177" s="537"/>
      <c r="AH177" s="537"/>
      <c r="AI177" s="537"/>
      <c r="AJ177" s="537"/>
      <c r="AK177" s="537"/>
      <c r="AL177" s="537"/>
      <c r="AM177" s="537"/>
      <c r="AN177" s="537"/>
      <c r="AO177" s="537"/>
      <c r="AP177" s="537"/>
      <c r="AQ177" s="537"/>
      <c r="AR177" s="537"/>
    </row>
    <row r="178" spans="1:44">
      <c r="A178" s="537"/>
      <c r="B178" s="537"/>
      <c r="C178" s="537"/>
      <c r="D178" s="537"/>
      <c r="E178" s="537"/>
      <c r="I178" s="537"/>
      <c r="J178" s="18"/>
      <c r="K178" s="537"/>
      <c r="L178" s="537"/>
      <c r="M178" s="537"/>
      <c r="N178" s="537"/>
      <c r="O178" s="537"/>
      <c r="P178" s="537"/>
      <c r="Q178" s="537"/>
      <c r="R178" s="262"/>
      <c r="S178" s="262"/>
      <c r="T178" s="262"/>
      <c r="AA178" s="537"/>
      <c r="AB178" s="537"/>
      <c r="AC178" s="537"/>
      <c r="AD178" s="537"/>
      <c r="AE178" s="537"/>
      <c r="AF178" s="537"/>
      <c r="AG178" s="537"/>
      <c r="AH178" s="537"/>
      <c r="AI178" s="537"/>
      <c r="AJ178" s="537"/>
      <c r="AK178" s="537"/>
      <c r="AL178" s="537"/>
      <c r="AM178" s="537"/>
      <c r="AN178" s="537"/>
      <c r="AO178" s="537"/>
      <c r="AP178" s="537"/>
      <c r="AQ178" s="537"/>
      <c r="AR178" s="537"/>
    </row>
    <row r="179" spans="1:44">
      <c r="A179" s="537"/>
      <c r="B179" s="537"/>
      <c r="C179" s="537"/>
      <c r="D179" s="537"/>
      <c r="E179" s="537"/>
      <c r="I179" s="537"/>
      <c r="J179" s="18"/>
      <c r="K179" s="537"/>
      <c r="L179" s="537"/>
      <c r="M179" s="537"/>
      <c r="N179" s="537"/>
      <c r="O179" s="537"/>
      <c r="P179" s="537"/>
      <c r="Q179" s="537"/>
      <c r="R179" s="262"/>
      <c r="S179" s="262"/>
      <c r="T179" s="262"/>
      <c r="AA179" s="537"/>
      <c r="AB179" s="537"/>
      <c r="AC179" s="537"/>
      <c r="AD179" s="537"/>
      <c r="AE179" s="537"/>
      <c r="AF179" s="537"/>
      <c r="AG179" s="537"/>
      <c r="AH179" s="537"/>
      <c r="AI179" s="537"/>
      <c r="AJ179" s="537"/>
      <c r="AK179" s="537"/>
      <c r="AL179" s="537"/>
      <c r="AM179" s="537"/>
      <c r="AN179" s="537"/>
      <c r="AO179" s="537"/>
      <c r="AP179" s="537"/>
      <c r="AQ179" s="537"/>
      <c r="AR179" s="537"/>
    </row>
    <row r="180" spans="1:44">
      <c r="A180" s="537"/>
      <c r="B180" s="537"/>
      <c r="C180" s="537"/>
      <c r="D180" s="537"/>
      <c r="E180" s="537"/>
      <c r="I180" s="537"/>
      <c r="J180" s="18"/>
      <c r="K180" s="537"/>
      <c r="L180" s="537"/>
      <c r="M180" s="537"/>
      <c r="N180" s="537"/>
      <c r="O180" s="537"/>
      <c r="P180" s="537"/>
      <c r="Q180" s="537"/>
      <c r="R180" s="262"/>
      <c r="S180" s="262"/>
      <c r="T180" s="262"/>
      <c r="AA180" s="537"/>
      <c r="AB180" s="537"/>
      <c r="AC180" s="537"/>
      <c r="AD180" s="537"/>
      <c r="AE180" s="537"/>
      <c r="AF180" s="537"/>
      <c r="AG180" s="537"/>
      <c r="AH180" s="537"/>
      <c r="AI180" s="537"/>
      <c r="AJ180" s="537"/>
      <c r="AK180" s="537"/>
      <c r="AL180" s="537"/>
      <c r="AM180" s="537"/>
      <c r="AN180" s="537"/>
      <c r="AO180" s="537"/>
      <c r="AP180" s="537"/>
      <c r="AQ180" s="537"/>
      <c r="AR180" s="537"/>
    </row>
    <row r="181" spans="1:44">
      <c r="A181" s="537"/>
      <c r="B181" s="537"/>
      <c r="C181" s="537"/>
      <c r="D181" s="537"/>
      <c r="E181" s="537"/>
      <c r="I181" s="537"/>
      <c r="J181" s="18"/>
      <c r="K181" s="537"/>
      <c r="L181" s="537"/>
      <c r="M181" s="537"/>
      <c r="N181" s="537"/>
      <c r="O181" s="537"/>
      <c r="P181" s="537"/>
      <c r="Q181" s="537"/>
      <c r="R181" s="262"/>
      <c r="S181" s="262"/>
      <c r="T181" s="262"/>
      <c r="AA181" s="537"/>
      <c r="AB181" s="537"/>
      <c r="AC181" s="537"/>
      <c r="AD181" s="537"/>
      <c r="AE181" s="537"/>
      <c r="AF181" s="537"/>
      <c r="AG181" s="537"/>
      <c r="AH181" s="537"/>
      <c r="AI181" s="537"/>
      <c r="AJ181" s="537"/>
      <c r="AK181" s="537"/>
      <c r="AL181" s="537"/>
      <c r="AM181" s="537"/>
      <c r="AN181" s="537"/>
      <c r="AO181" s="537"/>
      <c r="AP181" s="537"/>
      <c r="AQ181" s="537"/>
      <c r="AR181" s="537"/>
    </row>
    <row r="182" spans="1:44">
      <c r="A182" s="537"/>
      <c r="B182" s="537"/>
      <c r="C182" s="537"/>
      <c r="D182" s="537"/>
      <c r="E182" s="537"/>
      <c r="I182" s="537"/>
      <c r="J182" s="18"/>
      <c r="K182" s="537"/>
      <c r="L182" s="537"/>
      <c r="M182" s="537"/>
      <c r="N182" s="537"/>
      <c r="O182" s="537"/>
      <c r="P182" s="537"/>
      <c r="Q182" s="537"/>
      <c r="R182" s="262"/>
      <c r="S182" s="262"/>
      <c r="T182" s="262"/>
      <c r="AA182" s="537"/>
      <c r="AB182" s="537"/>
      <c r="AC182" s="537"/>
      <c r="AD182" s="537"/>
      <c r="AE182" s="537"/>
      <c r="AF182" s="537"/>
      <c r="AG182" s="537"/>
      <c r="AH182" s="537"/>
      <c r="AI182" s="537"/>
      <c r="AJ182" s="537"/>
      <c r="AK182" s="537"/>
      <c r="AL182" s="537"/>
      <c r="AM182" s="537"/>
      <c r="AN182" s="537"/>
      <c r="AO182" s="537"/>
      <c r="AP182" s="537"/>
      <c r="AQ182" s="537"/>
      <c r="AR182" s="537"/>
    </row>
    <row r="183" spans="1:44">
      <c r="A183" s="537"/>
      <c r="B183" s="537"/>
      <c r="C183" s="537"/>
      <c r="D183" s="537"/>
      <c r="E183" s="537"/>
      <c r="I183" s="537"/>
      <c r="J183" s="18"/>
      <c r="K183" s="537"/>
      <c r="L183" s="537"/>
      <c r="M183" s="537"/>
      <c r="N183" s="537"/>
      <c r="O183" s="537"/>
      <c r="P183" s="537"/>
      <c r="Q183" s="537"/>
      <c r="R183" s="262"/>
      <c r="S183" s="262"/>
      <c r="T183" s="262"/>
      <c r="AA183" s="537"/>
      <c r="AB183" s="537"/>
      <c r="AC183" s="537"/>
      <c r="AD183" s="537"/>
      <c r="AE183" s="537"/>
      <c r="AF183" s="537"/>
      <c r="AG183" s="537"/>
      <c r="AH183" s="537"/>
      <c r="AI183" s="537"/>
      <c r="AJ183" s="537"/>
      <c r="AK183" s="537"/>
      <c r="AL183" s="537"/>
      <c r="AM183" s="537"/>
      <c r="AN183" s="537"/>
      <c r="AO183" s="537"/>
      <c r="AP183" s="537"/>
      <c r="AQ183" s="537"/>
      <c r="AR183" s="537"/>
    </row>
    <row r="184" spans="1:44">
      <c r="A184" s="537"/>
      <c r="B184" s="537"/>
      <c r="C184" s="537"/>
      <c r="D184" s="537"/>
      <c r="E184" s="537"/>
      <c r="I184" s="537"/>
      <c r="J184" s="18"/>
      <c r="K184" s="537"/>
      <c r="L184" s="537"/>
      <c r="M184" s="537"/>
      <c r="N184" s="537"/>
      <c r="O184" s="537"/>
      <c r="P184" s="537"/>
      <c r="Q184" s="537"/>
      <c r="R184" s="262"/>
      <c r="S184" s="262"/>
      <c r="T184" s="262"/>
      <c r="AA184" s="537"/>
      <c r="AB184" s="537"/>
      <c r="AC184" s="537"/>
      <c r="AD184" s="537"/>
      <c r="AE184" s="537"/>
      <c r="AF184" s="537"/>
      <c r="AG184" s="537"/>
      <c r="AH184" s="537"/>
      <c r="AI184" s="537"/>
      <c r="AJ184" s="537"/>
      <c r="AK184" s="537"/>
      <c r="AL184" s="537"/>
      <c r="AM184" s="537"/>
      <c r="AN184" s="537"/>
      <c r="AO184" s="537"/>
      <c r="AP184" s="537"/>
      <c r="AQ184" s="537"/>
      <c r="AR184" s="537"/>
    </row>
    <row r="185" spans="1:44">
      <c r="A185" s="537"/>
      <c r="B185" s="537"/>
      <c r="C185" s="537"/>
      <c r="D185" s="537"/>
      <c r="E185" s="537"/>
      <c r="I185" s="537"/>
      <c r="J185" s="18"/>
      <c r="K185" s="537"/>
      <c r="L185" s="537"/>
      <c r="M185" s="537"/>
      <c r="N185" s="537"/>
      <c r="O185" s="537"/>
      <c r="P185" s="537"/>
      <c r="Q185" s="537"/>
      <c r="R185" s="262"/>
      <c r="S185" s="262"/>
      <c r="T185" s="262"/>
      <c r="AA185" s="537"/>
      <c r="AB185" s="537"/>
      <c r="AC185" s="537"/>
      <c r="AD185" s="537"/>
      <c r="AE185" s="537"/>
      <c r="AF185" s="537"/>
      <c r="AG185" s="537"/>
      <c r="AH185" s="537"/>
      <c r="AI185" s="537"/>
      <c r="AJ185" s="537"/>
      <c r="AK185" s="537"/>
      <c r="AL185" s="537"/>
      <c r="AM185" s="537"/>
      <c r="AN185" s="537"/>
      <c r="AO185" s="537"/>
      <c r="AP185" s="537"/>
      <c r="AQ185" s="537"/>
      <c r="AR185" s="537"/>
    </row>
    <row r="186" spans="1:44">
      <c r="A186" s="537"/>
      <c r="B186" s="537"/>
      <c r="C186" s="537"/>
      <c r="D186" s="537"/>
      <c r="E186" s="537"/>
      <c r="I186" s="537"/>
      <c r="J186" s="18"/>
      <c r="K186" s="537"/>
      <c r="L186" s="537"/>
      <c r="M186" s="537"/>
      <c r="N186" s="537"/>
      <c r="O186" s="537"/>
      <c r="P186" s="537"/>
      <c r="Q186" s="537"/>
      <c r="R186" s="262"/>
      <c r="S186" s="262"/>
      <c r="T186" s="262"/>
      <c r="AA186" s="537"/>
      <c r="AB186" s="537"/>
      <c r="AC186" s="537"/>
      <c r="AD186" s="537"/>
      <c r="AE186" s="537"/>
      <c r="AF186" s="537"/>
      <c r="AG186" s="537"/>
      <c r="AH186" s="537"/>
      <c r="AI186" s="537"/>
      <c r="AJ186" s="537"/>
      <c r="AK186" s="537"/>
      <c r="AL186" s="537"/>
      <c r="AM186" s="537"/>
      <c r="AN186" s="537"/>
      <c r="AO186" s="537"/>
      <c r="AP186" s="537"/>
      <c r="AQ186" s="537"/>
      <c r="AR186" s="537"/>
    </row>
    <row r="187" spans="1:44">
      <c r="A187" s="537"/>
      <c r="B187" s="537"/>
      <c r="C187" s="537"/>
      <c r="D187" s="537"/>
      <c r="E187" s="537"/>
      <c r="I187" s="537"/>
      <c r="J187" s="18"/>
      <c r="K187" s="537"/>
      <c r="L187" s="537"/>
      <c r="M187" s="537"/>
      <c r="N187" s="537"/>
      <c r="O187" s="537"/>
      <c r="P187" s="537"/>
      <c r="Q187" s="537"/>
      <c r="R187" s="262"/>
      <c r="S187" s="262"/>
      <c r="T187" s="262"/>
      <c r="AA187" s="537"/>
      <c r="AB187" s="537"/>
      <c r="AC187" s="537"/>
      <c r="AD187" s="537"/>
      <c r="AE187" s="537"/>
      <c r="AF187" s="537"/>
      <c r="AG187" s="537"/>
      <c r="AH187" s="537"/>
      <c r="AI187" s="537"/>
      <c r="AJ187" s="537"/>
      <c r="AK187" s="537"/>
      <c r="AL187" s="537"/>
      <c r="AM187" s="537"/>
      <c r="AN187" s="537"/>
      <c r="AO187" s="537"/>
      <c r="AP187" s="537"/>
      <c r="AQ187" s="537"/>
      <c r="AR187" s="537"/>
    </row>
    <row r="188" spans="1:44">
      <c r="A188" s="537"/>
      <c r="B188" s="537"/>
      <c r="C188" s="537"/>
      <c r="D188" s="537"/>
      <c r="E188" s="537"/>
      <c r="I188" s="537"/>
      <c r="J188" s="18"/>
      <c r="K188" s="537"/>
      <c r="L188" s="537"/>
      <c r="M188" s="537"/>
      <c r="N188" s="537"/>
      <c r="O188" s="537"/>
      <c r="P188" s="537"/>
      <c r="Q188" s="537"/>
      <c r="R188" s="262"/>
      <c r="S188" s="262"/>
      <c r="T188" s="262"/>
      <c r="AA188" s="537"/>
      <c r="AB188" s="537"/>
      <c r="AC188" s="537"/>
      <c r="AD188" s="537"/>
      <c r="AE188" s="537"/>
      <c r="AF188" s="537"/>
      <c r="AG188" s="537"/>
      <c r="AH188" s="537"/>
      <c r="AI188" s="537"/>
      <c r="AJ188" s="537"/>
      <c r="AK188" s="537"/>
      <c r="AL188" s="537"/>
      <c r="AM188" s="537"/>
      <c r="AN188" s="537"/>
      <c r="AO188" s="537"/>
      <c r="AP188" s="537"/>
      <c r="AQ188" s="537"/>
      <c r="AR188" s="537"/>
    </row>
    <row r="189" spans="1:44">
      <c r="A189" s="537"/>
      <c r="B189" s="537"/>
      <c r="C189" s="537"/>
      <c r="D189" s="537"/>
      <c r="E189" s="537"/>
      <c r="I189" s="537"/>
      <c r="J189" s="18"/>
      <c r="K189" s="537"/>
      <c r="L189" s="537"/>
      <c r="M189" s="537"/>
      <c r="N189" s="537"/>
      <c r="O189" s="537"/>
      <c r="P189" s="537"/>
      <c r="Q189" s="537"/>
      <c r="R189" s="262"/>
      <c r="S189" s="262"/>
      <c r="T189" s="262"/>
      <c r="AA189" s="537"/>
      <c r="AB189" s="537"/>
      <c r="AC189" s="537"/>
      <c r="AD189" s="537"/>
      <c r="AE189" s="537"/>
      <c r="AF189" s="537"/>
      <c r="AG189" s="537"/>
      <c r="AH189" s="537"/>
      <c r="AI189" s="537"/>
      <c r="AJ189" s="537"/>
      <c r="AK189" s="537"/>
      <c r="AL189" s="537"/>
      <c r="AM189" s="537"/>
      <c r="AN189" s="537"/>
      <c r="AO189" s="537"/>
      <c r="AP189" s="537"/>
      <c r="AQ189" s="537"/>
      <c r="AR189" s="537"/>
    </row>
    <row r="190" spans="1:44">
      <c r="A190" s="537"/>
      <c r="B190" s="537"/>
      <c r="C190" s="537"/>
      <c r="D190" s="537"/>
      <c r="E190" s="537"/>
      <c r="I190" s="537"/>
      <c r="J190" s="18"/>
      <c r="K190" s="537"/>
      <c r="L190" s="537"/>
      <c r="M190" s="537"/>
      <c r="N190" s="537"/>
      <c r="O190" s="537"/>
      <c r="P190" s="537"/>
      <c r="Q190" s="537"/>
      <c r="R190" s="262"/>
      <c r="S190" s="262"/>
      <c r="T190" s="262"/>
      <c r="AA190" s="537"/>
      <c r="AB190" s="537"/>
      <c r="AC190" s="537"/>
      <c r="AD190" s="537"/>
      <c r="AE190" s="537"/>
      <c r="AF190" s="537"/>
      <c r="AG190" s="537"/>
      <c r="AH190" s="537"/>
      <c r="AI190" s="537"/>
      <c r="AJ190" s="537"/>
      <c r="AK190" s="537"/>
      <c r="AL190" s="537"/>
      <c r="AM190" s="537"/>
      <c r="AN190" s="537"/>
      <c r="AO190" s="537"/>
      <c r="AP190" s="537"/>
      <c r="AQ190" s="537"/>
      <c r="AR190" s="537"/>
    </row>
    <row r="191" spans="1:44">
      <c r="A191" s="537"/>
      <c r="B191" s="537"/>
      <c r="C191" s="537"/>
      <c r="D191" s="537"/>
      <c r="E191" s="537"/>
      <c r="I191" s="537"/>
      <c r="J191" s="18"/>
      <c r="K191" s="537"/>
      <c r="L191" s="537"/>
      <c r="M191" s="537"/>
      <c r="N191" s="537"/>
      <c r="O191" s="537"/>
      <c r="P191" s="537"/>
      <c r="Q191" s="537"/>
      <c r="R191" s="262"/>
      <c r="S191" s="262"/>
      <c r="T191" s="262"/>
      <c r="AA191" s="537"/>
      <c r="AB191" s="537"/>
      <c r="AC191" s="537"/>
      <c r="AD191" s="537"/>
      <c r="AE191" s="537"/>
      <c r="AF191" s="537"/>
      <c r="AG191" s="537"/>
      <c r="AH191" s="537"/>
      <c r="AI191" s="537"/>
      <c r="AJ191" s="537"/>
      <c r="AK191" s="537"/>
      <c r="AL191" s="537"/>
      <c r="AM191" s="537"/>
      <c r="AN191" s="537"/>
      <c r="AO191" s="537"/>
      <c r="AP191" s="537"/>
      <c r="AQ191" s="537"/>
      <c r="AR191" s="537"/>
    </row>
    <row r="192" spans="1:44">
      <c r="A192" s="537"/>
      <c r="B192" s="537"/>
      <c r="C192" s="537"/>
      <c r="D192" s="537"/>
      <c r="E192" s="537"/>
      <c r="I192" s="537"/>
      <c r="J192" s="18"/>
      <c r="K192" s="537"/>
      <c r="L192" s="537"/>
      <c r="M192" s="537"/>
      <c r="N192" s="537"/>
      <c r="O192" s="537"/>
      <c r="P192" s="537"/>
      <c r="Q192" s="537"/>
      <c r="R192" s="262"/>
      <c r="S192" s="262"/>
      <c r="T192" s="262"/>
      <c r="AA192" s="537"/>
      <c r="AB192" s="537"/>
      <c r="AC192" s="537"/>
      <c r="AD192" s="537"/>
      <c r="AE192" s="537"/>
      <c r="AF192" s="537"/>
      <c r="AG192" s="537"/>
      <c r="AH192" s="537"/>
      <c r="AI192" s="537"/>
      <c r="AJ192" s="537"/>
      <c r="AK192" s="537"/>
      <c r="AL192" s="537"/>
      <c r="AM192" s="537"/>
      <c r="AN192" s="537"/>
      <c r="AO192" s="537"/>
      <c r="AP192" s="537"/>
      <c r="AQ192" s="537"/>
      <c r="AR192" s="537"/>
    </row>
    <row r="193" spans="1:44">
      <c r="A193" s="537"/>
      <c r="B193" s="537"/>
      <c r="C193" s="537"/>
      <c r="D193" s="537"/>
      <c r="E193" s="537"/>
      <c r="I193" s="537"/>
      <c r="J193" s="18"/>
      <c r="K193" s="537"/>
      <c r="L193" s="537"/>
      <c r="M193" s="537"/>
      <c r="N193" s="537"/>
      <c r="O193" s="537"/>
      <c r="P193" s="537"/>
      <c r="Q193" s="537"/>
      <c r="R193" s="262"/>
      <c r="S193" s="262"/>
      <c r="T193" s="262"/>
      <c r="AA193" s="537"/>
      <c r="AB193" s="537"/>
      <c r="AC193" s="537"/>
      <c r="AD193" s="537"/>
      <c r="AE193" s="537"/>
      <c r="AF193" s="537"/>
      <c r="AG193" s="537"/>
      <c r="AH193" s="537"/>
      <c r="AI193" s="537"/>
      <c r="AJ193" s="537"/>
      <c r="AK193" s="537"/>
      <c r="AL193" s="537"/>
      <c r="AM193" s="537"/>
      <c r="AN193" s="537"/>
      <c r="AO193" s="537"/>
      <c r="AP193" s="537"/>
      <c r="AQ193" s="537"/>
      <c r="AR193" s="537"/>
    </row>
    <row r="194" spans="1:44">
      <c r="A194" s="537"/>
      <c r="B194" s="537"/>
      <c r="C194" s="537"/>
      <c r="D194" s="537"/>
      <c r="E194" s="537"/>
      <c r="I194" s="537"/>
      <c r="J194" s="18"/>
      <c r="K194" s="537"/>
      <c r="L194" s="537"/>
      <c r="M194" s="537"/>
      <c r="N194" s="537"/>
      <c r="O194" s="537"/>
      <c r="P194" s="537"/>
      <c r="Q194" s="537"/>
      <c r="R194" s="262"/>
      <c r="S194" s="262"/>
      <c r="T194" s="262"/>
      <c r="AA194" s="537"/>
      <c r="AB194" s="537"/>
      <c r="AC194" s="537"/>
      <c r="AD194" s="537"/>
      <c r="AE194" s="537"/>
      <c r="AF194" s="537"/>
      <c r="AG194" s="537"/>
      <c r="AH194" s="537"/>
      <c r="AI194" s="537"/>
      <c r="AJ194" s="537"/>
      <c r="AK194" s="537"/>
      <c r="AL194" s="537"/>
      <c r="AM194" s="537"/>
      <c r="AN194" s="537"/>
      <c r="AO194" s="537"/>
      <c r="AP194" s="537"/>
      <c r="AQ194" s="537"/>
      <c r="AR194" s="537"/>
    </row>
    <row r="195" spans="1:44">
      <c r="A195" s="537"/>
      <c r="B195" s="537"/>
      <c r="C195" s="537"/>
      <c r="D195" s="537"/>
      <c r="E195" s="537"/>
      <c r="I195" s="537"/>
      <c r="J195" s="18"/>
      <c r="K195" s="537"/>
      <c r="L195" s="537"/>
      <c r="M195" s="537"/>
      <c r="N195" s="537"/>
      <c r="O195" s="537"/>
      <c r="P195" s="537"/>
      <c r="Q195" s="537"/>
      <c r="R195" s="262"/>
      <c r="S195" s="262"/>
      <c r="T195" s="262"/>
      <c r="AA195" s="160"/>
      <c r="AB195" s="160"/>
      <c r="AC195" s="160"/>
      <c r="AD195" s="160"/>
      <c r="AE195" s="537"/>
      <c r="AF195" s="537"/>
      <c r="AG195" s="537"/>
      <c r="AH195" s="537"/>
      <c r="AI195" s="537"/>
      <c r="AJ195" s="537"/>
      <c r="AK195" s="537"/>
      <c r="AL195" s="537"/>
      <c r="AM195" s="537"/>
      <c r="AN195" s="537"/>
      <c r="AO195" s="537"/>
      <c r="AP195" s="537"/>
      <c r="AQ195" s="537"/>
      <c r="AR195" s="537"/>
    </row>
    <row r="196" spans="1:44">
      <c r="A196" s="537"/>
      <c r="B196" s="537"/>
      <c r="C196" s="537"/>
      <c r="D196" s="537"/>
      <c r="E196" s="537"/>
      <c r="I196" s="537"/>
      <c r="J196" s="104"/>
      <c r="K196" s="537"/>
      <c r="L196" s="537"/>
      <c r="M196" s="537"/>
      <c r="N196" s="537"/>
      <c r="O196" s="537"/>
      <c r="P196" s="537"/>
      <c r="Q196" s="537"/>
      <c r="R196" s="262"/>
      <c r="S196" s="262"/>
      <c r="T196" s="262"/>
      <c r="AA196" s="537"/>
      <c r="AB196" s="537"/>
      <c r="AC196" s="537"/>
      <c r="AD196" s="537"/>
      <c r="AE196" s="537"/>
      <c r="AF196" s="537"/>
      <c r="AG196" s="537"/>
      <c r="AH196" s="537"/>
      <c r="AI196" s="537"/>
      <c r="AJ196" s="537"/>
      <c r="AK196" s="537"/>
      <c r="AL196" s="537"/>
      <c r="AM196" s="537"/>
      <c r="AN196" s="537"/>
      <c r="AO196" s="537"/>
      <c r="AP196" s="537"/>
      <c r="AQ196" s="537"/>
      <c r="AR196" s="537"/>
    </row>
    <row r="197" spans="1:44">
      <c r="A197" s="537"/>
      <c r="B197" s="537"/>
      <c r="C197" s="537"/>
      <c r="D197" s="537"/>
      <c r="E197" s="537"/>
      <c r="I197" s="537"/>
      <c r="J197" s="104"/>
      <c r="K197" s="537"/>
      <c r="L197" s="537"/>
      <c r="M197" s="537"/>
      <c r="N197" s="537"/>
      <c r="O197" s="537"/>
      <c r="P197" s="537"/>
      <c r="Q197" s="537"/>
      <c r="R197" s="262"/>
      <c r="S197" s="262"/>
      <c r="T197" s="262"/>
      <c r="AA197" s="537"/>
      <c r="AB197" s="537"/>
      <c r="AC197" s="537"/>
      <c r="AD197" s="537"/>
      <c r="AE197" s="537"/>
      <c r="AF197" s="537"/>
      <c r="AG197" s="537"/>
      <c r="AH197" s="537"/>
      <c r="AI197" s="537"/>
      <c r="AJ197" s="537"/>
      <c r="AK197" s="537"/>
      <c r="AL197" s="537"/>
      <c r="AM197" s="537"/>
      <c r="AN197" s="537"/>
      <c r="AO197" s="537"/>
      <c r="AP197" s="537"/>
      <c r="AQ197" s="537"/>
      <c r="AR197" s="537"/>
    </row>
    <row r="198" spans="1:44">
      <c r="A198" s="537"/>
      <c r="B198" s="537"/>
      <c r="C198" s="537"/>
      <c r="D198" s="537"/>
      <c r="E198" s="537"/>
      <c r="I198" s="537"/>
      <c r="J198" s="104"/>
      <c r="K198" s="537"/>
      <c r="L198" s="537"/>
      <c r="M198" s="537"/>
      <c r="N198" s="537"/>
      <c r="O198" s="537"/>
      <c r="P198" s="537"/>
      <c r="Q198" s="537"/>
      <c r="R198" s="262"/>
      <c r="S198" s="262"/>
      <c r="T198" s="262"/>
      <c r="AA198" s="537"/>
      <c r="AB198" s="537"/>
      <c r="AC198" s="537"/>
      <c r="AD198" s="537"/>
      <c r="AE198" s="537"/>
      <c r="AF198" s="537"/>
      <c r="AG198" s="537"/>
      <c r="AH198" s="537"/>
      <c r="AI198" s="537"/>
      <c r="AJ198" s="537"/>
      <c r="AK198" s="537"/>
      <c r="AL198" s="537"/>
      <c r="AM198" s="537"/>
      <c r="AN198" s="537"/>
      <c r="AO198" s="537"/>
      <c r="AP198" s="537"/>
      <c r="AQ198" s="537"/>
      <c r="AR198" s="537"/>
    </row>
    <row r="199" spans="1:44">
      <c r="A199" s="537"/>
      <c r="B199" s="537"/>
      <c r="C199" s="537"/>
      <c r="D199" s="537"/>
      <c r="E199" s="537"/>
      <c r="I199" s="537"/>
      <c r="J199" s="104"/>
      <c r="K199" s="537"/>
      <c r="L199" s="537"/>
      <c r="M199" s="537"/>
      <c r="N199" s="537"/>
      <c r="O199" s="537"/>
      <c r="P199" s="537"/>
      <c r="Q199" s="537"/>
      <c r="R199" s="262"/>
      <c r="S199" s="262"/>
      <c r="T199" s="262"/>
      <c r="AA199" s="537"/>
      <c r="AB199" s="537"/>
      <c r="AC199" s="537"/>
      <c r="AD199" s="537"/>
      <c r="AE199" s="537"/>
      <c r="AF199" s="537"/>
      <c r="AG199" s="537"/>
      <c r="AH199" s="537"/>
      <c r="AI199" s="537"/>
      <c r="AJ199" s="537"/>
      <c r="AK199" s="537"/>
      <c r="AL199" s="537"/>
      <c r="AM199" s="537"/>
      <c r="AN199" s="537"/>
      <c r="AO199" s="537"/>
      <c r="AP199" s="537"/>
      <c r="AQ199" s="537"/>
      <c r="AR199" s="537"/>
    </row>
    <row r="200" spans="1:44">
      <c r="A200" s="537"/>
      <c r="B200" s="537"/>
      <c r="C200" s="537"/>
      <c r="D200" s="537"/>
      <c r="E200" s="537"/>
      <c r="I200" s="537"/>
      <c r="J200" s="104"/>
      <c r="K200" s="537"/>
      <c r="L200" s="537"/>
      <c r="M200" s="537"/>
      <c r="N200" s="537"/>
      <c r="O200" s="537"/>
      <c r="P200" s="537"/>
      <c r="Q200" s="537"/>
      <c r="R200" s="262"/>
      <c r="S200" s="262"/>
      <c r="T200" s="262"/>
      <c r="AA200" s="537"/>
      <c r="AB200" s="537"/>
      <c r="AC200" s="537"/>
      <c r="AD200" s="537"/>
      <c r="AE200" s="537"/>
      <c r="AF200" s="537"/>
      <c r="AG200" s="537"/>
      <c r="AH200" s="537"/>
      <c r="AI200" s="537"/>
      <c r="AJ200" s="537"/>
      <c r="AK200" s="537"/>
      <c r="AL200" s="537"/>
      <c r="AM200" s="537"/>
      <c r="AN200" s="537"/>
      <c r="AO200" s="537"/>
      <c r="AP200" s="537"/>
      <c r="AQ200" s="537"/>
      <c r="AR200" s="537"/>
    </row>
    <row r="201" spans="1:44">
      <c r="A201" s="537"/>
      <c r="B201" s="537"/>
      <c r="C201" s="537"/>
      <c r="D201" s="537"/>
      <c r="E201" s="537"/>
      <c r="I201" s="537"/>
      <c r="J201" s="104"/>
      <c r="K201" s="537"/>
      <c r="L201" s="537"/>
      <c r="M201" s="537"/>
      <c r="N201" s="537"/>
      <c r="O201" s="537"/>
      <c r="P201" s="537"/>
      <c r="Q201" s="537"/>
      <c r="R201" s="262"/>
      <c r="S201" s="262"/>
      <c r="T201" s="262"/>
      <c r="AA201" s="537"/>
      <c r="AB201" s="537"/>
      <c r="AC201" s="537"/>
      <c r="AD201" s="537"/>
      <c r="AE201" s="537"/>
      <c r="AF201" s="537"/>
      <c r="AG201" s="537"/>
      <c r="AH201" s="537"/>
      <c r="AI201" s="537"/>
      <c r="AJ201" s="537"/>
      <c r="AK201" s="537"/>
      <c r="AL201" s="537"/>
      <c r="AM201" s="537"/>
      <c r="AN201" s="537"/>
      <c r="AO201" s="537"/>
      <c r="AP201" s="537"/>
      <c r="AQ201" s="537"/>
      <c r="AR201" s="537"/>
    </row>
    <row r="202" spans="1:44">
      <c r="A202" s="537"/>
      <c r="B202" s="537"/>
      <c r="C202" s="537"/>
      <c r="D202" s="537"/>
      <c r="E202" s="537"/>
      <c r="I202" s="537"/>
      <c r="J202" s="537"/>
      <c r="K202" s="537"/>
      <c r="L202" s="537"/>
      <c r="M202" s="537"/>
      <c r="N202" s="537"/>
      <c r="O202" s="537"/>
      <c r="P202" s="537"/>
      <c r="Q202" s="537"/>
      <c r="R202" s="262"/>
      <c r="S202" s="262"/>
      <c r="T202" s="262"/>
      <c r="AA202" s="537"/>
      <c r="AB202" s="537"/>
      <c r="AC202" s="537"/>
      <c r="AD202" s="537"/>
      <c r="AE202" s="537"/>
      <c r="AF202" s="537"/>
      <c r="AG202" s="537"/>
      <c r="AH202" s="537"/>
      <c r="AI202" s="537"/>
      <c r="AJ202" s="537"/>
      <c r="AK202" s="537"/>
      <c r="AL202" s="537"/>
      <c r="AM202" s="537"/>
      <c r="AN202" s="537"/>
      <c r="AO202" s="537"/>
      <c r="AP202" s="537"/>
      <c r="AQ202" s="537"/>
      <c r="AR202" s="537"/>
    </row>
    <row r="203" spans="1:44">
      <c r="A203" s="537"/>
      <c r="B203" s="537"/>
      <c r="C203" s="537"/>
      <c r="D203" s="537"/>
      <c r="E203" s="537"/>
      <c r="I203" s="537"/>
      <c r="J203" s="537"/>
      <c r="K203" s="537"/>
      <c r="L203" s="537"/>
      <c r="M203" s="537"/>
      <c r="N203" s="537"/>
      <c r="O203" s="537"/>
      <c r="P203" s="537"/>
      <c r="Q203" s="537"/>
      <c r="R203" s="262"/>
      <c r="S203" s="262"/>
      <c r="T203" s="262"/>
      <c r="AA203" s="537"/>
      <c r="AB203" s="537"/>
      <c r="AC203" s="537"/>
      <c r="AD203" s="537"/>
      <c r="AE203" s="537"/>
      <c r="AF203" s="537"/>
      <c r="AG203" s="537"/>
      <c r="AH203" s="537"/>
      <c r="AI203" s="537"/>
      <c r="AJ203" s="537"/>
      <c r="AK203" s="537"/>
      <c r="AL203" s="537"/>
      <c r="AM203" s="537"/>
      <c r="AN203" s="537"/>
      <c r="AO203" s="537"/>
      <c r="AP203" s="537"/>
      <c r="AQ203" s="537"/>
      <c r="AR203" s="537"/>
    </row>
    <row r="204" spans="1:44">
      <c r="A204" s="537"/>
      <c r="B204" s="537"/>
      <c r="C204" s="537"/>
      <c r="D204" s="537"/>
      <c r="E204" s="537"/>
      <c r="I204" s="537"/>
      <c r="J204" s="537"/>
      <c r="K204" s="537"/>
      <c r="L204" s="537"/>
      <c r="M204" s="537"/>
      <c r="N204" s="537"/>
      <c r="O204" s="537"/>
      <c r="P204" s="537"/>
      <c r="Q204" s="537"/>
      <c r="R204" s="262"/>
      <c r="S204" s="262"/>
      <c r="T204" s="262"/>
      <c r="AA204" s="537"/>
      <c r="AB204" s="537"/>
      <c r="AC204" s="537"/>
      <c r="AD204" s="537"/>
      <c r="AE204" s="537"/>
      <c r="AF204" s="537"/>
      <c r="AG204" s="537"/>
      <c r="AH204" s="537"/>
      <c r="AI204" s="537"/>
      <c r="AJ204" s="537"/>
      <c r="AK204" s="537"/>
      <c r="AL204" s="537"/>
      <c r="AM204" s="537"/>
      <c r="AN204" s="537"/>
      <c r="AO204" s="537"/>
      <c r="AP204" s="537"/>
      <c r="AQ204" s="537"/>
      <c r="AR204" s="537"/>
    </row>
    <row r="205" spans="1:44">
      <c r="A205" s="537"/>
      <c r="B205" s="537"/>
      <c r="C205" s="537"/>
      <c r="D205" s="537"/>
      <c r="E205" s="537"/>
      <c r="I205" s="537"/>
      <c r="J205" s="537"/>
      <c r="K205" s="537"/>
      <c r="L205" s="537"/>
      <c r="M205" s="537"/>
      <c r="N205" s="537"/>
      <c r="O205" s="537"/>
      <c r="P205" s="537"/>
      <c r="Q205" s="537"/>
      <c r="R205" s="537"/>
      <c r="S205" s="537"/>
      <c r="T205" s="262"/>
      <c r="AA205" s="537"/>
      <c r="AB205" s="537"/>
      <c r="AC205" s="537"/>
      <c r="AD205" s="537"/>
      <c r="AE205" s="537"/>
      <c r="AF205" s="537"/>
      <c r="AG205" s="537"/>
      <c r="AH205" s="537"/>
      <c r="AI205" s="537"/>
      <c r="AJ205" s="537"/>
      <c r="AK205" s="537"/>
      <c r="AL205" s="537"/>
      <c r="AM205" s="537"/>
      <c r="AN205" s="537"/>
      <c r="AO205" s="537"/>
      <c r="AP205" s="537"/>
      <c r="AQ205" s="537"/>
      <c r="AR205" s="537"/>
    </row>
    <row r="206" spans="1:44">
      <c r="A206" s="537"/>
      <c r="B206" s="537"/>
      <c r="C206" s="537"/>
      <c r="D206" s="537"/>
      <c r="E206" s="537"/>
      <c r="I206" s="537"/>
      <c r="J206" s="537"/>
      <c r="K206" s="537"/>
      <c r="L206" s="537"/>
      <c r="M206" s="537"/>
      <c r="N206" s="537"/>
      <c r="O206" s="537"/>
      <c r="P206" s="537"/>
      <c r="Q206" s="537"/>
      <c r="R206" s="537"/>
      <c r="S206" s="537"/>
      <c r="T206" s="262"/>
      <c r="AA206" s="537"/>
      <c r="AB206" s="537"/>
      <c r="AC206" s="537"/>
      <c r="AD206" s="537"/>
      <c r="AE206" s="537"/>
      <c r="AF206" s="537"/>
      <c r="AG206" s="537"/>
      <c r="AH206" s="537"/>
      <c r="AI206" s="537"/>
      <c r="AJ206" s="537"/>
      <c r="AK206" s="537"/>
      <c r="AL206" s="537"/>
      <c r="AM206" s="537"/>
      <c r="AN206" s="537"/>
      <c r="AO206" s="537"/>
      <c r="AP206" s="537"/>
      <c r="AQ206" s="537"/>
      <c r="AR206" s="537"/>
    </row>
    <row r="207" spans="1:44">
      <c r="A207" s="537"/>
      <c r="B207" s="537"/>
      <c r="C207" s="537"/>
      <c r="D207" s="537"/>
      <c r="E207" s="537"/>
      <c r="I207" s="537"/>
      <c r="J207" s="537"/>
      <c r="K207" s="537"/>
      <c r="L207" s="537"/>
      <c r="M207" s="537"/>
      <c r="N207" s="537"/>
      <c r="O207" s="537"/>
      <c r="P207" s="537"/>
      <c r="Q207" s="537"/>
      <c r="R207" s="537"/>
      <c r="S207" s="537"/>
      <c r="T207" s="262"/>
      <c r="AA207" s="537"/>
      <c r="AB207" s="537"/>
      <c r="AC207" s="537"/>
      <c r="AD207" s="537"/>
      <c r="AE207" s="537"/>
      <c r="AF207" s="537"/>
      <c r="AG207" s="537"/>
      <c r="AH207" s="537"/>
      <c r="AI207" s="537"/>
      <c r="AJ207" s="537"/>
      <c r="AK207" s="537"/>
      <c r="AL207" s="537"/>
      <c r="AM207" s="537"/>
      <c r="AN207" s="537"/>
      <c r="AO207" s="537"/>
      <c r="AP207" s="537"/>
      <c r="AQ207" s="537"/>
      <c r="AR207" s="537"/>
    </row>
    <row r="208" spans="1:44">
      <c r="A208" s="537"/>
      <c r="B208" s="537"/>
      <c r="C208" s="537"/>
      <c r="D208" s="537"/>
      <c r="E208" s="537"/>
      <c r="I208" s="537"/>
      <c r="J208" s="537"/>
      <c r="K208" s="537"/>
      <c r="L208" s="537"/>
      <c r="M208" s="537"/>
      <c r="N208" s="537"/>
      <c r="O208" s="537"/>
      <c r="P208" s="537"/>
      <c r="Q208" s="537"/>
      <c r="R208" s="537"/>
      <c r="S208" s="537"/>
      <c r="T208" s="262"/>
      <c r="AA208" s="537"/>
      <c r="AB208" s="537"/>
      <c r="AC208" s="537"/>
      <c r="AD208" s="537"/>
      <c r="AE208" s="537"/>
      <c r="AF208" s="537"/>
      <c r="AG208" s="537"/>
      <c r="AH208" s="537"/>
      <c r="AI208" s="537"/>
      <c r="AJ208" s="537"/>
      <c r="AK208" s="537"/>
      <c r="AL208" s="537"/>
      <c r="AM208" s="537"/>
      <c r="AN208" s="537"/>
      <c r="AO208" s="537"/>
      <c r="AP208" s="537"/>
      <c r="AQ208" s="537"/>
      <c r="AR208" s="537"/>
    </row>
    <row r="209" spans="1:20">
      <c r="A209" s="537"/>
      <c r="B209" s="537"/>
      <c r="C209" s="537"/>
      <c r="D209" s="537"/>
      <c r="E209" s="537"/>
      <c r="I209" s="537"/>
      <c r="J209" s="537"/>
      <c r="K209" s="537"/>
      <c r="L209" s="537"/>
      <c r="M209" s="537"/>
      <c r="N209" s="537"/>
      <c r="O209" s="537"/>
      <c r="P209" s="537"/>
      <c r="Q209" s="537"/>
      <c r="R209" s="537"/>
      <c r="S209" s="537"/>
      <c r="T209" s="262"/>
    </row>
    <row r="210" spans="1:20">
      <c r="A210" s="537"/>
      <c r="B210" s="537"/>
      <c r="C210" s="537"/>
      <c r="D210" s="537"/>
      <c r="E210" s="537"/>
      <c r="I210" s="537"/>
      <c r="J210" s="537"/>
      <c r="K210" s="537"/>
      <c r="L210" s="537"/>
      <c r="M210" s="537"/>
      <c r="N210" s="537"/>
      <c r="O210" s="537"/>
      <c r="P210" s="537"/>
      <c r="Q210" s="537"/>
      <c r="R210" s="537"/>
      <c r="S210" s="537"/>
      <c r="T210" s="262"/>
    </row>
    <row r="211" spans="1:20">
      <c r="A211" s="537"/>
      <c r="B211" s="537"/>
      <c r="C211" s="537"/>
      <c r="D211" s="537"/>
      <c r="E211" s="537"/>
      <c r="I211" s="537"/>
      <c r="J211" s="537"/>
      <c r="K211" s="537"/>
      <c r="L211" s="537"/>
      <c r="M211" s="537"/>
      <c r="N211" s="537"/>
      <c r="O211" s="537"/>
      <c r="P211" s="537"/>
      <c r="Q211" s="537"/>
      <c r="R211" s="537"/>
      <c r="S211" s="537"/>
      <c r="T211" s="262"/>
    </row>
    <row r="212" spans="1:20">
      <c r="A212" s="537"/>
      <c r="B212" s="537"/>
      <c r="C212" s="537"/>
      <c r="D212" s="537"/>
      <c r="E212" s="537"/>
      <c r="I212" s="537"/>
      <c r="J212" s="537"/>
      <c r="K212" s="537"/>
      <c r="L212" s="537"/>
      <c r="M212" s="537"/>
      <c r="N212" s="537"/>
      <c r="O212" s="537"/>
      <c r="P212" s="537"/>
      <c r="Q212" s="537"/>
      <c r="R212" s="537"/>
      <c r="S212" s="537"/>
      <c r="T212" s="262"/>
    </row>
    <row r="213" spans="1:20">
      <c r="A213" s="537"/>
      <c r="B213" s="537"/>
      <c r="C213" s="537"/>
      <c r="D213" s="537"/>
      <c r="E213" s="537"/>
      <c r="I213" s="537"/>
      <c r="J213" s="537"/>
      <c r="K213" s="537"/>
      <c r="L213" s="537"/>
      <c r="M213" s="537"/>
      <c r="N213" s="537"/>
      <c r="O213" s="537"/>
      <c r="P213" s="537"/>
      <c r="Q213" s="537"/>
      <c r="R213" s="537"/>
      <c r="S213" s="537"/>
      <c r="T213" s="262"/>
    </row>
    <row r="214" spans="1:20">
      <c r="A214" s="537"/>
      <c r="B214" s="537"/>
      <c r="C214" s="537"/>
      <c r="D214" s="537"/>
      <c r="E214" s="537"/>
      <c r="I214" s="537"/>
      <c r="J214" s="537"/>
      <c r="K214" s="537"/>
      <c r="L214" s="537"/>
      <c r="M214" s="537"/>
      <c r="N214" s="537"/>
      <c r="O214" s="537"/>
      <c r="P214" s="537"/>
      <c r="Q214" s="537"/>
      <c r="R214" s="537"/>
      <c r="S214" s="537"/>
      <c r="T214" s="262"/>
    </row>
    <row r="215" spans="1:20">
      <c r="A215" s="537"/>
      <c r="B215" s="537"/>
      <c r="C215" s="537"/>
      <c r="D215" s="537"/>
      <c r="E215" s="537"/>
      <c r="I215" s="537"/>
      <c r="J215" s="537"/>
      <c r="K215" s="537"/>
      <c r="L215" s="537"/>
      <c r="M215" s="537"/>
      <c r="N215" s="537"/>
      <c r="O215" s="537"/>
      <c r="P215" s="537"/>
      <c r="Q215" s="537"/>
      <c r="R215" s="537"/>
      <c r="S215" s="537"/>
      <c r="T215" s="262"/>
    </row>
    <row r="216" spans="1:20">
      <c r="A216" s="537"/>
      <c r="B216" s="537"/>
      <c r="C216" s="537"/>
      <c r="D216" s="537"/>
      <c r="E216" s="537"/>
      <c r="I216" s="537"/>
      <c r="J216" s="537"/>
      <c r="K216" s="537"/>
      <c r="L216" s="537"/>
      <c r="M216" s="537"/>
      <c r="N216" s="537"/>
      <c r="O216" s="537"/>
      <c r="P216" s="537"/>
      <c r="Q216" s="537"/>
      <c r="R216" s="537"/>
      <c r="S216" s="537"/>
      <c r="T216" s="262"/>
    </row>
    <row r="217" spans="1:20">
      <c r="A217" s="537"/>
      <c r="B217" s="537"/>
      <c r="C217" s="537"/>
      <c r="D217" s="537"/>
      <c r="E217" s="537"/>
      <c r="I217" s="537"/>
      <c r="J217" s="537"/>
      <c r="K217" s="537"/>
      <c r="L217" s="537"/>
      <c r="M217" s="537"/>
      <c r="N217" s="537"/>
      <c r="O217" s="537"/>
      <c r="P217" s="537"/>
      <c r="Q217" s="537"/>
      <c r="R217" s="537"/>
      <c r="S217" s="537"/>
      <c r="T217" s="262"/>
    </row>
    <row r="218" spans="1:20">
      <c r="A218" s="537"/>
      <c r="B218" s="537"/>
      <c r="C218" s="537"/>
      <c r="D218" s="537"/>
      <c r="E218" s="537"/>
      <c r="I218" s="537"/>
      <c r="J218" s="537"/>
      <c r="K218" s="537"/>
      <c r="L218" s="537"/>
      <c r="M218" s="537"/>
      <c r="N218" s="537"/>
      <c r="O218" s="537"/>
      <c r="P218" s="537"/>
      <c r="Q218" s="537"/>
      <c r="R218" s="537"/>
      <c r="S218" s="537"/>
      <c r="T218" s="262"/>
    </row>
    <row r="219" spans="1:20">
      <c r="A219" s="537"/>
      <c r="B219" s="537"/>
      <c r="C219" s="537"/>
      <c r="D219" s="537"/>
      <c r="E219" s="537"/>
      <c r="I219" s="537"/>
      <c r="J219" s="537"/>
      <c r="K219" s="537"/>
      <c r="L219" s="537"/>
      <c r="M219" s="537"/>
      <c r="N219" s="537"/>
      <c r="O219" s="537"/>
      <c r="P219" s="537"/>
      <c r="Q219" s="537"/>
      <c r="R219" s="537"/>
      <c r="S219" s="537"/>
      <c r="T219" s="262"/>
    </row>
    <row r="220" spans="1:20">
      <c r="A220" s="537"/>
      <c r="B220" s="537"/>
      <c r="C220" s="537"/>
      <c r="D220" s="537"/>
      <c r="E220" s="537"/>
      <c r="I220" s="537"/>
      <c r="J220" s="537"/>
      <c r="K220" s="537"/>
      <c r="L220" s="537"/>
      <c r="M220" s="537"/>
      <c r="N220" s="537"/>
      <c r="O220" s="537"/>
      <c r="P220" s="537"/>
      <c r="Q220" s="537"/>
      <c r="R220" s="537"/>
      <c r="S220" s="537"/>
      <c r="T220" s="262"/>
    </row>
    <row r="221" spans="1:20">
      <c r="A221" s="537"/>
      <c r="B221" s="537"/>
      <c r="C221" s="537"/>
      <c r="D221" s="537"/>
      <c r="E221" s="537"/>
      <c r="I221" s="537"/>
      <c r="J221" s="537"/>
      <c r="K221" s="537"/>
      <c r="L221" s="537"/>
      <c r="M221" s="537"/>
      <c r="N221" s="537"/>
      <c r="O221" s="537"/>
      <c r="P221" s="537"/>
      <c r="Q221" s="537"/>
      <c r="R221" s="537"/>
      <c r="S221" s="537"/>
      <c r="T221" s="262"/>
    </row>
    <row r="222" spans="1:20">
      <c r="A222" s="537"/>
      <c r="B222" s="537"/>
      <c r="C222" s="537"/>
      <c r="D222" s="537"/>
      <c r="E222" s="537"/>
      <c r="I222" s="537"/>
      <c r="J222" s="537"/>
      <c r="K222" s="537"/>
      <c r="L222" s="537"/>
      <c r="M222" s="537"/>
      <c r="N222" s="537"/>
      <c r="O222" s="537"/>
      <c r="P222" s="537"/>
      <c r="Q222" s="537"/>
      <c r="R222" s="537"/>
      <c r="S222" s="537"/>
      <c r="T222" s="262"/>
    </row>
    <row r="223" spans="1:20">
      <c r="A223" s="537"/>
      <c r="B223" s="537"/>
      <c r="C223" s="537"/>
      <c r="D223" s="537"/>
      <c r="E223" s="537"/>
      <c r="I223" s="537"/>
      <c r="J223" s="537"/>
      <c r="K223" s="537"/>
      <c r="L223" s="537"/>
      <c r="M223" s="537"/>
      <c r="N223" s="537"/>
      <c r="O223" s="537"/>
      <c r="P223" s="537"/>
      <c r="Q223" s="537"/>
      <c r="R223" s="537"/>
      <c r="S223" s="537"/>
      <c r="T223" s="262"/>
    </row>
    <row r="224" spans="1:20">
      <c r="A224" s="537"/>
      <c r="B224" s="537"/>
      <c r="C224" s="537"/>
      <c r="D224" s="537"/>
      <c r="E224" s="537"/>
      <c r="I224" s="537"/>
      <c r="J224" s="537"/>
      <c r="K224" s="537"/>
      <c r="L224" s="537"/>
      <c r="M224" s="537"/>
      <c r="N224" s="537"/>
      <c r="O224" s="537"/>
      <c r="P224" s="537"/>
      <c r="Q224" s="537"/>
      <c r="R224" s="537"/>
      <c r="S224" s="537"/>
      <c r="T224" s="262"/>
    </row>
    <row r="225" spans="1:20">
      <c r="A225" s="537"/>
      <c r="B225" s="537"/>
      <c r="C225" s="537"/>
      <c r="D225" s="537"/>
      <c r="E225" s="537"/>
      <c r="I225" s="537"/>
      <c r="J225" s="537"/>
      <c r="K225" s="537"/>
      <c r="L225" s="537"/>
      <c r="M225" s="537"/>
      <c r="N225" s="537"/>
      <c r="O225" s="537"/>
      <c r="P225" s="537"/>
      <c r="Q225" s="537"/>
      <c r="R225" s="537"/>
      <c r="S225" s="537"/>
      <c r="T225" s="262"/>
    </row>
    <row r="226" spans="1:20">
      <c r="A226" s="537"/>
      <c r="B226" s="537"/>
      <c r="C226" s="537"/>
      <c r="D226" s="537"/>
      <c r="E226" s="537"/>
      <c r="I226" s="537"/>
      <c r="J226" s="537"/>
      <c r="K226" s="537"/>
      <c r="L226" s="537"/>
      <c r="M226" s="537"/>
      <c r="N226" s="537"/>
      <c r="O226" s="537"/>
      <c r="P226" s="537"/>
      <c r="Q226" s="537"/>
      <c r="R226" s="537"/>
      <c r="S226" s="537"/>
      <c r="T226" s="262"/>
    </row>
    <row r="227" spans="1:20">
      <c r="A227" s="537"/>
      <c r="B227" s="537"/>
      <c r="C227" s="537"/>
      <c r="D227" s="537"/>
      <c r="E227" s="537"/>
      <c r="I227" s="537"/>
      <c r="J227" s="537"/>
      <c r="K227" s="537"/>
      <c r="L227" s="537"/>
      <c r="M227" s="537"/>
      <c r="N227" s="537"/>
      <c r="O227" s="537"/>
      <c r="P227" s="537"/>
      <c r="Q227" s="537"/>
      <c r="R227" s="537"/>
      <c r="S227" s="537"/>
      <c r="T227" s="537"/>
    </row>
    <row r="228" spans="1:20">
      <c r="A228" s="537"/>
      <c r="B228" s="537"/>
      <c r="C228" s="537"/>
      <c r="D228" s="537"/>
      <c r="E228" s="537"/>
      <c r="I228" s="537"/>
      <c r="J228" s="537"/>
      <c r="K228" s="537"/>
      <c r="L228" s="537"/>
      <c r="M228" s="537"/>
      <c r="N228" s="537"/>
      <c r="O228" s="537"/>
      <c r="P228" s="537"/>
      <c r="Q228" s="537"/>
      <c r="R228" s="537"/>
      <c r="S228" s="537"/>
      <c r="T228" s="537"/>
    </row>
    <row r="229" spans="1:20">
      <c r="A229" s="537"/>
      <c r="B229" s="537"/>
      <c r="C229" s="537"/>
      <c r="D229" s="537"/>
      <c r="E229" s="537"/>
      <c r="I229" s="537"/>
      <c r="J229" s="537"/>
      <c r="K229" s="537"/>
      <c r="L229" s="537"/>
      <c r="M229" s="537"/>
      <c r="N229" s="537"/>
      <c r="O229" s="537"/>
      <c r="P229" s="537"/>
      <c r="Q229" s="537"/>
      <c r="R229" s="537"/>
      <c r="S229" s="537"/>
      <c r="T229" s="537"/>
    </row>
    <row r="230" spans="1:20">
      <c r="A230" s="537"/>
      <c r="B230" s="537"/>
      <c r="C230" s="537"/>
      <c r="D230" s="537"/>
      <c r="E230" s="537"/>
      <c r="I230" s="537"/>
      <c r="J230" s="537"/>
      <c r="K230" s="537"/>
      <c r="L230" s="537"/>
      <c r="M230" s="537"/>
      <c r="N230" s="537"/>
      <c r="O230" s="537"/>
      <c r="P230" s="537"/>
      <c r="Q230" s="537"/>
      <c r="R230" s="537"/>
      <c r="S230" s="537"/>
      <c r="T230" s="537"/>
    </row>
    <row r="231" spans="1:20">
      <c r="A231" s="537"/>
      <c r="B231" s="537"/>
      <c r="C231" s="537"/>
      <c r="D231" s="537"/>
      <c r="E231" s="537"/>
      <c r="I231" s="537"/>
      <c r="J231" s="537"/>
      <c r="K231" s="537"/>
      <c r="L231" s="537"/>
      <c r="M231" s="537"/>
      <c r="N231" s="537"/>
      <c r="O231" s="537"/>
      <c r="P231" s="537"/>
      <c r="Q231" s="537"/>
      <c r="R231" s="537"/>
      <c r="S231" s="537"/>
      <c r="T231" s="537"/>
    </row>
    <row r="232" spans="1:20">
      <c r="A232" s="537"/>
      <c r="B232" s="537"/>
      <c r="C232" s="537"/>
      <c r="D232" s="537"/>
      <c r="E232" s="537"/>
      <c r="I232" s="537"/>
      <c r="J232" s="537"/>
      <c r="K232" s="537"/>
      <c r="L232" s="537"/>
      <c r="M232" s="537"/>
      <c r="N232" s="537"/>
      <c r="O232" s="537"/>
      <c r="P232" s="537"/>
      <c r="Q232" s="537"/>
      <c r="R232" s="537"/>
      <c r="S232" s="537"/>
      <c r="T232" s="537"/>
    </row>
    <row r="233" spans="1:20">
      <c r="A233" s="537"/>
      <c r="B233" s="537"/>
      <c r="C233" s="537"/>
      <c r="D233" s="537"/>
      <c r="E233" s="537"/>
      <c r="I233" s="537"/>
      <c r="J233" s="537"/>
      <c r="K233" s="537"/>
      <c r="L233" s="537"/>
      <c r="M233" s="537"/>
      <c r="N233" s="537"/>
      <c r="O233" s="537"/>
      <c r="P233" s="537"/>
      <c r="Q233" s="537"/>
      <c r="R233" s="537"/>
      <c r="S233" s="537"/>
      <c r="T233" s="537"/>
    </row>
    <row r="234" spans="1:20">
      <c r="A234" s="537"/>
      <c r="B234" s="537"/>
      <c r="C234" s="537"/>
      <c r="D234" s="537"/>
      <c r="E234" s="537"/>
      <c r="I234" s="537"/>
      <c r="J234" s="537"/>
      <c r="K234" s="537"/>
      <c r="L234" s="537"/>
      <c r="M234" s="537"/>
      <c r="N234" s="537"/>
      <c r="O234" s="537"/>
      <c r="P234" s="537"/>
      <c r="Q234" s="537"/>
      <c r="R234" s="537"/>
      <c r="S234" s="537"/>
      <c r="T234" s="537"/>
    </row>
    <row r="235" spans="1:20">
      <c r="A235" s="537"/>
      <c r="B235" s="537"/>
      <c r="C235" s="537"/>
      <c r="D235" s="537"/>
      <c r="E235" s="537"/>
      <c r="I235" s="537"/>
      <c r="J235" s="537"/>
      <c r="K235" s="537"/>
      <c r="L235" s="537"/>
      <c r="M235" s="537"/>
      <c r="N235" s="537"/>
      <c r="O235" s="537"/>
      <c r="P235" s="537"/>
      <c r="Q235" s="537"/>
      <c r="R235" s="537"/>
      <c r="S235" s="537"/>
      <c r="T235" s="537"/>
    </row>
    <row r="236" spans="1:20">
      <c r="A236" s="537"/>
      <c r="B236" s="537"/>
      <c r="C236" s="537"/>
      <c r="D236" s="537"/>
      <c r="E236" s="537"/>
      <c r="I236" s="537"/>
      <c r="J236" s="537"/>
      <c r="K236" s="537"/>
      <c r="L236" s="537"/>
      <c r="M236" s="537"/>
      <c r="N236" s="537"/>
      <c r="O236" s="537"/>
      <c r="P236" s="537"/>
      <c r="Q236" s="537"/>
      <c r="R236" s="537"/>
      <c r="S236" s="537"/>
      <c r="T236" s="537"/>
    </row>
    <row r="237" spans="1:20">
      <c r="A237" s="537"/>
      <c r="B237" s="537"/>
      <c r="C237" s="537"/>
      <c r="D237" s="537"/>
      <c r="E237" s="537"/>
      <c r="I237" s="537"/>
      <c r="J237" s="537"/>
      <c r="K237" s="537"/>
      <c r="L237" s="537"/>
      <c r="M237" s="537"/>
      <c r="N237" s="537"/>
      <c r="O237" s="537"/>
      <c r="P237" s="537"/>
      <c r="Q237" s="537"/>
      <c r="R237" s="537"/>
      <c r="S237" s="537"/>
      <c r="T237" s="537"/>
    </row>
    <row r="238" spans="1:20">
      <c r="A238" s="537"/>
      <c r="B238" s="537"/>
      <c r="C238" s="537"/>
      <c r="D238" s="537"/>
      <c r="E238" s="537"/>
      <c r="I238" s="537"/>
      <c r="J238" s="537"/>
      <c r="K238" s="537"/>
      <c r="L238" s="537"/>
      <c r="M238" s="537"/>
      <c r="N238" s="537"/>
      <c r="O238" s="537"/>
      <c r="P238" s="537"/>
      <c r="Q238" s="537"/>
      <c r="R238" s="537"/>
      <c r="S238" s="537"/>
      <c r="T238" s="537"/>
    </row>
    <row r="239" spans="1:20">
      <c r="A239" s="537"/>
      <c r="B239" s="537"/>
      <c r="C239" s="537"/>
      <c r="D239" s="537"/>
      <c r="E239" s="537"/>
      <c r="I239" s="537"/>
      <c r="J239" s="537"/>
      <c r="K239" s="537"/>
      <c r="L239" s="537"/>
      <c r="M239" s="537"/>
      <c r="N239" s="537"/>
      <c r="O239" s="537"/>
      <c r="P239" s="537"/>
      <c r="Q239" s="537"/>
      <c r="R239" s="537"/>
      <c r="S239" s="537"/>
      <c r="T239" s="537"/>
    </row>
    <row r="240" spans="1:20">
      <c r="A240" s="537"/>
      <c r="B240" s="537"/>
      <c r="C240" s="537"/>
      <c r="D240" s="537"/>
      <c r="E240" s="537"/>
      <c r="I240" s="537"/>
      <c r="J240" s="537"/>
      <c r="K240" s="537"/>
      <c r="L240" s="537"/>
      <c r="M240" s="537"/>
      <c r="N240" s="537"/>
      <c r="O240" s="537"/>
      <c r="P240" s="537"/>
      <c r="Q240" s="537"/>
      <c r="R240" s="537"/>
      <c r="S240" s="537"/>
      <c r="T240" s="537"/>
    </row>
    <row r="241" spans="1:20">
      <c r="A241" s="537"/>
      <c r="B241" s="537"/>
      <c r="C241" s="537"/>
      <c r="D241" s="537"/>
      <c r="E241" s="537"/>
      <c r="I241" s="537"/>
      <c r="J241" s="537"/>
      <c r="K241" s="537"/>
      <c r="L241" s="537"/>
      <c r="M241" s="537"/>
      <c r="N241" s="537"/>
      <c r="O241" s="537"/>
      <c r="P241" s="537"/>
      <c r="Q241" s="537"/>
      <c r="R241" s="537"/>
      <c r="S241" s="537"/>
      <c r="T241" s="537"/>
    </row>
    <row r="242" spans="1:20">
      <c r="A242" s="537"/>
      <c r="B242" s="537"/>
      <c r="C242" s="537"/>
      <c r="D242" s="537"/>
      <c r="E242" s="537"/>
      <c r="I242" s="537"/>
      <c r="J242" s="537"/>
      <c r="K242" s="537"/>
      <c r="L242" s="537"/>
      <c r="M242" s="537"/>
      <c r="N242" s="537"/>
      <c r="O242" s="537"/>
      <c r="P242" s="537"/>
      <c r="Q242" s="537"/>
      <c r="R242" s="537"/>
      <c r="S242" s="537"/>
      <c r="T242" s="537"/>
    </row>
    <row r="243" spans="1:20">
      <c r="A243" s="537"/>
      <c r="B243" s="537"/>
      <c r="C243" s="537"/>
      <c r="D243" s="537"/>
      <c r="E243" s="537"/>
      <c r="I243" s="537"/>
      <c r="J243" s="537"/>
      <c r="K243" s="537"/>
      <c r="L243" s="537"/>
      <c r="M243" s="537"/>
      <c r="N243" s="537"/>
      <c r="O243" s="537"/>
      <c r="P243" s="537"/>
      <c r="Q243" s="537"/>
      <c r="R243" s="537"/>
      <c r="S243" s="537"/>
      <c r="T243" s="537"/>
    </row>
    <row r="244" spans="1:20">
      <c r="A244" s="537"/>
      <c r="B244" s="537"/>
      <c r="C244" s="537"/>
      <c r="D244" s="537"/>
      <c r="E244" s="537"/>
      <c r="I244" s="537"/>
      <c r="J244" s="537"/>
      <c r="K244" s="537"/>
      <c r="L244" s="537"/>
      <c r="M244" s="537"/>
      <c r="N244" s="537"/>
      <c r="O244" s="537"/>
      <c r="P244" s="537"/>
      <c r="Q244" s="537"/>
      <c r="R244" s="537"/>
      <c r="S244" s="537"/>
      <c r="T244" s="537"/>
    </row>
    <row r="245" spans="1:20">
      <c r="A245" s="537"/>
      <c r="B245" s="537"/>
      <c r="C245" s="537"/>
      <c r="D245" s="537"/>
      <c r="E245" s="537"/>
      <c r="I245" s="537"/>
      <c r="J245" s="537"/>
      <c r="K245" s="537"/>
      <c r="L245" s="537"/>
      <c r="M245" s="537"/>
      <c r="N245" s="537"/>
      <c r="O245" s="537"/>
      <c r="P245" s="537"/>
      <c r="Q245" s="537"/>
      <c r="R245" s="537"/>
      <c r="S245" s="537"/>
      <c r="T245" s="537"/>
    </row>
    <row r="246" spans="1:20">
      <c r="A246" s="537"/>
      <c r="B246" s="537"/>
      <c r="C246" s="537"/>
      <c r="D246" s="537"/>
      <c r="E246" s="537"/>
      <c r="I246" s="537"/>
      <c r="J246" s="537"/>
      <c r="K246" s="537"/>
      <c r="L246" s="537"/>
      <c r="M246" s="537"/>
      <c r="N246" s="537"/>
      <c r="O246" s="537"/>
      <c r="P246" s="537"/>
      <c r="Q246" s="537"/>
      <c r="R246" s="537"/>
      <c r="S246" s="537"/>
      <c r="T246" s="537"/>
    </row>
    <row r="247" spans="1:20">
      <c r="A247" s="537"/>
      <c r="B247" s="537"/>
      <c r="C247" s="537"/>
      <c r="D247" s="537"/>
      <c r="E247" s="537"/>
      <c r="I247" s="537"/>
      <c r="J247" s="537"/>
      <c r="K247" s="537"/>
      <c r="L247" s="537"/>
      <c r="M247" s="537"/>
      <c r="N247" s="537"/>
      <c r="O247" s="537"/>
      <c r="P247" s="537"/>
      <c r="Q247" s="537"/>
      <c r="R247" s="537"/>
      <c r="S247" s="537"/>
      <c r="T247" s="537"/>
    </row>
    <row r="248" spans="1:20">
      <c r="A248" s="537"/>
      <c r="B248" s="537"/>
      <c r="C248" s="537"/>
      <c r="D248" s="537"/>
      <c r="E248" s="537"/>
      <c r="I248" s="537"/>
      <c r="J248" s="537"/>
      <c r="K248" s="537"/>
      <c r="L248" s="537"/>
      <c r="M248" s="537"/>
      <c r="N248" s="537"/>
      <c r="O248" s="537"/>
      <c r="P248" s="537"/>
      <c r="Q248" s="537"/>
      <c r="R248" s="537"/>
      <c r="S248" s="537"/>
      <c r="T248" s="537"/>
    </row>
    <row r="249" spans="1:20">
      <c r="A249" s="537"/>
      <c r="B249" s="537"/>
      <c r="C249" s="537"/>
      <c r="D249" s="537"/>
      <c r="E249" s="537"/>
      <c r="I249" s="537"/>
      <c r="J249" s="537"/>
      <c r="K249" s="537"/>
      <c r="L249" s="537"/>
      <c r="M249" s="537"/>
      <c r="N249" s="537"/>
      <c r="O249" s="537"/>
      <c r="P249" s="537"/>
      <c r="Q249" s="537"/>
      <c r="R249" s="537"/>
      <c r="S249" s="537"/>
      <c r="T249" s="537"/>
    </row>
    <row r="250" spans="1:20">
      <c r="A250" s="537"/>
      <c r="B250" s="537"/>
      <c r="C250" s="537"/>
      <c r="D250" s="537"/>
      <c r="E250" s="537"/>
      <c r="I250" s="537"/>
      <c r="J250" s="537"/>
      <c r="K250" s="537"/>
      <c r="L250" s="537"/>
      <c r="M250" s="537"/>
      <c r="N250" s="537"/>
      <c r="O250" s="537"/>
      <c r="P250" s="537"/>
      <c r="Q250" s="537"/>
      <c r="R250" s="537"/>
      <c r="S250" s="537"/>
      <c r="T250" s="537"/>
    </row>
    <row r="251" spans="1:20">
      <c r="A251" s="537"/>
      <c r="B251" s="537"/>
      <c r="C251" s="537"/>
      <c r="D251" s="537"/>
      <c r="E251" s="537"/>
      <c r="I251" s="537"/>
      <c r="J251" s="537"/>
      <c r="K251" s="537"/>
      <c r="L251" s="537"/>
      <c r="M251" s="537"/>
      <c r="N251" s="537"/>
      <c r="O251" s="537"/>
      <c r="P251" s="537"/>
      <c r="Q251" s="537"/>
      <c r="R251" s="537"/>
      <c r="S251" s="537"/>
      <c r="T251" s="537"/>
    </row>
    <row r="252" spans="1:20">
      <c r="A252" s="537"/>
      <c r="B252" s="537"/>
      <c r="C252" s="537"/>
      <c r="D252" s="537"/>
      <c r="E252" s="537"/>
      <c r="I252" s="537"/>
      <c r="J252" s="537"/>
      <c r="K252" s="537"/>
      <c r="L252" s="537"/>
      <c r="M252" s="537"/>
      <c r="N252" s="537"/>
      <c r="O252" s="537"/>
      <c r="P252" s="537"/>
      <c r="Q252" s="537"/>
      <c r="R252" s="537"/>
      <c r="S252" s="537"/>
      <c r="T252" s="537"/>
    </row>
    <row r="253" spans="1:20">
      <c r="A253" s="537"/>
      <c r="B253" s="537"/>
      <c r="C253" s="537"/>
      <c r="D253" s="537"/>
      <c r="E253" s="537"/>
      <c r="I253" s="537"/>
      <c r="J253" s="537"/>
      <c r="K253" s="537"/>
      <c r="L253" s="537"/>
      <c r="M253" s="537"/>
      <c r="N253" s="537"/>
      <c r="O253" s="537"/>
      <c r="P253" s="537"/>
      <c r="Q253" s="537"/>
      <c r="R253" s="537"/>
      <c r="S253" s="537"/>
      <c r="T253" s="537"/>
    </row>
    <row r="254" spans="1:20">
      <c r="A254" s="537"/>
      <c r="B254" s="537"/>
      <c r="C254" s="537"/>
      <c r="D254" s="537"/>
      <c r="E254" s="537"/>
      <c r="I254" s="537"/>
      <c r="J254" s="537"/>
      <c r="K254" s="537"/>
      <c r="L254" s="537"/>
      <c r="M254" s="537"/>
      <c r="N254" s="537"/>
      <c r="O254" s="537"/>
      <c r="P254" s="537"/>
      <c r="Q254" s="537"/>
      <c r="R254" s="537"/>
      <c r="S254" s="537"/>
      <c r="T254" s="537"/>
    </row>
    <row r="255" spans="1:20">
      <c r="A255" s="537"/>
      <c r="B255" s="537"/>
      <c r="C255" s="537"/>
      <c r="D255" s="537"/>
      <c r="E255" s="537"/>
      <c r="I255" s="537"/>
      <c r="J255" s="537"/>
      <c r="K255" s="537"/>
      <c r="L255" s="537"/>
      <c r="M255" s="537"/>
      <c r="N255" s="537"/>
      <c r="O255" s="537"/>
      <c r="P255" s="537"/>
      <c r="Q255" s="537"/>
      <c r="R255" s="537"/>
      <c r="S255" s="537"/>
      <c r="T255" s="537"/>
    </row>
    <row r="256" spans="1:20">
      <c r="A256" s="537"/>
      <c r="B256" s="537"/>
      <c r="C256" s="537"/>
      <c r="D256" s="537"/>
      <c r="E256" s="537"/>
      <c r="I256" s="537"/>
      <c r="J256" s="537"/>
      <c r="K256" s="537"/>
      <c r="L256" s="537"/>
      <c r="M256" s="537"/>
      <c r="N256" s="537"/>
      <c r="O256" s="537"/>
      <c r="P256" s="537"/>
      <c r="Q256" s="537"/>
      <c r="R256" s="537"/>
      <c r="S256" s="537"/>
      <c r="T256" s="537"/>
    </row>
    <row r="257" spans="1:20">
      <c r="A257" s="537"/>
      <c r="B257" s="537"/>
      <c r="C257" s="537"/>
      <c r="D257" s="537"/>
      <c r="E257" s="537"/>
      <c r="I257" s="537"/>
      <c r="J257" s="537"/>
      <c r="K257" s="537"/>
      <c r="L257" s="537"/>
      <c r="M257" s="537"/>
      <c r="N257" s="537"/>
      <c r="O257" s="537"/>
      <c r="P257" s="537"/>
      <c r="Q257" s="537"/>
      <c r="R257" s="537"/>
      <c r="S257" s="537"/>
      <c r="T257" s="537"/>
    </row>
    <row r="258" spans="1:20">
      <c r="A258" s="537"/>
      <c r="B258" s="537"/>
      <c r="C258" s="537"/>
      <c r="D258" s="537"/>
      <c r="E258" s="537"/>
      <c r="I258" s="537"/>
      <c r="J258" s="537"/>
      <c r="K258" s="537"/>
      <c r="L258" s="537"/>
      <c r="M258" s="537"/>
      <c r="N258" s="537"/>
      <c r="O258" s="537"/>
      <c r="P258" s="537"/>
      <c r="Q258" s="537"/>
      <c r="R258" s="537"/>
      <c r="S258" s="537"/>
      <c r="T258" s="537"/>
    </row>
    <row r="259" spans="1:20">
      <c r="A259" s="537"/>
      <c r="B259" s="537"/>
      <c r="C259" s="537"/>
      <c r="D259" s="537"/>
      <c r="E259" s="537"/>
      <c r="I259" s="537"/>
      <c r="J259" s="537"/>
      <c r="K259" s="537"/>
      <c r="L259" s="537"/>
      <c r="M259" s="537"/>
      <c r="N259" s="537"/>
      <c r="O259" s="537"/>
      <c r="P259" s="537"/>
      <c r="Q259" s="537"/>
      <c r="R259" s="537"/>
      <c r="S259" s="537"/>
      <c r="T259" s="537"/>
    </row>
    <row r="260" spans="1:20">
      <c r="A260" s="537"/>
      <c r="B260" s="537"/>
      <c r="C260" s="537"/>
      <c r="D260" s="537"/>
      <c r="E260" s="537"/>
      <c r="I260" s="537"/>
      <c r="J260" s="537"/>
      <c r="K260" s="537"/>
      <c r="L260" s="537"/>
      <c r="M260" s="537"/>
      <c r="N260" s="537"/>
      <c r="O260" s="537"/>
      <c r="P260" s="537"/>
      <c r="Q260" s="537"/>
      <c r="R260" s="537"/>
      <c r="S260" s="537"/>
      <c r="T260" s="537"/>
    </row>
    <row r="261" spans="1:20">
      <c r="A261" s="537"/>
      <c r="B261" s="537"/>
      <c r="C261" s="537"/>
      <c r="D261" s="537"/>
      <c r="E261" s="537"/>
      <c r="I261" s="537"/>
      <c r="J261" s="537"/>
      <c r="K261" s="537"/>
      <c r="L261" s="537"/>
      <c r="M261" s="537"/>
      <c r="N261" s="537"/>
      <c r="O261" s="537"/>
      <c r="P261" s="537"/>
      <c r="Q261" s="537"/>
      <c r="R261" s="537"/>
      <c r="S261" s="537"/>
      <c r="T261" s="537"/>
    </row>
    <row r="262" spans="1:20">
      <c r="A262" s="537"/>
      <c r="B262" s="537"/>
      <c r="C262" s="537"/>
      <c r="D262" s="537"/>
      <c r="E262" s="537"/>
      <c r="I262" s="537"/>
      <c r="J262" s="537"/>
      <c r="K262" s="537"/>
      <c r="L262" s="537"/>
      <c r="M262" s="537"/>
      <c r="N262" s="537"/>
      <c r="O262" s="537"/>
      <c r="P262" s="537"/>
      <c r="Q262" s="537"/>
      <c r="R262" s="537"/>
      <c r="S262" s="537"/>
      <c r="T262" s="537"/>
    </row>
    <row r="263" spans="1:20">
      <c r="A263" s="537"/>
      <c r="B263" s="537"/>
      <c r="C263" s="537"/>
      <c r="D263" s="537"/>
      <c r="E263" s="537"/>
      <c r="I263" s="537"/>
      <c r="J263" s="537"/>
      <c r="K263" s="537"/>
      <c r="L263" s="537"/>
      <c r="M263" s="537"/>
      <c r="N263" s="537"/>
      <c r="O263" s="537"/>
      <c r="P263" s="537"/>
      <c r="Q263" s="537"/>
      <c r="R263" s="537"/>
      <c r="S263" s="537"/>
      <c r="T263" s="537"/>
    </row>
    <row r="264" spans="1:20">
      <c r="A264" s="537"/>
      <c r="B264" s="537"/>
      <c r="C264" s="537"/>
      <c r="D264" s="537"/>
      <c r="E264" s="537"/>
      <c r="I264" s="537"/>
      <c r="J264" s="537"/>
      <c r="K264" s="537"/>
      <c r="L264" s="537"/>
      <c r="M264" s="537"/>
      <c r="N264" s="537"/>
      <c r="O264" s="537"/>
      <c r="P264" s="537"/>
      <c r="Q264" s="537"/>
      <c r="R264" s="537"/>
      <c r="S264" s="537"/>
      <c r="T264" s="537"/>
    </row>
    <row r="265" spans="1:20">
      <c r="A265" s="537"/>
      <c r="B265" s="537"/>
      <c r="C265" s="537"/>
      <c r="D265" s="537"/>
      <c r="E265" s="537"/>
      <c r="I265" s="537"/>
      <c r="J265" s="537"/>
      <c r="K265" s="537"/>
      <c r="L265" s="537"/>
      <c r="M265" s="537"/>
      <c r="N265" s="537"/>
      <c r="O265" s="537"/>
      <c r="P265" s="537"/>
      <c r="Q265" s="537"/>
      <c r="R265" s="537"/>
      <c r="S265" s="537"/>
      <c r="T265" s="537"/>
    </row>
    <row r="266" spans="1:20">
      <c r="A266" s="537"/>
      <c r="B266" s="537"/>
      <c r="C266" s="537"/>
      <c r="D266" s="537"/>
      <c r="E266" s="537"/>
      <c r="I266" s="537"/>
      <c r="J266" s="537"/>
      <c r="K266" s="537"/>
      <c r="L266" s="537"/>
      <c r="M266" s="537"/>
      <c r="N266" s="537"/>
      <c r="O266" s="537"/>
      <c r="P266" s="537"/>
      <c r="Q266" s="537"/>
      <c r="R266" s="537"/>
      <c r="S266" s="537"/>
      <c r="T266" s="537"/>
    </row>
    <row r="267" spans="1:20">
      <c r="A267" s="537"/>
      <c r="B267" s="537"/>
      <c r="C267" s="537"/>
      <c r="D267" s="537"/>
      <c r="E267" s="537"/>
      <c r="I267" s="537"/>
      <c r="J267" s="537"/>
      <c r="K267" s="537"/>
      <c r="L267" s="537"/>
      <c r="M267" s="537"/>
      <c r="N267" s="537"/>
      <c r="O267" s="537"/>
      <c r="P267" s="537"/>
      <c r="Q267" s="537"/>
      <c r="R267" s="537"/>
      <c r="S267" s="537"/>
      <c r="T267" s="537"/>
    </row>
    <row r="268" spans="1:20">
      <c r="A268" s="537"/>
      <c r="B268" s="537"/>
      <c r="C268" s="537"/>
      <c r="D268" s="537"/>
      <c r="E268" s="537"/>
      <c r="I268" s="537"/>
      <c r="J268" s="537"/>
      <c r="K268" s="537"/>
      <c r="L268" s="537"/>
      <c r="M268" s="537"/>
      <c r="N268" s="537"/>
      <c r="O268" s="537"/>
      <c r="P268" s="537"/>
      <c r="Q268" s="537"/>
      <c r="R268" s="537"/>
      <c r="S268" s="537"/>
      <c r="T268" s="537"/>
    </row>
    <row r="269" spans="1:20">
      <c r="A269" s="537"/>
      <c r="B269" s="537"/>
      <c r="C269" s="537"/>
      <c r="D269" s="537"/>
      <c r="E269" s="537"/>
      <c r="I269" s="537"/>
      <c r="J269" s="537"/>
      <c r="K269" s="537"/>
      <c r="L269" s="537"/>
      <c r="M269" s="537"/>
      <c r="N269" s="537"/>
      <c r="O269" s="537"/>
      <c r="P269" s="537"/>
      <c r="Q269" s="537"/>
      <c r="R269" s="537"/>
      <c r="S269" s="537"/>
      <c r="T269" s="537"/>
    </row>
    <row r="270" spans="1:20">
      <c r="A270" s="537"/>
      <c r="B270" s="537"/>
      <c r="C270" s="537"/>
      <c r="D270" s="537"/>
      <c r="E270" s="537"/>
      <c r="I270" s="537"/>
      <c r="J270" s="537"/>
      <c r="K270" s="537"/>
      <c r="L270" s="537"/>
      <c r="M270" s="537"/>
      <c r="N270" s="537"/>
      <c r="O270" s="537"/>
      <c r="P270" s="537"/>
      <c r="Q270" s="537"/>
      <c r="R270" s="537"/>
      <c r="S270" s="537"/>
      <c r="T270" s="537"/>
    </row>
    <row r="271" spans="1:20">
      <c r="A271" s="537"/>
      <c r="B271" s="537"/>
      <c r="C271" s="537"/>
      <c r="D271" s="537"/>
      <c r="E271" s="537"/>
      <c r="I271" s="537"/>
      <c r="J271" s="537"/>
      <c r="K271" s="537"/>
      <c r="L271" s="537"/>
      <c r="M271" s="537"/>
      <c r="N271" s="537"/>
      <c r="O271" s="537"/>
      <c r="P271" s="537"/>
      <c r="Q271" s="537"/>
      <c r="R271" s="537"/>
      <c r="S271" s="537"/>
      <c r="T271" s="537"/>
    </row>
    <row r="272" spans="1:20">
      <c r="A272" s="537"/>
      <c r="B272" s="537"/>
      <c r="C272" s="537"/>
      <c r="D272" s="537"/>
      <c r="E272" s="537"/>
      <c r="I272" s="537"/>
      <c r="J272" s="537"/>
      <c r="K272" s="537"/>
      <c r="L272" s="537"/>
      <c r="M272" s="537"/>
      <c r="N272" s="537"/>
      <c r="O272" s="537"/>
      <c r="P272" s="537"/>
      <c r="Q272" s="537"/>
      <c r="R272" s="537"/>
      <c r="S272" s="537"/>
      <c r="T272" s="537"/>
    </row>
    <row r="273" spans="1:20">
      <c r="A273" s="537"/>
      <c r="B273" s="537"/>
      <c r="C273" s="537"/>
      <c r="D273" s="537"/>
      <c r="E273" s="537"/>
      <c r="I273" s="537"/>
      <c r="J273" s="537"/>
      <c r="K273" s="537"/>
      <c r="L273" s="537"/>
      <c r="M273" s="537"/>
      <c r="N273" s="537"/>
      <c r="O273" s="537"/>
      <c r="P273" s="537"/>
      <c r="Q273" s="537"/>
      <c r="R273" s="537"/>
      <c r="S273" s="537"/>
      <c r="T273" s="537"/>
    </row>
    <row r="274" spans="1:20">
      <c r="A274" s="537"/>
      <c r="B274" s="537"/>
      <c r="C274" s="537"/>
      <c r="D274" s="537"/>
      <c r="E274" s="537"/>
      <c r="I274" s="537"/>
      <c r="J274" s="537"/>
      <c r="K274" s="537"/>
      <c r="L274" s="537"/>
      <c r="M274" s="537"/>
      <c r="N274" s="537"/>
      <c r="O274" s="537"/>
      <c r="P274" s="537"/>
      <c r="Q274" s="537"/>
      <c r="R274" s="537"/>
      <c r="S274" s="537"/>
      <c r="T274" s="537"/>
    </row>
    <row r="275" spans="1:20">
      <c r="A275" s="537"/>
      <c r="B275" s="537"/>
      <c r="C275" s="537"/>
      <c r="D275" s="537"/>
      <c r="E275" s="537"/>
      <c r="I275" s="537"/>
      <c r="J275" s="537"/>
      <c r="K275" s="537"/>
      <c r="L275" s="537"/>
      <c r="M275" s="537"/>
      <c r="N275" s="537"/>
      <c r="O275" s="537"/>
      <c r="P275" s="537"/>
      <c r="Q275" s="537"/>
      <c r="R275" s="537"/>
      <c r="S275" s="537"/>
      <c r="T275" s="537"/>
    </row>
    <row r="276" spans="1:20">
      <c r="A276" s="537"/>
      <c r="B276" s="537"/>
      <c r="C276" s="537"/>
      <c r="D276" s="537"/>
      <c r="E276" s="537"/>
      <c r="I276" s="537"/>
      <c r="J276" s="537"/>
      <c r="K276" s="537"/>
      <c r="L276" s="537"/>
      <c r="M276" s="537"/>
      <c r="N276" s="537"/>
      <c r="O276" s="537"/>
      <c r="P276" s="537"/>
      <c r="Q276" s="537"/>
      <c r="R276" s="537"/>
      <c r="S276" s="537"/>
      <c r="T276" s="537"/>
    </row>
    <row r="277" spans="1:20">
      <c r="A277" s="537"/>
      <c r="B277" s="537"/>
      <c r="C277" s="537"/>
      <c r="D277" s="537"/>
      <c r="E277" s="537"/>
      <c r="I277" s="537"/>
      <c r="J277" s="537"/>
      <c r="K277" s="537"/>
      <c r="L277" s="537"/>
      <c r="M277" s="537"/>
      <c r="N277" s="537"/>
      <c r="O277" s="537"/>
      <c r="P277" s="537"/>
      <c r="Q277" s="537"/>
      <c r="R277" s="537"/>
      <c r="S277" s="537"/>
      <c r="T277" s="537"/>
    </row>
    <row r="278" spans="1:20">
      <c r="A278" s="537"/>
      <c r="B278" s="537"/>
      <c r="C278" s="537"/>
      <c r="D278" s="537"/>
      <c r="E278" s="537"/>
      <c r="I278" s="537"/>
      <c r="J278" s="537"/>
      <c r="K278" s="537"/>
      <c r="L278" s="537"/>
      <c r="M278" s="537"/>
      <c r="N278" s="537"/>
      <c r="O278" s="537"/>
      <c r="P278" s="537"/>
      <c r="Q278" s="537"/>
      <c r="R278" s="537"/>
      <c r="S278" s="537"/>
      <c r="T278" s="537"/>
    </row>
    <row r="279" spans="1:20">
      <c r="A279" s="537"/>
      <c r="B279" s="537"/>
      <c r="C279" s="537"/>
      <c r="D279" s="537"/>
      <c r="E279" s="537"/>
      <c r="I279" s="537"/>
      <c r="J279" s="537"/>
      <c r="K279" s="537"/>
      <c r="L279" s="537"/>
      <c r="M279" s="537"/>
      <c r="N279" s="537"/>
      <c r="O279" s="537"/>
      <c r="P279" s="537"/>
      <c r="Q279" s="537"/>
      <c r="R279" s="537"/>
      <c r="S279" s="537"/>
      <c r="T279" s="537"/>
    </row>
    <row r="280" spans="1:20">
      <c r="A280" s="537"/>
      <c r="B280" s="537"/>
      <c r="C280" s="537"/>
      <c r="D280" s="537"/>
      <c r="E280" s="537"/>
      <c r="I280" s="537"/>
      <c r="J280" s="537"/>
      <c r="K280" s="537"/>
      <c r="L280" s="537"/>
      <c r="M280" s="537"/>
      <c r="N280" s="537"/>
      <c r="O280" s="537"/>
      <c r="P280" s="537"/>
      <c r="Q280" s="537"/>
      <c r="R280" s="537"/>
      <c r="S280" s="537"/>
      <c r="T280" s="537"/>
    </row>
    <row r="281" spans="1:20">
      <c r="A281" s="537"/>
      <c r="B281" s="537"/>
      <c r="C281" s="537"/>
      <c r="D281" s="537"/>
      <c r="E281" s="537"/>
      <c r="I281" s="537"/>
      <c r="J281" s="537"/>
      <c r="K281" s="537"/>
      <c r="L281" s="537"/>
      <c r="M281" s="537"/>
      <c r="N281" s="537"/>
      <c r="O281" s="537"/>
      <c r="P281" s="537"/>
      <c r="Q281" s="537"/>
      <c r="R281" s="537"/>
      <c r="S281" s="537"/>
      <c r="T281" s="537"/>
    </row>
    <row r="282" spans="1:20">
      <c r="A282" s="537"/>
      <c r="B282" s="537"/>
      <c r="C282" s="537"/>
      <c r="D282" s="537"/>
      <c r="E282" s="537"/>
      <c r="I282" s="537"/>
      <c r="J282" s="537"/>
      <c r="K282" s="537"/>
      <c r="L282" s="537"/>
      <c r="M282" s="537"/>
      <c r="N282" s="537"/>
      <c r="O282" s="537"/>
      <c r="P282" s="537"/>
      <c r="Q282" s="537"/>
      <c r="R282" s="537"/>
      <c r="S282" s="537"/>
      <c r="T282" s="537"/>
    </row>
    <row r="283" spans="1:20">
      <c r="A283" s="537"/>
      <c r="B283" s="537"/>
      <c r="C283" s="537"/>
      <c r="D283" s="537"/>
      <c r="E283" s="537"/>
      <c r="I283" s="537"/>
      <c r="J283" s="537"/>
      <c r="K283" s="537"/>
      <c r="L283" s="537"/>
      <c r="M283" s="537"/>
      <c r="N283" s="537"/>
      <c r="O283" s="537"/>
      <c r="P283" s="537"/>
      <c r="Q283" s="537"/>
      <c r="R283" s="537"/>
      <c r="S283" s="537"/>
      <c r="T283" s="537"/>
    </row>
    <row r="284" spans="1:20">
      <c r="A284" s="537"/>
      <c r="B284" s="537"/>
      <c r="C284" s="537"/>
      <c r="D284" s="537"/>
      <c r="E284" s="537"/>
      <c r="I284" s="537"/>
      <c r="J284" s="537"/>
      <c r="K284" s="537"/>
      <c r="L284" s="537"/>
      <c r="M284" s="537"/>
      <c r="N284" s="537"/>
      <c r="O284" s="537"/>
      <c r="P284" s="537"/>
      <c r="Q284" s="537"/>
      <c r="R284" s="537"/>
      <c r="S284" s="537"/>
      <c r="T284" s="537"/>
    </row>
    <row r="285" spans="1:20">
      <c r="A285" s="537"/>
      <c r="B285" s="537"/>
      <c r="C285" s="537"/>
      <c r="D285" s="537"/>
      <c r="E285" s="537"/>
      <c r="I285" s="537"/>
      <c r="J285" s="537"/>
      <c r="K285" s="537"/>
      <c r="L285" s="537"/>
      <c r="M285" s="537"/>
      <c r="N285" s="537"/>
      <c r="O285" s="537"/>
      <c r="P285" s="537"/>
      <c r="Q285" s="537"/>
      <c r="R285" s="537"/>
      <c r="S285" s="537"/>
      <c r="T285" s="537"/>
    </row>
    <row r="286" spans="1:20">
      <c r="A286" s="537"/>
      <c r="B286" s="537"/>
      <c r="C286" s="537"/>
      <c r="D286" s="537"/>
      <c r="E286" s="537"/>
      <c r="I286" s="537"/>
      <c r="J286" s="537"/>
      <c r="K286" s="537"/>
      <c r="L286" s="537"/>
      <c r="M286" s="537"/>
      <c r="N286" s="537"/>
      <c r="O286" s="537"/>
      <c r="P286" s="537"/>
      <c r="Q286" s="537"/>
      <c r="R286" s="537"/>
      <c r="S286" s="537"/>
      <c r="T286" s="537"/>
    </row>
    <row r="287" spans="1:20">
      <c r="A287" s="537"/>
      <c r="B287" s="537"/>
      <c r="C287" s="537"/>
      <c r="D287" s="537"/>
      <c r="E287" s="537"/>
      <c r="I287" s="537"/>
      <c r="J287" s="537"/>
      <c r="K287" s="537"/>
      <c r="L287" s="537"/>
      <c r="M287" s="537"/>
      <c r="N287" s="537"/>
      <c r="O287" s="537"/>
      <c r="P287" s="537"/>
      <c r="Q287" s="537"/>
      <c r="R287" s="537"/>
      <c r="S287" s="537"/>
      <c r="T287" s="537"/>
    </row>
    <row r="288" spans="1:20">
      <c r="A288" s="537"/>
      <c r="B288" s="537"/>
      <c r="C288" s="537"/>
      <c r="D288" s="537"/>
      <c r="E288" s="537"/>
      <c r="I288" s="537"/>
      <c r="J288" s="537"/>
      <c r="K288" s="537"/>
      <c r="L288" s="537"/>
      <c r="M288" s="537"/>
      <c r="N288" s="537"/>
      <c r="O288" s="537"/>
      <c r="P288" s="537"/>
      <c r="Q288" s="537"/>
      <c r="R288" s="537"/>
      <c r="S288" s="537"/>
      <c r="T288" s="537"/>
    </row>
    <row r="289" spans="1:20">
      <c r="A289" s="537"/>
      <c r="B289" s="537"/>
      <c r="C289" s="537"/>
      <c r="D289" s="537"/>
      <c r="E289" s="537"/>
      <c r="I289" s="537"/>
      <c r="J289" s="537"/>
      <c r="K289" s="537"/>
      <c r="L289" s="537"/>
      <c r="M289" s="537"/>
      <c r="N289" s="537"/>
      <c r="O289" s="537"/>
      <c r="P289" s="537"/>
      <c r="Q289" s="537"/>
      <c r="R289" s="537"/>
      <c r="S289" s="537"/>
      <c r="T289" s="537"/>
    </row>
    <row r="290" spans="1:20">
      <c r="A290" s="537"/>
      <c r="B290" s="537"/>
      <c r="C290" s="537"/>
      <c r="D290" s="537"/>
      <c r="E290" s="537"/>
      <c r="I290" s="537"/>
      <c r="J290" s="537"/>
      <c r="K290" s="537"/>
      <c r="L290" s="537"/>
      <c r="M290" s="537"/>
      <c r="N290" s="537"/>
      <c r="O290" s="537"/>
      <c r="P290" s="537"/>
      <c r="Q290" s="537"/>
      <c r="R290" s="537"/>
      <c r="S290" s="537"/>
      <c r="T290" s="537"/>
    </row>
    <row r="291" spans="1:20">
      <c r="A291" s="537"/>
      <c r="B291" s="537"/>
      <c r="C291" s="537"/>
      <c r="D291" s="537"/>
      <c r="E291" s="537"/>
      <c r="I291" s="537"/>
      <c r="J291" s="537"/>
      <c r="K291" s="537"/>
      <c r="L291" s="537"/>
      <c r="M291" s="537"/>
      <c r="N291" s="537"/>
      <c r="O291" s="537"/>
      <c r="P291" s="537"/>
      <c r="Q291" s="537"/>
      <c r="R291" s="537"/>
      <c r="S291" s="537"/>
      <c r="T291" s="537"/>
    </row>
    <row r="292" spans="1:20">
      <c r="A292" s="537"/>
      <c r="B292" s="537"/>
      <c r="C292" s="537"/>
      <c r="D292" s="537"/>
      <c r="E292" s="537"/>
      <c r="I292" s="537"/>
      <c r="J292" s="537"/>
      <c r="K292" s="537"/>
      <c r="L292" s="537"/>
      <c r="M292" s="537"/>
      <c r="N292" s="537"/>
      <c r="O292" s="537"/>
      <c r="P292" s="537"/>
      <c r="Q292" s="537"/>
      <c r="R292" s="537"/>
      <c r="S292" s="537"/>
      <c r="T292" s="537"/>
    </row>
    <row r="293" spans="1:20">
      <c r="A293" s="537"/>
      <c r="B293" s="537"/>
      <c r="C293" s="537"/>
      <c r="D293" s="537"/>
      <c r="E293" s="537"/>
      <c r="I293" s="537"/>
      <c r="J293" s="537"/>
      <c r="K293" s="537"/>
      <c r="L293" s="537"/>
      <c r="M293" s="537"/>
      <c r="N293" s="537"/>
      <c r="O293" s="537"/>
      <c r="P293" s="537"/>
      <c r="Q293" s="537"/>
      <c r="R293" s="537"/>
      <c r="S293" s="537"/>
      <c r="T293" s="537"/>
    </row>
    <row r="294" spans="1:20">
      <c r="A294" s="537"/>
      <c r="B294" s="537"/>
      <c r="C294" s="537"/>
      <c r="D294" s="537"/>
      <c r="E294" s="537"/>
      <c r="I294" s="537"/>
      <c r="J294" s="537"/>
      <c r="K294" s="537"/>
      <c r="L294" s="537"/>
      <c r="M294" s="537"/>
      <c r="N294" s="537"/>
      <c r="O294" s="537"/>
      <c r="P294" s="537"/>
      <c r="Q294" s="537"/>
      <c r="R294" s="537"/>
      <c r="S294" s="537"/>
      <c r="T294" s="537"/>
    </row>
    <row r="295" spans="1:20">
      <c r="A295" s="537"/>
      <c r="B295" s="537"/>
      <c r="C295" s="537"/>
      <c r="D295" s="537"/>
      <c r="E295" s="537"/>
      <c r="I295" s="537"/>
      <c r="J295" s="537"/>
      <c r="K295" s="537"/>
      <c r="L295" s="537"/>
      <c r="M295" s="537"/>
      <c r="N295" s="537"/>
      <c r="O295" s="537"/>
      <c r="P295" s="537"/>
      <c r="Q295" s="537"/>
      <c r="R295" s="537"/>
      <c r="S295" s="537"/>
      <c r="T295" s="537"/>
    </row>
    <row r="296" spans="1:20">
      <c r="A296" s="537"/>
      <c r="B296" s="537"/>
      <c r="C296" s="537"/>
      <c r="D296" s="537"/>
      <c r="E296" s="537"/>
      <c r="I296" s="537"/>
      <c r="J296" s="537"/>
      <c r="K296" s="537"/>
      <c r="L296" s="537"/>
      <c r="M296" s="537"/>
      <c r="N296" s="537"/>
      <c r="O296" s="537"/>
      <c r="P296" s="537"/>
      <c r="Q296" s="537"/>
      <c r="R296" s="537"/>
      <c r="S296" s="537"/>
      <c r="T296" s="537"/>
    </row>
    <row r="297" spans="1:20">
      <c r="A297" s="537"/>
      <c r="B297" s="537"/>
      <c r="C297" s="537"/>
      <c r="D297" s="537"/>
      <c r="E297" s="537"/>
      <c r="I297" s="537"/>
      <c r="J297" s="537"/>
      <c r="K297" s="537"/>
      <c r="L297" s="537"/>
      <c r="M297" s="537"/>
      <c r="N297" s="537"/>
      <c r="O297" s="537"/>
      <c r="P297" s="537"/>
      <c r="Q297" s="537"/>
      <c r="R297" s="537"/>
      <c r="S297" s="537"/>
      <c r="T297" s="537"/>
    </row>
    <row r="298" spans="1:20">
      <c r="A298" s="537"/>
      <c r="B298" s="537"/>
      <c r="C298" s="537"/>
      <c r="D298" s="537"/>
      <c r="E298" s="537"/>
      <c r="I298" s="537"/>
      <c r="J298" s="537"/>
      <c r="K298" s="537"/>
      <c r="L298" s="537"/>
      <c r="M298" s="537"/>
      <c r="N298" s="537"/>
      <c r="O298" s="537"/>
      <c r="P298" s="537"/>
      <c r="Q298" s="537"/>
      <c r="R298" s="537"/>
      <c r="S298" s="537"/>
      <c r="T298" s="537"/>
    </row>
    <row r="299" spans="1:20">
      <c r="A299" s="537"/>
      <c r="B299" s="537"/>
      <c r="C299" s="537"/>
      <c r="D299" s="537"/>
      <c r="E299" s="537"/>
      <c r="I299" s="537"/>
      <c r="J299" s="537"/>
      <c r="K299" s="537"/>
      <c r="L299" s="537"/>
      <c r="M299" s="537"/>
      <c r="N299" s="537"/>
      <c r="O299" s="537"/>
      <c r="P299" s="537"/>
      <c r="Q299" s="537"/>
      <c r="R299" s="537"/>
      <c r="S299" s="537"/>
      <c r="T299" s="537"/>
    </row>
    <row r="300" spans="1:20">
      <c r="A300" s="537"/>
      <c r="B300" s="537"/>
      <c r="C300" s="537"/>
      <c r="D300" s="537"/>
      <c r="E300" s="537"/>
      <c r="I300" s="537"/>
      <c r="J300" s="537"/>
      <c r="K300" s="537"/>
      <c r="L300" s="537"/>
      <c r="M300" s="537"/>
      <c r="N300" s="537"/>
      <c r="O300" s="537"/>
      <c r="P300" s="537"/>
      <c r="Q300" s="537"/>
      <c r="R300" s="537"/>
      <c r="S300" s="537"/>
      <c r="T300" s="537"/>
    </row>
    <row r="301" spans="1:20">
      <c r="A301" s="537"/>
      <c r="B301" s="537"/>
      <c r="C301" s="537"/>
      <c r="D301" s="537"/>
      <c r="E301" s="537"/>
      <c r="I301" s="537"/>
      <c r="J301" s="537"/>
      <c r="K301" s="537"/>
      <c r="L301" s="537"/>
      <c r="M301" s="537"/>
      <c r="N301" s="537"/>
      <c r="O301" s="537"/>
      <c r="P301" s="537"/>
      <c r="Q301" s="537"/>
      <c r="R301" s="537"/>
      <c r="S301" s="537"/>
      <c r="T301" s="537"/>
    </row>
    <row r="302" spans="1:20">
      <c r="A302" s="537"/>
      <c r="B302" s="537"/>
      <c r="C302" s="537"/>
      <c r="D302" s="537"/>
      <c r="E302" s="537"/>
      <c r="I302" s="537"/>
      <c r="J302" s="537"/>
      <c r="K302" s="537"/>
      <c r="L302" s="537"/>
      <c r="M302" s="537"/>
      <c r="N302" s="537"/>
      <c r="O302" s="537"/>
      <c r="P302" s="537"/>
      <c r="Q302" s="537"/>
      <c r="R302" s="537"/>
      <c r="S302" s="537"/>
      <c r="T302" s="537"/>
    </row>
    <row r="303" spans="1:20">
      <c r="A303" s="537"/>
      <c r="B303" s="537"/>
      <c r="C303" s="537"/>
      <c r="D303" s="537"/>
      <c r="E303" s="537"/>
      <c r="I303" s="537"/>
      <c r="J303" s="537"/>
      <c r="K303" s="537"/>
      <c r="L303" s="537"/>
      <c r="M303" s="537"/>
      <c r="N303" s="537"/>
      <c r="O303" s="537"/>
      <c r="P303" s="537"/>
      <c r="Q303" s="537"/>
      <c r="R303" s="537"/>
      <c r="S303" s="537"/>
      <c r="T303" s="537"/>
    </row>
    <row r="304" spans="1:20">
      <c r="A304" s="537"/>
      <c r="B304" s="537"/>
      <c r="C304" s="537"/>
      <c r="D304" s="537"/>
      <c r="E304" s="537"/>
      <c r="I304" s="537"/>
      <c r="J304" s="537"/>
      <c r="K304" s="537"/>
      <c r="L304" s="537"/>
      <c r="M304" s="537"/>
      <c r="N304" s="537"/>
      <c r="O304" s="537"/>
      <c r="P304" s="537"/>
      <c r="Q304" s="537"/>
      <c r="R304" s="537"/>
      <c r="S304" s="537"/>
      <c r="T304" s="537"/>
    </row>
    <row r="305" spans="1:20">
      <c r="A305" s="537"/>
      <c r="B305" s="537"/>
      <c r="C305" s="537"/>
      <c r="D305" s="537"/>
      <c r="E305" s="537"/>
      <c r="I305" s="537"/>
      <c r="J305" s="537"/>
      <c r="K305" s="537"/>
      <c r="L305" s="537"/>
      <c r="M305" s="537"/>
      <c r="N305" s="537"/>
      <c r="O305" s="537"/>
      <c r="P305" s="537"/>
      <c r="Q305" s="537"/>
      <c r="R305" s="537"/>
      <c r="S305" s="537"/>
      <c r="T305" s="537"/>
    </row>
    <row r="306" spans="1:20">
      <c r="A306" s="537"/>
      <c r="B306" s="537"/>
      <c r="C306" s="537"/>
      <c r="D306" s="537"/>
      <c r="E306" s="537"/>
      <c r="I306" s="537"/>
      <c r="J306" s="537"/>
      <c r="K306" s="537"/>
      <c r="L306" s="537"/>
      <c r="M306" s="537"/>
      <c r="N306" s="537"/>
      <c r="O306" s="537"/>
      <c r="P306" s="537"/>
      <c r="Q306" s="537"/>
      <c r="R306" s="537"/>
      <c r="S306" s="537"/>
      <c r="T306" s="537"/>
    </row>
    <row r="307" spans="1:20">
      <c r="A307" s="537"/>
      <c r="B307" s="537"/>
      <c r="C307" s="537"/>
      <c r="D307" s="537"/>
      <c r="E307" s="537"/>
      <c r="I307" s="537"/>
      <c r="J307" s="537"/>
      <c r="K307" s="537"/>
      <c r="L307" s="537"/>
      <c r="M307" s="537"/>
      <c r="N307" s="537"/>
      <c r="O307" s="537"/>
      <c r="P307" s="537"/>
      <c r="Q307" s="537"/>
      <c r="R307" s="537"/>
      <c r="S307" s="537"/>
      <c r="T307" s="537"/>
    </row>
    <row r="308" spans="1:20">
      <c r="A308" s="537"/>
      <c r="B308" s="537"/>
      <c r="C308" s="537"/>
      <c r="D308" s="537"/>
      <c r="E308" s="537"/>
      <c r="I308" s="537"/>
      <c r="J308" s="537"/>
      <c r="K308" s="537"/>
      <c r="L308" s="537"/>
      <c r="M308" s="537"/>
      <c r="N308" s="537"/>
      <c r="O308" s="537"/>
      <c r="P308" s="537"/>
      <c r="Q308" s="537"/>
      <c r="R308" s="537"/>
      <c r="S308" s="537"/>
      <c r="T308" s="537"/>
    </row>
    <row r="309" spans="1:20">
      <c r="A309" s="537"/>
      <c r="B309" s="537"/>
      <c r="C309" s="537"/>
      <c r="D309" s="537"/>
      <c r="E309" s="537"/>
      <c r="I309" s="537"/>
      <c r="J309" s="537"/>
      <c r="K309" s="537"/>
      <c r="L309" s="537"/>
      <c r="M309" s="537"/>
      <c r="N309" s="537"/>
      <c r="O309" s="537"/>
      <c r="P309" s="537"/>
      <c r="Q309" s="537"/>
      <c r="R309" s="537"/>
      <c r="S309" s="537"/>
      <c r="T309" s="537"/>
    </row>
    <row r="310" spans="1:20">
      <c r="A310" s="537"/>
      <c r="B310" s="537"/>
      <c r="C310" s="537"/>
      <c r="D310" s="537"/>
      <c r="E310" s="537"/>
      <c r="I310" s="537"/>
      <c r="J310" s="537"/>
      <c r="K310" s="537"/>
      <c r="L310" s="537"/>
      <c r="M310" s="537"/>
      <c r="N310" s="537"/>
      <c r="O310" s="537"/>
      <c r="P310" s="537"/>
      <c r="Q310" s="537"/>
      <c r="R310" s="537"/>
      <c r="S310" s="537"/>
      <c r="T310" s="537"/>
    </row>
    <row r="311" spans="1:20">
      <c r="A311" s="537"/>
      <c r="B311" s="537"/>
      <c r="C311" s="537"/>
      <c r="D311" s="537"/>
      <c r="E311" s="537"/>
      <c r="I311" s="537"/>
      <c r="J311" s="537"/>
      <c r="K311" s="537"/>
      <c r="L311" s="537"/>
      <c r="M311" s="537"/>
      <c r="N311" s="537"/>
      <c r="O311" s="537"/>
      <c r="P311" s="537"/>
      <c r="Q311" s="537"/>
      <c r="R311" s="537"/>
      <c r="S311" s="537"/>
      <c r="T311" s="537"/>
    </row>
    <row r="312" spans="1:20">
      <c r="A312" s="537"/>
      <c r="B312" s="537"/>
      <c r="C312" s="537"/>
      <c r="D312" s="537"/>
      <c r="E312" s="537"/>
      <c r="I312" s="537"/>
      <c r="J312" s="537"/>
      <c r="K312" s="537"/>
      <c r="L312" s="537"/>
      <c r="M312" s="537"/>
      <c r="N312" s="537"/>
      <c r="O312" s="537"/>
      <c r="P312" s="537"/>
      <c r="Q312" s="537"/>
      <c r="R312" s="537"/>
      <c r="S312" s="537"/>
      <c r="T312" s="537"/>
    </row>
    <row r="313" spans="1:20">
      <c r="A313" s="537"/>
      <c r="B313" s="537"/>
      <c r="C313" s="537"/>
      <c r="D313" s="537"/>
      <c r="E313" s="537"/>
      <c r="I313" s="537"/>
      <c r="J313" s="537"/>
      <c r="K313" s="537"/>
      <c r="L313" s="537"/>
      <c r="M313" s="537"/>
      <c r="N313" s="537"/>
      <c r="O313" s="537"/>
      <c r="P313" s="537"/>
      <c r="Q313" s="537"/>
      <c r="R313" s="537"/>
      <c r="S313" s="537"/>
      <c r="T313" s="537"/>
    </row>
    <row r="314" spans="1:20">
      <c r="A314" s="537"/>
      <c r="B314" s="537"/>
      <c r="C314" s="537"/>
      <c r="D314" s="537"/>
      <c r="E314" s="537"/>
      <c r="I314" s="537"/>
      <c r="J314" s="537"/>
      <c r="K314" s="537"/>
      <c r="L314" s="537"/>
      <c r="M314" s="537"/>
      <c r="N314" s="537"/>
      <c r="O314" s="537"/>
      <c r="P314" s="537"/>
      <c r="Q314" s="537"/>
      <c r="R314" s="537"/>
      <c r="S314" s="537"/>
      <c r="T314" s="537"/>
    </row>
    <row r="315" spans="1:20">
      <c r="A315" s="537"/>
      <c r="B315" s="537"/>
      <c r="C315" s="537"/>
      <c r="D315" s="537"/>
      <c r="E315" s="537"/>
      <c r="I315" s="537"/>
      <c r="J315" s="537"/>
      <c r="K315" s="537"/>
      <c r="L315" s="537"/>
      <c r="M315" s="537"/>
      <c r="N315" s="537"/>
      <c r="O315" s="537"/>
      <c r="P315" s="537"/>
      <c r="Q315" s="537"/>
      <c r="R315" s="537"/>
      <c r="S315" s="537"/>
      <c r="T315" s="537"/>
    </row>
    <row r="316" spans="1:20">
      <c r="A316" s="537"/>
      <c r="B316" s="537"/>
      <c r="C316" s="537"/>
      <c r="D316" s="537"/>
      <c r="E316" s="537"/>
      <c r="I316" s="537"/>
      <c r="J316" s="537"/>
      <c r="K316" s="537"/>
      <c r="L316" s="537"/>
      <c r="M316" s="537"/>
      <c r="N316" s="537"/>
      <c r="O316" s="537"/>
      <c r="P316" s="537"/>
      <c r="Q316" s="537"/>
      <c r="R316" s="537"/>
      <c r="S316" s="537"/>
      <c r="T316" s="537"/>
    </row>
    <row r="317" spans="1:20">
      <c r="A317" s="537"/>
      <c r="B317" s="537"/>
      <c r="C317" s="537"/>
      <c r="D317" s="537"/>
      <c r="E317" s="537"/>
      <c r="I317" s="537"/>
      <c r="J317" s="537"/>
      <c r="K317" s="537"/>
      <c r="L317" s="537"/>
      <c r="M317" s="537"/>
      <c r="N317" s="537"/>
      <c r="O317" s="537"/>
      <c r="P317" s="537"/>
      <c r="Q317" s="537"/>
      <c r="R317" s="537"/>
      <c r="S317" s="537"/>
      <c r="T317" s="537"/>
    </row>
    <row r="318" spans="1:20">
      <c r="A318" s="537"/>
      <c r="B318" s="537"/>
      <c r="C318" s="537"/>
      <c r="D318" s="537"/>
      <c r="E318" s="537"/>
      <c r="I318" s="537"/>
      <c r="J318" s="537"/>
      <c r="K318" s="537"/>
      <c r="L318" s="537"/>
      <c r="M318" s="537"/>
      <c r="N318" s="537"/>
      <c r="O318" s="537"/>
      <c r="P318" s="537"/>
      <c r="Q318" s="537"/>
      <c r="R318" s="537"/>
      <c r="S318" s="537"/>
      <c r="T318" s="537"/>
    </row>
    <row r="319" spans="1:20">
      <c r="A319" s="537"/>
      <c r="B319" s="537"/>
      <c r="C319" s="537"/>
      <c r="D319" s="537"/>
      <c r="E319" s="537"/>
      <c r="I319" s="537"/>
      <c r="J319" s="537"/>
      <c r="K319" s="537"/>
      <c r="L319" s="537"/>
      <c r="M319" s="537"/>
      <c r="N319" s="537"/>
      <c r="O319" s="537"/>
      <c r="P319" s="537"/>
      <c r="Q319" s="537"/>
      <c r="R319" s="537"/>
      <c r="S319" s="537"/>
      <c r="T319" s="537"/>
    </row>
    <row r="320" spans="1:20">
      <c r="A320" s="537"/>
      <c r="B320" s="537"/>
      <c r="C320" s="537"/>
      <c r="D320" s="537"/>
      <c r="E320" s="537"/>
      <c r="I320" s="537"/>
      <c r="J320" s="537"/>
      <c r="K320" s="537"/>
      <c r="L320" s="537"/>
      <c r="M320" s="537"/>
      <c r="N320" s="537"/>
      <c r="O320" s="537"/>
      <c r="P320" s="537"/>
      <c r="Q320" s="537"/>
      <c r="R320" s="537"/>
      <c r="S320" s="537"/>
      <c r="T320" s="537"/>
    </row>
    <row r="321" spans="1:20">
      <c r="A321" s="537"/>
      <c r="B321" s="537"/>
      <c r="C321" s="537"/>
      <c r="D321" s="537"/>
      <c r="E321" s="537"/>
      <c r="I321" s="537"/>
      <c r="J321" s="537"/>
      <c r="K321" s="537"/>
      <c r="L321" s="537"/>
      <c r="M321" s="537"/>
      <c r="N321" s="537"/>
      <c r="O321" s="537"/>
      <c r="P321" s="537"/>
      <c r="Q321" s="537"/>
      <c r="R321" s="537"/>
      <c r="S321" s="537"/>
      <c r="T321" s="537"/>
    </row>
    <row r="322" spans="1:20">
      <c r="A322" s="537"/>
      <c r="B322" s="537"/>
      <c r="C322" s="537"/>
      <c r="D322" s="537"/>
      <c r="E322" s="537"/>
      <c r="I322" s="537"/>
      <c r="J322" s="537"/>
      <c r="K322" s="537"/>
      <c r="L322" s="537"/>
      <c r="M322" s="537"/>
      <c r="N322" s="537"/>
      <c r="O322" s="537"/>
      <c r="P322" s="537"/>
      <c r="Q322" s="537"/>
      <c r="R322" s="537"/>
      <c r="S322" s="537"/>
      <c r="T322" s="537"/>
    </row>
    <row r="323" spans="1:20">
      <c r="A323" s="537"/>
      <c r="B323" s="537"/>
      <c r="C323" s="537"/>
      <c r="D323" s="537"/>
      <c r="E323" s="537"/>
      <c r="I323" s="537"/>
      <c r="J323" s="537"/>
      <c r="K323" s="537"/>
      <c r="L323" s="537"/>
      <c r="M323" s="537"/>
      <c r="N323" s="537"/>
      <c r="O323" s="537"/>
      <c r="P323" s="537"/>
      <c r="Q323" s="537"/>
      <c r="R323" s="537"/>
      <c r="S323" s="537"/>
      <c r="T323" s="537"/>
    </row>
    <row r="324" spans="1:20">
      <c r="A324" s="537"/>
      <c r="B324" s="537"/>
      <c r="C324" s="537"/>
      <c r="D324" s="537"/>
      <c r="E324" s="537"/>
      <c r="I324" s="537"/>
      <c r="J324" s="537"/>
      <c r="K324" s="537"/>
      <c r="L324" s="537"/>
      <c r="M324" s="537"/>
      <c r="N324" s="537"/>
      <c r="O324" s="537"/>
      <c r="P324" s="537"/>
      <c r="Q324" s="537"/>
      <c r="R324" s="537"/>
      <c r="S324" s="537"/>
      <c r="T324" s="537"/>
    </row>
    <row r="325" spans="1:20">
      <c r="A325" s="537"/>
      <c r="B325" s="537"/>
      <c r="C325" s="537"/>
      <c r="D325" s="537"/>
      <c r="E325" s="537"/>
      <c r="I325" s="537"/>
      <c r="J325" s="537"/>
      <c r="K325" s="537"/>
      <c r="L325" s="537"/>
      <c r="M325" s="537"/>
      <c r="N325" s="537"/>
      <c r="O325" s="537"/>
      <c r="P325" s="537"/>
      <c r="Q325" s="537"/>
      <c r="R325" s="537"/>
      <c r="S325" s="537"/>
      <c r="T325" s="537"/>
    </row>
    <row r="326" spans="1:20">
      <c r="A326" s="537"/>
      <c r="B326" s="537"/>
      <c r="C326" s="537"/>
      <c r="D326" s="537"/>
      <c r="E326" s="537"/>
      <c r="I326" s="537"/>
      <c r="J326" s="537"/>
      <c r="K326" s="537"/>
      <c r="L326" s="537"/>
      <c r="M326" s="537"/>
      <c r="N326" s="537"/>
      <c r="O326" s="537"/>
      <c r="P326" s="537"/>
      <c r="Q326" s="537"/>
      <c r="R326" s="537"/>
      <c r="S326" s="537"/>
      <c r="T326" s="537"/>
    </row>
    <row r="327" spans="1:20">
      <c r="A327" s="537"/>
      <c r="B327" s="537"/>
      <c r="C327" s="537"/>
      <c r="D327" s="537"/>
      <c r="E327" s="537"/>
      <c r="I327" s="537"/>
      <c r="J327" s="537"/>
      <c r="K327" s="537"/>
      <c r="L327" s="537"/>
      <c r="M327" s="537"/>
      <c r="N327" s="537"/>
      <c r="O327" s="537"/>
      <c r="P327" s="537"/>
      <c r="Q327" s="537"/>
      <c r="R327" s="537"/>
      <c r="S327" s="537"/>
      <c r="T327" s="537"/>
    </row>
    <row r="328" spans="1:20">
      <c r="A328" s="537"/>
      <c r="B328" s="537"/>
      <c r="C328" s="537"/>
      <c r="D328" s="537"/>
      <c r="E328" s="537"/>
      <c r="I328" s="537"/>
      <c r="J328" s="537"/>
      <c r="K328" s="537"/>
      <c r="L328" s="537"/>
      <c r="M328" s="537"/>
      <c r="N328" s="537"/>
      <c r="O328" s="537"/>
      <c r="P328" s="537"/>
      <c r="Q328" s="537"/>
      <c r="R328" s="537"/>
      <c r="S328" s="537"/>
      <c r="T328" s="537"/>
    </row>
    <row r="329" spans="1:20">
      <c r="A329" s="537"/>
      <c r="B329" s="537"/>
      <c r="C329" s="537"/>
      <c r="D329" s="537"/>
      <c r="E329" s="537"/>
      <c r="I329" s="537"/>
      <c r="J329" s="537"/>
      <c r="K329" s="537"/>
      <c r="L329" s="537"/>
      <c r="M329" s="537"/>
      <c r="N329" s="537"/>
      <c r="O329" s="537"/>
      <c r="P329" s="537"/>
      <c r="Q329" s="537"/>
      <c r="R329" s="537"/>
      <c r="S329" s="537"/>
      <c r="T329" s="537"/>
    </row>
    <row r="330" spans="1:20">
      <c r="A330" s="537"/>
      <c r="B330" s="537"/>
      <c r="C330" s="537"/>
      <c r="D330" s="537"/>
      <c r="E330" s="537"/>
      <c r="I330" s="537"/>
      <c r="J330" s="537"/>
      <c r="K330" s="537"/>
      <c r="L330" s="537"/>
      <c r="M330" s="537"/>
      <c r="N330" s="537"/>
      <c r="O330" s="537"/>
      <c r="P330" s="537"/>
      <c r="Q330" s="537"/>
      <c r="R330" s="537"/>
      <c r="S330" s="537"/>
      <c r="T330" s="537"/>
    </row>
    <row r="331" spans="1:20">
      <c r="A331" s="537"/>
      <c r="B331" s="537"/>
      <c r="C331" s="537"/>
      <c r="D331" s="537"/>
      <c r="E331" s="537"/>
      <c r="I331" s="537"/>
      <c r="J331" s="537"/>
      <c r="K331" s="537"/>
      <c r="L331" s="537"/>
      <c r="M331" s="537"/>
      <c r="N331" s="537"/>
      <c r="O331" s="537"/>
      <c r="P331" s="537"/>
      <c r="Q331" s="537"/>
      <c r="R331" s="537"/>
      <c r="S331" s="537"/>
      <c r="T331" s="537"/>
    </row>
    <row r="332" spans="1:20">
      <c r="A332" s="537"/>
      <c r="B332" s="537"/>
      <c r="C332" s="537"/>
      <c r="D332" s="537"/>
      <c r="E332" s="537"/>
      <c r="I332" s="537"/>
      <c r="J332" s="537"/>
      <c r="K332" s="537"/>
      <c r="L332" s="537"/>
      <c r="M332" s="537"/>
      <c r="N332" s="537"/>
      <c r="O332" s="537"/>
      <c r="P332" s="537"/>
      <c r="Q332" s="537"/>
      <c r="R332" s="537"/>
      <c r="S332" s="537"/>
      <c r="T332" s="537"/>
    </row>
    <row r="333" spans="1:20">
      <c r="A333" s="537"/>
      <c r="B333" s="537"/>
      <c r="C333" s="537"/>
      <c r="D333" s="537"/>
      <c r="E333" s="537"/>
      <c r="I333" s="537"/>
      <c r="J333" s="537"/>
      <c r="K333" s="537"/>
      <c r="L333" s="537"/>
      <c r="M333" s="537"/>
      <c r="N333" s="537"/>
      <c r="O333" s="537"/>
      <c r="P333" s="537"/>
      <c r="Q333" s="537"/>
      <c r="R333" s="537"/>
      <c r="S333" s="537"/>
      <c r="T333" s="537"/>
    </row>
    <row r="334" spans="1:20">
      <c r="A334" s="537"/>
      <c r="B334" s="537"/>
      <c r="C334" s="537"/>
      <c r="D334" s="537"/>
      <c r="E334" s="537"/>
      <c r="I334" s="537"/>
      <c r="J334" s="537"/>
      <c r="K334" s="537"/>
      <c r="L334" s="537"/>
      <c r="M334" s="537"/>
      <c r="N334" s="537"/>
      <c r="O334" s="537"/>
      <c r="P334" s="537"/>
      <c r="Q334" s="537"/>
      <c r="R334" s="537"/>
      <c r="S334" s="537"/>
      <c r="T334" s="537"/>
    </row>
    <row r="335" spans="1:20">
      <c r="A335" s="537"/>
      <c r="B335" s="537"/>
      <c r="C335" s="537"/>
      <c r="D335" s="537"/>
      <c r="E335" s="537"/>
      <c r="I335" s="537"/>
      <c r="J335" s="537"/>
      <c r="K335" s="537"/>
      <c r="L335" s="537"/>
      <c r="M335" s="537"/>
      <c r="N335" s="537"/>
      <c r="O335" s="537"/>
      <c r="P335" s="537"/>
      <c r="Q335" s="537"/>
      <c r="R335" s="537"/>
      <c r="S335" s="537"/>
      <c r="T335" s="537"/>
    </row>
    <row r="336" spans="1:20">
      <c r="A336" s="537"/>
      <c r="B336" s="537"/>
      <c r="C336" s="537"/>
      <c r="D336" s="537"/>
      <c r="E336" s="537"/>
      <c r="I336" s="537"/>
      <c r="J336" s="537"/>
      <c r="K336" s="537"/>
      <c r="L336" s="537"/>
      <c r="M336" s="537"/>
      <c r="N336" s="537"/>
      <c r="O336" s="537"/>
      <c r="P336" s="537"/>
      <c r="Q336" s="537"/>
      <c r="R336" s="537"/>
      <c r="S336" s="537"/>
      <c r="T336" s="537"/>
    </row>
    <row r="337" spans="1:20">
      <c r="A337" s="537"/>
      <c r="B337" s="537"/>
      <c r="C337" s="537"/>
      <c r="D337" s="537"/>
      <c r="E337" s="537"/>
      <c r="I337" s="537"/>
      <c r="J337" s="537"/>
      <c r="K337" s="537"/>
      <c r="L337" s="537"/>
      <c r="M337" s="537"/>
      <c r="N337" s="537"/>
      <c r="O337" s="537"/>
      <c r="P337" s="537"/>
      <c r="Q337" s="537"/>
      <c r="R337" s="537"/>
      <c r="S337" s="537"/>
      <c r="T337" s="537"/>
    </row>
    <row r="338" spans="1:20">
      <c r="A338" s="537"/>
      <c r="B338" s="537"/>
      <c r="C338" s="537"/>
      <c r="D338" s="537"/>
      <c r="E338" s="537"/>
      <c r="I338" s="537"/>
      <c r="J338" s="537"/>
      <c r="K338" s="537"/>
      <c r="L338" s="537"/>
      <c r="M338" s="537"/>
      <c r="N338" s="537"/>
      <c r="O338" s="537"/>
      <c r="P338" s="537"/>
      <c r="Q338" s="537"/>
      <c r="R338" s="537"/>
      <c r="S338" s="537"/>
      <c r="T338" s="537"/>
    </row>
    <row r="339" spans="1:20">
      <c r="A339" s="537"/>
      <c r="B339" s="537"/>
      <c r="C339" s="537"/>
      <c r="D339" s="537"/>
      <c r="E339" s="537"/>
      <c r="I339" s="537"/>
      <c r="J339" s="537"/>
      <c r="K339" s="537"/>
      <c r="L339" s="537"/>
      <c r="M339" s="537"/>
      <c r="N339" s="537"/>
      <c r="O339" s="537"/>
      <c r="P339" s="537"/>
      <c r="Q339" s="537"/>
      <c r="R339" s="537"/>
      <c r="S339" s="537"/>
      <c r="T339" s="537"/>
    </row>
    <row r="340" spans="1:20">
      <c r="A340" s="537"/>
      <c r="B340" s="537"/>
      <c r="C340" s="537"/>
      <c r="D340" s="537"/>
      <c r="E340" s="537"/>
      <c r="I340" s="537"/>
      <c r="J340" s="537"/>
      <c r="K340" s="537"/>
      <c r="L340" s="537"/>
      <c r="M340" s="537"/>
      <c r="N340" s="537"/>
      <c r="O340" s="537"/>
      <c r="P340" s="537"/>
      <c r="Q340" s="537"/>
      <c r="R340" s="537"/>
      <c r="S340" s="537"/>
      <c r="T340" s="537"/>
    </row>
    <row r="341" spans="1:20">
      <c r="A341" s="537"/>
      <c r="B341" s="537"/>
      <c r="C341" s="537"/>
      <c r="D341" s="537"/>
      <c r="E341" s="537"/>
      <c r="I341" s="537"/>
      <c r="J341" s="537"/>
      <c r="K341" s="537"/>
      <c r="L341" s="537"/>
      <c r="M341" s="537"/>
      <c r="N341" s="537"/>
      <c r="O341" s="537"/>
      <c r="P341" s="537"/>
      <c r="Q341" s="537"/>
      <c r="R341" s="537"/>
      <c r="S341" s="537"/>
      <c r="T341" s="537"/>
    </row>
    <row r="342" spans="1:20">
      <c r="A342" s="537"/>
      <c r="B342" s="537"/>
      <c r="C342" s="537"/>
      <c r="D342" s="537"/>
      <c r="E342" s="537"/>
      <c r="I342" s="537"/>
      <c r="J342" s="537"/>
      <c r="K342" s="537"/>
      <c r="L342" s="537"/>
      <c r="M342" s="537"/>
      <c r="N342" s="537"/>
      <c r="O342" s="537"/>
      <c r="P342" s="537"/>
      <c r="Q342" s="537"/>
      <c r="R342" s="537"/>
      <c r="S342" s="537"/>
      <c r="T342" s="537"/>
    </row>
    <row r="343" spans="1:20">
      <c r="A343" s="537"/>
      <c r="B343" s="537"/>
      <c r="C343" s="537"/>
      <c r="D343" s="537"/>
      <c r="E343" s="537"/>
      <c r="I343" s="537"/>
      <c r="J343" s="537"/>
      <c r="K343" s="537"/>
      <c r="L343" s="537"/>
      <c r="M343" s="537"/>
      <c r="N343" s="537"/>
      <c r="O343" s="537"/>
      <c r="P343" s="537"/>
      <c r="Q343" s="537"/>
      <c r="R343" s="537"/>
      <c r="S343" s="537"/>
      <c r="T343" s="537"/>
    </row>
    <row r="344" spans="1:20">
      <c r="A344" s="537"/>
      <c r="B344" s="537"/>
      <c r="C344" s="537"/>
      <c r="D344" s="537"/>
      <c r="E344" s="537"/>
      <c r="I344" s="537"/>
      <c r="J344" s="537"/>
      <c r="K344" s="537"/>
      <c r="L344" s="537"/>
      <c r="M344" s="537"/>
      <c r="N344" s="537"/>
      <c r="O344" s="537"/>
      <c r="P344" s="537"/>
      <c r="Q344" s="537"/>
      <c r="R344" s="537"/>
      <c r="S344" s="537"/>
      <c r="T344" s="537"/>
    </row>
    <row r="345" spans="1:20">
      <c r="A345" s="537"/>
      <c r="B345" s="537"/>
      <c r="C345" s="537"/>
      <c r="D345" s="537"/>
      <c r="E345" s="537"/>
      <c r="I345" s="537"/>
      <c r="J345" s="537"/>
      <c r="K345" s="537"/>
      <c r="L345" s="537"/>
      <c r="M345" s="537"/>
      <c r="N345" s="537"/>
      <c r="O345" s="537"/>
      <c r="P345" s="537"/>
      <c r="Q345" s="537"/>
      <c r="R345" s="537"/>
      <c r="S345" s="537"/>
      <c r="T345" s="537"/>
    </row>
    <row r="346" spans="1:20">
      <c r="A346" s="537"/>
      <c r="B346" s="537"/>
      <c r="C346" s="537"/>
      <c r="D346" s="537"/>
      <c r="E346" s="537"/>
      <c r="I346" s="537"/>
      <c r="J346" s="537"/>
      <c r="K346" s="537"/>
      <c r="L346" s="537"/>
      <c r="M346" s="537"/>
      <c r="N346" s="537"/>
      <c r="O346" s="537"/>
      <c r="P346" s="537"/>
      <c r="Q346" s="537"/>
      <c r="R346" s="537"/>
      <c r="S346" s="537"/>
      <c r="T346" s="537"/>
    </row>
    <row r="347" spans="1:20">
      <c r="A347" s="537"/>
      <c r="B347" s="537"/>
      <c r="C347" s="537"/>
      <c r="D347" s="537"/>
      <c r="E347" s="537"/>
      <c r="I347" s="537"/>
      <c r="J347" s="537"/>
      <c r="K347" s="537"/>
      <c r="L347" s="537"/>
      <c r="M347" s="537"/>
      <c r="N347" s="537"/>
      <c r="O347" s="537"/>
      <c r="P347" s="537"/>
      <c r="Q347" s="537"/>
      <c r="R347" s="537"/>
      <c r="S347" s="537"/>
      <c r="T347" s="537"/>
    </row>
    <row r="348" spans="1:20">
      <c r="A348" s="537"/>
      <c r="B348" s="537"/>
      <c r="C348" s="537"/>
      <c r="D348" s="537"/>
      <c r="E348" s="537"/>
      <c r="I348" s="537"/>
      <c r="J348" s="537"/>
      <c r="K348" s="537"/>
      <c r="L348" s="537"/>
      <c r="M348" s="537"/>
      <c r="N348" s="537"/>
      <c r="O348" s="537"/>
      <c r="P348" s="537"/>
      <c r="Q348" s="537"/>
      <c r="R348" s="537"/>
      <c r="S348" s="537"/>
      <c r="T348" s="537"/>
    </row>
    <row r="349" spans="1:20">
      <c r="A349" s="537"/>
      <c r="B349" s="537"/>
      <c r="C349" s="537"/>
      <c r="D349" s="537"/>
      <c r="E349" s="537"/>
      <c r="I349" s="537"/>
      <c r="J349" s="537"/>
      <c r="K349" s="537"/>
      <c r="L349" s="537"/>
      <c r="M349" s="537"/>
      <c r="N349" s="537"/>
      <c r="O349" s="537"/>
      <c r="P349" s="537"/>
      <c r="Q349" s="537"/>
      <c r="R349" s="537"/>
      <c r="S349" s="537"/>
      <c r="T349" s="537"/>
    </row>
    <row r="350" spans="1:20">
      <c r="A350" s="537"/>
      <c r="B350" s="537"/>
      <c r="C350" s="537"/>
      <c r="D350" s="537"/>
      <c r="E350" s="537"/>
      <c r="I350" s="537"/>
      <c r="J350" s="537"/>
      <c r="K350" s="537"/>
      <c r="L350" s="537"/>
      <c r="M350" s="537"/>
      <c r="N350" s="537"/>
      <c r="O350" s="537"/>
      <c r="P350" s="537"/>
      <c r="Q350" s="537"/>
      <c r="R350" s="537"/>
      <c r="S350" s="537"/>
      <c r="T350" s="537"/>
    </row>
    <row r="351" spans="1:20">
      <c r="A351" s="537"/>
      <c r="B351" s="537"/>
      <c r="C351" s="537"/>
      <c r="D351" s="537"/>
      <c r="E351" s="537"/>
      <c r="I351" s="537"/>
      <c r="J351" s="537"/>
      <c r="K351" s="537"/>
      <c r="L351" s="537"/>
      <c r="M351" s="537"/>
      <c r="N351" s="537"/>
      <c r="O351" s="537"/>
      <c r="P351" s="537"/>
      <c r="Q351" s="537"/>
      <c r="R351" s="537"/>
      <c r="S351" s="537"/>
      <c r="T351" s="537"/>
    </row>
    <row r="352" spans="1:20">
      <c r="A352" s="537"/>
      <c r="B352" s="537"/>
      <c r="C352" s="537"/>
      <c r="D352" s="537"/>
      <c r="E352" s="537"/>
      <c r="I352" s="537"/>
      <c r="J352" s="537"/>
      <c r="K352" s="537"/>
      <c r="L352" s="537"/>
      <c r="M352" s="537"/>
      <c r="N352" s="537"/>
      <c r="O352" s="537"/>
      <c r="P352" s="537"/>
      <c r="Q352" s="537"/>
      <c r="R352" s="537"/>
      <c r="S352" s="537"/>
      <c r="T352" s="537"/>
    </row>
    <row r="353" spans="1:20">
      <c r="A353" s="537"/>
      <c r="B353" s="537"/>
      <c r="C353" s="537"/>
      <c r="D353" s="537"/>
      <c r="E353" s="537"/>
      <c r="I353" s="537"/>
      <c r="J353" s="537"/>
      <c r="K353" s="537"/>
      <c r="L353" s="537"/>
      <c r="M353" s="537"/>
      <c r="N353" s="537"/>
      <c r="O353" s="537"/>
      <c r="P353" s="537"/>
      <c r="Q353" s="537"/>
      <c r="R353" s="537"/>
      <c r="S353" s="537"/>
      <c r="T353" s="537"/>
    </row>
    <row r="354" spans="1:20">
      <c r="A354" s="537"/>
      <c r="B354" s="537"/>
      <c r="C354" s="537"/>
      <c r="D354" s="537"/>
      <c r="E354" s="537"/>
      <c r="I354" s="537"/>
      <c r="J354" s="537"/>
      <c r="K354" s="537"/>
      <c r="L354" s="537"/>
      <c r="M354" s="537"/>
      <c r="N354" s="537"/>
      <c r="O354" s="537"/>
      <c r="P354" s="537"/>
      <c r="Q354" s="537"/>
      <c r="R354" s="537"/>
      <c r="S354" s="537"/>
      <c r="T354" s="537"/>
    </row>
    <row r="355" spans="1:20">
      <c r="A355" s="537"/>
      <c r="B355" s="537"/>
      <c r="C355" s="537"/>
      <c r="D355" s="537"/>
      <c r="E355" s="537"/>
      <c r="I355" s="537"/>
      <c r="J355" s="537"/>
      <c r="K355" s="537"/>
      <c r="L355" s="537"/>
      <c r="M355" s="537"/>
      <c r="N355" s="537"/>
      <c r="O355" s="537"/>
      <c r="P355" s="537"/>
      <c r="Q355" s="537"/>
      <c r="R355" s="537"/>
      <c r="S355" s="537"/>
      <c r="T355" s="537"/>
    </row>
    <row r="356" spans="1:20">
      <c r="A356" s="537"/>
      <c r="B356" s="537"/>
      <c r="C356" s="537"/>
      <c r="D356" s="537"/>
      <c r="E356" s="537"/>
      <c r="I356" s="537"/>
      <c r="J356" s="537"/>
      <c r="K356" s="537"/>
      <c r="L356" s="537"/>
      <c r="M356" s="537"/>
      <c r="N356" s="537"/>
      <c r="O356" s="537"/>
      <c r="P356" s="537"/>
      <c r="Q356" s="537"/>
      <c r="R356" s="537"/>
      <c r="S356" s="537"/>
      <c r="T356" s="537"/>
    </row>
    <row r="357" spans="1:20">
      <c r="A357" s="537"/>
      <c r="B357" s="537"/>
      <c r="C357" s="537"/>
      <c r="D357" s="537"/>
      <c r="E357" s="537"/>
      <c r="I357" s="537"/>
      <c r="J357" s="537"/>
      <c r="K357" s="537"/>
      <c r="L357" s="537"/>
      <c r="M357" s="537"/>
      <c r="N357" s="537"/>
      <c r="O357" s="537"/>
      <c r="P357" s="537"/>
      <c r="Q357" s="537"/>
      <c r="R357" s="537"/>
      <c r="S357" s="537"/>
      <c r="T357" s="537"/>
    </row>
    <row r="358" spans="1:20">
      <c r="A358" s="537"/>
      <c r="B358" s="537"/>
      <c r="C358" s="537"/>
      <c r="D358" s="537"/>
      <c r="E358" s="537"/>
      <c r="I358" s="537"/>
      <c r="J358" s="537"/>
      <c r="K358" s="537"/>
      <c r="L358" s="537"/>
      <c r="M358" s="537"/>
      <c r="N358" s="537"/>
      <c r="O358" s="537"/>
      <c r="P358" s="537"/>
      <c r="Q358" s="537"/>
      <c r="R358" s="537"/>
      <c r="S358" s="537"/>
      <c r="T358" s="537"/>
    </row>
    <row r="359" spans="1:20">
      <c r="A359" s="537"/>
      <c r="B359" s="537"/>
      <c r="C359" s="537"/>
      <c r="D359" s="537"/>
      <c r="E359" s="537"/>
      <c r="I359" s="537"/>
      <c r="J359" s="537"/>
      <c r="K359" s="537"/>
      <c r="L359" s="537"/>
      <c r="M359" s="537"/>
      <c r="N359" s="537"/>
      <c r="O359" s="537"/>
      <c r="P359" s="537"/>
      <c r="Q359" s="537"/>
      <c r="R359" s="537"/>
      <c r="S359" s="537"/>
      <c r="T359" s="537"/>
    </row>
    <row r="360" spans="1:20">
      <c r="A360" s="537"/>
      <c r="B360" s="537"/>
      <c r="C360" s="537"/>
      <c r="D360" s="537"/>
      <c r="E360" s="537"/>
      <c r="I360" s="537"/>
      <c r="J360" s="537"/>
      <c r="K360" s="537"/>
      <c r="L360" s="537"/>
      <c r="M360" s="537"/>
      <c r="N360" s="537"/>
      <c r="O360" s="537"/>
      <c r="P360" s="537"/>
      <c r="Q360" s="537"/>
      <c r="R360" s="537"/>
      <c r="S360" s="537"/>
      <c r="T360" s="537"/>
    </row>
    <row r="361" spans="1:20">
      <c r="A361" s="537"/>
      <c r="B361" s="537"/>
      <c r="C361" s="537"/>
      <c r="D361" s="537"/>
      <c r="E361" s="537"/>
      <c r="I361" s="537"/>
      <c r="J361" s="537"/>
      <c r="K361" s="537"/>
      <c r="L361" s="537"/>
      <c r="M361" s="537"/>
      <c r="N361" s="537"/>
      <c r="O361" s="537"/>
      <c r="P361" s="537"/>
      <c r="Q361" s="537"/>
      <c r="R361" s="537"/>
      <c r="S361" s="537"/>
      <c r="T361" s="537"/>
    </row>
    <row r="362" spans="1:20">
      <c r="A362" s="537"/>
      <c r="B362" s="537"/>
      <c r="C362" s="537"/>
      <c r="D362" s="537"/>
      <c r="E362" s="537"/>
      <c r="I362" s="537"/>
      <c r="J362" s="537"/>
      <c r="K362" s="537"/>
      <c r="L362" s="537"/>
      <c r="M362" s="537"/>
      <c r="N362" s="537"/>
      <c r="O362" s="537"/>
      <c r="P362" s="537"/>
      <c r="Q362" s="537"/>
      <c r="R362" s="537"/>
      <c r="S362" s="537"/>
      <c r="T362" s="537"/>
    </row>
    <row r="363" spans="1:20">
      <c r="A363" s="537"/>
      <c r="B363" s="537"/>
      <c r="C363" s="537"/>
      <c r="D363" s="537"/>
      <c r="E363" s="537"/>
      <c r="I363" s="537"/>
      <c r="J363" s="537"/>
      <c r="K363" s="537"/>
      <c r="L363" s="537"/>
      <c r="M363" s="537"/>
      <c r="N363" s="537"/>
      <c r="O363" s="537"/>
      <c r="P363" s="537"/>
      <c r="Q363" s="537"/>
      <c r="R363" s="537"/>
      <c r="S363" s="537"/>
      <c r="T363" s="537"/>
    </row>
    <row r="364" spans="1:20">
      <c r="A364" s="537"/>
      <c r="B364" s="537"/>
      <c r="C364" s="537"/>
      <c r="D364" s="537"/>
      <c r="E364" s="537"/>
      <c r="I364" s="537"/>
      <c r="J364" s="537"/>
      <c r="K364" s="537"/>
      <c r="L364" s="537"/>
      <c r="M364" s="537"/>
      <c r="N364" s="537"/>
      <c r="O364" s="537"/>
      <c r="P364" s="537"/>
      <c r="Q364" s="537"/>
      <c r="R364" s="537"/>
      <c r="S364" s="537"/>
      <c r="T364" s="537"/>
    </row>
    <row r="365" spans="1:20">
      <c r="A365" s="537"/>
      <c r="B365" s="537"/>
      <c r="C365" s="537"/>
      <c r="D365" s="537"/>
      <c r="E365" s="537"/>
      <c r="I365" s="537"/>
      <c r="J365" s="537"/>
      <c r="K365" s="537"/>
      <c r="L365" s="537"/>
      <c r="M365" s="537"/>
      <c r="N365" s="537"/>
      <c r="O365" s="537"/>
      <c r="P365" s="537"/>
      <c r="Q365" s="537"/>
      <c r="R365" s="537"/>
      <c r="S365" s="537"/>
      <c r="T365" s="537"/>
    </row>
    <row r="366" spans="1:20">
      <c r="A366" s="537"/>
      <c r="B366" s="537"/>
      <c r="C366" s="537"/>
      <c r="D366" s="537"/>
      <c r="E366" s="537"/>
      <c r="I366" s="537"/>
      <c r="J366" s="537"/>
      <c r="K366" s="537"/>
      <c r="L366" s="537"/>
      <c r="M366" s="537"/>
      <c r="N366" s="537"/>
      <c r="O366" s="537"/>
      <c r="P366" s="537"/>
      <c r="Q366" s="537"/>
      <c r="R366" s="537"/>
      <c r="S366" s="537"/>
      <c r="T366" s="537"/>
    </row>
    <row r="367" spans="1:20">
      <c r="A367" s="537"/>
      <c r="B367" s="537"/>
      <c r="C367" s="537"/>
      <c r="D367" s="537"/>
      <c r="E367" s="537"/>
      <c r="I367" s="537"/>
      <c r="J367" s="537"/>
      <c r="K367" s="537"/>
      <c r="L367" s="537"/>
      <c r="M367" s="537"/>
      <c r="N367" s="537"/>
      <c r="O367" s="537"/>
      <c r="P367" s="537"/>
      <c r="Q367" s="537"/>
      <c r="R367" s="537"/>
      <c r="S367" s="537"/>
      <c r="T367" s="537"/>
    </row>
    <row r="368" spans="1:20">
      <c r="A368" s="537"/>
      <c r="B368" s="537"/>
      <c r="C368" s="537"/>
      <c r="D368" s="537"/>
      <c r="E368" s="537"/>
      <c r="I368" s="537"/>
      <c r="J368" s="537"/>
      <c r="K368" s="537"/>
      <c r="L368" s="537"/>
      <c r="M368" s="537"/>
      <c r="N368" s="537"/>
      <c r="O368" s="537"/>
      <c r="P368" s="537"/>
      <c r="Q368" s="537"/>
      <c r="R368" s="537"/>
      <c r="S368" s="537"/>
      <c r="T368" s="537"/>
    </row>
    <row r="369" spans="1:20">
      <c r="A369" s="537"/>
      <c r="B369" s="537"/>
      <c r="C369" s="537"/>
      <c r="D369" s="537"/>
      <c r="E369" s="537"/>
      <c r="I369" s="537"/>
      <c r="J369" s="537"/>
      <c r="K369" s="537"/>
      <c r="L369" s="537"/>
      <c r="M369" s="537"/>
      <c r="N369" s="537"/>
      <c r="O369" s="537"/>
      <c r="P369" s="537"/>
      <c r="Q369" s="537"/>
      <c r="R369" s="537"/>
      <c r="S369" s="537"/>
      <c r="T369" s="537"/>
    </row>
    <row r="370" spans="1:20">
      <c r="A370" s="537"/>
      <c r="B370" s="537"/>
      <c r="C370" s="537"/>
      <c r="D370" s="537"/>
      <c r="E370" s="537"/>
      <c r="I370" s="537"/>
      <c r="J370" s="537"/>
      <c r="K370" s="537"/>
      <c r="L370" s="537"/>
      <c r="M370" s="537"/>
      <c r="N370" s="537"/>
      <c r="O370" s="537"/>
      <c r="P370" s="537"/>
      <c r="Q370" s="537"/>
      <c r="R370" s="537"/>
      <c r="S370" s="537"/>
      <c r="T370" s="537"/>
    </row>
    <row r="371" spans="1:20">
      <c r="A371" s="537"/>
      <c r="B371" s="537"/>
      <c r="C371" s="537"/>
      <c r="D371" s="537"/>
      <c r="E371" s="537"/>
      <c r="I371" s="537"/>
      <c r="J371" s="537"/>
      <c r="K371" s="537"/>
      <c r="L371" s="537"/>
      <c r="M371" s="537"/>
      <c r="N371" s="537"/>
      <c r="O371" s="537"/>
      <c r="P371" s="537"/>
      <c r="Q371" s="537"/>
      <c r="R371" s="537"/>
      <c r="S371" s="537"/>
      <c r="T371" s="537"/>
    </row>
    <row r="372" spans="1:20">
      <c r="A372" s="537"/>
      <c r="B372" s="537"/>
      <c r="C372" s="537"/>
      <c r="D372" s="537"/>
      <c r="E372" s="537"/>
      <c r="I372" s="537"/>
      <c r="J372" s="537"/>
      <c r="K372" s="537"/>
      <c r="L372" s="537"/>
      <c r="M372" s="537"/>
      <c r="N372" s="537"/>
      <c r="O372" s="537"/>
      <c r="P372" s="537"/>
      <c r="Q372" s="537"/>
      <c r="R372" s="537"/>
      <c r="S372" s="537"/>
      <c r="T372" s="537"/>
    </row>
    <row r="373" spans="1:20">
      <c r="A373" s="537"/>
      <c r="B373" s="537"/>
      <c r="C373" s="537"/>
      <c r="D373" s="537"/>
      <c r="E373" s="537"/>
      <c r="I373" s="537"/>
      <c r="J373" s="537"/>
      <c r="K373" s="537"/>
      <c r="L373" s="537"/>
      <c r="M373" s="537"/>
      <c r="N373" s="537"/>
      <c r="O373" s="537"/>
      <c r="P373" s="537"/>
      <c r="Q373" s="537"/>
      <c r="R373" s="537"/>
      <c r="S373" s="537"/>
      <c r="T373" s="537"/>
    </row>
    <row r="374" spans="1:20">
      <c r="A374" s="537"/>
      <c r="B374" s="537"/>
      <c r="C374" s="537"/>
      <c r="D374" s="537"/>
      <c r="E374" s="537"/>
      <c r="I374" s="537"/>
      <c r="J374" s="537"/>
      <c r="K374" s="537"/>
      <c r="L374" s="537"/>
      <c r="M374" s="537"/>
      <c r="N374" s="537"/>
      <c r="O374" s="537"/>
      <c r="P374" s="537"/>
      <c r="Q374" s="537"/>
      <c r="R374" s="537"/>
      <c r="S374" s="537"/>
      <c r="T374" s="537"/>
    </row>
    <row r="375" spans="1:20">
      <c r="A375" s="537"/>
      <c r="B375" s="537"/>
      <c r="C375" s="537"/>
      <c r="D375" s="537"/>
      <c r="E375" s="537"/>
      <c r="I375" s="537"/>
      <c r="J375" s="537"/>
      <c r="K375" s="537"/>
      <c r="L375" s="537"/>
      <c r="M375" s="537"/>
      <c r="N375" s="537"/>
      <c r="O375" s="537"/>
      <c r="P375" s="537"/>
      <c r="Q375" s="537"/>
      <c r="R375" s="537"/>
      <c r="S375" s="537"/>
      <c r="T375" s="537"/>
    </row>
    <row r="376" spans="1:20">
      <c r="A376" s="537"/>
      <c r="B376" s="537"/>
      <c r="C376" s="537"/>
      <c r="D376" s="537"/>
      <c r="E376" s="537"/>
      <c r="I376" s="537"/>
      <c r="J376" s="537"/>
      <c r="K376" s="537"/>
      <c r="L376" s="537"/>
      <c r="M376" s="537"/>
      <c r="N376" s="537"/>
      <c r="O376" s="537"/>
      <c r="P376" s="537"/>
      <c r="Q376" s="537"/>
      <c r="R376" s="537"/>
      <c r="S376" s="537"/>
      <c r="T376" s="537"/>
    </row>
    <row r="377" spans="1:20">
      <c r="A377" s="537"/>
      <c r="B377" s="537"/>
      <c r="C377" s="537"/>
      <c r="D377" s="537"/>
      <c r="E377" s="537"/>
      <c r="I377" s="537"/>
      <c r="J377" s="537"/>
      <c r="K377" s="537"/>
      <c r="L377" s="537"/>
      <c r="M377" s="537"/>
      <c r="N377" s="537"/>
      <c r="O377" s="537"/>
      <c r="P377" s="537"/>
      <c r="Q377" s="537"/>
      <c r="R377" s="537"/>
      <c r="S377" s="537"/>
      <c r="T377" s="537"/>
    </row>
    <row r="378" spans="1:20">
      <c r="A378" s="537"/>
      <c r="B378" s="537"/>
      <c r="C378" s="537"/>
      <c r="D378" s="537"/>
      <c r="E378" s="537"/>
      <c r="T378" s="537"/>
    </row>
    <row r="379" spans="1:20">
      <c r="A379" s="537"/>
      <c r="B379" s="537"/>
      <c r="C379" s="537"/>
      <c r="D379" s="537"/>
      <c r="E379" s="537"/>
      <c r="T379" s="537"/>
    </row>
    <row r="380" spans="1:20">
      <c r="A380" s="537"/>
      <c r="B380" s="537"/>
      <c r="C380" s="537"/>
      <c r="D380" s="537"/>
      <c r="E380" s="537"/>
      <c r="T380" s="537"/>
    </row>
    <row r="381" spans="1:20">
      <c r="A381" s="537"/>
      <c r="B381" s="537"/>
      <c r="C381" s="537"/>
      <c r="D381" s="537"/>
      <c r="E381" s="537"/>
      <c r="T381" s="537"/>
    </row>
    <row r="382" spans="1:20">
      <c r="A382" s="537"/>
      <c r="B382" s="537"/>
      <c r="C382" s="537"/>
      <c r="D382" s="537"/>
      <c r="E382" s="537"/>
      <c r="T382" s="537"/>
    </row>
    <row r="383" spans="1:20">
      <c r="A383" s="537"/>
      <c r="B383" s="537"/>
      <c r="C383" s="537"/>
      <c r="D383" s="537"/>
      <c r="E383" s="537"/>
      <c r="T383" s="537"/>
    </row>
    <row r="384" spans="1:20">
      <c r="A384" s="537"/>
      <c r="B384" s="537"/>
      <c r="C384" s="537"/>
      <c r="D384" s="537"/>
      <c r="E384" s="537"/>
      <c r="T384" s="537"/>
    </row>
    <row r="385" spans="1:20">
      <c r="A385" s="537"/>
      <c r="B385" s="537"/>
      <c r="C385" s="537"/>
      <c r="D385" s="537"/>
      <c r="E385" s="537"/>
      <c r="T385" s="537"/>
    </row>
    <row r="386" spans="1:20">
      <c r="A386" s="537"/>
      <c r="B386" s="537"/>
      <c r="C386" s="537"/>
      <c r="D386" s="537"/>
      <c r="E386" s="537"/>
      <c r="T386" s="537"/>
    </row>
    <row r="387" spans="1:20">
      <c r="A387" s="537"/>
      <c r="B387" s="537"/>
      <c r="C387" s="537"/>
      <c r="D387" s="537"/>
      <c r="E387" s="537"/>
      <c r="T387" s="537"/>
    </row>
    <row r="388" spans="1:20">
      <c r="A388" s="537"/>
      <c r="B388" s="537"/>
      <c r="C388" s="537"/>
      <c r="D388" s="537"/>
      <c r="E388" s="537"/>
      <c r="T388" s="537"/>
    </row>
    <row r="389" spans="1:20">
      <c r="A389" s="537"/>
      <c r="B389" s="537"/>
      <c r="C389" s="537"/>
      <c r="D389" s="537"/>
      <c r="E389" s="537"/>
      <c r="T389" s="537"/>
    </row>
    <row r="390" spans="1:20">
      <c r="A390" s="537"/>
      <c r="B390" s="537"/>
      <c r="C390" s="537"/>
      <c r="D390" s="537"/>
      <c r="E390" s="537"/>
      <c r="T390" s="537"/>
    </row>
    <row r="391" spans="1:20">
      <c r="A391" s="537"/>
      <c r="B391" s="537"/>
      <c r="C391" s="537"/>
      <c r="D391" s="537"/>
      <c r="E391" s="537"/>
      <c r="T391" s="537"/>
    </row>
    <row r="392" spans="1:20">
      <c r="A392" s="537"/>
      <c r="B392" s="537"/>
      <c r="C392" s="537"/>
      <c r="D392" s="537"/>
      <c r="E392" s="537"/>
      <c r="T392" s="537"/>
    </row>
    <row r="393" spans="1:20">
      <c r="A393" s="537"/>
      <c r="B393" s="537"/>
      <c r="C393" s="537"/>
      <c r="D393" s="537"/>
      <c r="E393" s="537"/>
      <c r="T393" s="537"/>
    </row>
    <row r="394" spans="1:20">
      <c r="A394" s="537"/>
      <c r="B394" s="537"/>
      <c r="C394" s="537"/>
      <c r="D394" s="537"/>
      <c r="E394" s="537"/>
      <c r="T394" s="537"/>
    </row>
    <row r="395" spans="1:20">
      <c r="A395" s="537"/>
      <c r="B395" s="537"/>
      <c r="C395" s="537"/>
      <c r="D395" s="537"/>
      <c r="E395" s="537"/>
      <c r="T395" s="537"/>
    </row>
    <row r="396" spans="1:20">
      <c r="A396" s="537"/>
      <c r="B396" s="537"/>
      <c r="C396" s="537"/>
      <c r="D396" s="537"/>
      <c r="E396" s="537"/>
      <c r="T396" s="537"/>
    </row>
    <row r="397" spans="1:20">
      <c r="A397" s="537"/>
      <c r="B397" s="537"/>
      <c r="C397" s="537"/>
      <c r="D397" s="537"/>
      <c r="E397" s="537"/>
      <c r="T397" s="537"/>
    </row>
    <row r="398" spans="1:20">
      <c r="A398" s="537"/>
      <c r="B398" s="537"/>
      <c r="C398" s="537"/>
      <c r="D398" s="537"/>
      <c r="E398" s="537"/>
      <c r="T398" s="537"/>
    </row>
    <row r="399" spans="1:20">
      <c r="A399" s="537"/>
      <c r="B399" s="537"/>
      <c r="C399" s="537"/>
      <c r="D399" s="537"/>
      <c r="E399" s="537"/>
      <c r="T399" s="537"/>
    </row>
    <row r="400" spans="1:20">
      <c r="A400" s="537"/>
      <c r="B400" s="537"/>
      <c r="C400" s="537"/>
      <c r="D400" s="537"/>
      <c r="E400" s="537"/>
      <c r="T400" s="537"/>
    </row>
    <row r="401" spans="20:20">
      <c r="T401" s="537"/>
    </row>
    <row r="402" spans="20:20">
      <c r="T402" s="537"/>
    </row>
    <row r="403" spans="20:20">
      <c r="T403" s="537"/>
    </row>
    <row r="404" spans="20:20">
      <c r="T404" s="537"/>
    </row>
    <row r="405" spans="20:20">
      <c r="T405" s="537"/>
    </row>
    <row r="406" spans="20:20">
      <c r="T406" s="537"/>
    </row>
    <row r="407" spans="20:20">
      <c r="T407" s="537"/>
    </row>
    <row r="408" spans="20:20">
      <c r="T408" s="537"/>
    </row>
    <row r="409" spans="20:20">
      <c r="T409" s="537"/>
    </row>
    <row r="410" spans="20:20">
      <c r="T410" s="537"/>
    </row>
    <row r="411" spans="20:20">
      <c r="T411" s="537"/>
    </row>
    <row r="412" spans="20:20">
      <c r="T412" s="537"/>
    </row>
  </sheetData>
  <mergeCells count="1">
    <mergeCell ref="I1:S1"/>
  </mergeCells>
  <conditionalFormatting sqref="B1">
    <cfRule type="timePeriod" dxfId="236" priority="4" timePeriod="lastWeek">
      <formula>AND(TODAY()-ROUNDDOWN(B1,0)&gt;=(WEEKDAY(TODAY())),TODAY()-ROUNDDOWN(B1,0)&lt;(WEEKDAY(TODAY())+7))</formula>
    </cfRule>
    <cfRule type="timePeriod" dxfId="235" priority="5" timePeriod="thisWeek">
      <formula>AND(TODAY()-ROUNDDOWN(B1,0)&lt;=WEEKDAY(TODAY())-1,ROUNDDOWN(B1,0)-TODAY()&lt;=7-WEEKDAY(TODAY()))</formula>
    </cfRule>
  </conditionalFormatting>
  <conditionalFormatting sqref="AF98:AF194 E15 AJ195 AF196:AF1048576 AF1 AE2:AE97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269">
    <cfRule type="uniqueValues" dxfId="234" priority="1251"/>
  </conditionalFormatting>
  <dataValidations count="1">
    <dataValidation type="list" allowBlank="1" showInputMessage="1" showErrorMessage="1" sqref="C1" xr:uid="{7829DF16-F3B5-4C8B-A297-5BF649023765}">
      <formula1>"Update"</formula1>
    </dataValidation>
  </dataValidation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4EC0-AA58-45D6-B10D-A83A94E3C467}">
  <sheetPr>
    <tabColor rgb="FF0070C0"/>
  </sheetPr>
  <dimension ref="A1:V40"/>
  <sheetViews>
    <sheetView workbookViewId="0">
      <selection activeCell="T3" sqref="T3"/>
    </sheetView>
  </sheetViews>
  <sheetFormatPr defaultRowHeight="15"/>
  <cols>
    <col min="1" max="1" width="9.140625" style="19"/>
    <col min="2" max="2" width="7.7109375" bestFit="1" customWidth="1"/>
    <col min="3" max="3" width="26.5703125" bestFit="1" customWidth="1"/>
    <col min="4" max="4" width="12.7109375" bestFit="1" customWidth="1"/>
    <col min="5" max="5" width="11.5703125" bestFit="1" customWidth="1"/>
    <col min="6" max="6" width="14.28515625" customWidth="1"/>
    <col min="7" max="7" width="14.140625" bestFit="1" customWidth="1"/>
    <col min="8" max="8" width="74.28515625" bestFit="1" customWidth="1"/>
    <col min="9" max="9" width="9.140625" customWidth="1"/>
    <col min="10" max="10" width="24" bestFit="1" customWidth="1"/>
    <col min="11" max="11" width="11.42578125" bestFit="1" customWidth="1"/>
    <col min="12" max="12" width="10.7109375" bestFit="1" customWidth="1"/>
    <col min="13" max="13" width="11.42578125" bestFit="1" customWidth="1"/>
    <col min="14" max="14" width="14.28515625" bestFit="1" customWidth="1"/>
    <col min="15" max="15" width="10.7109375" bestFit="1" customWidth="1"/>
    <col min="16" max="16" width="20.85546875" bestFit="1" customWidth="1"/>
    <col min="17" max="17" width="10" bestFit="1" customWidth="1"/>
    <col min="18" max="19" width="10.42578125" bestFit="1" customWidth="1"/>
    <col min="20" max="20" width="14.42578125" bestFit="1" customWidth="1"/>
    <col min="21" max="21" width="13.140625" bestFit="1" customWidth="1"/>
    <col min="22" max="22" width="10.7109375" bestFit="1" customWidth="1"/>
  </cols>
  <sheetData>
    <row r="1" spans="1:22" s="19" customFormat="1">
      <c r="A1" s="627" t="str">
        <f>_xlfn.CONCAT("Current as of: XX Apr 24 with (", COUNTIF(DutyStatusTable[Updated Chit],"Yes"),") active chits")</f>
        <v>Current as of: XX Apr 24 with (8) active chits</v>
      </c>
      <c r="B1" s="627"/>
      <c r="C1" s="627"/>
      <c r="D1" s="627"/>
      <c r="E1" s="627"/>
      <c r="F1" s="627"/>
      <c r="G1" s="627"/>
      <c r="H1" s="627"/>
      <c r="I1" s="536"/>
      <c r="J1" s="627" t="str">
        <f>_xlfn.CONCAT("Secordary Caregiver Leave (", COUNTIF(CareGiverTable[On Now],"Yes"),")")</f>
        <v>Secordary Caregiver Leave (1)</v>
      </c>
      <c r="K1" s="627"/>
      <c r="L1" s="627"/>
      <c r="M1" s="627"/>
      <c r="N1" s="627"/>
      <c r="P1" s="627" t="str">
        <f>_xlfn.CONCAT("Skillbridge (", COUNTIF(SkillbridgeTable[On Now],"Yes"),")")</f>
        <v>Skillbridge (2)</v>
      </c>
      <c r="Q1" s="627"/>
      <c r="R1" s="627"/>
      <c r="S1" s="627"/>
      <c r="T1" s="627"/>
      <c r="U1" s="627"/>
      <c r="V1" s="627"/>
    </row>
    <row r="2" spans="1:22">
      <c r="A2" s="120" t="s">
        <v>195</v>
      </c>
      <c r="B2" s="119" t="s">
        <v>787</v>
      </c>
      <c r="C2" s="119" t="s">
        <v>155</v>
      </c>
      <c r="D2" s="217" t="s">
        <v>2</v>
      </c>
      <c r="E2" s="218" t="s">
        <v>851</v>
      </c>
      <c r="F2" s="218" t="s">
        <v>852</v>
      </c>
      <c r="G2" s="217" t="s">
        <v>898</v>
      </c>
      <c r="H2" s="120" t="s">
        <v>899</v>
      </c>
      <c r="I2" s="19"/>
      <c r="J2" s="9" t="s">
        <v>155</v>
      </c>
      <c r="K2" s="9" t="s">
        <v>195</v>
      </c>
      <c r="L2" s="9" t="s">
        <v>900</v>
      </c>
      <c r="M2" s="9" t="s">
        <v>852</v>
      </c>
      <c r="N2" s="9" t="s">
        <v>901</v>
      </c>
      <c r="O2" s="19"/>
      <c r="P2" s="19" t="s">
        <v>155</v>
      </c>
      <c r="Q2" s="19" t="s">
        <v>195</v>
      </c>
      <c r="R2" s="19" t="s">
        <v>902</v>
      </c>
      <c r="S2" s="19" t="s">
        <v>903</v>
      </c>
      <c r="T2" s="19" t="s">
        <v>74</v>
      </c>
      <c r="U2" s="19" t="s">
        <v>904</v>
      </c>
      <c r="V2" s="19" t="s">
        <v>900</v>
      </c>
    </row>
    <row r="3" spans="1:22">
      <c r="A3" s="27" t="str">
        <f>_xlfn.XLOOKUP(DutyStatusTable[[#This Row],[Name]],RecallTable[NAME],RecallTable[SECTION])</f>
        <v>1PLT</v>
      </c>
      <c r="B3" s="537" t="str">
        <f>_xlfn.XLOOKUP(DutyStatusTable[[#This Row],[Name]],RecallTable[NAME], RecallTable[GRADE])</f>
        <v>O2</v>
      </c>
      <c r="C3" s="428" t="s">
        <v>1094</v>
      </c>
      <c r="D3" s="428" t="s">
        <v>860</v>
      </c>
      <c r="E3" s="71">
        <v>44927</v>
      </c>
      <c r="F3" s="71">
        <v>45505</v>
      </c>
      <c r="G3" s="537" t="s">
        <v>799</v>
      </c>
      <c r="H3" s="428"/>
      <c r="I3" s="19"/>
      <c r="J3" s="9" t="s">
        <v>1094</v>
      </c>
      <c r="K3" s="9" t="str">
        <f>_xlfn.XLOOKUP(CareGiverTable[[#This Row],[Name]],RecallTable[NAME],RecallTable[SECTION])</f>
        <v>1PLT</v>
      </c>
      <c r="L3" s="9" t="s">
        <v>839</v>
      </c>
      <c r="M3" s="311">
        <v>45550</v>
      </c>
      <c r="N3" s="15">
        <v>15</v>
      </c>
      <c r="O3" s="19"/>
      <c r="P3" s="13" t="s">
        <v>1094</v>
      </c>
      <c r="Q3" s="19" t="s">
        <v>108</v>
      </c>
      <c r="R3" s="310">
        <v>45306</v>
      </c>
      <c r="S3" s="310">
        <v>45420</v>
      </c>
      <c r="T3" s="310" t="s">
        <v>905</v>
      </c>
      <c r="U3" s="47" t="s">
        <v>799</v>
      </c>
      <c r="V3" s="47" t="s">
        <v>799</v>
      </c>
    </row>
    <row r="4" spans="1:22">
      <c r="A4" s="27" t="str">
        <f>_xlfn.XLOOKUP(DutyStatusTable[[#This Row],[Name]],RecallTable[NAME],RecallTable[SECTION])</f>
        <v>1PLT</v>
      </c>
      <c r="B4" s="537" t="str">
        <f>_xlfn.XLOOKUP(DutyStatusTable[[#This Row],[Name]],RecallTable[NAME], RecallTable[GRADE])</f>
        <v>E7</v>
      </c>
      <c r="C4" s="428" t="s">
        <v>1095</v>
      </c>
      <c r="D4" s="428" t="s">
        <v>860</v>
      </c>
      <c r="E4" s="71">
        <v>44927</v>
      </c>
      <c r="F4" s="71">
        <v>45505</v>
      </c>
      <c r="G4" s="537" t="s">
        <v>799</v>
      </c>
      <c r="H4" s="428"/>
      <c r="I4" s="19"/>
      <c r="J4" s="316" t="s">
        <v>1095</v>
      </c>
      <c r="K4" s="9" t="str">
        <f>_xlfn.XLOOKUP(CareGiverTable[[#This Row],[Name]],RecallTable[NAME],RecallTable[SECTION])</f>
        <v>1PLT</v>
      </c>
      <c r="L4" s="9" t="s">
        <v>839</v>
      </c>
      <c r="M4" s="9"/>
      <c r="N4" s="15">
        <v>0</v>
      </c>
      <c r="O4" s="19"/>
      <c r="P4" s="19" t="s">
        <v>1095</v>
      </c>
      <c r="Q4" s="19" t="s">
        <v>215</v>
      </c>
      <c r="R4" s="310">
        <v>45261</v>
      </c>
      <c r="S4" s="310">
        <v>45427</v>
      </c>
      <c r="T4" s="310" t="s">
        <v>906</v>
      </c>
      <c r="U4" s="47" t="s">
        <v>799</v>
      </c>
      <c r="V4" s="47" t="s">
        <v>799</v>
      </c>
    </row>
    <row r="5" spans="1:22">
      <c r="A5" s="27" t="str">
        <f>_xlfn.XLOOKUP(DutyStatusTable[[#This Row],[Name]],RecallTable[NAME],RecallTable[SECTION])</f>
        <v>1PLT</v>
      </c>
      <c r="B5" s="537" t="str">
        <f>_xlfn.XLOOKUP(DutyStatusTable[[#This Row],[Name]],RecallTable[NAME], RecallTable[GRADE])</f>
        <v>E6</v>
      </c>
      <c r="C5" s="428" t="s">
        <v>1096</v>
      </c>
      <c r="D5" s="428" t="s">
        <v>861</v>
      </c>
      <c r="E5" s="71">
        <v>45370</v>
      </c>
      <c r="F5" s="71">
        <f>DutyStatusTable[[#This Row],[Start Date]]+30</f>
        <v>45400</v>
      </c>
      <c r="G5" s="537" t="s">
        <v>16</v>
      </c>
      <c r="H5" s="428"/>
      <c r="I5" s="19"/>
      <c r="J5" s="9" t="s">
        <v>1096</v>
      </c>
      <c r="K5" s="9" t="str">
        <f>_xlfn.XLOOKUP(CareGiverTable[[#This Row],[Name]],RecallTable[NAME],RecallTable[SECTION])</f>
        <v>1PLT</v>
      </c>
      <c r="L5" s="9" t="s">
        <v>799</v>
      </c>
      <c r="M5" s="311">
        <v>45413</v>
      </c>
      <c r="N5" s="15">
        <v>60</v>
      </c>
      <c r="O5" s="19"/>
      <c r="P5" s="19" t="s">
        <v>1096</v>
      </c>
      <c r="Q5" s="19" t="s">
        <v>215</v>
      </c>
      <c r="R5" s="310"/>
      <c r="S5" s="310"/>
      <c r="T5" s="310"/>
      <c r="U5" s="47" t="s">
        <v>839</v>
      </c>
      <c r="V5" s="47" t="s">
        <v>839</v>
      </c>
    </row>
    <row r="6" spans="1:22">
      <c r="A6" s="27" t="str">
        <f>_xlfn.XLOOKUP(DutyStatusTable[[#This Row],[Name]],RecallTable[NAME],RecallTable[SECTION])</f>
        <v>1PLT</v>
      </c>
      <c r="B6" s="537" t="str">
        <f>_xlfn.XLOOKUP(DutyStatusTable[[#This Row],[Name]],RecallTable[NAME], RecallTable[GRADE])</f>
        <v>E6</v>
      </c>
      <c r="C6" s="228" t="s">
        <v>1097</v>
      </c>
      <c r="D6" s="428" t="s">
        <v>860</v>
      </c>
      <c r="E6" s="71">
        <v>44927</v>
      </c>
      <c r="F6" s="71">
        <v>45505</v>
      </c>
      <c r="G6" s="537" t="s">
        <v>799</v>
      </c>
      <c r="H6" s="428"/>
      <c r="I6" s="19"/>
      <c r="J6" s="9" t="s">
        <v>1097</v>
      </c>
      <c r="K6" s="9" t="str">
        <f>_xlfn.XLOOKUP(CareGiverTable[[#This Row],[Name]],RecallTable[NAME],RecallTable[SECTION])</f>
        <v>1PLT</v>
      </c>
      <c r="L6" s="9" t="s">
        <v>839</v>
      </c>
      <c r="M6" s="311">
        <v>45368</v>
      </c>
      <c r="N6" s="15">
        <v>41</v>
      </c>
      <c r="O6" s="19"/>
      <c r="P6" s="19" t="s">
        <v>1097</v>
      </c>
      <c r="Q6" s="19" t="s">
        <v>215</v>
      </c>
      <c r="R6" s="310">
        <v>45411</v>
      </c>
      <c r="S6" s="310">
        <v>45525</v>
      </c>
      <c r="T6" s="310" t="s">
        <v>1173</v>
      </c>
      <c r="U6" s="47" t="s">
        <v>839</v>
      </c>
      <c r="V6" s="47" t="s">
        <v>839</v>
      </c>
    </row>
    <row r="7" spans="1:22">
      <c r="A7" s="27" t="str">
        <f>_xlfn.XLOOKUP(DutyStatusTable[[#This Row],[Name]],RecallTable[NAME],RecallTable[SECTION])</f>
        <v>1PLT</v>
      </c>
      <c r="B7" s="537" t="str">
        <f>_xlfn.XLOOKUP(DutyStatusTable[[#This Row],[Name]],RecallTable[NAME], RecallTable[GRADE])</f>
        <v>E5</v>
      </c>
      <c r="C7" s="228" t="s">
        <v>1098</v>
      </c>
      <c r="D7" s="428" t="s">
        <v>861</v>
      </c>
      <c r="E7" s="71">
        <v>45377</v>
      </c>
      <c r="F7" s="71">
        <v>45408</v>
      </c>
      <c r="G7" s="537" t="s">
        <v>799</v>
      </c>
      <c r="H7" s="427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s="19" customFormat="1">
      <c r="A8" s="27" t="str">
        <f>_xlfn.XLOOKUP(DutyStatusTable[[#This Row],[Name]],RecallTable[NAME],RecallTable[SECTION])</f>
        <v>1PLT</v>
      </c>
      <c r="B8" s="537" t="str">
        <f>_xlfn.XLOOKUP(DutyStatusTable[[#This Row],[Name]],RecallTable[NAME], RecallTable[GRADE])</f>
        <v>E5</v>
      </c>
      <c r="C8" s="428" t="s">
        <v>1099</v>
      </c>
      <c r="D8" s="428" t="s">
        <v>861</v>
      </c>
      <c r="E8" s="71">
        <v>45370</v>
      </c>
      <c r="F8" s="71">
        <f>DutyStatusTable[[#This Row],[Start Date]]+30</f>
        <v>45400</v>
      </c>
      <c r="G8" s="537" t="s">
        <v>799</v>
      </c>
      <c r="H8" s="428"/>
    </row>
    <row r="9" spans="1:22" s="19" customFormat="1">
      <c r="A9" s="27" t="s">
        <v>108</v>
      </c>
      <c r="B9" s="537" t="str">
        <f>_xlfn.XLOOKUP(DutyStatusTable[[#This Row],[Name]],RecallTable[NAME], RecallTable[GRADE])</f>
        <v>E5</v>
      </c>
      <c r="C9" s="428" t="s">
        <v>1100</v>
      </c>
      <c r="D9" s="428" t="s">
        <v>860</v>
      </c>
      <c r="E9" s="71">
        <v>44927</v>
      </c>
      <c r="F9" s="71">
        <v>45505</v>
      </c>
      <c r="G9" s="537" t="s">
        <v>799</v>
      </c>
      <c r="H9" s="428"/>
    </row>
    <row r="10" spans="1:22" s="19" customFormat="1">
      <c r="A10" s="27" t="str">
        <f>_xlfn.XLOOKUP(DutyStatusTable[[#This Row],[Name]],RecallTable[NAME],RecallTable[SECTION])</f>
        <v>1PLT</v>
      </c>
      <c r="B10" s="537" t="s">
        <v>179</v>
      </c>
      <c r="C10" s="428" t="s">
        <v>1101</v>
      </c>
      <c r="D10" s="428" t="s">
        <v>861</v>
      </c>
      <c r="E10" s="71">
        <v>45370</v>
      </c>
      <c r="F10" s="71">
        <f>DutyStatusTable[[#This Row],[Start Date]]+30</f>
        <v>45400</v>
      </c>
      <c r="G10" s="537" t="s">
        <v>799</v>
      </c>
      <c r="H10" s="428"/>
    </row>
    <row r="11" spans="1:22" s="19" customFormat="1">
      <c r="A11" s="27" t="s">
        <v>209</v>
      </c>
      <c r="B11" s="537" t="s">
        <v>181</v>
      </c>
      <c r="C11" s="428" t="s">
        <v>1102</v>
      </c>
      <c r="D11" s="428" t="s">
        <v>861</v>
      </c>
      <c r="E11" s="71">
        <v>45370</v>
      </c>
      <c r="F11" s="71">
        <f>DutyStatusTable[[#This Row],[Start Date]]+30</f>
        <v>45400</v>
      </c>
      <c r="G11" s="537" t="s">
        <v>799</v>
      </c>
      <c r="H11" s="428"/>
    </row>
    <row r="12" spans="1:22" s="19" customFormat="1">
      <c r="A12" s="27" t="s">
        <v>79</v>
      </c>
      <c r="B12" s="537" t="s">
        <v>180</v>
      </c>
      <c r="C12" s="428" t="s">
        <v>1103</v>
      </c>
      <c r="D12" s="428" t="s">
        <v>870</v>
      </c>
      <c r="E12" s="71">
        <v>45370</v>
      </c>
      <c r="F12" s="71">
        <f>DutyStatusTable[[#This Row],[Start Date]]+5</f>
        <v>45375</v>
      </c>
      <c r="G12" s="537" t="s">
        <v>839</v>
      </c>
      <c r="H12" s="428"/>
    </row>
    <row r="13" spans="1:22" s="19" customFormat="1"/>
    <row r="14" spans="1:22" s="19" customFormat="1"/>
    <row r="15" spans="1:22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2">
      <c r="B16" s="19"/>
      <c r="C16" s="19"/>
      <c r="D16" s="19"/>
      <c r="E16" s="19"/>
      <c r="F16" s="64" t="s">
        <v>907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2:22">
      <c r="B17" s="19"/>
      <c r="C17" s="19"/>
      <c r="D17" s="19"/>
      <c r="E17" s="19"/>
      <c r="F17" s="65" t="s">
        <v>908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2:22" s="19" customFormat="1">
      <c r="F18" s="19" t="s">
        <v>909</v>
      </c>
    </row>
    <row r="19" spans="2:22" s="19" customFormat="1"/>
    <row r="20" spans="2:22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2:22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2:22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spans="2:22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2:22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2:22">
      <c r="B25" s="19"/>
      <c r="C25" s="21"/>
      <c r="D25" s="21"/>
      <c r="E25" s="21"/>
      <c r="F25" s="21"/>
      <c r="G25" s="21"/>
      <c r="H25" s="21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2:22">
      <c r="B26" s="19"/>
      <c r="C26" s="21"/>
      <c r="D26" s="21"/>
      <c r="E26" s="21"/>
      <c r="F26" s="21"/>
      <c r="G26" s="21"/>
      <c r="H26" s="21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2:22">
      <c r="B27" s="19"/>
      <c r="C27" s="21"/>
      <c r="D27" s="21"/>
      <c r="E27" s="21"/>
      <c r="F27" s="21"/>
      <c r="G27" s="21"/>
      <c r="H27" s="21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2:22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2:22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2:22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2:22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2:22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2:22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2:22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2:22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2:22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2:22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2:22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spans="2:22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2:22">
      <c r="I40" s="19"/>
      <c r="J40" s="19"/>
      <c r="K40" s="19"/>
      <c r="L40" s="19"/>
      <c r="M40" s="19"/>
      <c r="N40" s="19"/>
      <c r="O40" s="19"/>
    </row>
  </sheetData>
  <mergeCells count="3">
    <mergeCell ref="J1:N1"/>
    <mergeCell ref="P1:V1"/>
    <mergeCell ref="A1:H1"/>
  </mergeCells>
  <conditionalFormatting sqref="E3:F12">
    <cfRule type="cellIs" dxfId="189" priority="8" operator="equal">
      <formula>"?"</formula>
    </cfRule>
  </conditionalFormatting>
  <conditionalFormatting sqref="G3:G12">
    <cfRule type="cellIs" dxfId="188" priority="7" operator="equal">
      <formula>"No"</formula>
    </cfRule>
  </conditionalFormatting>
  <conditionalFormatting sqref="G3:G12">
    <cfRule type="cellIs" dxfId="187" priority="6" operator="equal">
      <formula>"Yes"</formula>
    </cfRule>
  </conditionalFormatting>
  <conditionalFormatting sqref="F3:F12">
    <cfRule type="cellIs" dxfId="186" priority="5" operator="between">
      <formula>TODAY()</formula>
      <formula>TODAY()+30</formula>
    </cfRule>
  </conditionalFormatting>
  <conditionalFormatting sqref="F3:F12">
    <cfRule type="cellIs" dxfId="185" priority="4" operator="lessThan">
      <formula>TODAY()</formula>
    </cfRule>
  </conditionalFormatting>
  <conditionalFormatting sqref="F18">
    <cfRule type="cellIs" dxfId="184" priority="3" operator="equal">
      <formula>"Expired"</formula>
    </cfRule>
  </conditionalFormatting>
  <dataValidations count="1">
    <dataValidation allowBlank="1" showInputMessage="1" showErrorMessage="1" sqref="G2:G5" xr:uid="{C0BD2538-B246-4E7E-BF34-2D5CB8928939}"/>
  </dataValidations>
  <pageMargins left="0.7" right="0.7" top="0.75" bottom="0.75" header="0.3" footer="0.3"/>
  <legacyDrawing r:id="rId1"/>
  <tableParts count="3"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AL1047880"/>
  <sheetViews>
    <sheetView tabSelected="1" topLeftCell="A40" zoomScale="85" zoomScaleNormal="85" workbookViewId="0">
      <pane xSplit="6" topLeftCell="G1" activePane="topRight" state="frozen"/>
      <selection pane="topRight" activeCell="A3" sqref="A3:F82"/>
    </sheetView>
  </sheetViews>
  <sheetFormatPr defaultColWidth="9.140625" defaultRowHeight="15"/>
  <cols>
    <col min="1" max="1" width="9.5703125" style="57" customWidth="1"/>
    <col min="2" max="2" width="33.140625" style="135" bestFit="1" customWidth="1"/>
    <col min="3" max="3" width="12" style="27" bestFit="1" customWidth="1"/>
    <col min="4" max="4" width="7.7109375" style="62" customWidth="1"/>
    <col min="5" max="5" width="7.7109375" style="135" bestFit="1" customWidth="1"/>
    <col min="6" max="6" width="11.140625" style="55" bestFit="1" customWidth="1"/>
    <col min="7" max="7" width="11.140625" style="55" customWidth="1"/>
    <col min="8" max="8" width="15.7109375" style="55" customWidth="1"/>
    <col min="9" max="9" width="11.42578125" style="55" bestFit="1" customWidth="1"/>
    <col min="10" max="10" width="11.42578125" style="55" customWidth="1"/>
    <col min="11" max="11" width="12" style="55" bestFit="1" customWidth="1"/>
    <col min="12" max="12" width="11.42578125" style="55" bestFit="1" customWidth="1"/>
    <col min="13" max="13" width="11.42578125" style="55" customWidth="1"/>
    <col min="14" max="14" width="14.7109375" style="194" bestFit="1" customWidth="1"/>
    <col min="15" max="15" width="60" style="55" bestFit="1" customWidth="1"/>
    <col min="16" max="16" width="12.5703125" style="27" bestFit="1" customWidth="1"/>
    <col min="17" max="18" width="11" style="27" bestFit="1" customWidth="1"/>
    <col min="19" max="19" width="9.7109375" style="27" bestFit="1" customWidth="1"/>
    <col min="20" max="20" width="27.28515625" style="27" bestFit="1" customWidth="1"/>
    <col min="21" max="21" width="12.42578125" style="27" bestFit="1" customWidth="1"/>
    <col min="22" max="22" width="12.42578125" style="71" bestFit="1" customWidth="1"/>
    <col min="23" max="23" width="14.28515625" style="71" bestFit="1" customWidth="1"/>
    <col min="24" max="24" width="17.85546875" style="27" bestFit="1" customWidth="1"/>
    <col min="25" max="26" width="11.42578125" style="57" bestFit="1" customWidth="1"/>
    <col min="27" max="27" width="9.28515625" style="57" customWidth="1"/>
    <col min="28" max="16384" width="9.140625" style="57"/>
  </cols>
  <sheetData>
    <row r="1" spans="1:38" s="122" customFormat="1" ht="14.45" customHeight="1">
      <c r="A1" s="630" t="s">
        <v>910</v>
      </c>
      <c r="B1" s="630"/>
      <c r="C1" s="630"/>
      <c r="D1" s="631"/>
      <c r="E1" s="632"/>
      <c r="F1" s="630"/>
      <c r="G1" s="539"/>
      <c r="H1" s="637" t="s">
        <v>911</v>
      </c>
      <c r="I1" s="628"/>
      <c r="J1" s="628"/>
      <c r="K1" s="628"/>
      <c r="L1" s="628"/>
      <c r="M1" s="629"/>
      <c r="N1" s="628" t="s">
        <v>912</v>
      </c>
      <c r="O1" s="629"/>
      <c r="P1" s="628" t="s">
        <v>913</v>
      </c>
      <c r="Q1" s="629"/>
      <c r="R1" s="381"/>
      <c r="S1" s="633" t="s">
        <v>914</v>
      </c>
      <c r="T1" s="634"/>
      <c r="U1" s="634"/>
      <c r="V1" s="635"/>
      <c r="W1" s="636"/>
      <c r="X1" s="123"/>
    </row>
    <row r="2" spans="1:38" s="55" customFormat="1">
      <c r="A2" s="125" t="s">
        <v>915</v>
      </c>
      <c r="B2" s="128" t="s">
        <v>916</v>
      </c>
      <c r="C2" s="127" t="s">
        <v>229</v>
      </c>
      <c r="D2" s="61" t="s">
        <v>917</v>
      </c>
      <c r="E2" s="128" t="s">
        <v>221</v>
      </c>
      <c r="F2" s="129" t="s">
        <v>918</v>
      </c>
      <c r="G2" s="190" t="s">
        <v>919</v>
      </c>
      <c r="H2" s="382" t="s">
        <v>920</v>
      </c>
      <c r="I2" s="126" t="s">
        <v>336</v>
      </c>
      <c r="J2" s="126" t="s">
        <v>345</v>
      </c>
      <c r="K2" s="127" t="s">
        <v>247</v>
      </c>
      <c r="L2" s="127" t="s">
        <v>921</v>
      </c>
      <c r="M2" s="407" t="s">
        <v>346</v>
      </c>
      <c r="N2" s="418" t="s">
        <v>922</v>
      </c>
      <c r="O2" s="383" t="s">
        <v>923</v>
      </c>
      <c r="P2" s="493" t="s">
        <v>924</v>
      </c>
      <c r="Q2" s="407" t="s">
        <v>925</v>
      </c>
      <c r="R2" s="130" t="s">
        <v>926</v>
      </c>
      <c r="S2" s="124" t="s">
        <v>927</v>
      </c>
      <c r="T2" s="124" t="s">
        <v>775</v>
      </c>
      <c r="U2" s="176" t="s">
        <v>851</v>
      </c>
      <c r="V2" s="178" t="s">
        <v>928</v>
      </c>
      <c r="W2" s="124" t="s">
        <v>929</v>
      </c>
    </row>
    <row r="3" spans="1:38" s="11" customFormat="1" ht="15.75" customHeight="1">
      <c r="A3" s="23" t="s">
        <v>188</v>
      </c>
      <c r="B3" s="21" t="s">
        <v>1094</v>
      </c>
      <c r="C3" s="23">
        <v>4741999075</v>
      </c>
      <c r="D3" s="23" t="s">
        <v>862</v>
      </c>
      <c r="E3" s="131">
        <v>1702</v>
      </c>
      <c r="F3" s="417" t="s">
        <v>108</v>
      </c>
      <c r="G3" s="478"/>
      <c r="H3" s="408">
        <v>44813</v>
      </c>
      <c r="I3" s="196">
        <v>40869</v>
      </c>
      <c r="J3" s="196">
        <v>44209</v>
      </c>
      <c r="K3" s="196">
        <v>45847</v>
      </c>
      <c r="L3" s="196">
        <v>45259</v>
      </c>
      <c r="M3" s="409">
        <v>36286</v>
      </c>
      <c r="N3" s="419">
        <v>6045624339</v>
      </c>
      <c r="O3" s="384" t="s">
        <v>1066</v>
      </c>
      <c r="P3" s="398">
        <v>75465218</v>
      </c>
      <c r="Q3" s="329">
        <v>141246</v>
      </c>
      <c r="R3" s="109" t="s">
        <v>931</v>
      </c>
      <c r="S3" s="133" t="str">
        <f>_xlfn.XLOOKUP(RecallTable[[#This Row],[EDIPI]],MOLTable[EDIPI],MOLTable[Category],"ERR")</f>
        <v>On Hand</v>
      </c>
      <c r="T3" s="133" t="str">
        <f>IF(_xlfn.XLOOKUP(RecallTable[[#This Row],[EDIPI]],MOLTable[EDIPI],MOLTable[Location],"ERR")="","",_xlfn.XLOOKUP(RecallTable[[#This Row],[EDIPI]],MOLTable[EDIPI],MOLTable[Location],"ERR"))</f>
        <v/>
      </c>
      <c r="U3" s="177" t="str">
        <f>IF(_xlfn.XLOOKUP(RecallTable[[#This Row],[EDIPI]],MOLTable[EDIPI],MOLTable[Start Date],"ERR")="","",_xlfn.XLOOKUP(RecallTable[[#This Row],[EDIPI]],MOLTable[EDIPI],MOLTable[Start Date],"ERR"))</f>
        <v/>
      </c>
      <c r="V3" s="177" t="str">
        <f>IF(_xlfn.XLOOKUP(RecallTable[[#This Row],[EDIPI]],MOLTable[EDIPI],MOLTable[Start Date],"ERR")="","",_xlfn.XLOOKUP(RecallTable[[#This Row],[EDIPI]],MOLTable[EDIPI],MOLTable[Start Date],"ERR"))</f>
        <v/>
      </c>
      <c r="W3" s="27" t="str">
        <f ca="1">IFERROR(_xlfn.DAYS(RecallTable[[#This Row],[Return Date]],TODAY()),"")</f>
        <v/>
      </c>
      <c r="X3" s="55"/>
      <c r="Y3" s="525"/>
      <c r="Z3" s="52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</row>
    <row r="4" spans="1:38" s="11" customFormat="1" ht="15" customHeight="1">
      <c r="A4" s="131" t="s">
        <v>183</v>
      </c>
      <c r="B4" s="336" t="s">
        <v>1095</v>
      </c>
      <c r="C4" s="485">
        <v>1538999384</v>
      </c>
      <c r="D4" s="485" t="s">
        <v>660</v>
      </c>
      <c r="E4" s="131">
        <v>1721</v>
      </c>
      <c r="F4" s="485" t="s">
        <v>108</v>
      </c>
      <c r="G4" s="481"/>
      <c r="H4" s="408">
        <v>44602</v>
      </c>
      <c r="I4" s="290">
        <v>36853</v>
      </c>
      <c r="J4" s="290">
        <v>41670</v>
      </c>
      <c r="K4" s="229">
        <v>46356</v>
      </c>
      <c r="L4" s="229">
        <v>44572</v>
      </c>
      <c r="M4" s="290">
        <v>35089</v>
      </c>
      <c r="N4" s="529">
        <v>3994956586</v>
      </c>
      <c r="O4" s="530" t="s">
        <v>1066</v>
      </c>
      <c r="P4" s="531">
        <v>77034215</v>
      </c>
      <c r="Q4" s="532">
        <v>381243</v>
      </c>
      <c r="R4" s="533" t="s">
        <v>932</v>
      </c>
      <c r="S4" s="364" t="s">
        <v>855</v>
      </c>
      <c r="T4" s="364" t="str">
        <f>IF(_xlfn.XLOOKUP(RecallTable[[#This Row],[EDIPI]],MOLTable[EDIPI],MOLTable[Location],"ERR")="","",_xlfn.XLOOKUP(RecallTable[[#This Row],[EDIPI]],MOLTable[EDIPI],MOLTable[Location],"ERR"))</f>
        <v/>
      </c>
      <c r="U4" s="177" t="str">
        <f>IF(_xlfn.XLOOKUP(RecallTable[[#This Row],[EDIPI]],MOLTable[EDIPI],MOLTable[Start Date],"ERR")="","",_xlfn.XLOOKUP(RecallTable[[#This Row],[EDIPI]],MOLTable[EDIPI],MOLTable[Start Date],"ERR"))</f>
        <v/>
      </c>
      <c r="V4" s="365" t="str">
        <f>IF(_xlfn.XLOOKUP(RecallTable[[#This Row],[EDIPI]],MOLTable[EDIPI],MOLTable[Start Date],"ERR")="","",_xlfn.XLOOKUP(RecallTable[[#This Row],[EDIPI]],MOLTable[EDIPI],MOLTable[Start Date],"ERR"))</f>
        <v/>
      </c>
      <c r="W4" s="27" t="str">
        <f ca="1">IFERROR(_xlfn.DAYS(RecallTable[[#This Row],[Return Date]],TODAY()),"")</f>
        <v/>
      </c>
      <c r="X4" s="55"/>
      <c r="Y4" s="525"/>
      <c r="Z4" s="52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</row>
    <row r="5" spans="1:38" s="11" customFormat="1" ht="15" customHeight="1">
      <c r="A5" s="23" t="s">
        <v>182</v>
      </c>
      <c r="B5" s="191" t="s">
        <v>1096</v>
      </c>
      <c r="C5" s="23">
        <v>1160110691</v>
      </c>
      <c r="D5" s="23" t="s">
        <v>660</v>
      </c>
      <c r="E5" s="131">
        <v>1721</v>
      </c>
      <c r="F5" s="417" t="s">
        <v>108</v>
      </c>
      <c r="G5" s="478" t="s">
        <v>934</v>
      </c>
      <c r="H5" s="408">
        <v>44250</v>
      </c>
      <c r="I5" s="196">
        <v>44223</v>
      </c>
      <c r="J5" s="196">
        <v>41672</v>
      </c>
      <c r="K5" s="196">
        <v>47268</v>
      </c>
      <c r="L5" s="196">
        <v>44684</v>
      </c>
      <c r="M5" s="409">
        <v>34358</v>
      </c>
      <c r="N5" s="419">
        <v>8344313997</v>
      </c>
      <c r="O5" s="385" t="s">
        <v>1066</v>
      </c>
      <c r="P5" s="399">
        <v>27256169</v>
      </c>
      <c r="Q5" s="338">
        <v>161996</v>
      </c>
      <c r="R5" s="109" t="s">
        <v>930</v>
      </c>
      <c r="S5" s="133" t="str">
        <f>_xlfn.XLOOKUP(RecallTable[[#This Row],[EDIPI]],MOLTable[EDIPI],MOLTable[Category],"ERR")</f>
        <v>On Hand</v>
      </c>
      <c r="T5" s="133" t="str">
        <f>IF(_xlfn.XLOOKUP(RecallTable[[#This Row],[EDIPI]],MOLTable[EDIPI],MOLTable[Location],"ERR")="","",_xlfn.XLOOKUP(RecallTable[[#This Row],[EDIPI]],MOLTable[EDIPI],MOLTable[Location],"ERR"))</f>
        <v/>
      </c>
      <c r="U5" s="177" t="str">
        <f>IF(_xlfn.XLOOKUP(RecallTable[[#This Row],[EDIPI]],MOLTable[EDIPI],MOLTable[Start Date],"ERR")="","",_xlfn.XLOOKUP(RecallTable[[#This Row],[EDIPI]],MOLTable[EDIPI],MOLTable[Start Date],"ERR"))</f>
        <v/>
      </c>
      <c r="V5" s="177" t="str">
        <f>IF(_xlfn.XLOOKUP(RecallTable[[#This Row],[EDIPI]],MOLTable[EDIPI],MOLTable[Start Date],"ERR")="","",_xlfn.XLOOKUP(RecallTable[[#This Row],[EDIPI]],MOLTable[EDIPI],MOLTable[Start Date],"ERR"))</f>
        <v/>
      </c>
      <c r="W5" s="27" t="str">
        <f ca="1">IFERROR(_xlfn.DAYS(RecallTable[[#This Row],[Return Date]],TODAY()),"")</f>
        <v/>
      </c>
      <c r="X5" s="55"/>
      <c r="Y5" s="525"/>
      <c r="Z5" s="52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</row>
    <row r="6" spans="1:38" s="12" customFormat="1">
      <c r="A6" s="23" t="s">
        <v>182</v>
      </c>
      <c r="B6" s="21" t="s">
        <v>1097</v>
      </c>
      <c r="C6" s="23">
        <v>1520074788</v>
      </c>
      <c r="D6" s="23" t="s">
        <v>660</v>
      </c>
      <c r="E6" s="131">
        <v>1721</v>
      </c>
      <c r="F6" s="417" t="s">
        <v>108</v>
      </c>
      <c r="G6" s="478" t="s">
        <v>938</v>
      </c>
      <c r="H6" s="408">
        <v>45196</v>
      </c>
      <c r="I6" s="196">
        <v>40913</v>
      </c>
      <c r="J6" s="196">
        <v>41648</v>
      </c>
      <c r="K6" s="196">
        <v>46893</v>
      </c>
      <c r="L6" s="196">
        <v>44054</v>
      </c>
      <c r="M6" s="409">
        <v>30031</v>
      </c>
      <c r="N6" s="419">
        <v>4965621434</v>
      </c>
      <c r="O6" s="386" t="s">
        <v>1066</v>
      </c>
      <c r="P6" s="398">
        <v>32472959</v>
      </c>
      <c r="Q6" s="329">
        <v>151098</v>
      </c>
      <c r="R6" s="132" t="s">
        <v>932</v>
      </c>
      <c r="S6" s="133" t="str">
        <f>_xlfn.XLOOKUP(RecallTable[[#This Row],[EDIPI]],MOLTable[EDIPI],MOLTable[Category],"ERR")</f>
        <v>On Hand</v>
      </c>
      <c r="T6" s="133" t="str">
        <f>IF(_xlfn.XLOOKUP(RecallTable[[#This Row],[EDIPI]],MOLTable[EDIPI],MOLTable[Location],"ERR")="","",_xlfn.XLOOKUP(RecallTable[[#This Row],[EDIPI]],MOLTable[EDIPI],MOLTable[Location],"ERR"))</f>
        <v/>
      </c>
      <c r="U6" s="177" t="str">
        <f>IF(_xlfn.XLOOKUP(RecallTable[[#This Row],[EDIPI]],MOLTable[EDIPI],MOLTable[Start Date],"ERR")="","",_xlfn.XLOOKUP(RecallTable[[#This Row],[EDIPI]],MOLTable[EDIPI],MOLTable[Start Date],"ERR"))</f>
        <v/>
      </c>
      <c r="V6" s="177" t="str">
        <f>IF(_xlfn.XLOOKUP(RecallTable[[#This Row],[EDIPI]],MOLTable[EDIPI],MOLTable[Start Date],"ERR")="","",_xlfn.XLOOKUP(RecallTable[[#This Row],[EDIPI]],MOLTable[EDIPI],MOLTable[Start Date],"ERR"))</f>
        <v/>
      </c>
      <c r="W6" s="27" t="str">
        <f ca="1">IFERROR(_xlfn.DAYS(RecallTable[[#This Row],[Return Date]],TODAY()),"")</f>
        <v/>
      </c>
      <c r="X6" s="57"/>
      <c r="Y6" s="525"/>
      <c r="Z6" s="525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</row>
    <row r="7" spans="1:38">
      <c r="A7" s="23" t="s">
        <v>181</v>
      </c>
      <c r="B7" s="21" t="s">
        <v>1098</v>
      </c>
      <c r="C7" s="23">
        <v>1220711349</v>
      </c>
      <c r="D7" s="23" t="s">
        <v>660</v>
      </c>
      <c r="E7" s="131">
        <v>1721</v>
      </c>
      <c r="F7" s="417" t="s">
        <v>108</v>
      </c>
      <c r="G7" s="478" t="s">
        <v>934</v>
      </c>
      <c r="H7" s="408">
        <v>44444</v>
      </c>
      <c r="I7" s="196">
        <v>38335</v>
      </c>
      <c r="J7" s="196">
        <v>37725</v>
      </c>
      <c r="K7" s="196">
        <v>47451</v>
      </c>
      <c r="L7" s="196">
        <v>43510</v>
      </c>
      <c r="M7" s="409">
        <v>32429</v>
      </c>
      <c r="N7" s="419">
        <v>3637175286</v>
      </c>
      <c r="O7" s="386" t="s">
        <v>1076</v>
      </c>
      <c r="P7" s="398">
        <v>61875623</v>
      </c>
      <c r="Q7" s="329">
        <v>272524</v>
      </c>
      <c r="R7" s="132" t="s">
        <v>933</v>
      </c>
      <c r="S7" s="133" t="str">
        <f>_xlfn.XLOOKUP(RecallTable[[#This Row],[EDIPI]],MOLTable[EDIPI],MOLTable[Category],"ERR")</f>
        <v>On Hand</v>
      </c>
      <c r="T7" s="133" t="str">
        <f>IF(_xlfn.XLOOKUP(RecallTable[[#This Row],[EDIPI]],MOLTable[EDIPI],MOLTable[Location],"ERR")="","",_xlfn.XLOOKUP(RecallTable[[#This Row],[EDIPI]],MOLTable[EDIPI],MOLTable[Location],"ERR"))</f>
        <v/>
      </c>
      <c r="U7" s="177" t="str">
        <f>IF(_xlfn.XLOOKUP(RecallTable[[#This Row],[EDIPI]],MOLTable[EDIPI],MOLTable[Start Date],"ERR")="","",_xlfn.XLOOKUP(RecallTable[[#This Row],[EDIPI]],MOLTable[EDIPI],MOLTable[Start Date],"ERR"))</f>
        <v/>
      </c>
      <c r="V7" s="177" t="str">
        <f>IF(_xlfn.XLOOKUP(RecallTable[[#This Row],[EDIPI]],MOLTable[EDIPI],MOLTable[Start Date],"ERR")="","",_xlfn.XLOOKUP(RecallTable[[#This Row],[EDIPI]],MOLTable[EDIPI],MOLTable[Start Date],"ERR"))</f>
        <v/>
      </c>
      <c r="W7" s="27" t="str">
        <f ca="1">IFERROR(_xlfn.DAYS(RecallTable[[#This Row],[Return Date]],TODAY()),"")</f>
        <v/>
      </c>
      <c r="X7" s="57"/>
      <c r="Y7" s="525"/>
      <c r="Z7" s="525"/>
    </row>
    <row r="8" spans="1:38">
      <c r="A8" s="23" t="s">
        <v>181</v>
      </c>
      <c r="B8" s="21" t="s">
        <v>1099</v>
      </c>
      <c r="C8" s="23">
        <v>1534568011</v>
      </c>
      <c r="D8" s="23" t="s">
        <v>660</v>
      </c>
      <c r="E8" s="131">
        <v>1721</v>
      </c>
      <c r="F8" s="417" t="s">
        <v>108</v>
      </c>
      <c r="G8" s="478" t="s">
        <v>938</v>
      </c>
      <c r="H8" s="408">
        <v>44647</v>
      </c>
      <c r="I8" s="196">
        <v>40357</v>
      </c>
      <c r="J8" s="196">
        <v>42669</v>
      </c>
      <c r="K8" s="196">
        <v>46497</v>
      </c>
      <c r="L8" s="196">
        <v>43740</v>
      </c>
      <c r="M8" s="409">
        <v>29237</v>
      </c>
      <c r="N8" s="419">
        <v>3459966525</v>
      </c>
      <c r="O8" s="385" t="s">
        <v>1077</v>
      </c>
      <c r="P8" s="398">
        <v>43900302</v>
      </c>
      <c r="Q8" s="329">
        <v>264593</v>
      </c>
      <c r="R8" s="109" t="s">
        <v>930</v>
      </c>
      <c r="S8" s="133" t="str">
        <f>_xlfn.XLOOKUP(RecallTable[[#This Row],[EDIPI]],MOLTable[EDIPI],MOLTable[Category],"ERR")</f>
        <v>On Hand</v>
      </c>
      <c r="T8" s="133" t="str">
        <f>IF(_xlfn.XLOOKUP(RecallTable[[#This Row],[EDIPI]],MOLTable[EDIPI],MOLTable[Location],"ERR")="","",_xlfn.XLOOKUP(RecallTable[[#This Row],[EDIPI]],MOLTable[EDIPI],MOLTable[Location],"ERR"))</f>
        <v/>
      </c>
      <c r="U8" s="177" t="str">
        <f>IF(_xlfn.XLOOKUP(RecallTable[[#This Row],[EDIPI]],MOLTable[EDIPI],MOLTable[Start Date],"ERR")="","",_xlfn.XLOOKUP(RecallTable[[#This Row],[EDIPI]],MOLTable[EDIPI],MOLTable[Start Date],"ERR"))</f>
        <v/>
      </c>
      <c r="V8" s="177" t="str">
        <f>IF(_xlfn.XLOOKUP(RecallTable[[#This Row],[EDIPI]],MOLTable[EDIPI],MOLTable[Start Date],"ERR")="","",_xlfn.XLOOKUP(RecallTable[[#This Row],[EDIPI]],MOLTable[EDIPI],MOLTable[Start Date],"ERR"))</f>
        <v/>
      </c>
      <c r="W8" s="27" t="str">
        <f ca="1">IFERROR(_xlfn.DAYS(RecallTable[[#This Row],[Return Date]],TODAY()),"")</f>
        <v/>
      </c>
      <c r="X8" s="57"/>
      <c r="Y8" s="525"/>
      <c r="Z8" s="525"/>
    </row>
    <row r="9" spans="1:38" s="12" customFormat="1">
      <c r="A9" s="23" t="s">
        <v>181</v>
      </c>
      <c r="B9" s="9" t="s">
        <v>1100</v>
      </c>
      <c r="C9" s="23">
        <v>1418134206</v>
      </c>
      <c r="D9" s="23" t="s">
        <v>660</v>
      </c>
      <c r="E9" s="131">
        <v>1700</v>
      </c>
      <c r="F9" s="417" t="s">
        <v>108</v>
      </c>
      <c r="G9" s="478" t="s">
        <v>934</v>
      </c>
      <c r="H9" s="408">
        <v>44721</v>
      </c>
      <c r="I9" s="196">
        <v>42595</v>
      </c>
      <c r="J9" s="196">
        <v>38888</v>
      </c>
      <c r="K9" s="196">
        <v>46533</v>
      </c>
      <c r="L9" s="196">
        <v>45275</v>
      </c>
      <c r="M9" s="409">
        <v>32596</v>
      </c>
      <c r="N9" s="419">
        <v>5641967756</v>
      </c>
      <c r="O9" s="385" t="s">
        <v>1069</v>
      </c>
      <c r="P9" s="399">
        <v>50288621</v>
      </c>
      <c r="Q9" s="338">
        <v>172690</v>
      </c>
      <c r="R9" s="109" t="s">
        <v>932</v>
      </c>
      <c r="S9" s="133" t="str">
        <f>_xlfn.XLOOKUP(RecallTable[[#This Row],[EDIPI]],MOLTable[EDIPI],MOLTable[Category],"ERR")</f>
        <v>On Hand</v>
      </c>
      <c r="T9" s="133" t="str">
        <f>IF(_xlfn.XLOOKUP(RecallTable[[#This Row],[EDIPI]],MOLTable[EDIPI],MOLTable[Location],"ERR")="","",_xlfn.XLOOKUP(RecallTable[[#This Row],[EDIPI]],MOLTable[EDIPI],MOLTable[Location],"ERR"))</f>
        <v/>
      </c>
      <c r="U9" s="177" t="str">
        <f>IF(_xlfn.XLOOKUP(RecallTable[[#This Row],[EDIPI]],MOLTable[EDIPI],MOLTable[Start Date],"ERR")="","",_xlfn.XLOOKUP(RecallTable[[#This Row],[EDIPI]],MOLTable[EDIPI],MOLTable[Start Date],"ERR"))</f>
        <v/>
      </c>
      <c r="V9" s="177" t="str">
        <f>IF(_xlfn.XLOOKUP(RecallTable[[#This Row],[EDIPI]],MOLTable[EDIPI],MOLTable[Start Date],"ERR")="","",_xlfn.XLOOKUP(RecallTable[[#This Row],[EDIPI]],MOLTable[EDIPI],MOLTable[Start Date],"ERR"))</f>
        <v/>
      </c>
      <c r="W9" s="27" t="str">
        <f ca="1">IFERROR(_xlfn.DAYS(RecallTable[[#This Row],[Return Date]],TODAY()),"")</f>
        <v/>
      </c>
      <c r="X9" s="57"/>
      <c r="Y9" s="525"/>
      <c r="Z9" s="525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</row>
    <row r="10" spans="1:38" s="12" customFormat="1">
      <c r="A10" s="23" t="s">
        <v>180</v>
      </c>
      <c r="B10" s="191" t="s">
        <v>1101</v>
      </c>
      <c r="C10" s="23">
        <v>1007476454</v>
      </c>
      <c r="D10" s="23" t="s">
        <v>660</v>
      </c>
      <c r="E10" s="131">
        <v>1721</v>
      </c>
      <c r="F10" s="417" t="s">
        <v>108</v>
      </c>
      <c r="G10" s="478" t="s">
        <v>938</v>
      </c>
      <c r="H10" s="408">
        <v>44857</v>
      </c>
      <c r="I10" s="196">
        <v>43782</v>
      </c>
      <c r="J10" s="196">
        <v>43235</v>
      </c>
      <c r="K10" s="196">
        <v>46910</v>
      </c>
      <c r="L10" s="196">
        <v>44428</v>
      </c>
      <c r="M10" s="409">
        <v>31194</v>
      </c>
      <c r="N10" s="419">
        <v>6800773391</v>
      </c>
      <c r="O10" s="385" t="s">
        <v>1071</v>
      </c>
      <c r="P10" s="399">
        <v>14013344</v>
      </c>
      <c r="Q10" s="338">
        <v>452691</v>
      </c>
      <c r="R10" s="109" t="s">
        <v>931</v>
      </c>
      <c r="S10" s="133" t="str">
        <f>_xlfn.XLOOKUP(RecallTable[[#This Row],[EDIPI]],MOLTable[EDIPI],MOLTable[Category],"ERR")</f>
        <v>On Hand</v>
      </c>
      <c r="T10" s="133" t="str">
        <f>IF(_xlfn.XLOOKUP(RecallTable[[#This Row],[EDIPI]],MOLTable[EDIPI],MOLTable[Location],"ERR")="","",_xlfn.XLOOKUP(RecallTable[[#This Row],[EDIPI]],MOLTable[EDIPI],MOLTable[Location],"ERR"))</f>
        <v/>
      </c>
      <c r="U10" s="177" t="str">
        <f>IF(_xlfn.XLOOKUP(RecallTable[[#This Row],[EDIPI]],MOLTable[EDIPI],MOLTable[Start Date],"ERR")="","",_xlfn.XLOOKUP(RecallTable[[#This Row],[EDIPI]],MOLTable[EDIPI],MOLTable[Start Date],"ERR"))</f>
        <v/>
      </c>
      <c r="V10" s="177" t="str">
        <f>IF(_xlfn.XLOOKUP(RecallTable[[#This Row],[EDIPI]],MOLTable[EDIPI],MOLTable[Start Date],"ERR")="","",_xlfn.XLOOKUP(RecallTable[[#This Row],[EDIPI]],MOLTable[EDIPI],MOLTable[Start Date],"ERR"))</f>
        <v/>
      </c>
      <c r="W10" s="27" t="str">
        <f ca="1">IFERROR(_xlfn.DAYS(RecallTable[[#This Row],[Return Date]],TODAY()),"")</f>
        <v/>
      </c>
      <c r="X10" s="57"/>
      <c r="Y10" s="525"/>
      <c r="Z10" s="525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</row>
    <row r="11" spans="1:38">
      <c r="A11" s="23" t="s">
        <v>180</v>
      </c>
      <c r="B11" s="21" t="s">
        <v>1102</v>
      </c>
      <c r="C11" s="23">
        <v>1245991266</v>
      </c>
      <c r="D11" s="23" t="s">
        <v>660</v>
      </c>
      <c r="E11" s="131">
        <v>1721</v>
      </c>
      <c r="F11" s="417" t="s">
        <v>108</v>
      </c>
      <c r="G11" s="478" t="s">
        <v>934</v>
      </c>
      <c r="H11" s="408">
        <v>45212</v>
      </c>
      <c r="I11" s="196">
        <v>44110</v>
      </c>
      <c r="J11" s="196">
        <v>40231</v>
      </c>
      <c r="K11" s="196">
        <v>45779</v>
      </c>
      <c r="L11" s="196">
        <v>44019</v>
      </c>
      <c r="M11" s="409">
        <v>34084</v>
      </c>
      <c r="N11" s="419">
        <v>3126389965</v>
      </c>
      <c r="O11" s="387" t="s">
        <v>1175</v>
      </c>
      <c r="P11" s="398">
        <v>25093252</v>
      </c>
      <c r="Q11" s="329">
        <v>446059</v>
      </c>
      <c r="R11" s="110" t="s">
        <v>932</v>
      </c>
      <c r="S11" s="133" t="str">
        <f>_xlfn.XLOOKUP(RecallTable[[#This Row],[EDIPI]],MOLTable[EDIPI],MOLTable[Category],"ERR")</f>
        <v>TAD</v>
      </c>
      <c r="T11" s="133" t="str">
        <f>IF(_xlfn.XLOOKUP(RecallTable[[#This Row],[EDIPI]],MOLTable[EDIPI],MOLTable[Location],"ERR")="","",_xlfn.XLOOKUP(RecallTable[[#This Row],[EDIPI]],MOLTable[EDIPI],MOLTable[Location],"ERR"))</f>
        <v>CTC</v>
      </c>
      <c r="U11" s="177">
        <f>IF(_xlfn.XLOOKUP(RecallTable[[#This Row],[EDIPI]],MOLTable[EDIPI],MOLTable[Start Date],"ERR")="","",_xlfn.XLOOKUP(RecallTable[[#This Row],[EDIPI]],MOLTable[EDIPI],MOLTable[Start Date],"ERR"))</f>
        <v>45383</v>
      </c>
      <c r="V11" s="177">
        <f>IF(_xlfn.XLOOKUP(RecallTable[[#This Row],[EDIPI]],MOLTable[EDIPI],MOLTable[Start Date],"ERR")="","",_xlfn.XLOOKUP(RecallTable[[#This Row],[EDIPI]],MOLTable[EDIPI],MOLTable[Start Date],"ERR"))</f>
        <v>45383</v>
      </c>
      <c r="W11" s="27">
        <f ca="1">IFERROR(_xlfn.DAYS(RecallTable[[#This Row],[Return Date]],TODAY()),"")</f>
        <v>-15</v>
      </c>
      <c r="X11" s="57"/>
      <c r="Y11" s="525"/>
      <c r="Z11" s="525"/>
    </row>
    <row r="12" spans="1:38" s="12" customFormat="1">
      <c r="A12" s="23" t="s">
        <v>180</v>
      </c>
      <c r="B12" s="21" t="s">
        <v>1103</v>
      </c>
      <c r="C12" s="23">
        <v>1019647482</v>
      </c>
      <c r="D12" s="23" t="s">
        <v>660</v>
      </c>
      <c r="E12" s="131">
        <v>1721</v>
      </c>
      <c r="F12" s="417" t="s">
        <v>108</v>
      </c>
      <c r="G12" s="478" t="s">
        <v>938</v>
      </c>
      <c r="H12" s="408">
        <v>44750</v>
      </c>
      <c r="I12" s="196">
        <v>39805</v>
      </c>
      <c r="J12" s="196">
        <v>37027</v>
      </c>
      <c r="K12" s="196">
        <v>46175</v>
      </c>
      <c r="L12" s="196">
        <v>43840</v>
      </c>
      <c r="M12" s="409">
        <v>36493</v>
      </c>
      <c r="N12" s="420">
        <v>5521005758</v>
      </c>
      <c r="O12" s="388" t="s">
        <v>1079</v>
      </c>
      <c r="P12" s="400">
        <v>81919369</v>
      </c>
      <c r="Q12" s="330">
        <v>386186</v>
      </c>
      <c r="R12" s="109" t="s">
        <v>936</v>
      </c>
      <c r="S12" s="133" t="str">
        <f>_xlfn.XLOOKUP(RecallTable[[#This Row],[EDIPI]],MOLTable[EDIPI],MOLTable[Category],"ERR")</f>
        <v>TAD</v>
      </c>
      <c r="T12" s="133" t="str">
        <f>IF(_xlfn.XLOOKUP(RecallTable[[#This Row],[EDIPI]],MOLTable[EDIPI],MOLTable[Location],"ERR")="","",_xlfn.XLOOKUP(RecallTable[[#This Row],[EDIPI]],MOLTable[EDIPI],MOLTable[Location],"ERR"))</f>
        <v>CTC</v>
      </c>
      <c r="U12" s="177">
        <f>IF(_xlfn.XLOOKUP(RecallTable[[#This Row],[EDIPI]],MOLTable[EDIPI],MOLTable[Start Date],"ERR")="","",_xlfn.XLOOKUP(RecallTable[[#This Row],[EDIPI]],MOLTable[EDIPI],MOLTable[Start Date],"ERR"))</f>
        <v>45383</v>
      </c>
      <c r="V12" s="177">
        <f>IF(_xlfn.XLOOKUP(RecallTable[[#This Row],[EDIPI]],MOLTable[EDIPI],MOLTable[Start Date],"ERR")="","",_xlfn.XLOOKUP(RecallTable[[#This Row],[EDIPI]],MOLTable[EDIPI],MOLTable[Start Date],"ERR"))</f>
        <v>45383</v>
      </c>
      <c r="W12" s="27">
        <f ca="1">IFERROR(_xlfn.DAYS(RecallTable[[#This Row],[Return Date]],TODAY()),"")</f>
        <v>-15</v>
      </c>
      <c r="X12" s="57"/>
      <c r="Y12" s="525"/>
      <c r="Z12" s="525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</row>
    <row r="13" spans="1:38" s="12" customFormat="1">
      <c r="A13" s="23" t="s">
        <v>180</v>
      </c>
      <c r="B13" s="21" t="s">
        <v>1104</v>
      </c>
      <c r="C13" s="23">
        <v>1216965036</v>
      </c>
      <c r="D13" s="23" t="s">
        <v>660</v>
      </c>
      <c r="E13" s="131">
        <v>1721</v>
      </c>
      <c r="F13" s="417" t="s">
        <v>108</v>
      </c>
      <c r="G13" s="478" t="s">
        <v>934</v>
      </c>
      <c r="H13" s="408">
        <v>44971</v>
      </c>
      <c r="I13" s="196">
        <v>40827</v>
      </c>
      <c r="J13" s="196">
        <v>36986</v>
      </c>
      <c r="K13" s="196">
        <v>47275</v>
      </c>
      <c r="L13" s="196">
        <v>45280</v>
      </c>
      <c r="M13" s="409">
        <v>34539</v>
      </c>
      <c r="N13" s="419">
        <v>6514020124</v>
      </c>
      <c r="O13" s="385" t="s">
        <v>1074</v>
      </c>
      <c r="P13" s="401">
        <v>40940367</v>
      </c>
      <c r="Q13" s="340">
        <v>158844</v>
      </c>
      <c r="R13" s="109" t="s">
        <v>930</v>
      </c>
      <c r="S13" s="133" t="str">
        <f>_xlfn.XLOOKUP(RecallTable[[#This Row],[EDIPI]],MOLTable[EDIPI],MOLTable[Category],"ERR")</f>
        <v>On Hand</v>
      </c>
      <c r="T13" s="133" t="str">
        <f>IF(_xlfn.XLOOKUP(RecallTable[[#This Row],[EDIPI]],MOLTable[EDIPI],MOLTable[Location],"ERR")="","",_xlfn.XLOOKUP(RecallTable[[#This Row],[EDIPI]],MOLTable[EDIPI],MOLTable[Location],"ERR"))</f>
        <v/>
      </c>
      <c r="U13" s="177" t="str">
        <f>IF(_xlfn.XLOOKUP(RecallTable[[#This Row],[EDIPI]],MOLTable[EDIPI],MOLTable[Start Date],"ERR")="","",_xlfn.XLOOKUP(RecallTable[[#This Row],[EDIPI]],MOLTable[EDIPI],MOLTable[Start Date],"ERR"))</f>
        <v/>
      </c>
      <c r="V13" s="177" t="str">
        <f>IF(_xlfn.XLOOKUP(RecallTable[[#This Row],[EDIPI]],MOLTable[EDIPI],MOLTable[Start Date],"ERR")="","",_xlfn.XLOOKUP(RecallTable[[#This Row],[EDIPI]],MOLTable[EDIPI],MOLTable[Start Date],"ERR"))</f>
        <v/>
      </c>
      <c r="W13" s="27" t="str">
        <f ca="1">IFERROR(_xlfn.DAYS(RecallTable[[#This Row],[Return Date]],TODAY()),"")</f>
        <v/>
      </c>
      <c r="X13" s="57"/>
      <c r="Y13" s="525"/>
      <c r="Z13" s="525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</row>
    <row r="14" spans="1:38" s="12" customFormat="1">
      <c r="A14" s="23" t="s">
        <v>180</v>
      </c>
      <c r="B14" s="278" t="s">
        <v>1105</v>
      </c>
      <c r="C14" s="23">
        <v>1014426852</v>
      </c>
      <c r="D14" s="23" t="s">
        <v>660</v>
      </c>
      <c r="E14" s="131">
        <v>1721</v>
      </c>
      <c r="F14" s="417" t="s">
        <v>108</v>
      </c>
      <c r="G14" s="478" t="s">
        <v>938</v>
      </c>
      <c r="H14" s="408">
        <v>44670</v>
      </c>
      <c r="I14" s="196">
        <v>43368</v>
      </c>
      <c r="J14" s="196">
        <v>38896</v>
      </c>
      <c r="K14" s="196">
        <v>46680</v>
      </c>
      <c r="L14" s="196">
        <v>44175</v>
      </c>
      <c r="M14" s="409">
        <v>29283</v>
      </c>
      <c r="N14" s="419">
        <v>1511484857</v>
      </c>
      <c r="O14" s="385" t="s">
        <v>1067</v>
      </c>
      <c r="P14" s="399">
        <v>52819415</v>
      </c>
      <c r="Q14" s="338">
        <v>337118</v>
      </c>
      <c r="R14" s="109" t="s">
        <v>937</v>
      </c>
      <c r="S14" s="133" t="str">
        <f>_xlfn.XLOOKUP(RecallTable[[#This Row],[EDIPI]],MOLTable[EDIPI],MOLTable[Category],"ERR")</f>
        <v>On Hand</v>
      </c>
      <c r="T14" s="133" t="str">
        <f>IF(_xlfn.XLOOKUP(RecallTable[[#This Row],[EDIPI]],MOLTable[EDIPI],MOLTable[Location],"ERR")="","",_xlfn.XLOOKUP(RecallTable[[#This Row],[EDIPI]],MOLTable[EDIPI],MOLTable[Location],"ERR"))</f>
        <v/>
      </c>
      <c r="U14" s="177" t="str">
        <f>IF(_xlfn.XLOOKUP(RecallTable[[#This Row],[EDIPI]],MOLTable[EDIPI],MOLTable[Start Date],"ERR")="","",_xlfn.XLOOKUP(RecallTable[[#This Row],[EDIPI]],MOLTable[EDIPI],MOLTable[Start Date],"ERR"))</f>
        <v/>
      </c>
      <c r="V14" s="177" t="str">
        <f>IF(_xlfn.XLOOKUP(RecallTable[[#This Row],[EDIPI]],MOLTable[EDIPI],MOLTable[Start Date],"ERR")="","",_xlfn.XLOOKUP(RecallTable[[#This Row],[EDIPI]],MOLTable[EDIPI],MOLTable[Start Date],"ERR"))</f>
        <v/>
      </c>
      <c r="W14" s="27" t="str">
        <f ca="1">IFERROR(_xlfn.DAYS(RecallTable[[#This Row],[Return Date]],TODAY()),"")</f>
        <v/>
      </c>
      <c r="X14" s="57"/>
      <c r="Y14" s="525"/>
      <c r="Z14" s="525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</row>
    <row r="15" spans="1:38" s="12" customFormat="1">
      <c r="A15" s="23" t="s">
        <v>180</v>
      </c>
      <c r="B15" s="9" t="s">
        <v>1106</v>
      </c>
      <c r="C15" s="23">
        <v>1342870108</v>
      </c>
      <c r="D15" s="23" t="s">
        <v>660</v>
      </c>
      <c r="E15" s="131">
        <v>1721</v>
      </c>
      <c r="F15" s="417" t="s">
        <v>108</v>
      </c>
      <c r="G15" s="478" t="s">
        <v>934</v>
      </c>
      <c r="H15" s="408">
        <v>45141</v>
      </c>
      <c r="I15" s="196">
        <v>44701</v>
      </c>
      <c r="J15" s="196">
        <v>43611</v>
      </c>
      <c r="K15" s="196">
        <v>46665</v>
      </c>
      <c r="L15" s="196">
        <v>44368</v>
      </c>
      <c r="M15" s="409">
        <v>29260</v>
      </c>
      <c r="N15" s="421">
        <v>5779716204</v>
      </c>
      <c r="O15" s="389" t="s">
        <v>1176</v>
      </c>
      <c r="P15" s="400">
        <v>68297681</v>
      </c>
      <c r="Q15" s="330">
        <v>630274</v>
      </c>
      <c r="R15" s="109" t="s">
        <v>930</v>
      </c>
      <c r="S15" s="133" t="str">
        <f>_xlfn.XLOOKUP(RecallTable[[#This Row],[EDIPI]],MOLTable[EDIPI],MOLTable[Category],"ERR")</f>
        <v>On Hand</v>
      </c>
      <c r="T15" s="133" t="str">
        <f>IF(_xlfn.XLOOKUP(RecallTable[[#This Row],[EDIPI]],MOLTable[EDIPI],MOLTable[Location],"ERR")="","",_xlfn.XLOOKUP(RecallTable[[#This Row],[EDIPI]],MOLTable[EDIPI],MOLTable[Location],"ERR"))</f>
        <v/>
      </c>
      <c r="U15" s="177" t="str">
        <f>IF(_xlfn.XLOOKUP(RecallTable[[#This Row],[EDIPI]],MOLTable[EDIPI],MOLTable[Start Date],"ERR")="","",_xlfn.XLOOKUP(RecallTable[[#This Row],[EDIPI]],MOLTable[EDIPI],MOLTable[Start Date],"ERR"))</f>
        <v/>
      </c>
      <c r="V15" s="177" t="str">
        <f>IF(_xlfn.XLOOKUP(RecallTable[[#This Row],[EDIPI]],MOLTable[EDIPI],MOLTable[Start Date],"ERR")="","",_xlfn.XLOOKUP(RecallTable[[#This Row],[EDIPI]],MOLTable[EDIPI],MOLTable[Start Date],"ERR"))</f>
        <v/>
      </c>
      <c r="W15" s="27" t="str">
        <f ca="1">IFERROR(_xlfn.DAYS(RecallTable[[#This Row],[Return Date]],TODAY()),"")</f>
        <v/>
      </c>
      <c r="X15" s="57"/>
      <c r="Y15" s="525"/>
      <c r="Z15" s="525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</row>
    <row r="16" spans="1:38" s="12" customFormat="1">
      <c r="A16" s="23" t="s">
        <v>180</v>
      </c>
      <c r="B16" s="191" t="s">
        <v>1107</v>
      </c>
      <c r="C16" s="23">
        <v>1563539788</v>
      </c>
      <c r="D16" s="23" t="s">
        <v>660</v>
      </c>
      <c r="E16" s="131">
        <v>1721</v>
      </c>
      <c r="F16" s="417" t="s">
        <v>108</v>
      </c>
      <c r="G16" s="478" t="s">
        <v>934</v>
      </c>
      <c r="H16" s="408">
        <v>44608</v>
      </c>
      <c r="I16" s="196">
        <v>42317</v>
      </c>
      <c r="J16" s="196">
        <v>40949</v>
      </c>
      <c r="K16" s="196">
        <v>46209</v>
      </c>
      <c r="L16" s="196">
        <v>44128</v>
      </c>
      <c r="M16" s="409">
        <v>32410</v>
      </c>
      <c r="N16" s="419">
        <v>2395916903</v>
      </c>
      <c r="O16" s="385" t="s">
        <v>1075</v>
      </c>
      <c r="P16" s="399">
        <v>51547190</v>
      </c>
      <c r="Q16" s="338">
        <v>511164</v>
      </c>
      <c r="R16" s="109" t="s">
        <v>932</v>
      </c>
      <c r="S16" s="133" t="str">
        <f>_xlfn.XLOOKUP(RecallTable[[#This Row],[EDIPI]],MOLTable[EDIPI],MOLTable[Category],"ERR")</f>
        <v>On Hand</v>
      </c>
      <c r="T16" s="133" t="str">
        <f>IF(_xlfn.XLOOKUP(RecallTable[[#This Row],[EDIPI]],MOLTable[EDIPI],MOLTable[Location],"ERR")="","",_xlfn.XLOOKUP(RecallTable[[#This Row],[EDIPI]],MOLTable[EDIPI],MOLTable[Location],"ERR"))</f>
        <v/>
      </c>
      <c r="U16" s="177" t="str">
        <f>IF(_xlfn.XLOOKUP(RecallTable[[#This Row],[EDIPI]],MOLTable[EDIPI],MOLTable[Start Date],"ERR")="","",_xlfn.XLOOKUP(RecallTable[[#This Row],[EDIPI]],MOLTable[EDIPI],MOLTable[Start Date],"ERR"))</f>
        <v/>
      </c>
      <c r="V16" s="177" t="str">
        <f>IF(_xlfn.XLOOKUP(RecallTable[[#This Row],[EDIPI]],MOLTable[EDIPI],MOLTable[Start Date],"ERR")="","",_xlfn.XLOOKUP(RecallTable[[#This Row],[EDIPI]],MOLTable[EDIPI],MOLTable[Start Date],"ERR"))</f>
        <v/>
      </c>
      <c r="W16" s="27" t="str">
        <f ca="1">IFERROR(_xlfn.DAYS(RecallTable[[#This Row],[Return Date]],TODAY()),"")</f>
        <v/>
      </c>
      <c r="X16" s="57"/>
      <c r="Y16" s="525"/>
      <c r="Z16" s="525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</row>
    <row r="17" spans="1:38">
      <c r="A17" s="23" t="s">
        <v>179</v>
      </c>
      <c r="B17" s="21" t="s">
        <v>1108</v>
      </c>
      <c r="C17" s="23">
        <v>1243619874</v>
      </c>
      <c r="D17" s="23" t="s">
        <v>660</v>
      </c>
      <c r="E17" s="131">
        <v>1721</v>
      </c>
      <c r="F17" s="417" t="s">
        <v>108</v>
      </c>
      <c r="G17" s="478" t="s">
        <v>938</v>
      </c>
      <c r="H17" s="408">
        <v>44364</v>
      </c>
      <c r="I17" s="196">
        <v>39330</v>
      </c>
      <c r="J17" s="196">
        <v>37470</v>
      </c>
      <c r="K17" s="196">
        <v>46546</v>
      </c>
      <c r="L17" s="196">
        <v>44857</v>
      </c>
      <c r="M17" s="409">
        <v>29227</v>
      </c>
      <c r="N17" s="421">
        <v>9319018696</v>
      </c>
      <c r="O17" s="390" t="s">
        <v>1076</v>
      </c>
      <c r="P17" s="400">
        <v>22384253</v>
      </c>
      <c r="Q17" s="330">
        <v>568420</v>
      </c>
      <c r="R17" s="132" t="s">
        <v>932</v>
      </c>
      <c r="S17" s="133" t="str">
        <f>_xlfn.XLOOKUP(RecallTable[[#This Row],[EDIPI]],MOLTable[EDIPI],MOLTable[Category],"ERR")</f>
        <v>On Hand</v>
      </c>
      <c r="T17" s="133" t="str">
        <f>IF(_xlfn.XLOOKUP(RecallTable[[#This Row],[EDIPI]],MOLTable[EDIPI],MOLTable[Location],"ERR")="","",_xlfn.XLOOKUP(RecallTable[[#This Row],[EDIPI]],MOLTable[EDIPI],MOLTable[Location],"ERR"))</f>
        <v/>
      </c>
      <c r="U17" s="177" t="str">
        <f>IF(_xlfn.XLOOKUP(RecallTable[[#This Row],[EDIPI]],MOLTable[EDIPI],MOLTable[Start Date],"ERR")="","",_xlfn.XLOOKUP(RecallTable[[#This Row],[EDIPI]],MOLTable[EDIPI],MOLTable[Start Date],"ERR"))</f>
        <v/>
      </c>
      <c r="V17" s="177" t="str">
        <f>IF(_xlfn.XLOOKUP(RecallTable[[#This Row],[EDIPI]],MOLTable[EDIPI],MOLTable[Start Date],"ERR")="","",_xlfn.XLOOKUP(RecallTable[[#This Row],[EDIPI]],MOLTable[EDIPI],MOLTable[Start Date],"ERR"))</f>
        <v/>
      </c>
      <c r="W17" s="27" t="str">
        <f ca="1">IFERROR(_xlfn.DAYS(RecallTable[[#This Row],[Return Date]],TODAY()),"")</f>
        <v/>
      </c>
      <c r="X17" s="57"/>
      <c r="Y17" s="525"/>
      <c r="Z17" s="525"/>
    </row>
    <row r="18" spans="1:38" s="12" customFormat="1">
      <c r="A18" s="23" t="s">
        <v>188</v>
      </c>
      <c r="B18" s="21" t="s">
        <v>1109</v>
      </c>
      <c r="C18" s="23">
        <v>1204889319</v>
      </c>
      <c r="D18" s="23" t="s">
        <v>862</v>
      </c>
      <c r="E18" s="131">
        <v>1702</v>
      </c>
      <c r="F18" s="417" t="s">
        <v>209</v>
      </c>
      <c r="G18" s="478"/>
      <c r="H18" s="408">
        <v>45251</v>
      </c>
      <c r="I18" s="196">
        <v>37019</v>
      </c>
      <c r="J18" s="196">
        <v>38117</v>
      </c>
      <c r="K18" s="196">
        <v>45800</v>
      </c>
      <c r="L18" s="196">
        <v>44864</v>
      </c>
      <c r="M18" s="409">
        <v>34292</v>
      </c>
      <c r="N18" s="419">
        <v>9559450232</v>
      </c>
      <c r="O18" s="385" t="s">
        <v>1066</v>
      </c>
      <c r="P18" s="398">
        <v>39419124</v>
      </c>
      <c r="Q18" s="329">
        <v>419364</v>
      </c>
      <c r="R18" s="109" t="s">
        <v>932</v>
      </c>
      <c r="S18" s="133" t="str">
        <f>_xlfn.XLOOKUP(RecallTable[[#This Row],[EDIPI]],MOLTable[EDIPI],MOLTable[Category],"ERR")</f>
        <v>On Hand</v>
      </c>
      <c r="T18" s="133" t="str">
        <f>IF(_xlfn.XLOOKUP(RecallTable[[#This Row],[EDIPI]],MOLTable[EDIPI],MOLTable[Location],"ERR")="","",_xlfn.XLOOKUP(RecallTable[[#This Row],[EDIPI]],MOLTable[EDIPI],MOLTable[Location],"ERR"))</f>
        <v/>
      </c>
      <c r="U18" s="177" t="str">
        <f>IF(_xlfn.XLOOKUP(RecallTable[[#This Row],[EDIPI]],MOLTable[EDIPI],MOLTable[Start Date],"ERR")="","",_xlfn.XLOOKUP(RecallTable[[#This Row],[EDIPI]],MOLTable[EDIPI],MOLTable[Start Date],"ERR"))</f>
        <v/>
      </c>
      <c r="V18" s="177" t="str">
        <f>IF(_xlfn.XLOOKUP(RecallTable[[#This Row],[EDIPI]],MOLTable[EDIPI],MOLTable[Start Date],"ERR")="","",_xlfn.XLOOKUP(RecallTable[[#This Row],[EDIPI]],MOLTable[EDIPI],MOLTable[Start Date],"ERR"))</f>
        <v/>
      </c>
      <c r="W18" s="27" t="str">
        <f ca="1">IFERROR(_xlfn.DAYS(RecallTable[[#This Row],[Return Date]],TODAY()),"")</f>
        <v/>
      </c>
      <c r="X18" s="57"/>
      <c r="Y18" s="525"/>
      <c r="Z18" s="525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</row>
    <row r="19" spans="1:38" s="12" customFormat="1">
      <c r="A19" s="23" t="s">
        <v>183</v>
      </c>
      <c r="B19" s="191" t="s">
        <v>1110</v>
      </c>
      <c r="C19" s="485">
        <v>1598039312</v>
      </c>
      <c r="D19" s="23" t="s">
        <v>660</v>
      </c>
      <c r="E19" s="131">
        <v>1721</v>
      </c>
      <c r="F19" s="417" t="s">
        <v>209</v>
      </c>
      <c r="G19" s="487"/>
      <c r="H19" s="408">
        <v>45246</v>
      </c>
      <c r="I19" s="290">
        <v>41638</v>
      </c>
      <c r="J19" s="290">
        <v>44791</v>
      </c>
      <c r="K19" s="196">
        <v>47348</v>
      </c>
      <c r="L19" s="196">
        <v>43652</v>
      </c>
      <c r="M19" s="412">
        <v>29322</v>
      </c>
      <c r="N19" s="419">
        <v>2884651908</v>
      </c>
      <c r="O19" s="385" t="s">
        <v>1066</v>
      </c>
      <c r="P19" s="442">
        <v>85542043</v>
      </c>
      <c r="Q19" s="488">
        <v>160642</v>
      </c>
      <c r="R19" s="109" t="s">
        <v>932</v>
      </c>
      <c r="S19" s="133" t="str">
        <f>_xlfn.XLOOKUP(RecallTable[[#This Row],[EDIPI]],MOLTable[EDIPI],MOLTable[Category],"ERR")</f>
        <v>On Hand</v>
      </c>
      <c r="T19" s="133" t="str">
        <f>IF(_xlfn.XLOOKUP(RecallTable[[#This Row],[EDIPI]],MOLTable[EDIPI],MOLTable[Location],"ERR")="","",_xlfn.XLOOKUP(RecallTable[[#This Row],[EDIPI]],MOLTable[EDIPI],MOLTable[Location],"ERR"))</f>
        <v/>
      </c>
      <c r="U19" s="177" t="str">
        <f>IF(_xlfn.XLOOKUP(RecallTable[[#This Row],[EDIPI]],MOLTable[EDIPI],MOLTable[Start Date],"ERR")="","",_xlfn.XLOOKUP(RecallTable[[#This Row],[EDIPI]],MOLTable[EDIPI],MOLTable[Start Date],"ERR"))</f>
        <v/>
      </c>
      <c r="V19" s="177" t="str">
        <f>IF(_xlfn.XLOOKUP(RecallTable[[#This Row],[EDIPI]],MOLTable[EDIPI],MOLTable[Start Date],"ERR")="","",_xlfn.XLOOKUP(RecallTable[[#This Row],[EDIPI]],MOLTable[EDIPI],MOLTable[Start Date],"ERR"))</f>
        <v/>
      </c>
      <c r="W19" s="29" t="str">
        <f ca="1">IFERROR(_xlfn.DAYS(RecallTable[[#This Row],[Return Date]],TODAY()),"")</f>
        <v/>
      </c>
      <c r="X19" s="57"/>
      <c r="Y19" s="525"/>
      <c r="Z19" s="525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</row>
    <row r="20" spans="1:38">
      <c r="A20" s="23" t="s">
        <v>182</v>
      </c>
      <c r="B20" s="289" t="s">
        <v>1111</v>
      </c>
      <c r="C20" s="23">
        <v>1057200841</v>
      </c>
      <c r="D20" s="23" t="s">
        <v>660</v>
      </c>
      <c r="E20" s="131">
        <v>1721</v>
      </c>
      <c r="F20" s="417" t="s">
        <v>209</v>
      </c>
      <c r="G20" s="478" t="s">
        <v>934</v>
      </c>
      <c r="H20" s="411">
        <v>44485</v>
      </c>
      <c r="I20" s="290">
        <v>37026</v>
      </c>
      <c r="J20" s="290">
        <v>43082</v>
      </c>
      <c r="K20" s="290">
        <v>46475</v>
      </c>
      <c r="L20" s="290">
        <v>44253</v>
      </c>
      <c r="M20" s="412">
        <v>32348</v>
      </c>
      <c r="N20" s="422">
        <v>4550710686</v>
      </c>
      <c r="O20" s="385" t="s">
        <v>1066</v>
      </c>
      <c r="P20" s="402">
        <v>55080751</v>
      </c>
      <c r="Q20" s="328">
        <v>634193</v>
      </c>
      <c r="R20" s="109" t="s">
        <v>932</v>
      </c>
      <c r="S20" s="133" t="str">
        <f>_xlfn.XLOOKUP(RecallTable[[#This Row],[EDIPI]],MOLTable[EDIPI],MOLTable[Category],"ERR")</f>
        <v>On Hand</v>
      </c>
      <c r="T20" s="133" t="str">
        <f>IF(_xlfn.XLOOKUP(RecallTable[[#This Row],[EDIPI]],MOLTable[EDIPI],MOLTable[Location],"ERR")="","",_xlfn.XLOOKUP(RecallTable[[#This Row],[EDIPI]],MOLTable[EDIPI],MOLTable[Location],"ERR"))</f>
        <v/>
      </c>
      <c r="U20" s="177" t="str">
        <f>IF(_xlfn.XLOOKUP(RecallTable[[#This Row],[EDIPI]],MOLTable[EDIPI],MOLTable[Start Date],"ERR")="","",_xlfn.XLOOKUP(RecallTable[[#This Row],[EDIPI]],MOLTable[EDIPI],MOLTable[Start Date],"ERR"))</f>
        <v/>
      </c>
      <c r="V20" s="177" t="str">
        <f>IF(_xlfn.XLOOKUP(RecallTable[[#This Row],[EDIPI]],MOLTable[EDIPI],MOLTable[Start Date],"ERR")="","",_xlfn.XLOOKUP(RecallTable[[#This Row],[EDIPI]],MOLTable[EDIPI],MOLTable[Start Date],"ERR"))</f>
        <v/>
      </c>
      <c r="W20" s="29" t="str">
        <f ca="1">IFERROR(_xlfn.DAYS(RecallTable[[#This Row],[Return Date]],TODAY()),"")</f>
        <v/>
      </c>
      <c r="X20" s="57"/>
      <c r="Y20" s="525"/>
      <c r="Z20" s="525"/>
    </row>
    <row r="21" spans="1:38" s="12" customFormat="1">
      <c r="A21" s="23" t="s">
        <v>182</v>
      </c>
      <c r="B21" s="272" t="s">
        <v>1112</v>
      </c>
      <c r="C21" s="131">
        <v>1605838371</v>
      </c>
      <c r="D21" s="439" t="s">
        <v>660</v>
      </c>
      <c r="E21" s="131">
        <v>1721</v>
      </c>
      <c r="F21" s="417" t="s">
        <v>209</v>
      </c>
      <c r="G21" s="479" t="s">
        <v>938</v>
      </c>
      <c r="H21" s="408">
        <v>44925</v>
      </c>
      <c r="I21" s="290">
        <v>41790</v>
      </c>
      <c r="J21" s="290">
        <v>43867</v>
      </c>
      <c r="K21" s="196">
        <v>47178</v>
      </c>
      <c r="L21" s="196">
        <v>43861</v>
      </c>
      <c r="M21" s="412">
        <v>36187</v>
      </c>
      <c r="N21" s="419">
        <v>7064617861</v>
      </c>
      <c r="O21" s="385" t="s">
        <v>1066</v>
      </c>
      <c r="P21" s="402">
        <v>53090342</v>
      </c>
      <c r="Q21" s="328">
        <v>413576</v>
      </c>
      <c r="R21" s="109"/>
      <c r="S21" s="133" t="str">
        <f>_xlfn.XLOOKUP(RecallTable[[#This Row],[EDIPI]],MOLTable[EDIPI],MOLTable[Category],"ERR")</f>
        <v>TAD</v>
      </c>
      <c r="T21" s="133" t="str">
        <f>IF(_xlfn.XLOOKUP(RecallTable[[#This Row],[EDIPI]],MOLTable[EDIPI],MOLTable[Location],"ERR")="","",_xlfn.XLOOKUP(RecallTable[[#This Row],[EDIPI]],MOLTable[EDIPI],MOLTable[Location],"ERR"))</f>
        <v>CTC</v>
      </c>
      <c r="U21" s="177">
        <f>IF(_xlfn.XLOOKUP(RecallTable[[#This Row],[EDIPI]],MOLTable[EDIPI],MOLTable[Start Date],"ERR")="","",_xlfn.XLOOKUP(RecallTable[[#This Row],[EDIPI]],MOLTable[EDIPI],MOLTable[Start Date],"ERR"))</f>
        <v>45383</v>
      </c>
      <c r="V21" s="177">
        <f>IF(_xlfn.XLOOKUP(RecallTable[[#This Row],[EDIPI]],MOLTable[EDIPI],MOLTable[Start Date],"ERR")="","",_xlfn.XLOOKUP(RecallTable[[#This Row],[EDIPI]],MOLTable[EDIPI],MOLTable[Start Date],"ERR"))</f>
        <v>45383</v>
      </c>
      <c r="W21" s="29">
        <f ca="1">IFERROR(_xlfn.DAYS(RecallTable[[#This Row],[Return Date]],TODAY()),"")</f>
        <v>-15</v>
      </c>
      <c r="X21" s="57"/>
      <c r="Y21" s="525"/>
      <c r="Z21" s="525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</row>
    <row r="22" spans="1:38" s="12" customFormat="1">
      <c r="A22" s="23" t="s">
        <v>181</v>
      </c>
      <c r="B22" s="272" t="s">
        <v>1113</v>
      </c>
      <c r="C22" s="131">
        <v>1583777566</v>
      </c>
      <c r="D22" s="23" t="s">
        <v>660</v>
      </c>
      <c r="E22" s="131">
        <v>1721</v>
      </c>
      <c r="F22" s="417" t="s">
        <v>209</v>
      </c>
      <c r="G22" s="478" t="s">
        <v>934</v>
      </c>
      <c r="H22" s="408">
        <v>44982</v>
      </c>
      <c r="I22" s="196">
        <v>41143</v>
      </c>
      <c r="J22" s="196">
        <v>43686</v>
      </c>
      <c r="K22" s="196">
        <v>46719</v>
      </c>
      <c r="L22" s="196">
        <v>44558</v>
      </c>
      <c r="M22" s="409">
        <v>32324</v>
      </c>
      <c r="N22" s="419">
        <v>9594263947</v>
      </c>
      <c r="O22" s="385" t="s">
        <v>1177</v>
      </c>
      <c r="P22" s="398">
        <v>58438038</v>
      </c>
      <c r="Q22" s="338">
        <v>519542</v>
      </c>
      <c r="R22" s="109" t="s">
        <v>933</v>
      </c>
      <c r="S22" s="133" t="str">
        <f>_xlfn.XLOOKUP(RecallTable[[#This Row],[EDIPI]],MOLTable[EDIPI],MOLTable[Category],"ERR")</f>
        <v>TAD</v>
      </c>
      <c r="T22" s="133" t="str">
        <f>IF(_xlfn.XLOOKUP(RecallTable[[#This Row],[EDIPI]],MOLTable[EDIPI],MOLTable[Location],"ERR")="","",_xlfn.XLOOKUP(RecallTable[[#This Row],[EDIPI]],MOLTable[EDIPI],MOLTable[Location],"ERR"))</f>
        <v>SANS</v>
      </c>
      <c r="U22" s="177">
        <f>IF(_xlfn.XLOOKUP(RecallTable[[#This Row],[EDIPI]],MOLTable[EDIPI],MOLTable[Start Date],"ERR")="","",_xlfn.XLOOKUP(RecallTable[[#This Row],[EDIPI]],MOLTable[EDIPI],MOLTable[Start Date],"ERR"))</f>
        <v>45383</v>
      </c>
      <c r="V22" s="177">
        <f>IF(_xlfn.XLOOKUP(RecallTable[[#This Row],[EDIPI]],MOLTable[EDIPI],MOLTable[Start Date],"ERR")="","",_xlfn.XLOOKUP(RecallTable[[#This Row],[EDIPI]],MOLTable[EDIPI],MOLTable[Start Date],"ERR"))</f>
        <v>45383</v>
      </c>
      <c r="W22" s="27">
        <f ca="1">IFERROR(_xlfn.DAYS(RecallTable[[#This Row],[Return Date]],TODAY()),"")</f>
        <v>-15</v>
      </c>
      <c r="X22" s="57"/>
      <c r="Y22" s="525"/>
      <c r="Z22" s="525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</row>
    <row r="23" spans="1:38" s="12" customFormat="1">
      <c r="A23" s="23" t="s">
        <v>181</v>
      </c>
      <c r="B23" s="271" t="s">
        <v>1114</v>
      </c>
      <c r="C23" s="23">
        <v>1309210629</v>
      </c>
      <c r="D23" s="23" t="s">
        <v>660</v>
      </c>
      <c r="E23" s="131">
        <v>1721</v>
      </c>
      <c r="F23" s="417" t="s">
        <v>209</v>
      </c>
      <c r="G23" s="478" t="s">
        <v>938</v>
      </c>
      <c r="H23" s="408">
        <v>44862</v>
      </c>
      <c r="I23" s="196">
        <v>39882</v>
      </c>
      <c r="J23" s="196">
        <v>39424</v>
      </c>
      <c r="K23" s="196">
        <v>46364</v>
      </c>
      <c r="L23" s="196">
        <v>43487</v>
      </c>
      <c r="M23" s="409">
        <v>32662</v>
      </c>
      <c r="N23" s="419">
        <v>3125836467</v>
      </c>
      <c r="O23" s="386" t="s">
        <v>1178</v>
      </c>
      <c r="P23" s="398">
        <v>63367784</v>
      </c>
      <c r="Q23" s="338">
        <v>151792</v>
      </c>
      <c r="R23" s="132" t="s">
        <v>933</v>
      </c>
      <c r="S23" s="133" t="str">
        <f>_xlfn.XLOOKUP(RecallTable[[#This Row],[EDIPI]],MOLTable[EDIPI],MOLTable[Category],"ERR")</f>
        <v>On Hand</v>
      </c>
      <c r="T23" s="133" t="str">
        <f>IF(_xlfn.XLOOKUP(RecallTable[[#This Row],[EDIPI]],MOLTable[EDIPI],MOLTable[Location],"ERR")="","",_xlfn.XLOOKUP(RecallTable[[#This Row],[EDIPI]],MOLTable[EDIPI],MOLTable[Location],"ERR"))</f>
        <v/>
      </c>
      <c r="U23" s="177" t="str">
        <f>IF(_xlfn.XLOOKUP(RecallTable[[#This Row],[EDIPI]],MOLTable[EDIPI],MOLTable[Start Date],"ERR")="","",_xlfn.XLOOKUP(RecallTable[[#This Row],[EDIPI]],MOLTable[EDIPI],MOLTable[Start Date],"ERR"))</f>
        <v/>
      </c>
      <c r="V23" s="177" t="str">
        <f>IF(_xlfn.XLOOKUP(RecallTable[[#This Row],[EDIPI]],MOLTable[EDIPI],MOLTable[Start Date],"ERR")="","",_xlfn.XLOOKUP(RecallTable[[#This Row],[EDIPI]],MOLTable[EDIPI],MOLTable[Start Date],"ERR"))</f>
        <v/>
      </c>
      <c r="W23" s="27" t="str">
        <f ca="1">IFERROR(_xlfn.DAYS(RecallTable[[#This Row],[Return Date]],TODAY()),"")</f>
        <v/>
      </c>
      <c r="X23" s="57"/>
      <c r="Y23" s="525"/>
      <c r="Z23" s="525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</row>
    <row r="24" spans="1:38" s="12" customFormat="1">
      <c r="A24" s="23" t="s">
        <v>181</v>
      </c>
      <c r="B24" s="356" t="s">
        <v>1115</v>
      </c>
      <c r="C24" s="23">
        <v>1068605275</v>
      </c>
      <c r="D24" s="23" t="s">
        <v>660</v>
      </c>
      <c r="E24" s="131">
        <v>1700</v>
      </c>
      <c r="F24" s="417" t="s">
        <v>209</v>
      </c>
      <c r="G24" s="478" t="s">
        <v>934</v>
      </c>
      <c r="H24" s="408">
        <v>44257</v>
      </c>
      <c r="I24" s="196">
        <v>41348</v>
      </c>
      <c r="J24" s="196">
        <v>42404</v>
      </c>
      <c r="K24" s="196">
        <v>46863</v>
      </c>
      <c r="L24" s="196">
        <v>44155</v>
      </c>
      <c r="M24" s="409">
        <v>36460</v>
      </c>
      <c r="N24" s="419">
        <v>3735907548</v>
      </c>
      <c r="O24" s="385" t="s">
        <v>1084</v>
      </c>
      <c r="P24" s="399">
        <v>32890056</v>
      </c>
      <c r="Q24" s="338">
        <v>354937</v>
      </c>
      <c r="R24" s="109" t="s">
        <v>932</v>
      </c>
      <c r="S24" s="133" t="str">
        <f>_xlfn.XLOOKUP(RecallTable[[#This Row],[EDIPI]],MOLTable[EDIPI],MOLTable[Category],"ERR")</f>
        <v>On Hand</v>
      </c>
      <c r="T24" s="133" t="str">
        <f>IF(_xlfn.XLOOKUP(RecallTable[[#This Row],[EDIPI]],MOLTable[EDIPI],MOLTable[Location],"ERR")="","",_xlfn.XLOOKUP(RecallTable[[#This Row],[EDIPI]],MOLTable[EDIPI],MOLTable[Location],"ERR"))</f>
        <v/>
      </c>
      <c r="U24" s="177" t="str">
        <f>IF(_xlfn.XLOOKUP(RecallTable[[#This Row],[EDIPI]],MOLTable[EDIPI],MOLTable[Start Date],"ERR")="","",_xlfn.XLOOKUP(RecallTable[[#This Row],[EDIPI]],MOLTable[EDIPI],MOLTable[Start Date],"ERR"))</f>
        <v/>
      </c>
      <c r="V24" s="177" t="str">
        <f>IF(_xlfn.XLOOKUP(RecallTable[[#This Row],[EDIPI]],MOLTable[EDIPI],MOLTable[Start Date],"ERR")="","",_xlfn.XLOOKUP(RecallTable[[#This Row],[EDIPI]],MOLTable[EDIPI],MOLTable[Start Date],"ERR"))</f>
        <v/>
      </c>
      <c r="W24" s="27" t="str">
        <f ca="1">IFERROR(_xlfn.DAYS(RecallTable[[#This Row],[Return Date]],TODAY()),"")</f>
        <v/>
      </c>
      <c r="X24" s="57"/>
      <c r="Y24" s="525"/>
      <c r="Z24" s="525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</row>
    <row r="25" spans="1:38" s="12" customFormat="1">
      <c r="A25" s="23" t="s">
        <v>180</v>
      </c>
      <c r="B25" s="272" t="s">
        <v>1116</v>
      </c>
      <c r="C25" s="23">
        <v>1504022008</v>
      </c>
      <c r="D25" s="23" t="s">
        <v>660</v>
      </c>
      <c r="E25" s="131">
        <v>1721</v>
      </c>
      <c r="F25" s="417" t="s">
        <v>209</v>
      </c>
      <c r="G25" s="478" t="s">
        <v>938</v>
      </c>
      <c r="H25" s="408">
        <v>44556</v>
      </c>
      <c r="I25" s="196">
        <v>44096</v>
      </c>
      <c r="J25" s="196">
        <v>44373</v>
      </c>
      <c r="K25" s="196">
        <v>46042</v>
      </c>
      <c r="L25" s="196">
        <v>44119</v>
      </c>
      <c r="M25" s="409">
        <v>34117</v>
      </c>
      <c r="N25" s="419">
        <v>2688611957</v>
      </c>
      <c r="O25" s="385" t="s">
        <v>1179</v>
      </c>
      <c r="P25" s="398">
        <v>50209774</v>
      </c>
      <c r="Q25" s="329">
        <v>445113</v>
      </c>
      <c r="R25" s="109" t="s">
        <v>930</v>
      </c>
      <c r="S25" s="133" t="str">
        <f>_xlfn.XLOOKUP(RecallTable[[#This Row],[EDIPI]],MOLTable[EDIPI],MOLTable[Category],"ERR")</f>
        <v>On Hand</v>
      </c>
      <c r="T25" s="133" t="str">
        <f>IF(_xlfn.XLOOKUP(RecallTable[[#This Row],[EDIPI]],MOLTable[EDIPI],MOLTable[Location],"ERR")="","",_xlfn.XLOOKUP(RecallTable[[#This Row],[EDIPI]],MOLTable[EDIPI],MOLTable[Location],"ERR"))</f>
        <v/>
      </c>
      <c r="U25" s="177" t="str">
        <f>IF(_xlfn.XLOOKUP(RecallTable[[#This Row],[EDIPI]],MOLTable[EDIPI],MOLTable[Start Date],"ERR")="","",_xlfn.XLOOKUP(RecallTable[[#This Row],[EDIPI]],MOLTable[EDIPI],MOLTable[Start Date],"ERR"))</f>
        <v/>
      </c>
      <c r="V25" s="177" t="str">
        <f>IF(_xlfn.XLOOKUP(RecallTable[[#This Row],[EDIPI]],MOLTable[EDIPI],MOLTable[Start Date],"ERR")="","",_xlfn.XLOOKUP(RecallTable[[#This Row],[EDIPI]],MOLTable[EDIPI],MOLTable[Start Date],"ERR"))</f>
        <v/>
      </c>
      <c r="W25" s="27" t="str">
        <f ca="1">IFERROR(_xlfn.DAYS(RecallTable[[#This Row],[Return Date]],TODAY()),"")</f>
        <v/>
      </c>
      <c r="X25" s="57"/>
      <c r="Y25" s="525"/>
      <c r="Z25" s="525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</row>
    <row r="26" spans="1:38" s="12" customFormat="1">
      <c r="A26" s="23" t="s">
        <v>180</v>
      </c>
      <c r="B26" s="336" t="s">
        <v>1117</v>
      </c>
      <c r="C26" s="23">
        <v>1306349386</v>
      </c>
      <c r="D26" s="23" t="s">
        <v>660</v>
      </c>
      <c r="E26" s="131">
        <v>1721</v>
      </c>
      <c r="F26" s="417" t="s">
        <v>209</v>
      </c>
      <c r="G26" s="478" t="s">
        <v>934</v>
      </c>
      <c r="H26" s="411">
        <v>44732</v>
      </c>
      <c r="I26" s="290">
        <v>37884</v>
      </c>
      <c r="J26" s="290">
        <v>44914</v>
      </c>
      <c r="K26" s="290">
        <v>47474</v>
      </c>
      <c r="L26" s="290">
        <v>44578</v>
      </c>
      <c r="M26" s="412">
        <v>32225</v>
      </c>
      <c r="N26" s="422">
        <v>4833564050</v>
      </c>
      <c r="O26" s="385" t="s">
        <v>1069</v>
      </c>
      <c r="P26" s="399">
        <v>56584605</v>
      </c>
      <c r="Q26" s="338">
        <v>590609</v>
      </c>
      <c r="R26" s="109" t="s">
        <v>930</v>
      </c>
      <c r="S26" s="133" t="str">
        <f>_xlfn.XLOOKUP(RecallTable[[#This Row],[EDIPI]],MOLTable[EDIPI],MOLTable[Category],"ERR")</f>
        <v>On Hand</v>
      </c>
      <c r="T26" s="133" t="str">
        <f>IF(_xlfn.XLOOKUP(RecallTable[[#This Row],[EDIPI]],MOLTable[EDIPI],MOLTable[Location],"ERR")="","",_xlfn.XLOOKUP(RecallTable[[#This Row],[EDIPI]],MOLTable[EDIPI],MOLTable[Location],"ERR"))</f>
        <v/>
      </c>
      <c r="U26" s="177" t="str">
        <f>IF(_xlfn.XLOOKUP(RecallTable[[#This Row],[EDIPI]],MOLTable[EDIPI],MOLTable[Start Date],"ERR")="","",_xlfn.XLOOKUP(RecallTable[[#This Row],[EDIPI]],MOLTable[EDIPI],MOLTable[Start Date],"ERR"))</f>
        <v/>
      </c>
      <c r="V26" s="177" t="str">
        <f>IF(_xlfn.XLOOKUP(RecallTable[[#This Row],[EDIPI]],MOLTable[EDIPI],MOLTable[Start Date],"ERR")="","",_xlfn.XLOOKUP(RecallTable[[#This Row],[EDIPI]],MOLTable[EDIPI],MOLTable[Start Date],"ERR"))</f>
        <v/>
      </c>
      <c r="W26" s="29" t="str">
        <f ca="1">IFERROR(_xlfn.DAYS(RecallTable[[#This Row],[Return Date]],TODAY()),"")</f>
        <v/>
      </c>
      <c r="X26" s="57"/>
      <c r="Y26" s="525"/>
      <c r="Z26" s="525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</row>
    <row r="27" spans="1:38" s="12" customFormat="1">
      <c r="A27" s="23" t="s">
        <v>180</v>
      </c>
      <c r="B27" s="272" t="s">
        <v>1118</v>
      </c>
      <c r="C27" s="23">
        <v>1320652076</v>
      </c>
      <c r="D27" s="23" t="s">
        <v>660</v>
      </c>
      <c r="E27" s="131">
        <v>1721</v>
      </c>
      <c r="F27" s="417" t="s">
        <v>209</v>
      </c>
      <c r="G27" s="478" t="s">
        <v>934</v>
      </c>
      <c r="H27" s="408">
        <v>44523</v>
      </c>
      <c r="I27" s="196">
        <v>40085</v>
      </c>
      <c r="J27" s="196">
        <v>42358</v>
      </c>
      <c r="K27" s="196">
        <v>46004</v>
      </c>
      <c r="L27" s="196">
        <v>45231</v>
      </c>
      <c r="M27" s="409">
        <v>31972</v>
      </c>
      <c r="N27" s="419">
        <v>9192820064</v>
      </c>
      <c r="O27" s="385" t="s">
        <v>1175</v>
      </c>
      <c r="P27" s="398">
        <v>43416227</v>
      </c>
      <c r="Q27" s="329">
        <v>510442</v>
      </c>
      <c r="R27" s="109" t="s">
        <v>932</v>
      </c>
      <c r="S27" s="133" t="str">
        <f>_xlfn.XLOOKUP(RecallTable[[#This Row],[EDIPI]],MOLTable[EDIPI],MOLTable[Category],"ERR")</f>
        <v>On Hand</v>
      </c>
      <c r="T27" s="133" t="str">
        <f>IF(_xlfn.XLOOKUP(RecallTable[[#This Row],[EDIPI]],MOLTable[EDIPI],MOLTable[Location],"ERR")="","",_xlfn.XLOOKUP(RecallTable[[#This Row],[EDIPI]],MOLTable[EDIPI],MOLTable[Location],"ERR"))</f>
        <v/>
      </c>
      <c r="U27" s="177" t="str">
        <f>IF(_xlfn.XLOOKUP(RecallTable[[#This Row],[EDIPI]],MOLTable[EDIPI],MOLTable[Start Date],"ERR")="","",_xlfn.XLOOKUP(RecallTable[[#This Row],[EDIPI]],MOLTable[EDIPI],MOLTable[Start Date],"ERR"))</f>
        <v/>
      </c>
      <c r="V27" s="177" t="str">
        <f>IF(_xlfn.XLOOKUP(RecallTable[[#This Row],[EDIPI]],MOLTable[EDIPI],MOLTable[Start Date],"ERR")="","",_xlfn.XLOOKUP(RecallTable[[#This Row],[EDIPI]],MOLTable[EDIPI],MOLTable[Start Date],"ERR"))</f>
        <v/>
      </c>
      <c r="W27" s="27" t="str">
        <f ca="1">IFERROR(_xlfn.DAYS(RecallTable[[#This Row],[Return Date]],TODAY()),"")</f>
        <v/>
      </c>
      <c r="X27" s="57"/>
      <c r="Y27" s="525"/>
      <c r="Z27" s="525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</row>
    <row r="28" spans="1:38" s="12" customFormat="1">
      <c r="A28" s="23" t="s">
        <v>180</v>
      </c>
      <c r="B28" s="272" t="s">
        <v>1119</v>
      </c>
      <c r="C28" s="23">
        <v>1478966980</v>
      </c>
      <c r="D28" s="439" t="s">
        <v>660</v>
      </c>
      <c r="E28" s="131">
        <v>1721</v>
      </c>
      <c r="F28" s="417" t="s">
        <v>209</v>
      </c>
      <c r="G28" s="478" t="s">
        <v>938</v>
      </c>
      <c r="H28" s="408">
        <v>44536</v>
      </c>
      <c r="I28" s="290">
        <v>40916</v>
      </c>
      <c r="J28" s="290">
        <v>42470</v>
      </c>
      <c r="K28" s="196">
        <v>46044</v>
      </c>
      <c r="L28" s="196">
        <v>44609</v>
      </c>
      <c r="M28" s="412">
        <v>29504</v>
      </c>
      <c r="N28" s="419">
        <v>3869311197</v>
      </c>
      <c r="O28" s="385" t="s">
        <v>1079</v>
      </c>
      <c r="P28" s="402">
        <v>28007007</v>
      </c>
      <c r="Q28" s="328">
        <v>652138</v>
      </c>
      <c r="R28" s="109" t="s">
        <v>932</v>
      </c>
      <c r="S28" s="133" t="str">
        <f>_xlfn.XLOOKUP(RecallTable[[#This Row],[EDIPI]],MOLTable[EDIPI],MOLTable[Category],"ERR")</f>
        <v>On Hand</v>
      </c>
      <c r="T28" s="133" t="str">
        <f>IF(_xlfn.XLOOKUP(RecallTable[[#This Row],[EDIPI]],MOLTable[EDIPI],MOLTable[Location],"ERR")="","",_xlfn.XLOOKUP(RecallTable[[#This Row],[EDIPI]],MOLTable[EDIPI],MOLTable[Location],"ERR"))</f>
        <v/>
      </c>
      <c r="U28" s="177" t="str">
        <f>IF(_xlfn.XLOOKUP(RecallTable[[#This Row],[EDIPI]],MOLTable[EDIPI],MOLTable[Start Date],"ERR")="","",_xlfn.XLOOKUP(RecallTable[[#This Row],[EDIPI]],MOLTable[EDIPI],MOLTable[Start Date],"ERR"))</f>
        <v/>
      </c>
      <c r="V28" s="177" t="str">
        <f>IF(_xlfn.XLOOKUP(RecallTable[[#This Row],[EDIPI]],MOLTable[EDIPI],MOLTable[Start Date],"ERR")="","",_xlfn.XLOOKUP(RecallTable[[#This Row],[EDIPI]],MOLTable[EDIPI],MOLTable[Start Date],"ERR"))</f>
        <v/>
      </c>
      <c r="W28" s="29" t="str">
        <f ca="1">IFERROR(_xlfn.DAYS(RecallTable[[#This Row],[Return Date]],TODAY()),"")</f>
        <v/>
      </c>
      <c r="X28" s="57"/>
      <c r="Y28" s="525"/>
      <c r="Z28" s="525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</row>
    <row r="29" spans="1:38">
      <c r="A29" s="23" t="s">
        <v>180</v>
      </c>
      <c r="B29" s="336" t="s">
        <v>1120</v>
      </c>
      <c r="C29" s="23">
        <v>1308481514</v>
      </c>
      <c r="D29" s="23" t="s">
        <v>660</v>
      </c>
      <c r="E29" s="131">
        <v>1721</v>
      </c>
      <c r="F29" s="417" t="s">
        <v>209</v>
      </c>
      <c r="G29" s="478" t="s">
        <v>934</v>
      </c>
      <c r="H29" s="411">
        <v>44964</v>
      </c>
      <c r="I29" s="290">
        <v>36592</v>
      </c>
      <c r="J29" s="290">
        <v>42893</v>
      </c>
      <c r="K29" s="290">
        <v>46581</v>
      </c>
      <c r="L29" s="290">
        <v>44355</v>
      </c>
      <c r="M29" s="412">
        <v>32804</v>
      </c>
      <c r="N29" s="422">
        <v>4396494397</v>
      </c>
      <c r="O29" s="392" t="s">
        <v>1073</v>
      </c>
      <c r="P29" s="399">
        <v>78748938</v>
      </c>
      <c r="Q29" s="338">
        <v>476967</v>
      </c>
      <c r="R29" s="109" t="s">
        <v>937</v>
      </c>
      <c r="S29" s="133" t="str">
        <f>_xlfn.XLOOKUP(RecallTable[[#This Row],[EDIPI]],MOLTable[EDIPI],MOLTable[Category],"ERR")</f>
        <v>On Hand</v>
      </c>
      <c r="T29" s="133" t="str">
        <f>IF(_xlfn.XLOOKUP(RecallTable[[#This Row],[EDIPI]],MOLTable[EDIPI],MOLTable[Location],"ERR")="","",_xlfn.XLOOKUP(RecallTable[[#This Row],[EDIPI]],MOLTable[EDIPI],MOLTable[Location],"ERR"))</f>
        <v/>
      </c>
      <c r="U29" s="177" t="str">
        <f>IF(_xlfn.XLOOKUP(RecallTable[[#This Row],[EDIPI]],MOLTable[EDIPI],MOLTable[Start Date],"ERR")="","",_xlfn.XLOOKUP(RecallTable[[#This Row],[EDIPI]],MOLTable[EDIPI],MOLTable[Start Date],"ERR"))</f>
        <v/>
      </c>
      <c r="V29" s="177" t="str">
        <f>IF(_xlfn.XLOOKUP(RecallTable[[#This Row],[EDIPI]],MOLTable[EDIPI],MOLTable[Start Date],"ERR")="","",_xlfn.XLOOKUP(RecallTable[[#This Row],[EDIPI]],MOLTable[EDIPI],MOLTable[Start Date],"ERR"))</f>
        <v/>
      </c>
      <c r="W29" s="27" t="str">
        <f ca="1">IFERROR(_xlfn.DAYS(RecallTable[[#This Row],[Return Date]],TODAY()),"")</f>
        <v/>
      </c>
      <c r="X29" s="57"/>
      <c r="Y29" s="525"/>
      <c r="Z29" s="525"/>
    </row>
    <row r="30" spans="1:38" s="12" customFormat="1">
      <c r="A30" s="23" t="s">
        <v>180</v>
      </c>
      <c r="B30" s="498" t="s">
        <v>1121</v>
      </c>
      <c r="C30" s="23">
        <v>1511922179</v>
      </c>
      <c r="D30" s="23" t="s">
        <v>660</v>
      </c>
      <c r="E30" s="131">
        <v>1721</v>
      </c>
      <c r="F30" s="417" t="s">
        <v>209</v>
      </c>
      <c r="G30" s="478" t="s">
        <v>938</v>
      </c>
      <c r="H30" s="408">
        <v>44843</v>
      </c>
      <c r="I30" s="196">
        <v>42662</v>
      </c>
      <c r="J30" s="196">
        <v>40826</v>
      </c>
      <c r="K30" s="196">
        <v>47411</v>
      </c>
      <c r="L30" s="196">
        <v>44548</v>
      </c>
      <c r="M30" s="409">
        <v>32447</v>
      </c>
      <c r="N30" s="419">
        <v>3952027370</v>
      </c>
      <c r="O30" s="387" t="s">
        <v>1176</v>
      </c>
      <c r="P30" s="398">
        <v>26655819</v>
      </c>
      <c r="Q30" s="329">
        <v>316558</v>
      </c>
      <c r="R30" s="110" t="s">
        <v>932</v>
      </c>
      <c r="S30" s="133" t="str">
        <f>_xlfn.XLOOKUP(RecallTable[[#This Row],[EDIPI]],MOLTable[EDIPI],MOLTable[Category],"ERR")</f>
        <v>On Hand</v>
      </c>
      <c r="T30" s="133" t="str">
        <f>IF(_xlfn.XLOOKUP(RecallTable[[#This Row],[EDIPI]],MOLTable[EDIPI],MOLTable[Location],"ERR")="","",_xlfn.XLOOKUP(RecallTable[[#This Row],[EDIPI]],MOLTable[EDIPI],MOLTable[Location],"ERR"))</f>
        <v/>
      </c>
      <c r="U30" s="177" t="str">
        <f>IF(_xlfn.XLOOKUP(RecallTable[[#This Row],[EDIPI]],MOLTable[EDIPI],MOLTable[Start Date],"ERR")="","",_xlfn.XLOOKUP(RecallTable[[#This Row],[EDIPI]],MOLTable[EDIPI],MOLTable[Start Date],"ERR"))</f>
        <v/>
      </c>
      <c r="V30" s="177" t="str">
        <f>IF(_xlfn.XLOOKUP(RecallTable[[#This Row],[EDIPI]],MOLTable[EDIPI],MOLTable[Start Date],"ERR")="","",_xlfn.XLOOKUP(RecallTable[[#This Row],[EDIPI]],MOLTable[EDIPI],MOLTable[Start Date],"ERR"))</f>
        <v/>
      </c>
      <c r="W30" s="27" t="str">
        <f ca="1">IFERROR(_xlfn.DAYS(RecallTable[[#This Row],[Return Date]],TODAY()),"")</f>
        <v/>
      </c>
      <c r="X30" s="57"/>
      <c r="Y30" s="525"/>
      <c r="Z30" s="525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</row>
    <row r="31" spans="1:38" s="12" customFormat="1">
      <c r="A31" s="23" t="s">
        <v>180</v>
      </c>
      <c r="B31" s="21" t="s">
        <v>1122</v>
      </c>
      <c r="C31" s="23">
        <v>1363966758</v>
      </c>
      <c r="D31" s="23" t="s">
        <v>660</v>
      </c>
      <c r="E31" s="131">
        <v>1721</v>
      </c>
      <c r="F31" s="417" t="s">
        <v>209</v>
      </c>
      <c r="G31" s="478" t="s">
        <v>934</v>
      </c>
      <c r="H31" s="408">
        <v>44772</v>
      </c>
      <c r="I31" s="196">
        <v>42519</v>
      </c>
      <c r="J31" s="196">
        <v>43423</v>
      </c>
      <c r="K31" s="196">
        <v>46356</v>
      </c>
      <c r="L31" s="196">
        <v>43995</v>
      </c>
      <c r="M31" s="409">
        <v>33891</v>
      </c>
      <c r="N31" s="419">
        <v>3031783470</v>
      </c>
      <c r="O31" s="385" t="s">
        <v>1176</v>
      </c>
      <c r="P31" s="398">
        <v>16842270</v>
      </c>
      <c r="Q31" s="329">
        <v>616068</v>
      </c>
      <c r="R31" s="109" t="s">
        <v>932</v>
      </c>
      <c r="S31" s="133" t="str">
        <f>_xlfn.XLOOKUP(RecallTable[[#This Row],[EDIPI]],MOLTable[EDIPI],MOLTable[Category],"ERR")</f>
        <v>TAD</v>
      </c>
      <c r="T31" s="133" t="str">
        <f>IF(_xlfn.XLOOKUP(RecallTable[[#This Row],[EDIPI]],MOLTable[EDIPI],MOLTable[Location],"ERR")="","",_xlfn.XLOOKUP(RecallTable[[#This Row],[EDIPI]],MOLTable[EDIPI],MOLTable[Location],"ERR"))</f>
        <v>CTC</v>
      </c>
      <c r="U31" s="177">
        <f>IF(_xlfn.XLOOKUP(RecallTable[[#This Row],[EDIPI]],MOLTable[EDIPI],MOLTable[Start Date],"ERR")="","",_xlfn.XLOOKUP(RecallTable[[#This Row],[EDIPI]],MOLTable[EDIPI],MOLTable[Start Date],"ERR"))</f>
        <v>45383</v>
      </c>
      <c r="V31" s="177">
        <f>IF(_xlfn.XLOOKUP(RecallTable[[#This Row],[EDIPI]],MOLTable[EDIPI],MOLTable[Start Date],"ERR")="","",_xlfn.XLOOKUP(RecallTable[[#This Row],[EDIPI]],MOLTable[EDIPI],MOLTable[Start Date],"ERR"))</f>
        <v>45383</v>
      </c>
      <c r="W31" s="27">
        <f ca="1">IFERROR(_xlfn.DAYS(RecallTable[[#This Row],[Return Date]],TODAY()),"")</f>
        <v>-15</v>
      </c>
      <c r="X31" s="57"/>
      <c r="Y31" s="525"/>
      <c r="Z31" s="525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</row>
    <row r="32" spans="1:38" s="12" customFormat="1">
      <c r="A32" s="23" t="s">
        <v>179</v>
      </c>
      <c r="B32" s="191" t="s">
        <v>1123</v>
      </c>
      <c r="C32" s="23">
        <v>1212075255</v>
      </c>
      <c r="D32" s="23" t="s">
        <v>660</v>
      </c>
      <c r="E32" s="131">
        <v>1721</v>
      </c>
      <c r="F32" s="417" t="s">
        <v>209</v>
      </c>
      <c r="G32" s="478" t="s">
        <v>938</v>
      </c>
      <c r="H32" s="408">
        <v>44229</v>
      </c>
      <c r="I32" s="196">
        <v>40930</v>
      </c>
      <c r="J32" s="196">
        <v>42175</v>
      </c>
      <c r="K32" s="196">
        <v>46283</v>
      </c>
      <c r="L32" s="196">
        <v>44961</v>
      </c>
      <c r="M32" s="409">
        <v>32722</v>
      </c>
      <c r="N32" s="419">
        <v>5189396078</v>
      </c>
      <c r="O32" s="385" t="s">
        <v>1180</v>
      </c>
      <c r="P32" s="399">
        <v>56795924</v>
      </c>
      <c r="Q32" s="338">
        <v>543700</v>
      </c>
      <c r="R32" s="109" t="s">
        <v>930</v>
      </c>
      <c r="S32" s="133" t="str">
        <f>_xlfn.XLOOKUP(RecallTable[[#This Row],[EDIPI]],MOLTable[EDIPI],MOLTable[Category],"ERR")</f>
        <v>TAD</v>
      </c>
      <c r="T32" s="133" t="str">
        <f>IF(_xlfn.XLOOKUP(RecallTable[[#This Row],[EDIPI]],MOLTable[EDIPI],MOLTable[Location],"ERR")="","",_xlfn.XLOOKUP(RecallTable[[#This Row],[EDIPI]],MOLTable[EDIPI],MOLTable[Location],"ERR"))</f>
        <v>PME</v>
      </c>
      <c r="U32" s="177">
        <f>IF(_xlfn.XLOOKUP(RecallTable[[#This Row],[EDIPI]],MOLTable[EDIPI],MOLTable[Start Date],"ERR")="","",_xlfn.XLOOKUP(RecallTable[[#This Row],[EDIPI]],MOLTable[EDIPI],MOLTable[Start Date],"ERR"))</f>
        <v>45383</v>
      </c>
      <c r="V32" s="177">
        <f>IF(_xlfn.XLOOKUP(RecallTable[[#This Row],[EDIPI]],MOLTable[EDIPI],MOLTable[Start Date],"ERR")="","",_xlfn.XLOOKUP(RecallTable[[#This Row],[EDIPI]],MOLTable[EDIPI],MOLTable[Start Date],"ERR"))</f>
        <v>45383</v>
      </c>
      <c r="W32" s="27">
        <f ca="1">IFERROR(_xlfn.DAYS(RecallTable[[#This Row],[Return Date]],TODAY()),"")</f>
        <v>-15</v>
      </c>
      <c r="X32" s="57"/>
      <c r="Y32" s="525"/>
      <c r="Z32" s="525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</row>
    <row r="33" spans="1:38" s="12" customFormat="1">
      <c r="A33" s="23" t="s">
        <v>188</v>
      </c>
      <c r="B33" s="21" t="s">
        <v>1124</v>
      </c>
      <c r="C33" s="23">
        <v>1039148847</v>
      </c>
      <c r="D33" s="23" t="s">
        <v>660</v>
      </c>
      <c r="E33" s="131">
        <v>1702</v>
      </c>
      <c r="F33" s="417" t="s">
        <v>79</v>
      </c>
      <c r="G33" s="478"/>
      <c r="H33" s="408">
        <v>44344</v>
      </c>
      <c r="I33" s="196">
        <v>38322</v>
      </c>
      <c r="J33" s="196">
        <v>44200</v>
      </c>
      <c r="K33" s="196">
        <v>47144</v>
      </c>
      <c r="L33" s="196">
        <v>45051</v>
      </c>
      <c r="M33" s="409">
        <v>30175</v>
      </c>
      <c r="N33" s="419">
        <v>2113250580</v>
      </c>
      <c r="O33" s="385" t="s">
        <v>1066</v>
      </c>
      <c r="P33" s="398">
        <v>66819569</v>
      </c>
      <c r="Q33" s="329">
        <v>226708</v>
      </c>
      <c r="R33" s="109" t="s">
        <v>930</v>
      </c>
      <c r="S33" s="133" t="str">
        <f>_xlfn.XLOOKUP(RecallTable[[#This Row],[EDIPI]],MOLTable[EDIPI],MOLTable[Category],"ERR")</f>
        <v>On Hand</v>
      </c>
      <c r="T33" s="133" t="str">
        <f>IF(_xlfn.XLOOKUP(RecallTable[[#This Row],[EDIPI]],MOLTable[EDIPI],MOLTable[Location],"ERR")="","",_xlfn.XLOOKUP(RecallTable[[#This Row],[EDIPI]],MOLTable[EDIPI],MOLTable[Location],"ERR"))</f>
        <v/>
      </c>
      <c r="U33" s="177" t="str">
        <f>IF(_xlfn.XLOOKUP(RecallTable[[#This Row],[EDIPI]],MOLTable[EDIPI],MOLTable[Start Date],"ERR")="","",_xlfn.XLOOKUP(RecallTable[[#This Row],[EDIPI]],MOLTable[EDIPI],MOLTable[Start Date],"ERR"))</f>
        <v/>
      </c>
      <c r="V33" s="177" t="str">
        <f>IF(_xlfn.XLOOKUP(RecallTable[[#This Row],[EDIPI]],MOLTable[EDIPI],MOLTable[Start Date],"ERR")="","",_xlfn.XLOOKUP(RecallTable[[#This Row],[EDIPI]],MOLTable[EDIPI],MOLTable[Start Date],"ERR"))</f>
        <v/>
      </c>
      <c r="W33" s="27" t="str">
        <f ca="1">IFERROR(_xlfn.DAYS(RecallTable[[#This Row],[Return Date]],TODAY()),"")</f>
        <v/>
      </c>
      <c r="X33" s="57"/>
      <c r="Y33" s="525"/>
      <c r="Z33" s="525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>
      <c r="A34" s="23" t="s">
        <v>183</v>
      </c>
      <c r="B34" s="191" t="s">
        <v>1125</v>
      </c>
      <c r="C34" s="23">
        <v>1282303798</v>
      </c>
      <c r="D34" s="23" t="s">
        <v>862</v>
      </c>
      <c r="E34" s="131">
        <v>1721</v>
      </c>
      <c r="F34" s="417" t="s">
        <v>79</v>
      </c>
      <c r="G34" s="478"/>
      <c r="H34" s="408">
        <v>44937</v>
      </c>
      <c r="I34" s="196">
        <v>44242</v>
      </c>
      <c r="J34" s="196">
        <v>39133</v>
      </c>
      <c r="K34" s="196">
        <v>46184</v>
      </c>
      <c r="L34" s="196">
        <v>44762</v>
      </c>
      <c r="M34" s="409">
        <v>30821</v>
      </c>
      <c r="N34" s="419">
        <v>5446081188</v>
      </c>
      <c r="O34" s="385" t="s">
        <v>1066</v>
      </c>
      <c r="P34" s="399">
        <v>57573747</v>
      </c>
      <c r="Q34" s="338">
        <v>373092</v>
      </c>
      <c r="R34" s="109" t="s">
        <v>930</v>
      </c>
      <c r="S34" s="133" t="str">
        <f>_xlfn.XLOOKUP(RecallTable[[#This Row],[EDIPI]],MOLTable[EDIPI],MOLTable[Category],"ERR")</f>
        <v>On Hand</v>
      </c>
      <c r="T34" s="133" t="str">
        <f>IF(_xlfn.XLOOKUP(RecallTable[[#This Row],[EDIPI]],MOLTable[EDIPI],MOLTable[Location],"ERR")="","",_xlfn.XLOOKUP(RecallTable[[#This Row],[EDIPI]],MOLTable[EDIPI],MOLTable[Location],"ERR"))</f>
        <v/>
      </c>
      <c r="U34" s="177" t="str">
        <f>IF(_xlfn.XLOOKUP(RecallTable[[#This Row],[EDIPI]],MOLTable[EDIPI],MOLTable[Start Date],"ERR")="","",_xlfn.XLOOKUP(RecallTable[[#This Row],[EDIPI]],MOLTable[EDIPI],MOLTable[Start Date],"ERR"))</f>
        <v/>
      </c>
      <c r="V34" s="177" t="str">
        <f>IF(_xlfn.XLOOKUP(RecallTable[[#This Row],[EDIPI]],MOLTable[EDIPI],MOLTable[Start Date],"ERR")="","",_xlfn.XLOOKUP(RecallTable[[#This Row],[EDIPI]],MOLTable[EDIPI],MOLTable[Start Date],"ERR"))</f>
        <v/>
      </c>
      <c r="W34" s="27" t="str">
        <f ca="1">IFERROR(_xlfn.DAYS(RecallTable[[#This Row],[Return Date]],TODAY()),"")</f>
        <v/>
      </c>
      <c r="X34" s="57"/>
      <c r="Y34" s="525"/>
      <c r="Z34" s="525"/>
    </row>
    <row r="35" spans="1:38" s="12" customFormat="1">
      <c r="A35" s="23" t="s">
        <v>182</v>
      </c>
      <c r="B35" s="21" t="s">
        <v>1126</v>
      </c>
      <c r="C35" s="23">
        <v>1456272150</v>
      </c>
      <c r="D35" s="23" t="s">
        <v>660</v>
      </c>
      <c r="E35" s="131">
        <v>1721</v>
      </c>
      <c r="F35" s="417" t="s">
        <v>79</v>
      </c>
      <c r="G35" s="478" t="s">
        <v>934</v>
      </c>
      <c r="H35" s="408">
        <v>44736</v>
      </c>
      <c r="I35" s="196">
        <v>41391</v>
      </c>
      <c r="J35" s="196">
        <v>38175</v>
      </c>
      <c r="K35" s="196">
        <v>47330</v>
      </c>
      <c r="L35" s="196">
        <v>43870</v>
      </c>
      <c r="M35" s="409">
        <v>34102</v>
      </c>
      <c r="N35" s="419">
        <v>9804871153</v>
      </c>
      <c r="O35" s="385" t="s">
        <v>1066</v>
      </c>
      <c r="P35" s="398">
        <v>68461137</v>
      </c>
      <c r="Q35" s="329">
        <v>232056</v>
      </c>
      <c r="R35" s="109" t="s">
        <v>930</v>
      </c>
      <c r="S35" s="133" t="str">
        <f>_xlfn.XLOOKUP(RecallTable[[#This Row],[EDIPI]],MOLTable[EDIPI],MOLTable[Category],"ERR")</f>
        <v>On Hand</v>
      </c>
      <c r="T35" s="133" t="str">
        <f>IF(_xlfn.XLOOKUP(RecallTable[[#This Row],[EDIPI]],MOLTable[EDIPI],MOLTable[Location],"ERR")="","",_xlfn.XLOOKUP(RecallTable[[#This Row],[EDIPI]],MOLTable[EDIPI],MOLTable[Location],"ERR"))</f>
        <v/>
      </c>
      <c r="U35" s="177" t="str">
        <f>IF(_xlfn.XLOOKUP(RecallTable[[#This Row],[EDIPI]],MOLTable[EDIPI],MOLTable[Start Date],"ERR")="","",_xlfn.XLOOKUP(RecallTable[[#This Row],[EDIPI]],MOLTable[EDIPI],MOLTable[Start Date],"ERR"))</f>
        <v/>
      </c>
      <c r="V35" s="177" t="str">
        <f>IF(_xlfn.XLOOKUP(RecallTable[[#This Row],[EDIPI]],MOLTable[EDIPI],MOLTable[Start Date],"ERR")="","",_xlfn.XLOOKUP(RecallTable[[#This Row],[EDIPI]],MOLTable[EDIPI],MOLTable[Start Date],"ERR"))</f>
        <v/>
      </c>
      <c r="W35" s="27" t="str">
        <f ca="1">IFERROR(_xlfn.DAYS(RecallTable[[#This Row],[Return Date]],TODAY()),"")</f>
        <v/>
      </c>
      <c r="X35" s="57"/>
      <c r="Y35" s="525"/>
      <c r="Z35" s="525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</row>
    <row r="36" spans="1:38" s="12" customFormat="1">
      <c r="A36" s="23" t="s">
        <v>182</v>
      </c>
      <c r="B36" s="21" t="s">
        <v>1127</v>
      </c>
      <c r="C36" s="23">
        <v>1364104581</v>
      </c>
      <c r="D36" s="23" t="s">
        <v>660</v>
      </c>
      <c r="E36" s="131">
        <v>1721</v>
      </c>
      <c r="F36" s="417" t="s">
        <v>79</v>
      </c>
      <c r="G36" s="478" t="s">
        <v>938</v>
      </c>
      <c r="H36" s="408">
        <v>45073</v>
      </c>
      <c r="I36" s="196">
        <v>44827</v>
      </c>
      <c r="J36" s="196">
        <v>43222</v>
      </c>
      <c r="K36" s="196">
        <v>46168</v>
      </c>
      <c r="L36" s="196">
        <v>43900</v>
      </c>
      <c r="M36" s="409">
        <v>32113</v>
      </c>
      <c r="N36" s="419">
        <v>8664217790</v>
      </c>
      <c r="O36" s="385" t="s">
        <v>1066</v>
      </c>
      <c r="P36" s="398">
        <v>74980423</v>
      </c>
      <c r="Q36" s="329">
        <v>194481</v>
      </c>
      <c r="R36" s="109" t="s">
        <v>932</v>
      </c>
      <c r="S36" s="133" t="str">
        <f>_xlfn.XLOOKUP(RecallTable[[#This Row],[EDIPI]],MOLTable[EDIPI],MOLTable[Category],"ERR")</f>
        <v>On Hand</v>
      </c>
      <c r="T36" s="133" t="str">
        <f>IF(_xlfn.XLOOKUP(RecallTable[[#This Row],[EDIPI]],MOLTable[EDIPI],MOLTable[Location],"ERR")="","",_xlfn.XLOOKUP(RecallTable[[#This Row],[EDIPI]],MOLTable[EDIPI],MOLTable[Location],"ERR"))</f>
        <v/>
      </c>
      <c r="U36" s="177" t="str">
        <f>IF(_xlfn.XLOOKUP(RecallTable[[#This Row],[EDIPI]],MOLTable[EDIPI],MOLTable[Start Date],"ERR")="","",_xlfn.XLOOKUP(RecallTable[[#This Row],[EDIPI]],MOLTable[EDIPI],MOLTable[Start Date],"ERR"))</f>
        <v/>
      </c>
      <c r="V36" s="177" t="str">
        <f>IF(_xlfn.XLOOKUP(RecallTable[[#This Row],[EDIPI]],MOLTable[EDIPI],MOLTable[Start Date],"ERR")="","",_xlfn.XLOOKUP(RecallTable[[#This Row],[EDIPI]],MOLTable[EDIPI],MOLTable[Start Date],"ERR"))</f>
        <v/>
      </c>
      <c r="W36" s="27" t="str">
        <f ca="1">IFERROR(_xlfn.DAYS(RecallTable[[#This Row],[Return Date]],TODAY()),"")</f>
        <v/>
      </c>
      <c r="X36" s="57"/>
      <c r="Y36" s="525"/>
      <c r="Z36" s="525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</row>
    <row r="37" spans="1:38" s="12" customFormat="1">
      <c r="A37" s="23" t="s">
        <v>181</v>
      </c>
      <c r="B37" s="191" t="s">
        <v>1128</v>
      </c>
      <c r="C37" s="23">
        <v>1599673202</v>
      </c>
      <c r="D37" s="23" t="s">
        <v>660</v>
      </c>
      <c r="E37" s="131">
        <v>1721</v>
      </c>
      <c r="F37" s="417" t="s">
        <v>79</v>
      </c>
      <c r="G37" s="478" t="s">
        <v>934</v>
      </c>
      <c r="H37" s="408">
        <v>44972</v>
      </c>
      <c r="I37" s="290">
        <v>40408</v>
      </c>
      <c r="J37" s="290">
        <v>39869</v>
      </c>
      <c r="K37" s="196">
        <v>47110</v>
      </c>
      <c r="L37" s="196">
        <v>43589</v>
      </c>
      <c r="M37" s="412">
        <v>35285</v>
      </c>
      <c r="N37" s="419">
        <v>4311653421</v>
      </c>
      <c r="O37" s="397" t="s">
        <v>1179</v>
      </c>
      <c r="P37" s="402">
        <v>38799905</v>
      </c>
      <c r="Q37" s="328">
        <v>445492</v>
      </c>
      <c r="R37" s="109" t="s">
        <v>932</v>
      </c>
      <c r="S37" s="133" t="str">
        <f>_xlfn.XLOOKUP(RecallTable[[#This Row],[EDIPI]],MOLTable[EDIPI],MOLTable[Category],"ERR")</f>
        <v>On Hand</v>
      </c>
      <c r="T37" s="133" t="str">
        <f>IF(_xlfn.XLOOKUP(RecallTable[[#This Row],[EDIPI]],MOLTable[EDIPI],MOLTable[Location],"ERR")="","",_xlfn.XLOOKUP(RecallTable[[#This Row],[EDIPI]],MOLTable[EDIPI],MOLTable[Location],"ERR"))</f>
        <v/>
      </c>
      <c r="U37" s="177" t="str">
        <f>IF(_xlfn.XLOOKUP(RecallTable[[#This Row],[EDIPI]],MOLTable[EDIPI],MOLTable[Start Date],"ERR")="","",_xlfn.XLOOKUP(RecallTable[[#This Row],[EDIPI]],MOLTable[EDIPI],MOLTable[Start Date],"ERR"))</f>
        <v/>
      </c>
      <c r="V37" s="177" t="str">
        <f>IF(_xlfn.XLOOKUP(RecallTable[[#This Row],[EDIPI]],MOLTable[EDIPI],MOLTable[Start Date],"ERR")="","",_xlfn.XLOOKUP(RecallTable[[#This Row],[EDIPI]],MOLTable[EDIPI],MOLTable[Start Date],"ERR"))</f>
        <v/>
      </c>
      <c r="W37" s="29" t="str">
        <f ca="1">IFERROR(_xlfn.DAYS(RecallTable[[#This Row],[Return Date]],TODAY()),"")</f>
        <v/>
      </c>
      <c r="X37" s="57"/>
      <c r="Y37" s="525"/>
      <c r="Z37" s="525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</row>
    <row r="38" spans="1:38" s="12" customFormat="1">
      <c r="A38" s="23" t="s">
        <v>181</v>
      </c>
      <c r="B38" s="289" t="s">
        <v>1129</v>
      </c>
      <c r="C38" s="23">
        <v>1163508456</v>
      </c>
      <c r="D38" s="23" t="s">
        <v>660</v>
      </c>
      <c r="E38" s="131">
        <v>1721</v>
      </c>
      <c r="F38" s="417" t="s">
        <v>79</v>
      </c>
      <c r="G38" s="478" t="s">
        <v>934</v>
      </c>
      <c r="H38" s="408">
        <v>44776</v>
      </c>
      <c r="I38" s="196">
        <v>41885</v>
      </c>
      <c r="J38" s="196">
        <v>36930</v>
      </c>
      <c r="K38" s="196">
        <v>46486</v>
      </c>
      <c r="L38" s="196">
        <v>43570</v>
      </c>
      <c r="M38" s="409">
        <v>31576</v>
      </c>
      <c r="N38" s="419">
        <v>8222538640</v>
      </c>
      <c r="O38" s="385" t="s">
        <v>1175</v>
      </c>
      <c r="P38" s="402">
        <v>32449441</v>
      </c>
      <c r="Q38" s="328">
        <v>295814</v>
      </c>
      <c r="R38" s="109" t="s">
        <v>931</v>
      </c>
      <c r="S38" s="133" t="str">
        <f>_xlfn.XLOOKUP(RecallTable[[#This Row],[EDIPI]],MOLTable[EDIPI],MOLTable[Category],"ERR")</f>
        <v>On Hand</v>
      </c>
      <c r="T38" s="133" t="str">
        <f>IF(_xlfn.XLOOKUP(RecallTable[[#This Row],[EDIPI]],MOLTable[EDIPI],MOLTable[Location],"ERR")="","",_xlfn.XLOOKUP(RecallTable[[#This Row],[EDIPI]],MOLTable[EDIPI],MOLTable[Location],"ERR"))</f>
        <v/>
      </c>
      <c r="U38" s="177" t="str">
        <f>IF(_xlfn.XLOOKUP(RecallTable[[#This Row],[EDIPI]],MOLTable[EDIPI],MOLTable[Start Date],"ERR")="","",_xlfn.XLOOKUP(RecallTable[[#This Row],[EDIPI]],MOLTable[EDIPI],MOLTable[Start Date],"ERR"))</f>
        <v/>
      </c>
      <c r="V38" s="177" t="str">
        <f>IF(_xlfn.XLOOKUP(RecallTable[[#This Row],[EDIPI]],MOLTable[EDIPI],MOLTable[Start Date],"ERR")="","",_xlfn.XLOOKUP(RecallTable[[#This Row],[EDIPI]],MOLTable[EDIPI],MOLTable[Start Date],"ERR"))</f>
        <v/>
      </c>
      <c r="W38" s="29" t="str">
        <f ca="1">IFERROR(_xlfn.DAYS(RecallTable[[#This Row],[Return Date]],TODAY()),"")</f>
        <v/>
      </c>
      <c r="X38" s="57"/>
      <c r="Y38" s="525"/>
      <c r="Z38" s="525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</row>
    <row r="39" spans="1:38" s="12" customFormat="1">
      <c r="A39" s="23" t="s">
        <v>181</v>
      </c>
      <c r="B39" s="21" t="s">
        <v>1130</v>
      </c>
      <c r="C39" s="23">
        <v>1093026721</v>
      </c>
      <c r="D39" s="23" t="s">
        <v>660</v>
      </c>
      <c r="E39" s="131">
        <v>1700</v>
      </c>
      <c r="F39" s="417" t="s">
        <v>79</v>
      </c>
      <c r="G39" s="478" t="s">
        <v>938</v>
      </c>
      <c r="H39" s="410">
        <v>44373</v>
      </c>
      <c r="I39" s="196">
        <v>36784</v>
      </c>
      <c r="J39" s="196">
        <v>37755</v>
      </c>
      <c r="K39" s="196">
        <v>47073</v>
      </c>
      <c r="L39" s="196">
        <v>44885</v>
      </c>
      <c r="M39" s="409">
        <v>33106</v>
      </c>
      <c r="N39" s="419">
        <v>2798159920</v>
      </c>
      <c r="O39" s="386" t="s">
        <v>1074</v>
      </c>
      <c r="P39" s="398">
        <v>27091938</v>
      </c>
      <c r="Q39" s="329">
        <v>138860</v>
      </c>
      <c r="R39" s="132" t="s">
        <v>932</v>
      </c>
      <c r="S39" s="133" t="str">
        <f>_xlfn.XLOOKUP(RecallTable[[#This Row],[EDIPI]],MOLTable[EDIPI],MOLTable[Category],"ERR")</f>
        <v>On Hand</v>
      </c>
      <c r="T39" s="133" t="str">
        <f>IF(_xlfn.XLOOKUP(RecallTable[[#This Row],[EDIPI]],MOLTable[EDIPI],MOLTable[Location],"ERR")="","",_xlfn.XLOOKUP(RecallTable[[#This Row],[EDIPI]],MOLTable[EDIPI],MOLTable[Location],"ERR"))</f>
        <v/>
      </c>
      <c r="U39" s="177" t="str">
        <f>IF(_xlfn.XLOOKUP(RecallTable[[#This Row],[EDIPI]],MOLTable[EDIPI],MOLTable[Start Date],"ERR")="","",_xlfn.XLOOKUP(RecallTable[[#This Row],[EDIPI]],MOLTable[EDIPI],MOLTable[Start Date],"ERR"))</f>
        <v/>
      </c>
      <c r="V39" s="177" t="str">
        <f>IF(_xlfn.XLOOKUP(RecallTable[[#This Row],[EDIPI]],MOLTable[EDIPI],MOLTable[Start Date],"ERR")="","",_xlfn.XLOOKUP(RecallTable[[#This Row],[EDIPI]],MOLTable[EDIPI],MOLTable[Start Date],"ERR"))</f>
        <v/>
      </c>
      <c r="W39" s="27" t="str">
        <f ca="1">IFERROR(_xlfn.DAYS(RecallTable[[#This Row],[Return Date]],TODAY()),"")</f>
        <v/>
      </c>
      <c r="X39" s="57"/>
      <c r="Y39" s="525"/>
      <c r="Z39" s="525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</row>
    <row r="40" spans="1:38" s="12" customFormat="1">
      <c r="A40" s="23" t="s">
        <v>180</v>
      </c>
      <c r="B40" s="21" t="s">
        <v>1131</v>
      </c>
      <c r="C40" s="23">
        <v>1523342542</v>
      </c>
      <c r="D40" s="23" t="s">
        <v>660</v>
      </c>
      <c r="E40" s="131">
        <v>1721</v>
      </c>
      <c r="F40" s="417" t="s">
        <v>79</v>
      </c>
      <c r="G40" s="478" t="s">
        <v>934</v>
      </c>
      <c r="H40" s="408">
        <v>45156</v>
      </c>
      <c r="I40" s="196">
        <v>44338</v>
      </c>
      <c r="J40" s="196">
        <v>39369</v>
      </c>
      <c r="K40" s="196">
        <v>47149</v>
      </c>
      <c r="L40" s="357">
        <v>43551</v>
      </c>
      <c r="M40" s="413">
        <v>30317</v>
      </c>
      <c r="N40" s="419">
        <v>2244028649</v>
      </c>
      <c r="O40" s="385" t="s">
        <v>1070</v>
      </c>
      <c r="P40" s="398">
        <v>46633174</v>
      </c>
      <c r="Q40" s="329">
        <v>343865</v>
      </c>
      <c r="R40" s="110" t="s">
        <v>932</v>
      </c>
      <c r="S40" s="133" t="str">
        <f>_xlfn.XLOOKUP(RecallTable[[#This Row],[EDIPI]],MOLTable[EDIPI],MOLTable[Category],"ERR")</f>
        <v>On Hand</v>
      </c>
      <c r="T40" s="133" t="str">
        <f>IF(_xlfn.XLOOKUP(RecallTable[[#This Row],[EDIPI]],MOLTable[EDIPI],MOLTable[Location],"ERR")="","",_xlfn.XLOOKUP(RecallTable[[#This Row],[EDIPI]],MOLTable[EDIPI],MOLTable[Location],"ERR"))</f>
        <v/>
      </c>
      <c r="U40" s="177" t="str">
        <f>IF(_xlfn.XLOOKUP(RecallTable[[#This Row],[EDIPI]],MOLTable[EDIPI],MOLTable[Start Date],"ERR")="","",_xlfn.XLOOKUP(RecallTable[[#This Row],[EDIPI]],MOLTable[EDIPI],MOLTable[Start Date],"ERR"))</f>
        <v/>
      </c>
      <c r="V40" s="177" t="str">
        <f>IF(_xlfn.XLOOKUP(RecallTable[[#This Row],[EDIPI]],MOLTable[EDIPI],MOLTable[Start Date],"ERR")="","",_xlfn.XLOOKUP(RecallTable[[#This Row],[EDIPI]],MOLTable[EDIPI],MOLTable[Start Date],"ERR"))</f>
        <v/>
      </c>
      <c r="W40" s="27" t="str">
        <f ca="1">IFERROR(_xlfn.DAYS(RecallTable[[#This Row],[Return Date]],TODAY()),"")</f>
        <v/>
      </c>
      <c r="X40" s="57"/>
      <c r="Y40" s="525"/>
      <c r="Z40" s="525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</row>
    <row r="41" spans="1:38" s="12" customFormat="1" ht="14.25" customHeight="1">
      <c r="A41" s="23" t="s">
        <v>180</v>
      </c>
      <c r="B41" s="9" t="s">
        <v>1132</v>
      </c>
      <c r="C41" s="23">
        <v>1128365853</v>
      </c>
      <c r="D41" s="23" t="s">
        <v>660</v>
      </c>
      <c r="E41" s="131">
        <v>1721</v>
      </c>
      <c r="F41" s="417" t="s">
        <v>79</v>
      </c>
      <c r="G41" s="478" t="s">
        <v>938</v>
      </c>
      <c r="H41" s="408">
        <v>44947</v>
      </c>
      <c r="I41" s="196">
        <v>42181</v>
      </c>
      <c r="J41" s="196">
        <v>41134</v>
      </c>
      <c r="K41" s="196">
        <v>46874</v>
      </c>
      <c r="L41" s="196">
        <v>43926</v>
      </c>
      <c r="M41" s="409">
        <v>32879</v>
      </c>
      <c r="N41" s="420">
        <v>9721864181</v>
      </c>
      <c r="O41" s="394" t="s">
        <v>1181</v>
      </c>
      <c r="P41" s="403">
        <v>26668012</v>
      </c>
      <c r="Q41" s="339">
        <v>653124</v>
      </c>
      <c r="R41" s="110" t="s">
        <v>931</v>
      </c>
      <c r="S41" s="133" t="str">
        <f>_xlfn.XLOOKUP(RecallTable[[#This Row],[EDIPI]],MOLTable[EDIPI],MOLTable[Category],"ERR")</f>
        <v>TAD</v>
      </c>
      <c r="T41" s="133" t="str">
        <f>IF(_xlfn.XLOOKUP(RecallTable[[#This Row],[EDIPI]],MOLTable[EDIPI],MOLTable[Location],"ERR")="","",_xlfn.XLOOKUP(RecallTable[[#This Row],[EDIPI]],MOLTable[EDIPI],MOLTable[Location],"ERR"))</f>
        <v>PME</v>
      </c>
      <c r="U41" s="177">
        <f>IF(_xlfn.XLOOKUP(RecallTable[[#This Row],[EDIPI]],MOLTable[EDIPI],MOLTable[Start Date],"ERR")="","",_xlfn.XLOOKUP(RecallTable[[#This Row],[EDIPI]],MOLTable[EDIPI],MOLTable[Start Date],"ERR"))</f>
        <v>45383</v>
      </c>
      <c r="V41" s="177">
        <f>IF(_xlfn.XLOOKUP(RecallTable[[#This Row],[EDIPI]],MOLTable[EDIPI],MOLTable[Start Date],"ERR")="","",_xlfn.XLOOKUP(RecallTable[[#This Row],[EDIPI]],MOLTable[EDIPI],MOLTable[Start Date],"ERR"))</f>
        <v>45383</v>
      </c>
      <c r="W41" s="27">
        <f ca="1">IFERROR(_xlfn.DAYS(RecallTable[[#This Row],[Return Date]],TODAY()),"")</f>
        <v>-15</v>
      </c>
      <c r="X41" s="57"/>
      <c r="Y41" s="525"/>
      <c r="Z41" s="525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</row>
    <row r="42" spans="1:38" s="12" customFormat="1">
      <c r="A42" s="23" t="s">
        <v>180</v>
      </c>
      <c r="B42" s="363" t="s">
        <v>1133</v>
      </c>
      <c r="C42" s="23">
        <v>1164109197</v>
      </c>
      <c r="D42" s="23" t="s">
        <v>660</v>
      </c>
      <c r="E42" s="131">
        <v>1721</v>
      </c>
      <c r="F42" s="417" t="s">
        <v>79</v>
      </c>
      <c r="G42" s="480" t="s">
        <v>934</v>
      </c>
      <c r="H42" s="411">
        <v>44283</v>
      </c>
      <c r="I42" s="290">
        <v>38610</v>
      </c>
      <c r="J42" s="290">
        <v>39810</v>
      </c>
      <c r="K42" s="196">
        <v>46197</v>
      </c>
      <c r="L42" s="290">
        <v>45154</v>
      </c>
      <c r="M42" s="412">
        <v>29706</v>
      </c>
      <c r="N42" s="422">
        <v>6012048398</v>
      </c>
      <c r="O42" s="484" t="s">
        <v>1178</v>
      </c>
      <c r="P42" s="402">
        <v>34958129</v>
      </c>
      <c r="Q42" s="328">
        <v>521148</v>
      </c>
      <c r="R42" s="109" t="s">
        <v>933</v>
      </c>
      <c r="S42" s="362" t="str">
        <f>_xlfn.XLOOKUP(RecallTable[[#This Row],[EDIPI]],MOLTable[EDIPI],MOLTable[Category],"ERR")</f>
        <v>TAD</v>
      </c>
      <c r="T42" s="362" t="str">
        <f>IF(_xlfn.XLOOKUP(RecallTable[[#This Row],[EDIPI]],MOLTable[EDIPI],MOLTable[Location],"ERR")="","",_xlfn.XLOOKUP(RecallTable[[#This Row],[EDIPI]],MOLTable[EDIPI],MOLTable[Location],"ERR"))</f>
        <v>PME</v>
      </c>
      <c r="U42" s="177">
        <f>IF(_xlfn.XLOOKUP(RecallTable[[#This Row],[EDIPI]],MOLTable[EDIPI],MOLTable[Start Date],"ERR")="","",_xlfn.XLOOKUP(RecallTable[[#This Row],[EDIPI]],MOLTable[EDIPI],MOLTable[Start Date],"ERR"))</f>
        <v>45383</v>
      </c>
      <c r="V42" s="177">
        <f>IF(_xlfn.XLOOKUP(RecallTable[[#This Row],[EDIPI]],MOLTable[EDIPI],MOLTable[Start Date],"ERR")="","",_xlfn.XLOOKUP(RecallTable[[#This Row],[EDIPI]],MOLTable[EDIPI],MOLTable[Start Date],"ERR"))</f>
        <v>45383</v>
      </c>
      <c r="W42" s="29">
        <f ca="1">IFERROR(_xlfn.DAYS(RecallTable[[#This Row],[Return Date]],TODAY()),"")</f>
        <v>-15</v>
      </c>
      <c r="X42" s="57"/>
      <c r="Y42" s="525"/>
      <c r="Z42" s="525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</row>
    <row r="43" spans="1:38">
      <c r="A43" s="23" t="s">
        <v>180</v>
      </c>
      <c r="B43" s="21" t="s">
        <v>1134</v>
      </c>
      <c r="C43" s="23">
        <v>1397980725</v>
      </c>
      <c r="D43" s="23" t="s">
        <v>660</v>
      </c>
      <c r="E43" s="131">
        <v>1721</v>
      </c>
      <c r="F43" s="417" t="s">
        <v>79</v>
      </c>
      <c r="G43" s="478" t="s">
        <v>938</v>
      </c>
      <c r="H43" s="408">
        <v>45220</v>
      </c>
      <c r="I43" s="196">
        <v>43557</v>
      </c>
      <c r="J43" s="196">
        <v>39007</v>
      </c>
      <c r="K43" s="196">
        <v>46798</v>
      </c>
      <c r="L43" s="196">
        <v>43778</v>
      </c>
      <c r="M43" s="409">
        <v>33205</v>
      </c>
      <c r="N43" s="419">
        <v>5499434666</v>
      </c>
      <c r="O43" s="392" t="s">
        <v>1082</v>
      </c>
      <c r="P43" s="398">
        <v>46165457</v>
      </c>
      <c r="Q43" s="329">
        <v>351342</v>
      </c>
      <c r="R43" s="109" t="s">
        <v>930</v>
      </c>
      <c r="S43" s="133" t="str">
        <f>_xlfn.XLOOKUP(RecallTable[[#This Row],[EDIPI]],MOLTable[EDIPI],MOLTable[Category],"ERR")</f>
        <v>On Hand</v>
      </c>
      <c r="T43" s="133" t="str">
        <f>IF(_xlfn.XLOOKUP(RecallTable[[#This Row],[EDIPI]],MOLTable[EDIPI],MOLTable[Location],"ERR")="","",_xlfn.XLOOKUP(RecallTable[[#This Row],[EDIPI]],MOLTable[EDIPI],MOLTable[Location],"ERR"))</f>
        <v/>
      </c>
      <c r="U43" s="177" t="str">
        <f>IF(_xlfn.XLOOKUP(RecallTable[[#This Row],[EDIPI]],MOLTable[EDIPI],MOLTable[Start Date],"ERR")="","",_xlfn.XLOOKUP(RecallTable[[#This Row],[EDIPI]],MOLTable[EDIPI],MOLTable[Start Date],"ERR"))</f>
        <v/>
      </c>
      <c r="V43" s="177" t="str">
        <f>IF(_xlfn.XLOOKUP(RecallTable[[#This Row],[EDIPI]],MOLTable[EDIPI],MOLTable[Start Date],"ERR")="","",_xlfn.XLOOKUP(RecallTable[[#This Row],[EDIPI]],MOLTable[EDIPI],MOLTable[Start Date],"ERR"))</f>
        <v/>
      </c>
      <c r="W43" s="27" t="str">
        <f ca="1">IFERROR(_xlfn.DAYS(RecallTable[[#This Row],[Return Date]],TODAY()),"")</f>
        <v/>
      </c>
      <c r="X43" s="57"/>
      <c r="Y43" s="525"/>
      <c r="Z43" s="525"/>
    </row>
    <row r="44" spans="1:38" s="12" customFormat="1">
      <c r="A44" s="23" t="s">
        <v>180</v>
      </c>
      <c r="B44" s="21" t="s">
        <v>1135</v>
      </c>
      <c r="C44" s="23">
        <v>1135673321</v>
      </c>
      <c r="D44" s="23" t="s">
        <v>660</v>
      </c>
      <c r="E44" s="131">
        <v>1721</v>
      </c>
      <c r="F44" s="417" t="s">
        <v>79</v>
      </c>
      <c r="G44" s="478" t="s">
        <v>934</v>
      </c>
      <c r="H44" s="408">
        <v>44451</v>
      </c>
      <c r="I44" s="196">
        <v>42417</v>
      </c>
      <c r="J44" s="196">
        <v>37629</v>
      </c>
      <c r="K44" s="196">
        <v>45973</v>
      </c>
      <c r="L44" s="196">
        <v>45106</v>
      </c>
      <c r="M44" s="409">
        <v>33848</v>
      </c>
      <c r="N44" s="419">
        <v>8116191776</v>
      </c>
      <c r="O44" s="393" t="s">
        <v>1085</v>
      </c>
      <c r="P44" s="398">
        <v>35499173</v>
      </c>
      <c r="Q44" s="329">
        <v>147056</v>
      </c>
      <c r="R44" s="134" t="s">
        <v>930</v>
      </c>
      <c r="S44" s="133" t="str">
        <f>_xlfn.XLOOKUP(RecallTable[[#This Row],[EDIPI]],MOLTable[EDIPI],MOLTable[Category],"ERR")</f>
        <v>On Hand</v>
      </c>
      <c r="T44" s="133" t="str">
        <f>IF(_xlfn.XLOOKUP(RecallTable[[#This Row],[EDIPI]],MOLTable[EDIPI],MOLTable[Location],"ERR")="","",_xlfn.XLOOKUP(RecallTable[[#This Row],[EDIPI]],MOLTable[EDIPI],MOLTable[Location],"ERR"))</f>
        <v/>
      </c>
      <c r="U44" s="177" t="str">
        <f>IF(_xlfn.XLOOKUP(RecallTable[[#This Row],[EDIPI]],MOLTable[EDIPI],MOLTable[Start Date],"ERR")="","",_xlfn.XLOOKUP(RecallTable[[#This Row],[EDIPI]],MOLTable[EDIPI],MOLTable[Start Date],"ERR"))</f>
        <v/>
      </c>
      <c r="V44" s="177" t="str">
        <f>IF(_xlfn.XLOOKUP(RecallTable[[#This Row],[EDIPI]],MOLTable[EDIPI],MOLTable[Start Date],"ERR")="","",_xlfn.XLOOKUP(RecallTable[[#This Row],[EDIPI]],MOLTable[EDIPI],MOLTable[Start Date],"ERR"))</f>
        <v/>
      </c>
      <c r="W44" s="27" t="str">
        <f ca="1">IFERROR(_xlfn.DAYS(RecallTable[[#This Row],[Return Date]],TODAY()),"")</f>
        <v/>
      </c>
      <c r="X44" s="57"/>
      <c r="Y44" s="525"/>
      <c r="Z44" s="525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</row>
    <row r="45" spans="1:38" s="12" customFormat="1">
      <c r="A45" s="23" t="s">
        <v>180</v>
      </c>
      <c r="B45" s="21" t="s">
        <v>1136</v>
      </c>
      <c r="C45" s="23">
        <v>1502371969</v>
      </c>
      <c r="D45" s="23" t="s">
        <v>660</v>
      </c>
      <c r="E45" s="131">
        <v>1721</v>
      </c>
      <c r="F45" s="417" t="s">
        <v>79</v>
      </c>
      <c r="G45" s="478" t="s">
        <v>938</v>
      </c>
      <c r="H45" s="408">
        <v>44295</v>
      </c>
      <c r="I45" s="196">
        <v>39119</v>
      </c>
      <c r="J45" s="196">
        <v>43222</v>
      </c>
      <c r="K45" s="196">
        <v>46392</v>
      </c>
      <c r="L45" s="196">
        <v>43790</v>
      </c>
      <c r="M45" s="409">
        <v>32633</v>
      </c>
      <c r="N45" s="419">
        <v>6688367653</v>
      </c>
      <c r="O45" s="387" t="s">
        <v>1179</v>
      </c>
      <c r="P45" s="398">
        <v>68449155</v>
      </c>
      <c r="Q45" s="329">
        <v>293575</v>
      </c>
      <c r="R45" s="110" t="s">
        <v>932</v>
      </c>
      <c r="S45" s="133" t="str">
        <f>_xlfn.XLOOKUP(RecallTable[[#This Row],[EDIPI]],MOLTable[EDIPI],MOLTable[Category],"ERR")</f>
        <v>On Hand</v>
      </c>
      <c r="T45" s="133" t="str">
        <f>IF(_xlfn.XLOOKUP(RecallTable[[#This Row],[EDIPI]],MOLTable[EDIPI],MOLTable[Location],"ERR")="","",_xlfn.XLOOKUP(RecallTable[[#This Row],[EDIPI]],MOLTable[EDIPI],MOLTable[Location],"ERR"))</f>
        <v/>
      </c>
      <c r="U45" s="177" t="str">
        <f>IF(_xlfn.XLOOKUP(RecallTable[[#This Row],[EDIPI]],MOLTable[EDIPI],MOLTable[Start Date],"ERR")="","",_xlfn.XLOOKUP(RecallTable[[#This Row],[EDIPI]],MOLTable[EDIPI],MOLTable[Start Date],"ERR"))</f>
        <v/>
      </c>
      <c r="V45" s="177" t="str">
        <f>IF(_xlfn.XLOOKUP(RecallTable[[#This Row],[EDIPI]],MOLTable[EDIPI],MOLTable[Start Date],"ERR")="","",_xlfn.XLOOKUP(RecallTable[[#This Row],[EDIPI]],MOLTable[EDIPI],MOLTable[Start Date],"ERR"))</f>
        <v/>
      </c>
      <c r="W45" s="27" t="str">
        <f ca="1">IFERROR(_xlfn.DAYS(RecallTable[[#This Row],[Return Date]],TODAY()),"")</f>
        <v/>
      </c>
      <c r="X45" s="57"/>
      <c r="Y45" s="525"/>
      <c r="Z45" s="525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</row>
    <row r="46" spans="1:38" s="12" customFormat="1">
      <c r="A46" s="23" t="s">
        <v>180</v>
      </c>
      <c r="B46" s="21" t="s">
        <v>1137</v>
      </c>
      <c r="C46" s="23">
        <v>1397447603</v>
      </c>
      <c r="D46" s="23" t="s">
        <v>660</v>
      </c>
      <c r="E46" s="131">
        <v>1721</v>
      </c>
      <c r="F46" s="417" t="s">
        <v>79</v>
      </c>
      <c r="G46" s="478" t="s">
        <v>934</v>
      </c>
      <c r="H46" s="408">
        <v>45003</v>
      </c>
      <c r="I46" s="196">
        <v>37324</v>
      </c>
      <c r="J46" s="196">
        <v>42672</v>
      </c>
      <c r="K46" s="196">
        <v>46764</v>
      </c>
      <c r="L46" s="196">
        <v>44852</v>
      </c>
      <c r="M46" s="409">
        <v>36456</v>
      </c>
      <c r="N46" s="422">
        <v>2765605137</v>
      </c>
      <c r="O46" s="484" t="s">
        <v>1075</v>
      </c>
      <c r="P46" s="398">
        <v>40161855</v>
      </c>
      <c r="Q46" s="329">
        <v>572924</v>
      </c>
      <c r="R46" s="110" t="s">
        <v>932</v>
      </c>
      <c r="S46" s="133" t="str">
        <f>_xlfn.XLOOKUP(RecallTable[[#This Row],[EDIPI]],MOLTable[EDIPI],MOLTable[Category],"ERR")</f>
        <v>On Hand</v>
      </c>
      <c r="T46" s="133" t="str">
        <f>IF(_xlfn.XLOOKUP(RecallTable[[#This Row],[EDIPI]],MOLTable[EDIPI],MOLTable[Location],"ERR")="","",_xlfn.XLOOKUP(RecallTable[[#This Row],[EDIPI]],MOLTable[EDIPI],MOLTable[Location],"ERR"))</f>
        <v/>
      </c>
      <c r="U46" s="177" t="str">
        <f>IF(_xlfn.XLOOKUP(RecallTable[[#This Row],[EDIPI]],MOLTable[EDIPI],MOLTable[Start Date],"ERR")="","",_xlfn.XLOOKUP(RecallTable[[#This Row],[EDIPI]],MOLTable[EDIPI],MOLTable[Start Date],"ERR"))</f>
        <v/>
      </c>
      <c r="V46" s="177" t="str">
        <f>IF(_xlfn.XLOOKUP(RecallTable[[#This Row],[EDIPI]],MOLTable[EDIPI],MOLTable[Start Date],"ERR")="","",_xlfn.XLOOKUP(RecallTable[[#This Row],[EDIPI]],MOLTable[EDIPI],MOLTable[Start Date],"ERR"))</f>
        <v/>
      </c>
      <c r="W46" s="27" t="str">
        <f ca="1">IFERROR(_xlfn.DAYS(RecallTable[[#This Row],[Return Date]],TODAY()),"")</f>
        <v/>
      </c>
      <c r="X46" s="57"/>
      <c r="Y46" s="525"/>
      <c r="Z46" s="525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</row>
    <row r="47" spans="1:38">
      <c r="A47" s="23" t="s">
        <v>179</v>
      </c>
      <c r="B47" s="21" t="s">
        <v>1138</v>
      </c>
      <c r="C47" s="23">
        <v>1207085014</v>
      </c>
      <c r="D47" s="23" t="s">
        <v>862</v>
      </c>
      <c r="E47" s="131">
        <v>1721</v>
      </c>
      <c r="F47" s="417" t="s">
        <v>79</v>
      </c>
      <c r="G47" s="478" t="s">
        <v>938</v>
      </c>
      <c r="H47" s="408">
        <v>44781</v>
      </c>
      <c r="I47" s="196">
        <v>37617</v>
      </c>
      <c r="J47" s="196">
        <v>37032</v>
      </c>
      <c r="K47" s="196">
        <v>45884</v>
      </c>
      <c r="L47" s="196">
        <v>44404</v>
      </c>
      <c r="M47" s="409">
        <v>32090</v>
      </c>
      <c r="N47" s="419">
        <v>7532622449</v>
      </c>
      <c r="O47" s="387" t="s">
        <v>1078</v>
      </c>
      <c r="P47" s="398">
        <v>36610739</v>
      </c>
      <c r="Q47" s="329">
        <v>478585</v>
      </c>
      <c r="R47" s="110" t="s">
        <v>932</v>
      </c>
      <c r="S47" s="133" t="str">
        <f>_xlfn.XLOOKUP(RecallTable[[#This Row],[EDIPI]],MOLTable[EDIPI],MOLTable[Category],"ERR")</f>
        <v>On Hand</v>
      </c>
      <c r="T47" s="133" t="str">
        <f>IF(_xlfn.XLOOKUP(RecallTable[[#This Row],[EDIPI]],MOLTable[EDIPI],MOLTable[Location],"ERR")="","",_xlfn.XLOOKUP(RecallTable[[#This Row],[EDIPI]],MOLTable[EDIPI],MOLTable[Location],"ERR"))</f>
        <v/>
      </c>
      <c r="U47" s="177" t="str">
        <f>IF(_xlfn.XLOOKUP(RecallTable[[#This Row],[EDIPI]],MOLTable[EDIPI],MOLTable[Start Date],"ERR")="","",_xlfn.XLOOKUP(RecallTable[[#This Row],[EDIPI]],MOLTable[EDIPI],MOLTable[Start Date],"ERR"))</f>
        <v/>
      </c>
      <c r="V47" s="177" t="str">
        <f>IF(_xlfn.XLOOKUP(RecallTable[[#This Row],[EDIPI]],MOLTable[EDIPI],MOLTable[Start Date],"ERR")="","",_xlfn.XLOOKUP(RecallTable[[#This Row],[EDIPI]],MOLTable[EDIPI],MOLTable[Start Date],"ERR"))</f>
        <v/>
      </c>
      <c r="W47" s="27" t="str">
        <f ca="1">IFERROR(_xlfn.DAYS(RecallTable[[#This Row],[Return Date]],TODAY()),"")</f>
        <v/>
      </c>
      <c r="X47" s="57"/>
      <c r="Y47" s="525"/>
      <c r="Z47" s="525"/>
    </row>
    <row r="48" spans="1:38" s="12" customFormat="1">
      <c r="A48" s="23" t="s">
        <v>181</v>
      </c>
      <c r="B48" s="21" t="s">
        <v>1139</v>
      </c>
      <c r="C48" s="23">
        <v>1045261897</v>
      </c>
      <c r="D48" s="23" t="s">
        <v>660</v>
      </c>
      <c r="E48" s="131">
        <v>1721</v>
      </c>
      <c r="F48" s="417" t="s">
        <v>79</v>
      </c>
      <c r="G48" s="478" t="s">
        <v>934</v>
      </c>
      <c r="H48" s="408">
        <v>44239</v>
      </c>
      <c r="I48" s="196">
        <v>42635</v>
      </c>
      <c r="J48" s="196">
        <v>41918</v>
      </c>
      <c r="K48" s="196">
        <v>46751</v>
      </c>
      <c r="L48" s="196">
        <v>44624</v>
      </c>
      <c r="M48" s="409">
        <v>33530</v>
      </c>
      <c r="N48" s="419">
        <v>9406548719</v>
      </c>
      <c r="O48" s="387" t="s">
        <v>1081</v>
      </c>
      <c r="P48" s="404">
        <v>73657604</v>
      </c>
      <c r="Q48" s="358">
        <v>371437</v>
      </c>
      <c r="R48" s="110" t="s">
        <v>931</v>
      </c>
      <c r="S48" s="133" t="str">
        <f>_xlfn.XLOOKUP(RecallTable[[#This Row],[EDIPI]],MOLTable[EDIPI],MOLTable[Category],"ERR")</f>
        <v>On Hand</v>
      </c>
      <c r="T48" s="133" t="str">
        <f>IF(_xlfn.XLOOKUP(RecallTable[[#This Row],[EDIPI]],MOLTable[EDIPI],MOLTable[Location],"ERR")="","",_xlfn.XLOOKUP(RecallTable[[#This Row],[EDIPI]],MOLTable[EDIPI],MOLTable[Location],"ERR"))</f>
        <v/>
      </c>
      <c r="U48" s="177" t="str">
        <f>IF(_xlfn.XLOOKUP(RecallTable[[#This Row],[EDIPI]],MOLTable[EDIPI],MOLTable[Start Date],"ERR")="","",_xlfn.XLOOKUP(RecallTable[[#This Row],[EDIPI]],MOLTable[EDIPI],MOLTable[Start Date],"ERR"))</f>
        <v/>
      </c>
      <c r="V48" s="177" t="str">
        <f>IF(_xlfn.XLOOKUP(RecallTable[[#This Row],[EDIPI]],MOLTable[EDIPI],MOLTable[Start Date],"ERR")="","",_xlfn.XLOOKUP(RecallTable[[#This Row],[EDIPI]],MOLTable[EDIPI],MOLTable[Start Date],"ERR"))</f>
        <v/>
      </c>
      <c r="W48" s="27" t="str">
        <f ca="1">IFERROR(_xlfn.DAYS(RecallTable[[#This Row],[Return Date]],TODAY()),"")</f>
        <v/>
      </c>
      <c r="X48" s="57"/>
      <c r="Y48" s="525"/>
      <c r="Z48" s="525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</row>
    <row r="49" spans="1:38" s="12" customFormat="1">
      <c r="A49" s="23" t="s">
        <v>179</v>
      </c>
      <c r="B49" s="21" t="s">
        <v>1140</v>
      </c>
      <c r="C49" s="23">
        <v>1043584855</v>
      </c>
      <c r="D49" s="23" t="s">
        <v>660</v>
      </c>
      <c r="E49" s="131">
        <v>1721</v>
      </c>
      <c r="F49" s="417" t="s">
        <v>79</v>
      </c>
      <c r="G49" s="478" t="s">
        <v>934</v>
      </c>
      <c r="H49" s="408">
        <v>44731</v>
      </c>
      <c r="I49" s="196">
        <v>38255</v>
      </c>
      <c r="J49" s="196">
        <v>43396</v>
      </c>
      <c r="K49" s="196">
        <v>46563</v>
      </c>
      <c r="L49" s="196">
        <v>44685</v>
      </c>
      <c r="M49" s="409">
        <v>32927</v>
      </c>
      <c r="N49" s="419">
        <v>3799366286</v>
      </c>
      <c r="O49" s="387" t="s">
        <v>1083</v>
      </c>
      <c r="P49" s="405">
        <v>57486154</v>
      </c>
      <c r="Q49" s="108">
        <v>126341</v>
      </c>
      <c r="R49" s="110" t="s">
        <v>930</v>
      </c>
      <c r="S49" s="133" t="str">
        <f>_xlfn.XLOOKUP(RecallTable[[#This Row],[EDIPI]],MOLTable[EDIPI],MOLTable[Category],"ERR")</f>
        <v>On Hand</v>
      </c>
      <c r="T49" s="133" t="str">
        <f>IF(_xlfn.XLOOKUP(RecallTable[[#This Row],[EDIPI]],MOLTable[EDIPI],MOLTable[Location],"ERR")="","",_xlfn.XLOOKUP(RecallTable[[#This Row],[EDIPI]],MOLTable[EDIPI],MOLTable[Location],"ERR"))</f>
        <v/>
      </c>
      <c r="U49" s="177" t="str">
        <f>IF(_xlfn.XLOOKUP(RecallTable[[#This Row],[EDIPI]],MOLTable[EDIPI],MOLTable[Start Date],"ERR")="","",_xlfn.XLOOKUP(RecallTable[[#This Row],[EDIPI]],MOLTable[EDIPI],MOLTable[Start Date],"ERR"))</f>
        <v/>
      </c>
      <c r="V49" s="177" t="str">
        <f>IF(_xlfn.XLOOKUP(RecallTable[[#This Row],[EDIPI]],MOLTable[EDIPI],MOLTable[Start Date],"ERR")="","",_xlfn.XLOOKUP(RecallTable[[#This Row],[EDIPI]],MOLTable[EDIPI],MOLTable[Start Date],"ERR"))</f>
        <v/>
      </c>
      <c r="W49" s="27" t="str">
        <f ca="1">IFERROR(_xlfn.DAYS(RecallTable[[#This Row],[Return Date]],TODAY()),"")</f>
        <v/>
      </c>
      <c r="X49" s="57"/>
      <c r="Y49" s="525"/>
      <c r="Z49" s="525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</row>
    <row r="50" spans="1:38" s="12" customFormat="1">
      <c r="A50" s="23" t="s">
        <v>188</v>
      </c>
      <c r="B50" s="21" t="s">
        <v>1141</v>
      </c>
      <c r="C50" s="23">
        <v>1466955974</v>
      </c>
      <c r="D50" s="23" t="s">
        <v>660</v>
      </c>
      <c r="E50" s="131">
        <v>1702</v>
      </c>
      <c r="F50" s="417" t="s">
        <v>228</v>
      </c>
      <c r="G50" s="478"/>
      <c r="H50" s="408">
        <v>44303</v>
      </c>
      <c r="I50" s="196">
        <v>37927</v>
      </c>
      <c r="J50" s="196">
        <v>44174</v>
      </c>
      <c r="K50" s="196">
        <v>46220</v>
      </c>
      <c r="L50" s="196">
        <v>43944</v>
      </c>
      <c r="M50" s="409">
        <v>32353</v>
      </c>
      <c r="N50" s="419">
        <v>7597377293</v>
      </c>
      <c r="O50" s="387" t="s">
        <v>1066</v>
      </c>
      <c r="P50" s="402">
        <v>47606013</v>
      </c>
      <c r="Q50" s="436">
        <v>377103</v>
      </c>
      <c r="R50" s="110" t="s">
        <v>933</v>
      </c>
      <c r="S50" s="133" t="str">
        <f>_xlfn.XLOOKUP(RecallTable[[#This Row],[EDIPI]],MOLTable[EDIPI],MOLTable[Category],"ERR")</f>
        <v>On Hand</v>
      </c>
      <c r="T50" s="133" t="str">
        <f>IF(_xlfn.XLOOKUP(RecallTable[[#This Row],[EDIPI]],MOLTable[EDIPI],MOLTable[Location],"ERR")="","",_xlfn.XLOOKUP(RecallTable[[#This Row],[EDIPI]],MOLTable[EDIPI],MOLTable[Location],"ERR"))</f>
        <v/>
      </c>
      <c r="U50" s="177" t="str">
        <f>IF(_xlfn.XLOOKUP(RecallTable[[#This Row],[EDIPI]],MOLTable[EDIPI],MOLTable[Start Date],"ERR")="","",_xlfn.XLOOKUP(RecallTable[[#This Row],[EDIPI]],MOLTable[EDIPI],MOLTable[Start Date],"ERR"))</f>
        <v/>
      </c>
      <c r="V50" s="177" t="str">
        <f>IF(_xlfn.XLOOKUP(RecallTable[[#This Row],[EDIPI]],MOLTable[EDIPI],MOLTable[Start Date],"ERR")="","",_xlfn.XLOOKUP(RecallTable[[#This Row],[EDIPI]],MOLTable[EDIPI],MOLTable[Start Date],"ERR"))</f>
        <v/>
      </c>
      <c r="W50" s="27" t="str">
        <f ca="1">IFERROR(_xlfn.DAYS(RecallTable[[#This Row],[Return Date]],TODAY()),"")</f>
        <v/>
      </c>
      <c r="X50" s="57"/>
      <c r="Y50" s="525"/>
      <c r="Z50" s="525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</row>
    <row r="51" spans="1:38" s="12" customFormat="1">
      <c r="A51" s="23" t="s">
        <v>183</v>
      </c>
      <c r="B51" s="21" t="s">
        <v>1142</v>
      </c>
      <c r="C51" s="23">
        <v>1086482908</v>
      </c>
      <c r="D51" s="23" t="s">
        <v>660</v>
      </c>
      <c r="E51" s="131">
        <v>1721</v>
      </c>
      <c r="F51" s="417" t="s">
        <v>228</v>
      </c>
      <c r="G51" s="478"/>
      <c r="H51" s="408">
        <v>44374</v>
      </c>
      <c r="I51" s="196">
        <v>38450</v>
      </c>
      <c r="J51" s="196">
        <v>41940</v>
      </c>
      <c r="K51" s="196">
        <v>47134</v>
      </c>
      <c r="L51" s="196">
        <v>44049</v>
      </c>
      <c r="M51" s="409">
        <v>30198</v>
      </c>
      <c r="N51" s="419">
        <v>6587978012</v>
      </c>
      <c r="O51" s="396" t="s">
        <v>1066</v>
      </c>
      <c r="P51" s="402">
        <v>83673623</v>
      </c>
      <c r="Q51" s="328">
        <v>440627</v>
      </c>
      <c r="R51" s="110" t="s">
        <v>932</v>
      </c>
      <c r="S51" s="133" t="str">
        <f>_xlfn.XLOOKUP(RecallTable[[#This Row],[EDIPI]],MOLTable[EDIPI],MOLTable[Category],"ERR")</f>
        <v>TAD</v>
      </c>
      <c r="T51" s="133" t="str">
        <f>IF(_xlfn.XLOOKUP(RecallTable[[#This Row],[EDIPI]],MOLTable[EDIPI],MOLTable[Location],"ERR")="","",_xlfn.XLOOKUP(RecallTable[[#This Row],[EDIPI]],MOLTable[EDIPI],MOLTable[Location],"ERR"))</f>
        <v>CTC</v>
      </c>
      <c r="U51" s="177">
        <f>IF(_xlfn.XLOOKUP(RecallTable[[#This Row],[EDIPI]],MOLTable[EDIPI],MOLTable[Start Date],"ERR")="","",_xlfn.XLOOKUP(RecallTable[[#This Row],[EDIPI]],MOLTable[EDIPI],MOLTable[Start Date],"ERR"))</f>
        <v>45383</v>
      </c>
      <c r="V51" s="177">
        <f>IF(_xlfn.XLOOKUP(RecallTable[[#This Row],[EDIPI]],MOLTable[EDIPI],MOLTable[Start Date],"ERR")="","",_xlfn.XLOOKUP(RecallTable[[#This Row],[EDIPI]],MOLTable[EDIPI],MOLTable[Start Date],"ERR"))</f>
        <v>45383</v>
      </c>
      <c r="W51" s="27">
        <f ca="1">IFERROR(_xlfn.DAYS(RecallTable[[#This Row],[Return Date]],TODAY()),"")</f>
        <v>-15</v>
      </c>
      <c r="X51" s="57"/>
      <c r="Y51" s="525"/>
      <c r="Z51" s="525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</row>
    <row r="52" spans="1:38" s="12" customFormat="1">
      <c r="A52" s="23" t="s">
        <v>182</v>
      </c>
      <c r="B52" s="192" t="s">
        <v>1143</v>
      </c>
      <c r="C52" s="23">
        <v>1378280647</v>
      </c>
      <c r="D52" s="23" t="s">
        <v>660</v>
      </c>
      <c r="E52" s="131">
        <v>1721</v>
      </c>
      <c r="F52" s="417" t="s">
        <v>228</v>
      </c>
      <c r="G52" s="478" t="s">
        <v>938</v>
      </c>
      <c r="H52" s="408">
        <v>45215</v>
      </c>
      <c r="I52" s="196">
        <v>42927</v>
      </c>
      <c r="J52" s="196">
        <v>41155</v>
      </c>
      <c r="K52" s="196">
        <v>46737</v>
      </c>
      <c r="L52" s="196">
        <v>45057</v>
      </c>
      <c r="M52" s="409">
        <v>34665</v>
      </c>
      <c r="N52" s="419">
        <v>5118204808</v>
      </c>
      <c r="O52" s="387" t="s">
        <v>1066</v>
      </c>
      <c r="P52" s="405">
        <v>41768336</v>
      </c>
      <c r="Q52" s="328">
        <v>644989</v>
      </c>
      <c r="R52" s="110" t="s">
        <v>930</v>
      </c>
      <c r="S52" s="133" t="str">
        <f>_xlfn.XLOOKUP(RecallTable[[#This Row],[EDIPI]],MOLTable[EDIPI],MOLTable[Category],"ERR")</f>
        <v>TAD</v>
      </c>
      <c r="T52" s="133" t="str">
        <f>IF(_xlfn.XLOOKUP(RecallTable[[#This Row],[EDIPI]],MOLTable[EDIPI],MOLTable[Location],"ERR")="","",_xlfn.XLOOKUP(RecallTable[[#This Row],[EDIPI]],MOLTable[EDIPI],MOLTable[Location],"ERR"))</f>
        <v>PME</v>
      </c>
      <c r="U52" s="177">
        <f>IF(_xlfn.XLOOKUP(RecallTable[[#This Row],[EDIPI]],MOLTable[EDIPI],MOLTable[Start Date],"ERR")="","",_xlfn.XLOOKUP(RecallTable[[#This Row],[EDIPI]],MOLTable[EDIPI],MOLTable[Start Date],"ERR"))</f>
        <v>45383</v>
      </c>
      <c r="V52" s="177">
        <f>IF(_xlfn.XLOOKUP(RecallTable[[#This Row],[EDIPI]],MOLTable[EDIPI],MOLTable[Start Date],"ERR")="","",_xlfn.XLOOKUP(RecallTable[[#This Row],[EDIPI]],MOLTable[EDIPI],MOLTable[Start Date],"ERR"))</f>
        <v>45383</v>
      </c>
      <c r="W52" s="27">
        <f ca="1">IFERROR(_xlfn.DAYS(RecallTable[[#This Row],[Return Date]],TODAY()),"")</f>
        <v>-15</v>
      </c>
      <c r="X52" s="57"/>
      <c r="Y52" s="525"/>
      <c r="Z52" s="525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</row>
    <row r="53" spans="1:38" s="12" customFormat="1">
      <c r="A53" s="23" t="s">
        <v>182</v>
      </c>
      <c r="B53" s="192" t="s">
        <v>1144</v>
      </c>
      <c r="C53" s="23">
        <v>1376933246</v>
      </c>
      <c r="D53" s="23" t="s">
        <v>660</v>
      </c>
      <c r="E53" s="131">
        <v>1721</v>
      </c>
      <c r="F53" s="417" t="s">
        <v>228</v>
      </c>
      <c r="G53" s="478" t="s">
        <v>934</v>
      </c>
      <c r="H53" s="408">
        <v>44211</v>
      </c>
      <c r="I53" s="196">
        <v>42748</v>
      </c>
      <c r="J53" s="196">
        <v>40341</v>
      </c>
      <c r="K53" s="196">
        <v>47034</v>
      </c>
      <c r="L53" s="196">
        <v>43902</v>
      </c>
      <c r="M53" s="409">
        <v>29761</v>
      </c>
      <c r="N53" s="419">
        <v>9133167048</v>
      </c>
      <c r="O53" s="385" t="s">
        <v>1066</v>
      </c>
      <c r="P53" s="402">
        <v>74002509</v>
      </c>
      <c r="Q53" s="328">
        <v>283022</v>
      </c>
      <c r="R53" s="110" t="s">
        <v>930</v>
      </c>
      <c r="S53" s="133" t="str">
        <f>_xlfn.XLOOKUP(RecallTable[[#This Row],[EDIPI]],MOLTable[EDIPI],MOLTable[Category],"ERR")</f>
        <v>On Hand</v>
      </c>
      <c r="T53" s="133" t="str">
        <f>IF(_xlfn.XLOOKUP(RecallTable[[#This Row],[EDIPI]],MOLTable[EDIPI],MOLTable[Location],"ERR")="","",_xlfn.XLOOKUP(RecallTable[[#This Row],[EDIPI]],MOLTable[EDIPI],MOLTable[Location],"ERR"))</f>
        <v/>
      </c>
      <c r="U53" s="177" t="str">
        <f>IF(_xlfn.XLOOKUP(RecallTable[[#This Row],[EDIPI]],MOLTable[EDIPI],MOLTable[Start Date],"ERR")="","",_xlfn.XLOOKUP(RecallTable[[#This Row],[EDIPI]],MOLTable[EDIPI],MOLTable[Start Date],"ERR"))</f>
        <v/>
      </c>
      <c r="V53" s="177" t="str">
        <f>IF(_xlfn.XLOOKUP(RecallTable[[#This Row],[EDIPI]],MOLTable[EDIPI],MOLTable[Start Date],"ERR")="","",_xlfn.XLOOKUP(RecallTable[[#This Row],[EDIPI]],MOLTable[EDIPI],MOLTable[Start Date],"ERR"))</f>
        <v/>
      </c>
      <c r="W53" s="27" t="str">
        <f ca="1">IFERROR(_xlfn.DAYS(RecallTable[[#This Row],[Return Date]],TODAY()),"")</f>
        <v/>
      </c>
      <c r="X53" s="57"/>
      <c r="Y53" s="525"/>
      <c r="Z53" s="525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</row>
    <row r="54" spans="1:38" s="12" customFormat="1">
      <c r="A54" s="23" t="s">
        <v>181</v>
      </c>
      <c r="B54" s="191" t="s">
        <v>1145</v>
      </c>
      <c r="C54" s="23">
        <v>1480655370</v>
      </c>
      <c r="D54" s="23" t="s">
        <v>660</v>
      </c>
      <c r="E54" s="131">
        <v>1721</v>
      </c>
      <c r="F54" s="417" t="s">
        <v>228</v>
      </c>
      <c r="G54" s="478" t="s">
        <v>938</v>
      </c>
      <c r="H54" s="408">
        <v>45183</v>
      </c>
      <c r="I54" s="196">
        <v>37000</v>
      </c>
      <c r="J54" s="196">
        <v>42198</v>
      </c>
      <c r="K54" s="196">
        <v>47454</v>
      </c>
      <c r="L54" s="196">
        <v>45025</v>
      </c>
      <c r="M54" s="409">
        <v>33037</v>
      </c>
      <c r="N54" s="419">
        <v>1318522577</v>
      </c>
      <c r="O54" s="387" t="s">
        <v>1084</v>
      </c>
      <c r="P54" s="402">
        <v>84332187</v>
      </c>
      <c r="Q54" s="328">
        <v>521100</v>
      </c>
      <c r="R54" s="110" t="s">
        <v>930</v>
      </c>
      <c r="S54" s="133" t="str">
        <f>_xlfn.XLOOKUP(RecallTable[[#This Row],[EDIPI]],MOLTable[EDIPI],MOLTable[Category],"ERR")</f>
        <v>On Hand</v>
      </c>
      <c r="T54" s="133" t="str">
        <f>IF(_xlfn.XLOOKUP(RecallTable[[#This Row],[EDIPI]],MOLTable[EDIPI],MOLTable[Location],"ERR")="","",_xlfn.XLOOKUP(RecallTable[[#This Row],[EDIPI]],MOLTable[EDIPI],MOLTable[Location],"ERR"))</f>
        <v/>
      </c>
      <c r="U54" s="177" t="str">
        <f>IF(_xlfn.XLOOKUP(RecallTable[[#This Row],[EDIPI]],MOLTable[EDIPI],MOLTable[Start Date],"ERR")="","",_xlfn.XLOOKUP(RecallTable[[#This Row],[EDIPI]],MOLTable[EDIPI],MOLTable[Start Date],"ERR"))</f>
        <v/>
      </c>
      <c r="V54" s="177" t="str">
        <f>IF(_xlfn.XLOOKUP(RecallTable[[#This Row],[EDIPI]],MOLTable[EDIPI],MOLTable[Start Date],"ERR")="","",_xlfn.XLOOKUP(RecallTable[[#This Row],[EDIPI]],MOLTable[EDIPI],MOLTable[Start Date],"ERR"))</f>
        <v/>
      </c>
      <c r="W54" s="27" t="str">
        <f ca="1">IFERROR(_xlfn.DAYS(RecallTable[[#This Row],[Return Date]],TODAY()),"")</f>
        <v/>
      </c>
      <c r="X54" s="57"/>
      <c r="Y54" s="525"/>
      <c r="Z54" s="525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</row>
    <row r="55" spans="1:38" s="12" customFormat="1">
      <c r="A55" s="23" t="s">
        <v>181</v>
      </c>
      <c r="B55" s="21" t="s">
        <v>1146</v>
      </c>
      <c r="C55" s="23">
        <v>1328891644</v>
      </c>
      <c r="D55" s="23" t="s">
        <v>660</v>
      </c>
      <c r="E55" s="131">
        <v>1721</v>
      </c>
      <c r="F55" s="417" t="s">
        <v>228</v>
      </c>
      <c r="G55" s="478" t="s">
        <v>934</v>
      </c>
      <c r="H55" s="408">
        <v>45193</v>
      </c>
      <c r="I55" s="196">
        <v>42462</v>
      </c>
      <c r="J55" s="196">
        <v>38032</v>
      </c>
      <c r="K55" s="196">
        <v>46057</v>
      </c>
      <c r="L55" s="196">
        <v>44724</v>
      </c>
      <c r="M55" s="409">
        <v>32688</v>
      </c>
      <c r="N55" s="419">
        <v>7432708729</v>
      </c>
      <c r="O55" s="387" t="s">
        <v>1176</v>
      </c>
      <c r="P55" s="405">
        <v>58718401</v>
      </c>
      <c r="Q55" s="108">
        <v>183158</v>
      </c>
      <c r="R55" s="110" t="s">
        <v>939</v>
      </c>
      <c r="S55" s="133" t="str">
        <f>_xlfn.XLOOKUP(RecallTable[[#This Row],[EDIPI]],MOLTable[EDIPI],MOLTable[Category],"ERR")</f>
        <v>On Hand</v>
      </c>
      <c r="T55" s="133" t="str">
        <f>IF(_xlfn.XLOOKUP(RecallTable[[#This Row],[EDIPI]],MOLTable[EDIPI],MOLTable[Location],"ERR")="","",_xlfn.XLOOKUP(RecallTable[[#This Row],[EDIPI]],MOLTable[EDIPI],MOLTable[Location],"ERR"))</f>
        <v/>
      </c>
      <c r="U55" s="177" t="str">
        <f>IF(_xlfn.XLOOKUP(RecallTable[[#This Row],[EDIPI]],MOLTable[EDIPI],MOLTable[Start Date],"ERR")="","",_xlfn.XLOOKUP(RecallTable[[#This Row],[EDIPI]],MOLTable[EDIPI],MOLTable[Start Date],"ERR"))</f>
        <v/>
      </c>
      <c r="V55" s="177" t="str">
        <f>IF(_xlfn.XLOOKUP(RecallTable[[#This Row],[EDIPI]],MOLTable[EDIPI],MOLTable[Start Date],"ERR")="","",_xlfn.XLOOKUP(RecallTable[[#This Row],[EDIPI]],MOLTable[EDIPI],MOLTable[Start Date],"ERR"))</f>
        <v/>
      </c>
      <c r="W55" s="27" t="str">
        <f ca="1">IFERROR(_xlfn.DAYS(RecallTable[[#This Row],[Return Date]],TODAY()),"")</f>
        <v/>
      </c>
      <c r="X55" s="57"/>
      <c r="Y55" s="525"/>
      <c r="Z55" s="525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</row>
    <row r="56" spans="1:38" s="12" customFormat="1">
      <c r="A56" s="23" t="s">
        <v>181</v>
      </c>
      <c r="B56" s="9" t="s">
        <v>1147</v>
      </c>
      <c r="C56" s="23">
        <v>1583347169</v>
      </c>
      <c r="D56" s="23" t="s">
        <v>660</v>
      </c>
      <c r="E56" s="131">
        <v>1700</v>
      </c>
      <c r="F56" s="417" t="s">
        <v>228</v>
      </c>
      <c r="G56" s="478" t="s">
        <v>938</v>
      </c>
      <c r="H56" s="408">
        <v>45133</v>
      </c>
      <c r="I56" s="196">
        <v>43241</v>
      </c>
      <c r="J56" s="196">
        <v>38586</v>
      </c>
      <c r="K56" s="290">
        <v>47006</v>
      </c>
      <c r="L56" s="290">
        <v>44889</v>
      </c>
      <c r="M56" s="412">
        <v>33720</v>
      </c>
      <c r="N56" s="422">
        <v>6357087574</v>
      </c>
      <c r="O56" s="387" t="s">
        <v>1070</v>
      </c>
      <c r="P56" s="405">
        <v>47729927</v>
      </c>
      <c r="Q56" s="108">
        <v>390442</v>
      </c>
      <c r="R56" s="110" t="s">
        <v>930</v>
      </c>
      <c r="S56" s="133" t="str">
        <f>_xlfn.XLOOKUP(RecallTable[[#This Row],[EDIPI]],MOLTable[EDIPI],MOLTable[Category],"ERR")</f>
        <v>On Hand</v>
      </c>
      <c r="T56" s="133" t="str">
        <f>IF(_xlfn.XLOOKUP(RecallTable[[#This Row],[EDIPI]],MOLTable[EDIPI],MOLTable[Location],"ERR")="","",_xlfn.XLOOKUP(RecallTable[[#This Row],[EDIPI]],MOLTable[EDIPI],MOLTable[Location],"ERR"))</f>
        <v/>
      </c>
      <c r="U56" s="177" t="str">
        <f>IF(_xlfn.XLOOKUP(RecallTable[[#This Row],[EDIPI]],MOLTable[EDIPI],MOLTable[Start Date],"ERR")="","",_xlfn.XLOOKUP(RecallTable[[#This Row],[EDIPI]],MOLTable[EDIPI],MOLTable[Start Date],"ERR"))</f>
        <v/>
      </c>
      <c r="V56" s="177" t="str">
        <f>IF(_xlfn.XLOOKUP(RecallTable[[#This Row],[EDIPI]],MOLTable[EDIPI],MOLTable[Start Date],"ERR")="","",_xlfn.XLOOKUP(RecallTable[[#This Row],[EDIPI]],MOLTable[EDIPI],MOLTable[Start Date],"ERR"))</f>
        <v/>
      </c>
      <c r="W56" s="27" t="str">
        <f ca="1">IFERROR(_xlfn.DAYS(RecallTable[[#This Row],[Return Date]],TODAY()),"")</f>
        <v/>
      </c>
      <c r="X56" s="57"/>
      <c r="Y56" s="525"/>
      <c r="Z56" s="525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</row>
    <row r="57" spans="1:38">
      <c r="A57" s="23" t="s">
        <v>180</v>
      </c>
      <c r="B57" s="9" t="s">
        <v>1148</v>
      </c>
      <c r="C57" s="23">
        <v>1110516278</v>
      </c>
      <c r="D57" s="23" t="s">
        <v>660</v>
      </c>
      <c r="E57" s="131">
        <v>1721</v>
      </c>
      <c r="F57" s="417" t="s">
        <v>228</v>
      </c>
      <c r="G57" s="478" t="s">
        <v>934</v>
      </c>
      <c r="H57" s="408">
        <v>45027</v>
      </c>
      <c r="I57" s="196">
        <v>42697</v>
      </c>
      <c r="J57" s="196">
        <v>42159</v>
      </c>
      <c r="K57" s="290">
        <v>46995</v>
      </c>
      <c r="L57" s="290">
        <v>45259</v>
      </c>
      <c r="M57" s="412">
        <v>36486</v>
      </c>
      <c r="N57" s="422">
        <v>4120355650</v>
      </c>
      <c r="O57" s="387" t="s">
        <v>1182</v>
      </c>
      <c r="P57" s="402">
        <v>20026453</v>
      </c>
      <c r="Q57" s="108">
        <v>264522</v>
      </c>
      <c r="R57" s="110" t="s">
        <v>930</v>
      </c>
      <c r="S57" s="133" t="str">
        <f>_xlfn.XLOOKUP(RecallTable[[#This Row],[EDIPI]],MOLTable[EDIPI],MOLTable[Category],"ERR")</f>
        <v>On Hand</v>
      </c>
      <c r="T57" s="133" t="str">
        <f>IF(_xlfn.XLOOKUP(RecallTable[[#This Row],[EDIPI]],MOLTable[EDIPI],MOLTable[Location],"ERR")="","",_xlfn.XLOOKUP(RecallTable[[#This Row],[EDIPI]],MOLTable[EDIPI],MOLTable[Location],"ERR"))</f>
        <v/>
      </c>
      <c r="U57" s="177" t="str">
        <f>IF(_xlfn.XLOOKUP(RecallTable[[#This Row],[EDIPI]],MOLTable[EDIPI],MOLTable[Start Date],"ERR")="","",_xlfn.XLOOKUP(RecallTable[[#This Row],[EDIPI]],MOLTable[EDIPI],MOLTable[Start Date],"ERR"))</f>
        <v/>
      </c>
      <c r="V57" s="177" t="str">
        <f>IF(_xlfn.XLOOKUP(RecallTable[[#This Row],[EDIPI]],MOLTable[EDIPI],MOLTable[Start Date],"ERR")="","",_xlfn.XLOOKUP(RecallTable[[#This Row],[EDIPI]],MOLTable[EDIPI],MOLTable[Start Date],"ERR"))</f>
        <v/>
      </c>
      <c r="W57" s="27" t="str">
        <f ca="1">IFERROR(_xlfn.DAYS(RecallTable[[#This Row],[Return Date]],TODAY()),"")</f>
        <v/>
      </c>
      <c r="X57" s="57"/>
      <c r="Y57" s="525"/>
      <c r="Z57" s="525"/>
    </row>
    <row r="58" spans="1:38" s="12" customFormat="1">
      <c r="A58" s="23" t="s">
        <v>180</v>
      </c>
      <c r="B58" s="497" t="s">
        <v>1149</v>
      </c>
      <c r="C58" s="23">
        <v>1288365821</v>
      </c>
      <c r="D58" s="23" t="s">
        <v>862</v>
      </c>
      <c r="E58" s="131">
        <v>1721</v>
      </c>
      <c r="F58" s="417" t="s">
        <v>228</v>
      </c>
      <c r="G58" s="478" t="s">
        <v>938</v>
      </c>
      <c r="H58" s="411">
        <v>44314</v>
      </c>
      <c r="I58" s="290">
        <v>38165</v>
      </c>
      <c r="J58" s="290">
        <v>43358</v>
      </c>
      <c r="K58" s="290">
        <v>46845</v>
      </c>
      <c r="L58" s="290">
        <v>44988</v>
      </c>
      <c r="M58" s="412">
        <v>35600</v>
      </c>
      <c r="N58" s="422">
        <v>4518183483</v>
      </c>
      <c r="O58" s="387" t="s">
        <v>1084</v>
      </c>
      <c r="P58" s="402">
        <v>17038274</v>
      </c>
      <c r="Q58" s="328">
        <v>551693</v>
      </c>
      <c r="R58" s="110" t="s">
        <v>931</v>
      </c>
      <c r="S58" s="133" t="str">
        <f>_xlfn.XLOOKUP(RecallTable[[#This Row],[EDIPI]],MOLTable[EDIPI],MOLTable[Category],"ERR")</f>
        <v>On Hand</v>
      </c>
      <c r="T58" s="133" t="str">
        <f>IF(_xlfn.XLOOKUP(RecallTable[[#This Row],[EDIPI]],MOLTable[EDIPI],MOLTable[Location],"ERR")="","",_xlfn.XLOOKUP(RecallTable[[#This Row],[EDIPI]],MOLTable[EDIPI],MOLTable[Location],"ERR"))</f>
        <v/>
      </c>
      <c r="U58" s="177" t="str">
        <f>IF(_xlfn.XLOOKUP(RecallTable[[#This Row],[EDIPI]],MOLTable[EDIPI],MOLTable[Start Date],"ERR")="","",_xlfn.XLOOKUP(RecallTable[[#This Row],[EDIPI]],MOLTable[EDIPI],MOLTable[Start Date],"ERR"))</f>
        <v/>
      </c>
      <c r="V58" s="177" t="str">
        <f>IF(_xlfn.XLOOKUP(RecallTable[[#This Row],[EDIPI]],MOLTable[EDIPI],MOLTable[Start Date],"ERR")="","",_xlfn.XLOOKUP(RecallTable[[#This Row],[EDIPI]],MOLTable[EDIPI],MOLTable[Start Date],"ERR"))</f>
        <v/>
      </c>
      <c r="W58" s="29" t="str">
        <f ca="1">IFERROR(_xlfn.DAYS(RecallTable[[#This Row],[Return Date]],TODAY()),"")</f>
        <v/>
      </c>
      <c r="X58" s="57"/>
      <c r="Y58" s="525"/>
      <c r="Z58" s="525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</row>
    <row r="59" spans="1:38" s="12" customFormat="1">
      <c r="A59" s="23" t="s">
        <v>180</v>
      </c>
      <c r="B59" s="289" t="s">
        <v>1150</v>
      </c>
      <c r="C59" s="23">
        <v>1236623846</v>
      </c>
      <c r="D59" s="23" t="s">
        <v>660</v>
      </c>
      <c r="E59" s="131">
        <v>1721</v>
      </c>
      <c r="F59" s="417" t="s">
        <v>228</v>
      </c>
      <c r="G59" s="478" t="s">
        <v>934</v>
      </c>
      <c r="H59" s="411">
        <v>45232</v>
      </c>
      <c r="I59" s="290">
        <v>44502</v>
      </c>
      <c r="J59" s="290">
        <v>40842</v>
      </c>
      <c r="K59" s="290">
        <v>46885</v>
      </c>
      <c r="L59" s="290">
        <v>44835</v>
      </c>
      <c r="M59" s="412">
        <v>31085</v>
      </c>
      <c r="N59" s="422">
        <v>8217373822</v>
      </c>
      <c r="O59" s="387" t="s">
        <v>1076</v>
      </c>
      <c r="P59" s="402">
        <v>41949111</v>
      </c>
      <c r="Q59" s="328">
        <v>529827</v>
      </c>
      <c r="R59" s="359" t="s">
        <v>932</v>
      </c>
      <c r="S59" s="133" t="str">
        <f>_xlfn.XLOOKUP(RecallTable[[#This Row],[EDIPI]],MOLTable[EDIPI],MOLTable[Category],"ERR")</f>
        <v>On Hand</v>
      </c>
      <c r="T59" s="133" t="str">
        <f>IF(_xlfn.XLOOKUP(RecallTable[[#This Row],[EDIPI]],MOLTable[EDIPI],MOLTable[Location],"ERR")="","",_xlfn.XLOOKUP(RecallTable[[#This Row],[EDIPI]],MOLTable[EDIPI],MOLTable[Location],"ERR"))</f>
        <v/>
      </c>
      <c r="U59" s="177" t="str">
        <f>IF(_xlfn.XLOOKUP(RecallTable[[#This Row],[EDIPI]],MOLTable[EDIPI],MOLTable[Start Date],"ERR")="","",_xlfn.XLOOKUP(RecallTable[[#This Row],[EDIPI]],MOLTable[EDIPI],MOLTable[Start Date],"ERR"))</f>
        <v/>
      </c>
      <c r="V59" s="177" t="str">
        <f>IF(_xlfn.XLOOKUP(RecallTable[[#This Row],[EDIPI]],MOLTable[EDIPI],MOLTable[Start Date],"ERR")="","",_xlfn.XLOOKUP(RecallTable[[#This Row],[EDIPI]],MOLTable[EDIPI],MOLTable[Start Date],"ERR"))</f>
        <v/>
      </c>
      <c r="W59" s="27" t="str">
        <f ca="1">IFERROR(_xlfn.DAYS(RecallTable[[#This Row],[Return Date]],TODAY()),"")</f>
        <v/>
      </c>
      <c r="X59" s="57"/>
      <c r="Y59" s="525"/>
      <c r="Z59" s="525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</row>
    <row r="60" spans="1:38">
      <c r="A60" s="23" t="s">
        <v>180</v>
      </c>
      <c r="B60" s="21" t="s">
        <v>1151</v>
      </c>
      <c r="C60" s="23">
        <v>1565683368</v>
      </c>
      <c r="D60" s="23" t="s">
        <v>660</v>
      </c>
      <c r="E60" s="131">
        <v>1721</v>
      </c>
      <c r="F60" s="417" t="s">
        <v>228</v>
      </c>
      <c r="G60" s="478" t="s">
        <v>934</v>
      </c>
      <c r="H60" s="408">
        <v>44880</v>
      </c>
      <c r="I60" s="196">
        <v>42819</v>
      </c>
      <c r="J60" s="196">
        <v>37230</v>
      </c>
      <c r="K60" s="290">
        <v>45818</v>
      </c>
      <c r="L60" s="290">
        <v>44522</v>
      </c>
      <c r="M60" s="412">
        <v>30954</v>
      </c>
      <c r="N60" s="422">
        <v>3548027857</v>
      </c>
      <c r="O60" s="393" t="s">
        <v>1077</v>
      </c>
      <c r="P60" s="398">
        <v>86070099</v>
      </c>
      <c r="Q60" s="329">
        <v>386524</v>
      </c>
      <c r="R60" s="134" t="s">
        <v>930</v>
      </c>
      <c r="S60" s="133" t="str">
        <f>_xlfn.XLOOKUP(RecallTable[[#This Row],[EDIPI]],MOLTable[EDIPI],MOLTable[Category],"ERR")</f>
        <v>On Hand</v>
      </c>
      <c r="T60" s="133" t="str">
        <f>IF(_xlfn.XLOOKUP(RecallTable[[#This Row],[EDIPI]],MOLTable[EDIPI],MOLTable[Location],"ERR")="","",_xlfn.XLOOKUP(RecallTable[[#This Row],[EDIPI]],MOLTable[EDIPI],MOLTable[Location],"ERR"))</f>
        <v/>
      </c>
      <c r="U60" s="177" t="str">
        <f>IF(_xlfn.XLOOKUP(RecallTable[[#This Row],[EDIPI]],MOLTable[EDIPI],MOLTable[Start Date],"ERR")="","",_xlfn.XLOOKUP(RecallTable[[#This Row],[EDIPI]],MOLTable[EDIPI],MOLTable[Start Date],"ERR"))</f>
        <v/>
      </c>
      <c r="V60" s="177" t="str">
        <f>IF(_xlfn.XLOOKUP(RecallTable[[#This Row],[EDIPI]],MOLTable[EDIPI],MOLTable[Start Date],"ERR")="","",_xlfn.XLOOKUP(RecallTable[[#This Row],[EDIPI]],MOLTable[EDIPI],MOLTable[Start Date],"ERR"))</f>
        <v/>
      </c>
      <c r="W60" s="27" t="str">
        <f ca="1">IFERROR(_xlfn.DAYS(RecallTable[[#This Row],[Return Date]],TODAY()),"")</f>
        <v/>
      </c>
      <c r="X60" s="57"/>
      <c r="Y60" s="525"/>
      <c r="Z60" s="525"/>
    </row>
    <row r="61" spans="1:38" s="12" customFormat="1">
      <c r="A61" s="23" t="s">
        <v>180</v>
      </c>
      <c r="B61" s="21" t="s">
        <v>1152</v>
      </c>
      <c r="C61" s="23">
        <v>1064194807</v>
      </c>
      <c r="D61" s="23" t="s">
        <v>660</v>
      </c>
      <c r="E61" s="131">
        <v>1721</v>
      </c>
      <c r="F61" s="417" t="s">
        <v>228</v>
      </c>
      <c r="G61" s="478" t="s">
        <v>938</v>
      </c>
      <c r="H61" s="408">
        <v>45238</v>
      </c>
      <c r="I61" s="196">
        <v>38986</v>
      </c>
      <c r="J61" s="196">
        <v>41966</v>
      </c>
      <c r="K61" s="290">
        <v>46048</v>
      </c>
      <c r="L61" s="290">
        <v>45009</v>
      </c>
      <c r="M61" s="412">
        <v>36511</v>
      </c>
      <c r="N61" s="422">
        <v>1290404387</v>
      </c>
      <c r="O61" s="387" t="s">
        <v>1086</v>
      </c>
      <c r="P61" s="402">
        <v>45826382</v>
      </c>
      <c r="Q61" s="328">
        <v>144304</v>
      </c>
      <c r="R61" s="110" t="s">
        <v>937</v>
      </c>
      <c r="S61" s="133" t="str">
        <f>_xlfn.XLOOKUP(RecallTable[[#This Row],[EDIPI]],MOLTable[EDIPI],MOLTable[Category],"ERR")</f>
        <v>TAD</v>
      </c>
      <c r="T61" s="133" t="str">
        <f>IF(_xlfn.XLOOKUP(RecallTable[[#This Row],[EDIPI]],MOLTable[EDIPI],MOLTable[Location],"ERR")="","",_xlfn.XLOOKUP(RecallTable[[#This Row],[EDIPI]],MOLTable[EDIPI],MOLTable[Location],"ERR"))</f>
        <v>CTC</v>
      </c>
      <c r="U61" s="177">
        <f>IF(_xlfn.XLOOKUP(RecallTable[[#This Row],[EDIPI]],MOLTable[EDIPI],MOLTable[Start Date],"ERR")="","",_xlfn.XLOOKUP(RecallTable[[#This Row],[EDIPI]],MOLTable[EDIPI],MOLTable[Start Date],"ERR"))</f>
        <v>45383</v>
      </c>
      <c r="V61" s="177">
        <f>IF(_xlfn.XLOOKUP(RecallTable[[#This Row],[EDIPI]],MOLTable[EDIPI],MOLTable[Start Date],"ERR")="","",_xlfn.XLOOKUP(RecallTable[[#This Row],[EDIPI]],MOLTable[EDIPI],MOLTable[Start Date],"ERR"))</f>
        <v>45383</v>
      </c>
      <c r="W61" s="27">
        <f ca="1">IFERROR(_xlfn.DAYS(RecallTable[[#This Row],[Return Date]],TODAY()),"")</f>
        <v>-15</v>
      </c>
      <c r="X61" s="57"/>
      <c r="Y61" s="525"/>
      <c r="Z61" s="525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</row>
    <row r="62" spans="1:38" s="12" customFormat="1">
      <c r="A62" s="438" t="s">
        <v>180</v>
      </c>
      <c r="B62" s="289" t="s">
        <v>1153</v>
      </c>
      <c r="C62" s="23">
        <v>1288033004</v>
      </c>
      <c r="D62" s="23" t="s">
        <v>660</v>
      </c>
      <c r="E62" s="131">
        <v>1721</v>
      </c>
      <c r="F62" s="417" t="s">
        <v>228</v>
      </c>
      <c r="G62" s="478" t="s">
        <v>934</v>
      </c>
      <c r="H62" s="411">
        <v>44702</v>
      </c>
      <c r="I62" s="290">
        <v>42031</v>
      </c>
      <c r="J62" s="290">
        <v>37893</v>
      </c>
      <c r="K62" s="290">
        <v>46802</v>
      </c>
      <c r="L62" s="290">
        <v>43828</v>
      </c>
      <c r="M62" s="412">
        <v>34973</v>
      </c>
      <c r="N62" s="422">
        <v>8080675823</v>
      </c>
      <c r="O62" s="441" t="s">
        <v>1086</v>
      </c>
      <c r="P62" s="402">
        <v>48526547</v>
      </c>
      <c r="Q62" s="328">
        <v>293387</v>
      </c>
      <c r="R62" s="110"/>
      <c r="S62" s="133" t="str">
        <f>_xlfn.XLOOKUP(RecallTable[[#This Row],[EDIPI]],MOLTable[EDIPI],MOLTable[Category],"ERR")</f>
        <v>TAD</v>
      </c>
      <c r="T62" s="133" t="str">
        <f>IF(_xlfn.XLOOKUP(RecallTable[[#This Row],[EDIPI]],MOLTable[EDIPI],MOLTable[Location],"ERR")="","",_xlfn.XLOOKUP(RecallTable[[#This Row],[EDIPI]],MOLTable[EDIPI],MOLTable[Location],"ERR"))</f>
        <v>PME</v>
      </c>
      <c r="U62" s="177">
        <f>IF(_xlfn.XLOOKUP(RecallTable[[#This Row],[EDIPI]],MOLTable[EDIPI],MOLTable[Start Date],"ERR")="","",_xlfn.XLOOKUP(RecallTable[[#This Row],[EDIPI]],MOLTable[EDIPI],MOLTable[Start Date],"ERR"))</f>
        <v>45383</v>
      </c>
      <c r="V62" s="177">
        <f>IF(_xlfn.XLOOKUP(RecallTable[[#This Row],[EDIPI]],MOLTable[EDIPI],MOLTable[Start Date],"ERR")="","",_xlfn.XLOOKUP(RecallTable[[#This Row],[EDIPI]],MOLTable[EDIPI],MOLTable[Start Date],"ERR"))</f>
        <v>45383</v>
      </c>
      <c r="W62" s="29">
        <f ca="1">IFERROR(_xlfn.DAYS(RecallTable[[#This Row],[Return Date]],TODAY()),"")</f>
        <v>-15</v>
      </c>
      <c r="X62" s="57"/>
      <c r="Y62" s="525"/>
      <c r="Z62" s="525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</row>
    <row r="63" spans="1:38" s="12" customFormat="1">
      <c r="A63" s="23" t="s">
        <v>185</v>
      </c>
      <c r="B63" s="21" t="s">
        <v>1154</v>
      </c>
      <c r="C63" s="23">
        <v>1392481230</v>
      </c>
      <c r="D63" s="23" t="s">
        <v>660</v>
      </c>
      <c r="E63" s="131">
        <v>1702</v>
      </c>
      <c r="F63" s="417" t="s">
        <v>215</v>
      </c>
      <c r="G63" s="478"/>
      <c r="H63" s="408">
        <v>45093</v>
      </c>
      <c r="I63" s="196">
        <v>43377</v>
      </c>
      <c r="J63" s="196">
        <v>38749</v>
      </c>
      <c r="K63" s="196">
        <v>46745</v>
      </c>
      <c r="L63" s="196">
        <v>43608</v>
      </c>
      <c r="M63" s="409">
        <v>32139</v>
      </c>
      <c r="N63" s="419">
        <v>4242701988</v>
      </c>
      <c r="O63" s="387" t="s">
        <v>1066</v>
      </c>
      <c r="P63" s="402">
        <v>17519022</v>
      </c>
      <c r="Q63" s="328">
        <v>285346</v>
      </c>
      <c r="R63" s="110" t="s">
        <v>930</v>
      </c>
      <c r="S63" s="133" t="str">
        <f>_xlfn.XLOOKUP(RecallTable[[#This Row],[EDIPI]],MOLTable[EDIPI],MOLTable[Category],"ERR")</f>
        <v>On Hand</v>
      </c>
      <c r="T63" s="133" t="str">
        <f>IF(_xlfn.XLOOKUP(RecallTable[[#This Row],[EDIPI]],MOLTable[EDIPI],MOLTable[Location],"ERR")="","",_xlfn.XLOOKUP(RecallTable[[#This Row],[EDIPI]],MOLTable[EDIPI],MOLTable[Location],"ERR"))</f>
        <v/>
      </c>
      <c r="U63" s="177" t="str">
        <f>IF(_xlfn.XLOOKUP(RecallTable[[#This Row],[EDIPI]],MOLTable[EDIPI],MOLTable[Start Date],"ERR")="","",_xlfn.XLOOKUP(RecallTable[[#This Row],[EDIPI]],MOLTable[EDIPI],MOLTable[Start Date],"ERR"))</f>
        <v/>
      </c>
      <c r="V63" s="177" t="str">
        <f>IF(_xlfn.XLOOKUP(RecallTable[[#This Row],[EDIPI]],MOLTable[EDIPI],MOLTable[Start Date],"ERR")="","",_xlfn.XLOOKUP(RecallTable[[#This Row],[EDIPI]],MOLTable[EDIPI],MOLTable[Start Date],"ERR"))</f>
        <v/>
      </c>
      <c r="W63" s="27" t="str">
        <f ca="1">IFERROR(_xlfn.DAYS(RecallTable[[#This Row],[Return Date]],TODAY()),"")</f>
        <v/>
      </c>
      <c r="X63" s="57"/>
      <c r="Y63" s="525"/>
      <c r="Z63" s="525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</row>
    <row r="64" spans="1:38" s="12" customFormat="1">
      <c r="A64" s="23" t="s">
        <v>188</v>
      </c>
      <c r="B64" s="191" t="s">
        <v>1155</v>
      </c>
      <c r="C64" s="23">
        <v>1218608114</v>
      </c>
      <c r="D64" s="439" t="s">
        <v>660</v>
      </c>
      <c r="E64" s="131">
        <v>1702</v>
      </c>
      <c r="F64" s="486" t="s">
        <v>215</v>
      </c>
      <c r="G64" s="478"/>
      <c r="H64" s="408">
        <v>45234</v>
      </c>
      <c r="I64" s="290">
        <v>40498</v>
      </c>
      <c r="J64" s="290">
        <v>40061</v>
      </c>
      <c r="K64" s="196">
        <v>47275</v>
      </c>
      <c r="L64" s="196">
        <v>43630</v>
      </c>
      <c r="M64" s="412">
        <v>33367</v>
      </c>
      <c r="N64" s="419">
        <v>3345662068</v>
      </c>
      <c r="O64" s="387" t="s">
        <v>1066</v>
      </c>
      <c r="P64" s="402">
        <v>77063725</v>
      </c>
      <c r="Q64" s="328">
        <v>360606</v>
      </c>
      <c r="R64" s="110" t="s">
        <v>940</v>
      </c>
      <c r="S64" s="133" t="str">
        <f>_xlfn.XLOOKUP(RecallTable[[#This Row],[EDIPI]],MOLTable[EDIPI],MOLTable[Category],"ERR")</f>
        <v>On Hand</v>
      </c>
      <c r="T64" s="133" t="str">
        <f>IF(_xlfn.XLOOKUP(RecallTable[[#This Row],[EDIPI]],MOLTable[EDIPI],MOLTable[Location],"ERR")="","",_xlfn.XLOOKUP(RecallTable[[#This Row],[EDIPI]],MOLTable[EDIPI],MOLTable[Location],"ERR"))</f>
        <v/>
      </c>
      <c r="U64" s="177" t="str">
        <f>IF(_xlfn.XLOOKUP(RecallTable[[#This Row],[EDIPI]],MOLTable[EDIPI],MOLTable[Start Date],"ERR")="","",_xlfn.XLOOKUP(RecallTable[[#This Row],[EDIPI]],MOLTable[EDIPI],MOLTable[Start Date],"ERR"))</f>
        <v/>
      </c>
      <c r="V64" s="177" t="str">
        <f>IF(_xlfn.XLOOKUP(RecallTable[[#This Row],[EDIPI]],MOLTable[EDIPI],MOLTable[Start Date],"ERR")="","",_xlfn.XLOOKUP(RecallTable[[#This Row],[EDIPI]],MOLTable[EDIPI],MOLTable[Start Date],"ERR"))</f>
        <v/>
      </c>
      <c r="W64" s="29" t="str">
        <f ca="1">IFERROR(_xlfn.DAYS(RecallTable[[#This Row],[Return Date]],TODAY()),"")</f>
        <v/>
      </c>
      <c r="X64" s="57"/>
      <c r="Y64" s="525"/>
      <c r="Z64" s="525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</row>
    <row r="65" spans="1:38" s="12" customFormat="1">
      <c r="A65" s="23" t="s">
        <v>184</v>
      </c>
      <c r="B65" s="21" t="s">
        <v>1156</v>
      </c>
      <c r="C65" s="23">
        <v>1337008006</v>
      </c>
      <c r="D65" s="23" t="s">
        <v>660</v>
      </c>
      <c r="E65" s="131">
        <v>1799</v>
      </c>
      <c r="F65" s="417" t="s">
        <v>215</v>
      </c>
      <c r="G65" s="478"/>
      <c r="H65" s="408">
        <v>44366</v>
      </c>
      <c r="I65" s="196">
        <v>36889</v>
      </c>
      <c r="J65" s="196">
        <v>37990</v>
      </c>
      <c r="K65" s="196">
        <v>46880</v>
      </c>
      <c r="L65" s="196">
        <v>43842</v>
      </c>
      <c r="M65" s="409">
        <v>31935</v>
      </c>
      <c r="N65" s="419">
        <v>8861992722</v>
      </c>
      <c r="O65" s="385" t="s">
        <v>1066</v>
      </c>
      <c r="P65" s="405">
        <v>84149064</v>
      </c>
      <c r="Q65" s="108">
        <v>354629</v>
      </c>
      <c r="R65" s="109" t="s">
        <v>941</v>
      </c>
      <c r="S65" s="133" t="str">
        <f>_xlfn.XLOOKUP(RecallTable[[#This Row],[EDIPI]],MOLTable[EDIPI],MOLTable[Category],"ERR")</f>
        <v>On Hand</v>
      </c>
      <c r="T65" s="133" t="str">
        <f>IF(_xlfn.XLOOKUP(RecallTable[[#This Row],[EDIPI]],MOLTable[EDIPI],MOLTable[Location],"ERR")="","",_xlfn.XLOOKUP(RecallTable[[#This Row],[EDIPI]],MOLTable[EDIPI],MOLTable[Location],"ERR"))</f>
        <v/>
      </c>
      <c r="U65" s="177" t="str">
        <f>IF(_xlfn.XLOOKUP(RecallTable[[#This Row],[EDIPI]],MOLTable[EDIPI],MOLTable[Start Date],"ERR")="","",_xlfn.XLOOKUP(RecallTable[[#This Row],[EDIPI]],MOLTable[EDIPI],MOLTable[Start Date],"ERR"))</f>
        <v/>
      </c>
      <c r="V65" s="177" t="str">
        <f>IF(_xlfn.XLOOKUP(RecallTable[[#This Row],[EDIPI]],MOLTable[EDIPI],MOLTable[Start Date],"ERR")="","",_xlfn.XLOOKUP(RecallTable[[#This Row],[EDIPI]],MOLTable[EDIPI],MOLTable[Start Date],"ERR"))</f>
        <v/>
      </c>
      <c r="W65" s="27" t="str">
        <f ca="1">IFERROR(_xlfn.DAYS(RecallTable[[#This Row],[Return Date]],TODAY()),"")</f>
        <v/>
      </c>
      <c r="X65" s="57"/>
      <c r="Y65" s="525"/>
      <c r="Z65" s="525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</row>
    <row r="66" spans="1:38" s="12" customFormat="1">
      <c r="A66" s="23" t="s">
        <v>183</v>
      </c>
      <c r="B66" s="21" t="s">
        <v>1157</v>
      </c>
      <c r="C66" s="23">
        <v>1492116113</v>
      </c>
      <c r="D66" s="23" t="s">
        <v>660</v>
      </c>
      <c r="E66" s="131">
        <v>1721</v>
      </c>
      <c r="F66" s="417" t="s">
        <v>215</v>
      </c>
      <c r="G66" s="478"/>
      <c r="H66" s="408">
        <v>44396</v>
      </c>
      <c r="I66" s="196">
        <v>43408</v>
      </c>
      <c r="J66" s="196">
        <v>43200</v>
      </c>
      <c r="K66" s="196">
        <v>47340</v>
      </c>
      <c r="L66" s="196">
        <v>45251</v>
      </c>
      <c r="M66" s="409">
        <v>35173</v>
      </c>
      <c r="N66" s="419">
        <v>6449219792</v>
      </c>
      <c r="O66" s="387" t="s">
        <v>1066</v>
      </c>
      <c r="P66" s="405">
        <v>38367003</v>
      </c>
      <c r="Q66" s="108">
        <v>426168</v>
      </c>
      <c r="R66" s="110" t="s">
        <v>930</v>
      </c>
      <c r="S66" s="133" t="str">
        <f>_xlfn.XLOOKUP(RecallTable[[#This Row],[EDIPI]],MOLTable[EDIPI],MOLTable[Category],"ERR")</f>
        <v>On Hand</v>
      </c>
      <c r="T66" s="133" t="str">
        <f>IF(_xlfn.XLOOKUP(RecallTable[[#This Row],[EDIPI]],MOLTable[EDIPI],MOLTable[Location],"ERR")="","",_xlfn.XLOOKUP(RecallTable[[#This Row],[EDIPI]],MOLTable[EDIPI],MOLTable[Location],"ERR"))</f>
        <v/>
      </c>
      <c r="U66" s="177" t="str">
        <f>IF(_xlfn.XLOOKUP(RecallTable[[#This Row],[EDIPI]],MOLTable[EDIPI],MOLTable[Start Date],"ERR")="","",_xlfn.XLOOKUP(RecallTable[[#This Row],[EDIPI]],MOLTable[EDIPI],MOLTable[Start Date],"ERR"))</f>
        <v/>
      </c>
      <c r="V66" s="177" t="str">
        <f>IF(_xlfn.XLOOKUP(RecallTable[[#This Row],[EDIPI]],MOLTable[EDIPI],MOLTable[Start Date],"ERR")="","",_xlfn.XLOOKUP(RecallTable[[#This Row],[EDIPI]],MOLTable[EDIPI],MOLTable[Start Date],"ERR"))</f>
        <v/>
      </c>
      <c r="W66" s="27" t="str">
        <f ca="1">IFERROR(_xlfn.DAYS(RecallTable[[#This Row],[Return Date]],TODAY()),"")</f>
        <v/>
      </c>
      <c r="X66" s="57"/>
      <c r="Y66" s="525"/>
      <c r="Z66" s="525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</row>
    <row r="67" spans="1:38" s="12" customFormat="1">
      <c r="A67" s="23" t="s">
        <v>182</v>
      </c>
      <c r="B67" s="191" t="s">
        <v>1158</v>
      </c>
      <c r="C67" s="23">
        <v>1362430276</v>
      </c>
      <c r="D67" s="23" t="s">
        <v>660</v>
      </c>
      <c r="E67" s="131">
        <v>1721</v>
      </c>
      <c r="F67" s="417" t="s">
        <v>215</v>
      </c>
      <c r="G67" s="478"/>
      <c r="H67" s="408">
        <v>44429</v>
      </c>
      <c r="I67" s="196">
        <v>43998</v>
      </c>
      <c r="J67" s="196">
        <v>43437</v>
      </c>
      <c r="K67" s="196">
        <v>46975</v>
      </c>
      <c r="L67" s="196">
        <v>44118</v>
      </c>
      <c r="M67" s="409">
        <v>30067</v>
      </c>
      <c r="N67" s="419">
        <v>2891416795</v>
      </c>
      <c r="O67" s="387" t="s">
        <v>1066</v>
      </c>
      <c r="P67" s="402">
        <v>48507383</v>
      </c>
      <c r="Q67" s="328">
        <v>400592</v>
      </c>
      <c r="R67" s="110" t="s">
        <v>930</v>
      </c>
      <c r="S67" s="133" t="str">
        <f>_xlfn.XLOOKUP(RecallTable[[#This Row],[EDIPI]],MOLTable[EDIPI],MOLTable[Category],"ERR")</f>
        <v>On Hand</v>
      </c>
      <c r="T67" s="133" t="str">
        <f>IF(_xlfn.XLOOKUP(RecallTable[[#This Row],[EDIPI]],MOLTable[EDIPI],MOLTable[Location],"ERR")="","",_xlfn.XLOOKUP(RecallTable[[#This Row],[EDIPI]],MOLTable[EDIPI],MOLTable[Location],"ERR"))</f>
        <v/>
      </c>
      <c r="U67" s="177" t="str">
        <f>IF(_xlfn.XLOOKUP(RecallTable[[#This Row],[EDIPI]],MOLTable[EDIPI],MOLTable[Start Date],"ERR")="","",_xlfn.XLOOKUP(RecallTable[[#This Row],[EDIPI]],MOLTable[EDIPI],MOLTable[Start Date],"ERR"))</f>
        <v/>
      </c>
      <c r="V67" s="177" t="str">
        <f>IF(_xlfn.XLOOKUP(RecallTable[[#This Row],[EDIPI]],MOLTable[EDIPI],MOLTable[Start Date],"ERR")="","",_xlfn.XLOOKUP(RecallTable[[#This Row],[EDIPI]],MOLTable[EDIPI],MOLTable[Start Date],"ERR"))</f>
        <v/>
      </c>
      <c r="W67" s="29" t="str">
        <f ca="1">IFERROR(_xlfn.DAYS(RecallTable[[#This Row],[Return Date]],TODAY()),"")</f>
        <v/>
      </c>
      <c r="X67" s="57"/>
      <c r="Y67" s="525"/>
      <c r="Z67" s="525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</row>
    <row r="68" spans="1:38" s="12" customFormat="1">
      <c r="A68" s="23" t="s">
        <v>182</v>
      </c>
      <c r="B68" s="21" t="s">
        <v>1159</v>
      </c>
      <c r="C68" s="23">
        <v>1505173816</v>
      </c>
      <c r="D68" s="23" t="s">
        <v>862</v>
      </c>
      <c r="E68" s="131">
        <v>1721</v>
      </c>
      <c r="F68" s="417" t="s">
        <v>215</v>
      </c>
      <c r="G68" s="478"/>
      <c r="H68" s="408">
        <v>44536</v>
      </c>
      <c r="I68" s="196">
        <v>43678</v>
      </c>
      <c r="J68" s="196">
        <v>43664</v>
      </c>
      <c r="K68" s="196">
        <v>45742</v>
      </c>
      <c r="L68" s="196">
        <v>44468</v>
      </c>
      <c r="M68" s="409">
        <v>31810</v>
      </c>
      <c r="N68" s="419">
        <v>8607262244</v>
      </c>
      <c r="O68" s="387" t="s">
        <v>1066</v>
      </c>
      <c r="P68" s="406">
        <v>40304806</v>
      </c>
      <c r="Q68" s="331">
        <v>252149</v>
      </c>
      <c r="R68" s="110" t="s">
        <v>932</v>
      </c>
      <c r="S68" s="133" t="str">
        <f>_xlfn.XLOOKUP(RecallTable[[#This Row],[EDIPI]],MOLTable[EDIPI],MOLTable[Category],"ERR")</f>
        <v>On Hand</v>
      </c>
      <c r="T68" s="133" t="str">
        <f>IF(_xlfn.XLOOKUP(RecallTable[[#This Row],[EDIPI]],MOLTable[EDIPI],MOLTable[Location],"ERR")="","",_xlfn.XLOOKUP(RecallTable[[#This Row],[EDIPI]],MOLTable[EDIPI],MOLTable[Location],"ERR"))</f>
        <v/>
      </c>
      <c r="U68" s="177" t="str">
        <f>IF(_xlfn.XLOOKUP(RecallTable[[#This Row],[EDIPI]],MOLTable[EDIPI],MOLTable[Start Date],"ERR")="","",_xlfn.XLOOKUP(RecallTable[[#This Row],[EDIPI]],MOLTable[EDIPI],MOLTable[Start Date],"ERR"))</f>
        <v/>
      </c>
      <c r="V68" s="177" t="str">
        <f>IF(_xlfn.XLOOKUP(RecallTable[[#This Row],[EDIPI]],MOLTable[EDIPI],MOLTable[Start Date],"ERR")="","",_xlfn.XLOOKUP(RecallTable[[#This Row],[EDIPI]],MOLTable[EDIPI],MOLTable[Start Date],"ERR"))</f>
        <v/>
      </c>
      <c r="W68" s="27" t="str">
        <f ca="1">IFERROR(_xlfn.DAYS(RecallTable[[#This Row],[Return Date]],TODAY()),"")</f>
        <v/>
      </c>
      <c r="X68" s="57"/>
      <c r="Y68" s="525"/>
      <c r="Z68" s="525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</row>
    <row r="69" spans="1:38" s="103" customFormat="1">
      <c r="A69" s="23" t="s">
        <v>181</v>
      </c>
      <c r="B69" s="21" t="s">
        <v>1160</v>
      </c>
      <c r="C69" s="23">
        <v>1224436146</v>
      </c>
      <c r="D69" s="23" t="s">
        <v>660</v>
      </c>
      <c r="E69" s="131">
        <v>1721</v>
      </c>
      <c r="F69" s="417" t="s">
        <v>215</v>
      </c>
      <c r="G69" s="478"/>
      <c r="H69" s="408">
        <v>44670</v>
      </c>
      <c r="I69" s="196">
        <v>40482</v>
      </c>
      <c r="J69" s="196">
        <v>44443</v>
      </c>
      <c r="K69" s="196">
        <v>46497</v>
      </c>
      <c r="L69" s="196">
        <v>43985</v>
      </c>
      <c r="M69" s="409">
        <v>32056</v>
      </c>
      <c r="N69" s="419">
        <v>5755081764</v>
      </c>
      <c r="O69" s="391" t="s">
        <v>1068</v>
      </c>
      <c r="P69" s="405">
        <v>29622169</v>
      </c>
      <c r="Q69" s="108">
        <v>621287</v>
      </c>
      <c r="R69" s="111" t="s">
        <v>932</v>
      </c>
      <c r="S69" s="133" t="str">
        <f>_xlfn.XLOOKUP(RecallTable[[#This Row],[EDIPI]],MOLTable[EDIPI],MOLTable[Category],"ERR")</f>
        <v>On Hand</v>
      </c>
      <c r="T69" s="133" t="str">
        <f>IF(_xlfn.XLOOKUP(RecallTable[[#This Row],[EDIPI]],MOLTable[EDIPI],MOLTable[Location],"ERR")="","",_xlfn.XLOOKUP(RecallTable[[#This Row],[EDIPI]],MOLTable[EDIPI],MOLTable[Location],"ERR"))</f>
        <v/>
      </c>
      <c r="U69" s="177" t="str">
        <f>IF(_xlfn.XLOOKUP(RecallTable[[#This Row],[EDIPI]],MOLTable[EDIPI],MOLTable[Start Date],"ERR")="","",_xlfn.XLOOKUP(RecallTable[[#This Row],[EDIPI]],MOLTable[EDIPI],MOLTable[Start Date],"ERR"))</f>
        <v/>
      </c>
      <c r="V69" s="177" t="str">
        <f>IF(_xlfn.XLOOKUP(RecallTable[[#This Row],[EDIPI]],MOLTable[EDIPI],MOLTable[Start Date],"ERR")="","",_xlfn.XLOOKUP(RecallTable[[#This Row],[EDIPI]],MOLTable[EDIPI],MOLTable[Start Date],"ERR"))</f>
        <v/>
      </c>
      <c r="W69" s="27" t="str">
        <f ca="1">IFERROR(_xlfn.DAYS(RecallTable[[#This Row],[Return Date]],TODAY()),"")</f>
        <v/>
      </c>
      <c r="X69" s="54"/>
      <c r="Y69" s="525"/>
      <c r="Z69" s="525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</row>
    <row r="70" spans="1:38" s="12" customFormat="1">
      <c r="A70" s="23" t="s">
        <v>181</v>
      </c>
      <c r="B70" s="21" t="s">
        <v>1161</v>
      </c>
      <c r="C70" s="23">
        <v>1273180803</v>
      </c>
      <c r="D70" s="23" t="s">
        <v>660</v>
      </c>
      <c r="E70" s="131">
        <v>1721</v>
      </c>
      <c r="F70" s="417" t="s">
        <v>215</v>
      </c>
      <c r="G70" s="478"/>
      <c r="H70" s="408">
        <v>45058</v>
      </c>
      <c r="I70" s="196">
        <v>36718</v>
      </c>
      <c r="J70" s="196">
        <v>38131</v>
      </c>
      <c r="K70" s="196">
        <v>46468</v>
      </c>
      <c r="L70" s="196">
        <v>44996</v>
      </c>
      <c r="M70" s="409">
        <v>31852</v>
      </c>
      <c r="N70" s="420">
        <v>1906168276</v>
      </c>
      <c r="O70" s="500" t="s">
        <v>1072</v>
      </c>
      <c r="P70" s="404">
        <v>64302353</v>
      </c>
      <c r="Q70" s="358">
        <v>587157</v>
      </c>
      <c r="R70" s="111" t="s">
        <v>930</v>
      </c>
      <c r="S70" s="133" t="str">
        <f>_xlfn.XLOOKUP(RecallTable[[#This Row],[EDIPI]],MOLTable[EDIPI],MOLTable[Category],"ERR")</f>
        <v>On Hand</v>
      </c>
      <c r="T70" s="133" t="str">
        <f>IF(_xlfn.XLOOKUP(RecallTable[[#This Row],[EDIPI]],MOLTable[EDIPI],MOLTable[Location],"ERR")="","",_xlfn.XLOOKUP(RecallTable[[#This Row],[EDIPI]],MOLTable[EDIPI],MOLTable[Location],"ERR"))</f>
        <v/>
      </c>
      <c r="U70" s="177" t="str">
        <f>IF(_xlfn.XLOOKUP(RecallTable[[#This Row],[EDIPI]],MOLTable[EDIPI],MOLTable[Start Date],"ERR")="","",_xlfn.XLOOKUP(RecallTable[[#This Row],[EDIPI]],MOLTable[EDIPI],MOLTable[Start Date],"ERR"))</f>
        <v/>
      </c>
      <c r="V70" s="177" t="str">
        <f>IF(_xlfn.XLOOKUP(RecallTable[[#This Row],[EDIPI]],MOLTable[EDIPI],MOLTable[Start Date],"ERR")="","",_xlfn.XLOOKUP(RecallTable[[#This Row],[EDIPI]],MOLTable[EDIPI],MOLTable[Start Date],"ERR"))</f>
        <v/>
      </c>
      <c r="W70" s="27" t="str">
        <f ca="1">IFERROR(_xlfn.DAYS(RecallTable[[#This Row],[Return Date]],TODAY()),"")</f>
        <v/>
      </c>
      <c r="X70" s="57"/>
      <c r="Y70" s="525"/>
      <c r="Z70" s="525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</row>
    <row r="71" spans="1:38" s="12" customFormat="1">
      <c r="A71" s="23" t="s">
        <v>188</v>
      </c>
      <c r="B71" s="95" t="s">
        <v>1162</v>
      </c>
      <c r="C71" s="23">
        <v>1144600478</v>
      </c>
      <c r="D71" s="23" t="s">
        <v>660</v>
      </c>
      <c r="E71" s="131">
        <v>1702</v>
      </c>
      <c r="F71" s="417" t="s">
        <v>213</v>
      </c>
      <c r="G71" s="478"/>
      <c r="H71" s="408">
        <v>44316</v>
      </c>
      <c r="I71" s="196">
        <v>37341</v>
      </c>
      <c r="J71" s="196">
        <v>38587</v>
      </c>
      <c r="K71" s="196">
        <v>47359</v>
      </c>
      <c r="L71" s="229">
        <v>44975</v>
      </c>
      <c r="M71" s="414">
        <v>33951</v>
      </c>
      <c r="N71" s="423">
        <v>5761626212</v>
      </c>
      <c r="O71" s="396" t="s">
        <v>1066</v>
      </c>
      <c r="P71" s="405">
        <v>87346885</v>
      </c>
      <c r="Q71" s="108">
        <v>268548</v>
      </c>
      <c r="R71" s="110" t="s">
        <v>930</v>
      </c>
      <c r="S71" s="133" t="str">
        <f>_xlfn.XLOOKUP(RecallTable[[#This Row],[EDIPI]],MOLTable[EDIPI],MOLTable[Category],"ERR")</f>
        <v>TAD</v>
      </c>
      <c r="T71" s="133" t="str">
        <f>IF(_xlfn.XLOOKUP(RecallTable[[#This Row],[EDIPI]],MOLTable[EDIPI],MOLTable[Location],"ERR")="","",_xlfn.XLOOKUP(RecallTable[[#This Row],[EDIPI]],MOLTable[EDIPI],MOLTable[Location],"ERR"))</f>
        <v>CTC</v>
      </c>
      <c r="U71" s="177">
        <f>IF(_xlfn.XLOOKUP(RecallTable[[#This Row],[EDIPI]],MOLTable[EDIPI],MOLTable[Start Date],"ERR")="","",_xlfn.XLOOKUP(RecallTable[[#This Row],[EDIPI]],MOLTable[EDIPI],MOLTable[Start Date],"ERR"))</f>
        <v>45383</v>
      </c>
      <c r="V71" s="177">
        <f>IF(_xlfn.XLOOKUP(RecallTable[[#This Row],[EDIPI]],MOLTable[EDIPI],MOLTable[Start Date],"ERR")="","",_xlfn.XLOOKUP(RecallTable[[#This Row],[EDIPI]],MOLTable[EDIPI],MOLTable[Start Date],"ERR"))</f>
        <v>45383</v>
      </c>
      <c r="W71" s="27">
        <f ca="1">IFERROR(_xlfn.DAYS(RecallTable[[#This Row],[Return Date]],TODAY()),"")</f>
        <v>-15</v>
      </c>
      <c r="X71" s="57"/>
      <c r="Y71" s="525"/>
      <c r="Z71" s="525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</row>
    <row r="72" spans="1:38" s="12" customFormat="1">
      <c r="A72" s="23" t="s">
        <v>183</v>
      </c>
      <c r="B72" s="9" t="s">
        <v>1163</v>
      </c>
      <c r="C72" s="23">
        <v>1208649546</v>
      </c>
      <c r="D72" s="23" t="s">
        <v>660</v>
      </c>
      <c r="E72" s="131">
        <v>1721</v>
      </c>
      <c r="F72" s="417" t="s">
        <v>213</v>
      </c>
      <c r="G72" s="478"/>
      <c r="H72" s="408">
        <v>44402</v>
      </c>
      <c r="I72" s="196">
        <v>37808</v>
      </c>
      <c r="J72" s="196">
        <v>38161</v>
      </c>
      <c r="K72" s="196">
        <v>46041</v>
      </c>
      <c r="L72" s="229">
        <v>43467</v>
      </c>
      <c r="M72" s="414">
        <v>33970</v>
      </c>
      <c r="N72" s="499">
        <v>5841329474</v>
      </c>
      <c r="O72" s="501" t="s">
        <v>1066</v>
      </c>
      <c r="P72" s="398">
        <v>73579242</v>
      </c>
      <c r="Q72" s="329">
        <v>338985</v>
      </c>
      <c r="R72" s="110" t="s">
        <v>930</v>
      </c>
      <c r="S72" s="133" t="str">
        <f>_xlfn.XLOOKUP(RecallTable[[#This Row],[EDIPI]],MOLTable[EDIPI],MOLTable[Category],"ERR")</f>
        <v>TAD</v>
      </c>
      <c r="T72" s="133" t="str">
        <f>IF(_xlfn.XLOOKUP(RecallTable[[#This Row],[EDIPI]],MOLTable[EDIPI],MOLTable[Location],"ERR")="","",_xlfn.XLOOKUP(RecallTable[[#This Row],[EDIPI]],MOLTable[EDIPI],MOLTable[Location],"ERR"))</f>
        <v>PME</v>
      </c>
      <c r="U72" s="177">
        <f>IF(_xlfn.XLOOKUP(RecallTable[[#This Row],[EDIPI]],MOLTable[EDIPI],MOLTable[Start Date],"ERR")="","",_xlfn.XLOOKUP(RecallTable[[#This Row],[EDIPI]],MOLTable[EDIPI],MOLTable[Start Date],"ERR"))</f>
        <v>45383</v>
      </c>
      <c r="V72" s="177">
        <f>IF(_xlfn.XLOOKUP(RecallTable[[#This Row],[EDIPI]],MOLTable[EDIPI],MOLTable[Start Date],"ERR")="","",_xlfn.XLOOKUP(RecallTable[[#This Row],[EDIPI]],MOLTable[EDIPI],MOLTable[Start Date],"ERR"))</f>
        <v>45383</v>
      </c>
      <c r="W72" s="27">
        <f ca="1">IFERROR(_xlfn.DAYS(RecallTable[[#This Row],[Return Date]],TODAY()),"")</f>
        <v>-15</v>
      </c>
      <c r="X72" s="57"/>
      <c r="Y72" s="525"/>
      <c r="Z72" s="525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</row>
    <row r="73" spans="1:38" s="12" customFormat="1">
      <c r="A73" s="23" t="s">
        <v>181</v>
      </c>
      <c r="B73" s="21" t="s">
        <v>1164</v>
      </c>
      <c r="C73" s="23">
        <v>1433270027</v>
      </c>
      <c r="D73" s="23" t="s">
        <v>660</v>
      </c>
      <c r="E73" s="131">
        <v>1721</v>
      </c>
      <c r="F73" s="417" t="s">
        <v>213</v>
      </c>
      <c r="G73" s="478" t="s">
        <v>934</v>
      </c>
      <c r="H73" s="408">
        <v>44201</v>
      </c>
      <c r="I73" s="196">
        <v>44775</v>
      </c>
      <c r="J73" s="196">
        <v>40060</v>
      </c>
      <c r="K73" s="196">
        <v>46099</v>
      </c>
      <c r="L73" s="229">
        <v>43502</v>
      </c>
      <c r="M73" s="414">
        <v>33272</v>
      </c>
      <c r="N73" s="423">
        <v>8247802715</v>
      </c>
      <c r="O73" s="440" t="s">
        <v>1079</v>
      </c>
      <c r="P73" s="398">
        <v>54880712</v>
      </c>
      <c r="Q73" s="329">
        <v>164093</v>
      </c>
      <c r="R73" s="134" t="s">
        <v>936</v>
      </c>
      <c r="S73" s="133" t="str">
        <f>_xlfn.XLOOKUP(RecallTable[[#This Row],[EDIPI]],MOLTable[EDIPI],MOLTable[Category],"ERR")</f>
        <v>On Hand</v>
      </c>
      <c r="T73" s="133" t="str">
        <f>IF(_xlfn.XLOOKUP(RecallTable[[#This Row],[EDIPI]],MOLTable[EDIPI],MOLTable[Location],"ERR")="","",_xlfn.XLOOKUP(RecallTable[[#This Row],[EDIPI]],MOLTable[EDIPI],MOLTable[Location],"ERR"))</f>
        <v/>
      </c>
      <c r="U73" s="177" t="str">
        <f>IF(_xlfn.XLOOKUP(RecallTable[[#This Row],[EDIPI]],MOLTable[EDIPI],MOLTable[Start Date],"ERR")="","",_xlfn.XLOOKUP(RecallTable[[#This Row],[EDIPI]],MOLTable[EDIPI],MOLTable[Start Date],"ERR"))</f>
        <v/>
      </c>
      <c r="V73" s="177" t="str">
        <f>IF(_xlfn.XLOOKUP(RecallTable[[#This Row],[EDIPI]],MOLTable[EDIPI],MOLTable[Start Date],"ERR")="","",_xlfn.XLOOKUP(RecallTable[[#This Row],[EDIPI]],MOLTable[EDIPI],MOLTable[Start Date],"ERR"))</f>
        <v/>
      </c>
      <c r="W73" s="27" t="str">
        <f ca="1">IFERROR(_xlfn.DAYS(RecallTable[[#This Row],[Return Date]],TODAY()),"")</f>
        <v/>
      </c>
      <c r="X73" s="57"/>
      <c r="Y73" s="525"/>
      <c r="Z73" s="525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</row>
    <row r="74" spans="1:38" s="12" customFormat="1">
      <c r="A74" s="23" t="s">
        <v>180</v>
      </c>
      <c r="B74" s="95" t="s">
        <v>1165</v>
      </c>
      <c r="C74" s="23">
        <v>1517276328</v>
      </c>
      <c r="D74" s="23" t="s">
        <v>660</v>
      </c>
      <c r="E74" s="131">
        <v>1721</v>
      </c>
      <c r="F74" s="417" t="s">
        <v>213</v>
      </c>
      <c r="G74" s="478" t="s">
        <v>938</v>
      </c>
      <c r="H74" s="408">
        <v>44365</v>
      </c>
      <c r="I74" s="196">
        <v>37448</v>
      </c>
      <c r="J74" s="196">
        <v>43549</v>
      </c>
      <c r="K74" s="196">
        <v>45806</v>
      </c>
      <c r="L74" s="229">
        <v>45079</v>
      </c>
      <c r="M74" s="414">
        <v>31946</v>
      </c>
      <c r="N74" s="423">
        <v>8957327889</v>
      </c>
      <c r="O74" s="396" t="s">
        <v>1082</v>
      </c>
      <c r="P74" s="405">
        <v>38548989</v>
      </c>
      <c r="Q74" s="108">
        <v>215041</v>
      </c>
      <c r="R74" s="110" t="s">
        <v>930</v>
      </c>
      <c r="S74" s="133" t="str">
        <f>_xlfn.XLOOKUP(RecallTable[[#This Row],[EDIPI]],MOLTable[EDIPI],MOLTable[Category],"ERR")</f>
        <v>On Hand</v>
      </c>
      <c r="T74" s="133" t="str">
        <f>IF(_xlfn.XLOOKUP(RecallTable[[#This Row],[EDIPI]],MOLTable[EDIPI],MOLTable[Location],"ERR")="","",_xlfn.XLOOKUP(RecallTable[[#This Row],[EDIPI]],MOLTable[EDIPI],MOLTable[Location],"ERR"))</f>
        <v/>
      </c>
      <c r="U74" s="177" t="str">
        <f>IF(_xlfn.XLOOKUP(RecallTable[[#This Row],[EDIPI]],MOLTable[EDIPI],MOLTable[Start Date],"ERR")="","",_xlfn.XLOOKUP(RecallTable[[#This Row],[EDIPI]],MOLTable[EDIPI],MOLTable[Start Date],"ERR"))</f>
        <v/>
      </c>
      <c r="V74" s="177" t="str">
        <f>IF(_xlfn.XLOOKUP(RecallTable[[#This Row],[EDIPI]],MOLTable[EDIPI],MOLTable[Start Date],"ERR")="","",_xlfn.XLOOKUP(RecallTable[[#This Row],[EDIPI]],MOLTable[EDIPI],MOLTable[Start Date],"ERR"))</f>
        <v/>
      </c>
      <c r="W74" s="27" t="str">
        <f ca="1">IFERROR(_xlfn.DAYS(RecallTable[[#This Row],[Return Date]],TODAY()),"")</f>
        <v/>
      </c>
      <c r="X74" s="57"/>
      <c r="Y74" s="525"/>
      <c r="Z74" s="525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</row>
    <row r="75" spans="1:38" s="12" customFormat="1">
      <c r="A75" s="23" t="s">
        <v>179</v>
      </c>
      <c r="B75" s="191" t="s">
        <v>1166</v>
      </c>
      <c r="C75" s="23">
        <v>1312308399</v>
      </c>
      <c r="D75" s="23" t="s">
        <v>660</v>
      </c>
      <c r="E75" s="131">
        <v>231</v>
      </c>
      <c r="F75" s="417" t="s">
        <v>213</v>
      </c>
      <c r="G75" s="478" t="s">
        <v>934</v>
      </c>
      <c r="H75" s="408">
        <v>44234</v>
      </c>
      <c r="I75" s="196">
        <v>41004</v>
      </c>
      <c r="J75" s="196">
        <v>36875</v>
      </c>
      <c r="K75" s="196">
        <v>45690</v>
      </c>
      <c r="L75" s="229">
        <v>44170</v>
      </c>
      <c r="M75" s="414">
        <v>32303</v>
      </c>
      <c r="N75" s="423">
        <v>4981133700</v>
      </c>
      <c r="O75" s="391" t="s">
        <v>1072</v>
      </c>
      <c r="P75" s="399">
        <v>54869038</v>
      </c>
      <c r="Q75" s="338">
        <v>528635</v>
      </c>
      <c r="R75" s="110" t="s">
        <v>930</v>
      </c>
      <c r="S75" s="133" t="str">
        <f>_xlfn.XLOOKUP(RecallTable[[#This Row],[EDIPI]],MOLTable[EDIPI],MOLTable[Category],"ERR")</f>
        <v>On Hand</v>
      </c>
      <c r="T75" s="133" t="str">
        <f>IF(_xlfn.XLOOKUP(RecallTable[[#This Row],[EDIPI]],MOLTable[EDIPI],MOLTable[Location],"ERR")="","",_xlfn.XLOOKUP(RecallTable[[#This Row],[EDIPI]],MOLTable[EDIPI],MOLTable[Location],"ERR"))</f>
        <v/>
      </c>
      <c r="U75" s="177" t="str">
        <f>IF(_xlfn.XLOOKUP(RecallTable[[#This Row],[EDIPI]],MOLTable[EDIPI],MOLTable[Start Date],"ERR")="","",_xlfn.XLOOKUP(RecallTable[[#This Row],[EDIPI]],MOLTable[EDIPI],MOLTable[Start Date],"ERR"))</f>
        <v/>
      </c>
      <c r="V75" s="177" t="str">
        <f>IF(_xlfn.XLOOKUP(RecallTable[[#This Row],[EDIPI]],MOLTable[EDIPI],MOLTable[Start Date],"ERR")="","",_xlfn.XLOOKUP(RecallTable[[#This Row],[EDIPI]],MOLTable[EDIPI],MOLTable[Start Date],"ERR"))</f>
        <v/>
      </c>
      <c r="W75" s="27" t="str">
        <f ca="1">IFERROR(_xlfn.DAYS(RecallTable[[#This Row],[Return Date]],TODAY()),"")</f>
        <v/>
      </c>
      <c r="X75" s="57"/>
      <c r="Y75" s="525"/>
      <c r="Z75" s="525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</row>
    <row r="76" spans="1:38" s="12" customFormat="1">
      <c r="A76" s="23" t="s">
        <v>179</v>
      </c>
      <c r="B76" s="21" t="s">
        <v>1167</v>
      </c>
      <c r="C76" s="23">
        <v>1025451492</v>
      </c>
      <c r="D76" s="23" t="s">
        <v>660</v>
      </c>
      <c r="E76" s="131">
        <v>1721</v>
      </c>
      <c r="F76" s="417" t="s">
        <v>213</v>
      </c>
      <c r="G76" s="478" t="s">
        <v>938</v>
      </c>
      <c r="H76" s="408">
        <v>44944</v>
      </c>
      <c r="I76" s="196">
        <v>38884</v>
      </c>
      <c r="J76" s="196">
        <v>42590</v>
      </c>
      <c r="K76" s="196">
        <v>46557</v>
      </c>
      <c r="L76" s="229">
        <v>43676</v>
      </c>
      <c r="M76" s="414">
        <v>32023</v>
      </c>
      <c r="N76" s="423">
        <v>5963719884</v>
      </c>
      <c r="O76" s="395" t="s">
        <v>1078</v>
      </c>
      <c r="P76" s="398">
        <v>65780957</v>
      </c>
      <c r="Q76" s="329">
        <v>367953</v>
      </c>
      <c r="R76" s="134" t="s">
        <v>932</v>
      </c>
      <c r="S76" s="133" t="str">
        <f>_xlfn.XLOOKUP(RecallTable[[#This Row],[EDIPI]],MOLTable[EDIPI],MOLTable[Category],"ERR")</f>
        <v>On Hand</v>
      </c>
      <c r="T76" s="133" t="str">
        <f>IF(_xlfn.XLOOKUP(RecallTable[[#This Row],[EDIPI]],MOLTable[EDIPI],MOLTable[Location],"ERR")="","",_xlfn.XLOOKUP(RecallTable[[#This Row],[EDIPI]],MOLTable[EDIPI],MOLTable[Location],"ERR"))</f>
        <v/>
      </c>
      <c r="U76" s="177" t="str">
        <f>IF(_xlfn.XLOOKUP(RecallTable[[#This Row],[EDIPI]],MOLTable[EDIPI],MOLTable[Start Date],"ERR")="","",_xlfn.XLOOKUP(RecallTable[[#This Row],[EDIPI]],MOLTable[EDIPI],MOLTable[Start Date],"ERR"))</f>
        <v/>
      </c>
      <c r="V76" s="177" t="str">
        <f>IF(_xlfn.XLOOKUP(RecallTable[[#This Row],[EDIPI]],MOLTable[EDIPI],MOLTable[Start Date],"ERR")="","",_xlfn.XLOOKUP(RecallTable[[#This Row],[EDIPI]],MOLTable[EDIPI],MOLTable[Start Date],"ERR"))</f>
        <v/>
      </c>
      <c r="W76" s="27" t="str">
        <f ca="1">IFERROR(_xlfn.DAYS(RecallTable[[#This Row],[Return Date]],TODAY()),"")</f>
        <v/>
      </c>
      <c r="X76" s="57"/>
      <c r="Y76" s="525"/>
      <c r="Z76" s="525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</row>
    <row r="77" spans="1:38" s="12" customFormat="1">
      <c r="A77" s="23" t="s">
        <v>206</v>
      </c>
      <c r="B77" s="21" t="s">
        <v>1168</v>
      </c>
      <c r="C77" s="23">
        <v>1041964509</v>
      </c>
      <c r="D77" s="23" t="s">
        <v>660</v>
      </c>
      <c r="E77" s="131">
        <v>1702</v>
      </c>
      <c r="F77" s="417" t="s">
        <v>60</v>
      </c>
      <c r="G77" s="478"/>
      <c r="H77" s="408">
        <v>44262</v>
      </c>
      <c r="I77" s="196">
        <v>44255</v>
      </c>
      <c r="J77" s="196">
        <v>39142</v>
      </c>
      <c r="K77" s="196">
        <v>46152</v>
      </c>
      <c r="L77" s="229">
        <v>44607</v>
      </c>
      <c r="M77" s="414">
        <v>33163</v>
      </c>
      <c r="N77" s="423">
        <v>3573831432</v>
      </c>
      <c r="O77" s="391" t="s">
        <v>1066</v>
      </c>
      <c r="P77" s="405">
        <v>37191558</v>
      </c>
      <c r="Q77" s="108">
        <v>508297</v>
      </c>
      <c r="R77" s="110" t="s">
        <v>930</v>
      </c>
      <c r="S77" s="133" t="str">
        <f>_xlfn.XLOOKUP(RecallTable[[#This Row],[EDIPI]],MOLTable[EDIPI],MOLTable[Category],"ERR")</f>
        <v>On Hand</v>
      </c>
      <c r="T77" s="133" t="str">
        <f>IF(_xlfn.XLOOKUP(RecallTable[[#This Row],[EDIPI]],MOLTable[EDIPI],MOLTable[Location],"ERR")="","",_xlfn.XLOOKUP(RecallTable[[#This Row],[EDIPI]],MOLTable[EDIPI],MOLTable[Location],"ERR"))</f>
        <v/>
      </c>
      <c r="U77" s="177" t="str">
        <f>IF(_xlfn.XLOOKUP(RecallTable[[#This Row],[EDIPI]],MOLTable[EDIPI],MOLTable[Start Date],"ERR")="","",_xlfn.XLOOKUP(RecallTable[[#This Row],[EDIPI]],MOLTable[EDIPI],MOLTable[Start Date],"ERR"))</f>
        <v/>
      </c>
      <c r="V77" s="177" t="str">
        <f>IF(_xlfn.XLOOKUP(RecallTable[[#This Row],[EDIPI]],MOLTable[EDIPI],MOLTable[Start Date],"ERR")="","",_xlfn.XLOOKUP(RecallTable[[#This Row],[EDIPI]],MOLTable[EDIPI],MOLTable[Start Date],"ERR"))</f>
        <v/>
      </c>
      <c r="W77" s="27" t="str">
        <f ca="1">IFERROR(_xlfn.DAYS(RecallTable[[#This Row],[Return Date]],TODAY()),"")</f>
        <v/>
      </c>
      <c r="X77" s="57"/>
      <c r="Y77" s="525"/>
      <c r="Z77" s="525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</row>
    <row r="78" spans="1:38" s="12" customFormat="1">
      <c r="A78" s="23" t="s">
        <v>188</v>
      </c>
      <c r="B78" s="232" t="s">
        <v>1169</v>
      </c>
      <c r="C78" s="23">
        <v>1366872660</v>
      </c>
      <c r="D78" s="23" t="s">
        <v>862</v>
      </c>
      <c r="E78" s="131">
        <v>1702</v>
      </c>
      <c r="F78" s="417" t="s">
        <v>60</v>
      </c>
      <c r="G78" s="478"/>
      <c r="H78" s="408">
        <v>45171</v>
      </c>
      <c r="I78" s="196">
        <v>40943</v>
      </c>
      <c r="J78" s="196">
        <v>41308</v>
      </c>
      <c r="K78" s="196">
        <v>46146</v>
      </c>
      <c r="L78" s="229">
        <v>43643</v>
      </c>
      <c r="M78" s="414">
        <v>35251</v>
      </c>
      <c r="N78" s="423">
        <v>4260986034</v>
      </c>
      <c r="O78" s="396" t="s">
        <v>1066</v>
      </c>
      <c r="P78" s="405">
        <v>17832018</v>
      </c>
      <c r="Q78" s="108">
        <v>315161</v>
      </c>
      <c r="R78" s="110" t="s">
        <v>931</v>
      </c>
      <c r="S78" s="133" t="str">
        <f>_xlfn.XLOOKUP(RecallTable[[#This Row],[EDIPI]],MOLTable[EDIPI],MOLTable[Category],"ERR")</f>
        <v>On Hand</v>
      </c>
      <c r="T78" s="133" t="str">
        <f>IF(_xlfn.XLOOKUP(RecallTable[[#This Row],[EDIPI]],MOLTable[EDIPI],MOLTable[Location],"ERR")="","",_xlfn.XLOOKUP(RecallTable[[#This Row],[EDIPI]],MOLTable[EDIPI],MOLTable[Location],"ERR"))</f>
        <v/>
      </c>
      <c r="U78" s="177" t="str">
        <f>IF(_xlfn.XLOOKUP(RecallTable[[#This Row],[EDIPI]],MOLTable[EDIPI],MOLTable[Start Date],"ERR")="","",_xlfn.XLOOKUP(RecallTable[[#This Row],[EDIPI]],MOLTable[EDIPI],MOLTable[Start Date],"ERR"))</f>
        <v/>
      </c>
      <c r="V78" s="177" t="str">
        <f>IF(_xlfn.XLOOKUP(RecallTable[[#This Row],[EDIPI]],MOLTable[EDIPI],MOLTable[Start Date],"ERR")="","",_xlfn.XLOOKUP(RecallTable[[#This Row],[EDIPI]],MOLTable[EDIPI],MOLTable[Start Date],"ERR"))</f>
        <v/>
      </c>
      <c r="W78" s="27" t="str">
        <f ca="1">IFERROR(_xlfn.DAYS(RecallTable[[#This Row],[Return Date]],TODAY()),"")</f>
        <v/>
      </c>
      <c r="X78" s="57"/>
      <c r="Y78" s="525"/>
      <c r="Z78" s="525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</row>
    <row r="79" spans="1:38" s="12" customFormat="1">
      <c r="A79" s="23" t="s">
        <v>184</v>
      </c>
      <c r="B79" s="277" t="s">
        <v>1170</v>
      </c>
      <c r="C79" s="23">
        <v>1163650418</v>
      </c>
      <c r="D79" s="23" t="s">
        <v>660</v>
      </c>
      <c r="E79" s="131">
        <v>8999</v>
      </c>
      <c r="F79" s="417" t="s">
        <v>60</v>
      </c>
      <c r="G79" s="30"/>
      <c r="H79" s="415">
        <v>44899</v>
      </c>
      <c r="I79" s="273">
        <v>40972</v>
      </c>
      <c r="J79" s="273">
        <v>37269</v>
      </c>
      <c r="K79" s="196">
        <v>46496</v>
      </c>
      <c r="L79" s="337">
        <v>43846</v>
      </c>
      <c r="M79" s="414">
        <v>34732</v>
      </c>
      <c r="N79" s="419">
        <v>1251394542</v>
      </c>
      <c r="O79" s="397" t="s">
        <v>1066</v>
      </c>
      <c r="P79" s="402">
        <v>55340945</v>
      </c>
      <c r="Q79" s="328">
        <v>512760</v>
      </c>
      <c r="R79" s="110" t="s">
        <v>930</v>
      </c>
      <c r="S79" s="133" t="str">
        <f>_xlfn.XLOOKUP(RecallTable[[#This Row],[EDIPI]],MOLTable[EDIPI],MOLTable[Category],"ERR")</f>
        <v>On Hand</v>
      </c>
      <c r="T79" s="133" t="str">
        <f>IF(_xlfn.XLOOKUP(RecallTable[[#This Row],[EDIPI]],MOLTable[EDIPI],MOLTable[Location],"ERR")="","",_xlfn.XLOOKUP(RecallTable[[#This Row],[EDIPI]],MOLTable[EDIPI],MOLTable[Location],"ERR"))</f>
        <v/>
      </c>
      <c r="U79" s="177" t="str">
        <f>IF(_xlfn.XLOOKUP(RecallTable[[#This Row],[EDIPI]],MOLTable[EDIPI],MOLTable[Start Date],"ERR")="","",_xlfn.XLOOKUP(RecallTable[[#This Row],[EDIPI]],MOLTable[EDIPI],MOLTable[Start Date],"ERR"))</f>
        <v/>
      </c>
      <c r="V79" s="177" t="str">
        <f>IF(_xlfn.XLOOKUP(RecallTable[[#This Row],[EDIPI]],MOLTable[EDIPI],MOLTable[Start Date],"ERR")="","",_xlfn.XLOOKUP(RecallTable[[#This Row],[EDIPI]],MOLTable[EDIPI],MOLTable[Start Date],"ERR"))</f>
        <v/>
      </c>
      <c r="W79" s="27" t="str">
        <f ca="1">IFERROR(_xlfn.DAYS(RecallTable[[#This Row],[Return Date]],TODAY()),"")</f>
        <v/>
      </c>
      <c r="X79" s="57"/>
      <c r="Y79" s="525"/>
      <c r="Z79" s="525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</row>
    <row r="80" spans="1:38" s="12" customFormat="1">
      <c r="A80" s="23" t="s">
        <v>182</v>
      </c>
      <c r="B80" s="277" t="s">
        <v>1171</v>
      </c>
      <c r="C80" s="23">
        <v>1269922284</v>
      </c>
      <c r="D80" s="23" t="s">
        <v>660</v>
      </c>
      <c r="E80" s="131">
        <v>1721</v>
      </c>
      <c r="F80" s="417" t="s">
        <v>60</v>
      </c>
      <c r="G80" s="481"/>
      <c r="H80" s="416">
        <v>45174</v>
      </c>
      <c r="I80" s="229">
        <v>42967</v>
      </c>
      <c r="J80" s="229">
        <v>44761</v>
      </c>
      <c r="K80" s="229">
        <v>46217</v>
      </c>
      <c r="L80" s="229">
        <v>44987</v>
      </c>
      <c r="M80" s="414">
        <v>35069</v>
      </c>
      <c r="N80" s="423">
        <v>1565221108</v>
      </c>
      <c r="O80" s="396" t="s">
        <v>1066</v>
      </c>
      <c r="P80" s="402">
        <v>46447782</v>
      </c>
      <c r="Q80" s="328">
        <v>360330</v>
      </c>
      <c r="R80" s="502" t="s">
        <v>939</v>
      </c>
      <c r="S80" s="133" t="str">
        <f>_xlfn.XLOOKUP(RecallTable[[#This Row],[EDIPI]],MOLTable[EDIPI],MOLTable[Category],"ERR")</f>
        <v>On Hand</v>
      </c>
      <c r="T80" s="133" t="str">
        <f>IF(_xlfn.XLOOKUP(RecallTable[[#This Row],[EDIPI]],MOLTable[EDIPI],MOLTable[Location],"ERR")="","",_xlfn.XLOOKUP(RecallTable[[#This Row],[EDIPI]],MOLTable[EDIPI],MOLTable[Location],"ERR"))</f>
        <v/>
      </c>
      <c r="U80" s="177" t="str">
        <f>IF(_xlfn.XLOOKUP(RecallTable[[#This Row],[EDIPI]],MOLTable[EDIPI],MOLTable[Start Date],"ERR")="","",_xlfn.XLOOKUP(RecallTable[[#This Row],[EDIPI]],MOLTable[EDIPI],MOLTable[Start Date],"ERR"))</f>
        <v/>
      </c>
      <c r="V80" s="177" t="str">
        <f>IF(_xlfn.XLOOKUP(RecallTable[[#This Row],[EDIPI]],MOLTable[EDIPI],MOLTable[Start Date],"ERR")="","",_xlfn.XLOOKUP(RecallTable[[#This Row],[EDIPI]],MOLTable[EDIPI],MOLTable[Start Date],"ERR"))</f>
        <v/>
      </c>
      <c r="W80" s="29" t="str">
        <f ca="1">IFERROR(_xlfn.DAYS(RecallTable[[#This Row],[Return Date]],TODAY()),"")</f>
        <v/>
      </c>
      <c r="X80" s="57"/>
      <c r="Y80" s="525"/>
      <c r="Z80" s="525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</row>
    <row r="81" spans="1:38" s="12" customFormat="1">
      <c r="A81" s="23" t="s">
        <v>180</v>
      </c>
      <c r="B81" s="232" t="s">
        <v>1172</v>
      </c>
      <c r="C81" s="23">
        <v>1410597200</v>
      </c>
      <c r="D81" s="23" t="s">
        <v>660</v>
      </c>
      <c r="E81" s="131">
        <v>1721</v>
      </c>
      <c r="F81" s="417" t="s">
        <v>60</v>
      </c>
      <c r="G81" s="478" t="s">
        <v>934</v>
      </c>
      <c r="H81" s="416">
        <v>44880</v>
      </c>
      <c r="I81" s="229">
        <v>40502</v>
      </c>
      <c r="J81" s="229">
        <v>40772</v>
      </c>
      <c r="K81" s="229">
        <v>46387</v>
      </c>
      <c r="L81" s="229">
        <v>44822</v>
      </c>
      <c r="M81" s="414">
        <v>33593</v>
      </c>
      <c r="N81" s="423">
        <v>2643686691</v>
      </c>
      <c r="O81" s="396" t="s">
        <v>1080</v>
      </c>
      <c r="P81" s="405">
        <v>86587279</v>
      </c>
      <c r="Q81" s="108">
        <v>619912</v>
      </c>
      <c r="R81" s="110" t="s">
        <v>930</v>
      </c>
      <c r="S81" s="133" t="str">
        <f>_xlfn.XLOOKUP(RecallTable[[#This Row],[EDIPI]],MOLTable[EDIPI],MOLTable[Category],"ERR")</f>
        <v>TAD</v>
      </c>
      <c r="T81" s="133" t="str">
        <f>IF(_xlfn.XLOOKUP(RecallTable[[#This Row],[EDIPI]],MOLTable[EDIPI],MOLTable[Location],"ERR")="","",_xlfn.XLOOKUP(RecallTable[[#This Row],[EDIPI]],MOLTable[EDIPI],MOLTable[Location],"ERR"))</f>
        <v/>
      </c>
      <c r="U81" s="177">
        <f>IF(_xlfn.XLOOKUP(RecallTable[[#This Row],[EDIPI]],MOLTable[EDIPI],MOLTable[Start Date],"ERR")="","",_xlfn.XLOOKUP(RecallTable[[#This Row],[EDIPI]],MOLTable[EDIPI],MOLTable[Start Date],"ERR"))</f>
        <v>45383</v>
      </c>
      <c r="V81" s="177">
        <f>IF(_xlfn.XLOOKUP(RecallTable[[#This Row],[EDIPI]],MOLTable[EDIPI],MOLTable[Start Date],"ERR")="","",_xlfn.XLOOKUP(RecallTable[[#This Row],[EDIPI]],MOLTable[EDIPI],MOLTable[Start Date],"ERR"))</f>
        <v>45383</v>
      </c>
      <c r="W81" s="27">
        <f ca="1">IFERROR(_xlfn.DAYS(RecallTable[[#This Row],[Return Date]],TODAY()),"")</f>
        <v>-15</v>
      </c>
      <c r="X81" s="57"/>
      <c r="Y81" s="525"/>
      <c r="Z81" s="525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</row>
    <row r="82" spans="1:38" s="12" customFormat="1">
      <c r="A82" s="57" t="s">
        <v>181</v>
      </c>
      <c r="B82" s="135" t="s">
        <v>1174</v>
      </c>
      <c r="C82" s="23">
        <v>1410597201</v>
      </c>
      <c r="D82" s="62" t="s">
        <v>660</v>
      </c>
      <c r="E82" s="135">
        <v>631</v>
      </c>
      <c r="F82" s="55" t="s">
        <v>213</v>
      </c>
      <c r="G82" s="55"/>
      <c r="H82" s="55"/>
      <c r="I82" s="55"/>
      <c r="J82" s="55"/>
      <c r="K82" s="55"/>
      <c r="L82" s="55"/>
      <c r="M82" s="55"/>
      <c r="N82" s="423">
        <v>2643686692</v>
      </c>
      <c r="O82" s="55"/>
      <c r="P82" s="27"/>
      <c r="Q82" s="27"/>
      <c r="R82" s="27"/>
      <c r="S82" s="133" t="str">
        <f>_xlfn.XLOOKUP(RecallTable[[#This Row],[EDIPI]],MOLTable[EDIPI],MOLTable[Category],"ERR")</f>
        <v>ERR</v>
      </c>
      <c r="T82" s="27"/>
      <c r="U82" s="27"/>
      <c r="V82" s="71"/>
      <c r="W82" s="71"/>
      <c r="X82" s="57"/>
      <c r="Y82" s="525"/>
      <c r="Z82" s="525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</row>
    <row r="83" spans="1:38" s="12" customFormat="1">
      <c r="A83" s="57"/>
      <c r="B83" s="135"/>
      <c r="C83" s="27"/>
      <c r="D83" s="62"/>
      <c r="E83" s="135"/>
      <c r="F83" s="55"/>
      <c r="G83" s="55"/>
      <c r="H83" s="55"/>
      <c r="I83" s="55"/>
      <c r="J83" s="55"/>
      <c r="K83" s="55"/>
      <c r="L83" s="55"/>
      <c r="M83" s="55"/>
      <c r="N83" s="194"/>
      <c r="O83" s="55"/>
      <c r="P83" s="27"/>
      <c r="Q83" s="27"/>
      <c r="R83" s="27"/>
      <c r="S83" s="27"/>
      <c r="T83" s="27"/>
      <c r="U83" s="27"/>
      <c r="V83" s="71"/>
      <c r="W83" s="71"/>
      <c r="X83" s="57"/>
      <c r="Y83" s="525"/>
      <c r="Z83" s="525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</row>
    <row r="84" spans="1:38" s="12" customFormat="1">
      <c r="A84" s="57"/>
      <c r="B84" s="135"/>
      <c r="C84" s="27"/>
      <c r="D84" s="62"/>
      <c r="E84" s="135"/>
      <c r="F84" s="55"/>
      <c r="G84" s="55"/>
      <c r="H84" s="55"/>
      <c r="I84" s="55"/>
      <c r="J84" s="55"/>
      <c r="K84" s="55"/>
      <c r="L84" s="55"/>
      <c r="M84" s="55"/>
      <c r="N84" s="194"/>
      <c r="O84" s="55"/>
      <c r="P84" s="27"/>
      <c r="Q84" s="27"/>
      <c r="R84" s="27"/>
      <c r="S84" s="27"/>
      <c r="T84" s="27"/>
      <c r="U84" s="27"/>
      <c r="V84" s="71"/>
      <c r="W84" s="71"/>
      <c r="X84" s="57"/>
      <c r="Y84" s="525"/>
      <c r="Z84" s="525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</row>
    <row r="85" spans="1:38" s="12" customFormat="1">
      <c r="A85" s="342"/>
      <c r="B85" s="343"/>
      <c r="C85" s="344"/>
      <c r="D85" s="62"/>
      <c r="E85" s="135"/>
      <c r="F85" s="345"/>
      <c r="G85" s="345"/>
      <c r="H85" s="379" t="s">
        <v>942</v>
      </c>
      <c r="I85" s="55"/>
      <c r="J85" s="55"/>
      <c r="K85" s="428"/>
      <c r="L85" s="428"/>
      <c r="M85" s="379" t="s">
        <v>942</v>
      </c>
      <c r="N85" s="378" t="s">
        <v>943</v>
      </c>
      <c r="O85" s="380" t="s">
        <v>944</v>
      </c>
      <c r="P85" s="27"/>
      <c r="Q85" s="27"/>
      <c r="R85" s="27"/>
      <c r="S85" s="27"/>
      <c r="T85" s="27"/>
      <c r="U85" s="27"/>
      <c r="V85" s="71"/>
      <c r="W85" s="71"/>
      <c r="X85" s="57"/>
      <c r="Y85" s="525"/>
      <c r="Z85" s="525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</row>
    <row r="86" spans="1:38" s="12" customFormat="1">
      <c r="A86" s="57"/>
      <c r="B86" s="57"/>
      <c r="C86" s="253"/>
      <c r="D86" s="62"/>
      <c r="E86" s="135"/>
      <c r="F86" s="55"/>
      <c r="G86" s="55"/>
      <c r="H86" s="55"/>
      <c r="I86" s="55"/>
      <c r="J86" s="55"/>
      <c r="K86" s="428"/>
      <c r="L86" s="428"/>
      <c r="M86" s="428"/>
      <c r="N86" s="194"/>
      <c r="O86" s="55"/>
      <c r="P86" s="27"/>
      <c r="Q86" s="27"/>
      <c r="R86" s="27"/>
      <c r="S86" s="27"/>
      <c r="T86" s="27"/>
      <c r="U86" s="27"/>
      <c r="V86" s="71"/>
      <c r="W86" s="71"/>
      <c r="X86" s="57"/>
      <c r="Y86" s="525"/>
      <c r="Z86" s="525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</row>
    <row r="87" spans="1:38" s="12" customFormat="1">
      <c r="A87" s="57"/>
      <c r="B87" s="135"/>
      <c r="C87" s="253"/>
      <c r="D87" s="62"/>
      <c r="E87" s="135"/>
      <c r="F87" s="55"/>
      <c r="G87" s="55"/>
      <c r="H87" s="55"/>
      <c r="I87" s="55"/>
      <c r="J87" s="55"/>
      <c r="K87" s="428"/>
      <c r="L87" s="428"/>
      <c r="M87" s="428"/>
      <c r="N87" s="194"/>
      <c r="O87" s="55"/>
      <c r="P87" s="27"/>
      <c r="Q87" s="27"/>
      <c r="R87" s="57"/>
      <c r="S87" s="27"/>
      <c r="T87" s="27"/>
      <c r="U87" s="27"/>
      <c r="V87" s="71"/>
      <c r="W87" s="71"/>
      <c r="X87" s="57"/>
      <c r="Y87" s="525"/>
      <c r="Z87" s="525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</row>
    <row r="88" spans="1:38" s="12" customFormat="1">
      <c r="A88" s="57"/>
      <c r="B88" s="57"/>
      <c r="C88" s="253"/>
      <c r="D88" s="62"/>
      <c r="E88" s="135"/>
      <c r="F88" s="428"/>
      <c r="G88" s="428"/>
      <c r="H88" s="428"/>
      <c r="I88" s="428"/>
      <c r="J88" s="428"/>
      <c r="K88" s="428"/>
      <c r="L88" s="428"/>
      <c r="M88" s="428"/>
      <c r="N88" s="194"/>
      <c r="O88" s="55"/>
      <c r="P88" s="27"/>
      <c r="Q88" s="27"/>
      <c r="R88" s="57"/>
      <c r="S88" s="27"/>
      <c r="T88" s="27"/>
      <c r="U88" s="27"/>
      <c r="V88" s="71"/>
      <c r="W88" s="71"/>
      <c r="X88" s="57"/>
      <c r="Y88" s="525"/>
      <c r="Z88" s="525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</row>
    <row r="89" spans="1:38" s="12" customFormat="1">
      <c r="A89" s="57"/>
      <c r="B89" s="57" t="s">
        <v>897</v>
      </c>
      <c r="C89" s="253"/>
      <c r="D89" s="62"/>
      <c r="E89" s="135"/>
      <c r="F89" s="428"/>
      <c r="G89" s="428"/>
      <c r="H89" s="428"/>
      <c r="I89" s="428"/>
      <c r="J89" s="428"/>
      <c r="K89" s="428"/>
      <c r="L89" s="428"/>
      <c r="M89" s="428"/>
      <c r="N89" s="194"/>
      <c r="O89" s="55"/>
      <c r="P89" s="27"/>
      <c r="Q89" s="27"/>
      <c r="R89" s="57"/>
      <c r="S89" s="27"/>
      <c r="T89" s="27"/>
      <c r="U89" s="27"/>
      <c r="V89" s="71"/>
      <c r="W89" s="71"/>
      <c r="X89" s="57"/>
      <c r="Y89" s="525"/>
      <c r="Z89" s="525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</row>
    <row r="90" spans="1:38" s="12" customFormat="1">
      <c r="A90" s="57"/>
      <c r="B90" s="31" t="str" cm="1">
        <f t="array" ref="B90:B168">MOLTable[Name]</f>
        <v>SUMMERS, DOMINIC A.</v>
      </c>
      <c r="C90" s="253"/>
      <c r="D90" s="62"/>
      <c r="E90" s="135"/>
      <c r="F90" s="55"/>
      <c r="G90" s="55"/>
      <c r="H90" s="55"/>
      <c r="I90" s="55"/>
      <c r="J90" s="55"/>
      <c r="K90" s="428"/>
      <c r="L90" s="428"/>
      <c r="M90" s="428"/>
      <c r="N90" s="194"/>
      <c r="O90" s="55"/>
      <c r="P90" s="537"/>
      <c r="Q90" s="537"/>
      <c r="R90" s="19"/>
      <c r="S90" s="27"/>
      <c r="T90" s="27"/>
      <c r="U90" s="27"/>
      <c r="V90" s="71"/>
      <c r="W90" s="71"/>
      <c r="X90" s="57"/>
      <c r="Y90" s="525"/>
      <c r="Z90" s="525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</row>
    <row r="91" spans="1:38" s="12" customFormat="1">
      <c r="A91" s="57"/>
      <c r="B91" s="31" t="str">
        <v>LARA, SAMARA A.</v>
      </c>
      <c r="C91" s="253"/>
      <c r="D91" s="62"/>
      <c r="E91" s="135"/>
      <c r="F91" s="55"/>
      <c r="G91" s="55"/>
      <c r="H91" s="55"/>
      <c r="I91" s="55"/>
      <c r="J91" s="55"/>
      <c r="K91" s="428"/>
      <c r="L91" s="428"/>
      <c r="M91" s="428"/>
      <c r="N91" s="194"/>
      <c r="O91" s="55"/>
      <c r="P91" s="537"/>
      <c r="Q91" s="537"/>
      <c r="R91" s="19"/>
      <c r="S91" s="27"/>
      <c r="T91" s="27"/>
      <c r="U91" s="27"/>
      <c r="V91" s="71"/>
      <c r="W91" s="71"/>
      <c r="X91" s="57"/>
      <c r="Y91" s="525"/>
      <c r="Z91" s="525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</row>
    <row r="92" spans="1:38" s="12" customFormat="1">
      <c r="A92" s="57"/>
      <c r="B92" s="31" t="str">
        <v>CARSON, BROOKS A.</v>
      </c>
      <c r="C92" s="253"/>
      <c r="D92" s="62"/>
      <c r="E92" s="135"/>
      <c r="F92" s="55"/>
      <c r="G92" s="55"/>
      <c r="H92" s="55"/>
      <c r="I92" s="55"/>
      <c r="J92" s="55"/>
      <c r="K92" s="428"/>
      <c r="L92" s="428"/>
      <c r="M92" s="428"/>
      <c r="N92" s="194"/>
      <c r="O92" s="55"/>
      <c r="P92" s="537"/>
      <c r="Q92" s="537"/>
      <c r="R92" s="19"/>
      <c r="S92" s="27"/>
      <c r="T92" s="27"/>
      <c r="U92" s="27"/>
      <c r="V92" s="71"/>
      <c r="W92" s="71"/>
      <c r="X92" s="57"/>
      <c r="Y92" s="525"/>
      <c r="Z92" s="525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</row>
    <row r="93" spans="1:38" s="12" customFormat="1">
      <c r="A93" s="57"/>
      <c r="B93" s="31" t="str">
        <v>COFFEY, GIOVANI A.</v>
      </c>
      <c r="C93" s="253"/>
      <c r="D93" s="62"/>
      <c r="E93" s="135"/>
      <c r="F93" s="55"/>
      <c r="G93" s="55"/>
      <c r="H93" s="55"/>
      <c r="I93" s="55"/>
      <c r="J93" s="55"/>
      <c r="K93" s="193"/>
      <c r="L93" s="193"/>
      <c r="M93" s="193"/>
      <c r="N93" s="194"/>
      <c r="O93" s="55"/>
      <c r="P93" s="537"/>
      <c r="Q93" s="537"/>
      <c r="R93" s="19"/>
      <c r="S93" s="57"/>
      <c r="T93" s="57"/>
      <c r="U93" s="57"/>
      <c r="V93" s="57"/>
      <c r="W93" s="57"/>
      <c r="X93" s="57"/>
      <c r="Y93" s="525"/>
      <c r="Z93" s="525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</row>
    <row r="94" spans="1:38" s="12" customFormat="1">
      <c r="A94" s="57"/>
      <c r="B94" s="31" t="str">
        <v>BERG, JULIAN A.</v>
      </c>
      <c r="C94" s="253"/>
      <c r="D94" s="62"/>
      <c r="E94" s="135"/>
      <c r="F94" s="55"/>
      <c r="G94" s="55"/>
      <c r="H94" s="55"/>
      <c r="I94" s="55"/>
      <c r="J94" s="55"/>
      <c r="K94" s="193"/>
      <c r="L94" s="193"/>
      <c r="M94" s="193"/>
      <c r="N94" s="194"/>
      <c r="O94" s="55"/>
      <c r="P94" s="537"/>
      <c r="Q94" s="537"/>
      <c r="R94" s="19"/>
      <c r="S94" s="27"/>
      <c r="T94" s="27"/>
      <c r="U94" s="27"/>
      <c r="V94" s="71"/>
      <c r="W94" s="71"/>
      <c r="X94" s="57"/>
      <c r="Y94" s="525"/>
      <c r="Z94" s="525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</row>
    <row r="95" spans="1:38" s="12" customFormat="1">
      <c r="A95" s="57"/>
      <c r="B95" s="31" t="str">
        <v>MORRIS, RAELYNN A.</v>
      </c>
      <c r="C95" s="253"/>
      <c r="D95" s="62"/>
      <c r="E95" s="135"/>
      <c r="F95" s="55"/>
      <c r="G95" s="55"/>
      <c r="H95" s="55"/>
      <c r="I95" s="55"/>
      <c r="J95" s="55"/>
      <c r="K95" s="428"/>
      <c r="L95" s="428"/>
      <c r="M95" s="428"/>
      <c r="N95" s="194"/>
      <c r="O95" s="55"/>
      <c r="P95" s="537"/>
      <c r="Q95" s="537"/>
      <c r="R95" s="19"/>
      <c r="S95" s="27"/>
      <c r="T95" s="27"/>
      <c r="U95" s="27"/>
      <c r="V95" s="71"/>
      <c r="W95" s="71"/>
      <c r="X95" s="57"/>
      <c r="Y95" s="525"/>
      <c r="Z95" s="525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</row>
    <row r="96" spans="1:38" s="12" customFormat="1">
      <c r="A96" s="57"/>
      <c r="B96" s="31" t="str">
        <v>TRUJILLO, JULIEN A.</v>
      </c>
      <c r="C96" s="253"/>
      <c r="D96" s="62"/>
      <c r="E96" s="135"/>
      <c r="F96" s="55"/>
      <c r="G96" s="55"/>
      <c r="H96" s="55"/>
      <c r="I96" s="55"/>
      <c r="J96" s="55"/>
      <c r="K96" s="428"/>
      <c r="L96" s="428"/>
      <c r="M96" s="428"/>
      <c r="N96" s="194"/>
      <c r="O96" s="55"/>
      <c r="P96" s="537"/>
      <c r="Q96" s="537"/>
      <c r="R96" s="19"/>
      <c r="S96" s="27"/>
      <c r="T96" s="27"/>
      <c r="U96" s="27"/>
      <c r="V96" s="71"/>
      <c r="W96" s="71"/>
      <c r="X96" s="57"/>
      <c r="Y96" s="525"/>
      <c r="Z96" s="525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</row>
    <row r="97" spans="1:38" s="12" customFormat="1">
      <c r="A97" s="57"/>
      <c r="B97" s="31" t="str">
        <v>LANDRY, REY A.</v>
      </c>
      <c r="C97" s="253"/>
      <c r="D97" s="62"/>
      <c r="E97" s="135"/>
      <c r="F97" s="55"/>
      <c r="G97" s="55"/>
      <c r="H97" s="55"/>
      <c r="I97" s="55"/>
      <c r="J97" s="55"/>
      <c r="K97" s="428"/>
      <c r="L97" s="428"/>
      <c r="M97" s="428"/>
      <c r="N97" s="194"/>
      <c r="O97" s="55"/>
      <c r="P97" s="537"/>
      <c r="Q97" s="537"/>
      <c r="R97" s="19"/>
      <c r="S97" s="27"/>
      <c r="T97" s="27"/>
      <c r="U97" s="27"/>
      <c r="V97" s="71"/>
      <c r="W97" s="71"/>
      <c r="X97" s="57"/>
      <c r="Y97" s="525"/>
      <c r="Z97" s="525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</row>
    <row r="98" spans="1:38">
      <c r="B98" s="31" t="str">
        <v>DUARTE, SILAS A.</v>
      </c>
      <c r="C98" s="253"/>
      <c r="K98" s="428"/>
      <c r="L98" s="428"/>
      <c r="M98" s="428"/>
      <c r="X98" s="57"/>
      <c r="Y98" s="525"/>
      <c r="Z98" s="525"/>
    </row>
    <row r="99" spans="1:38">
      <c r="B99" s="31" t="str">
        <v>KIDD, ADONIS A.</v>
      </c>
      <c r="C99" s="253"/>
      <c r="K99" s="428"/>
      <c r="L99" s="428"/>
      <c r="M99" s="428"/>
      <c r="X99" s="57"/>
      <c r="Y99" s="525"/>
      <c r="Z99" s="525"/>
    </row>
    <row r="100" spans="1:38">
      <c r="B100" s="31" t="str">
        <v>BREWER, VALENTINA A.</v>
      </c>
      <c r="C100" s="253"/>
      <c r="K100" s="428"/>
      <c r="L100" s="428"/>
      <c r="M100" s="428"/>
      <c r="X100" s="57"/>
      <c r="Y100" s="525"/>
      <c r="Z100" s="525"/>
    </row>
    <row r="101" spans="1:38">
      <c r="B101" s="135" t="str">
        <v>CABRERA, HAILIE A.</v>
      </c>
      <c r="C101" s="253"/>
      <c r="K101" s="428"/>
      <c r="L101" s="428"/>
      <c r="M101" s="428"/>
      <c r="X101" s="57"/>
      <c r="Y101" s="525"/>
      <c r="Z101" s="525"/>
    </row>
    <row r="102" spans="1:38">
      <c r="B102" s="31" t="str">
        <v>HODGES, ROSELYN A.</v>
      </c>
      <c r="C102" s="253"/>
      <c r="K102" s="428"/>
      <c r="L102" s="428"/>
      <c r="M102" s="428"/>
      <c r="X102" s="57"/>
      <c r="Y102" s="525"/>
      <c r="Z102" s="525"/>
    </row>
    <row r="103" spans="1:38">
      <c r="B103" s="31" t="str">
        <v>ACEVEDO, GRIFFIN A.</v>
      </c>
      <c r="C103" s="253"/>
      <c r="K103" s="428"/>
      <c r="L103" s="428"/>
      <c r="M103" s="428"/>
      <c r="X103" s="57"/>
      <c r="Y103" s="525"/>
      <c r="Z103" s="525"/>
    </row>
    <row r="104" spans="1:38">
      <c r="B104" s="31" t="str">
        <v>ALLEN, KALE A.</v>
      </c>
      <c r="C104" s="253"/>
      <c r="K104" s="428"/>
      <c r="L104" s="428"/>
      <c r="M104" s="428"/>
      <c r="X104" s="57"/>
      <c r="Y104" s="525"/>
      <c r="Z104" s="525"/>
    </row>
    <row r="105" spans="1:38">
      <c r="B105" s="31" t="str">
        <v>DAVENPORT, IMMANUEL A.</v>
      </c>
      <c r="C105" s="253"/>
      <c r="K105" s="428"/>
      <c r="L105" s="428"/>
      <c r="M105" s="428"/>
      <c r="X105" s="57"/>
      <c r="Y105" s="525"/>
      <c r="Z105" s="525"/>
    </row>
    <row r="106" spans="1:38">
      <c r="B106" s="31" t="str">
        <v>CHANDLER, TREVON A.</v>
      </c>
      <c r="C106" s="253"/>
      <c r="K106" s="428"/>
      <c r="L106" s="428"/>
      <c r="M106" s="428"/>
      <c r="X106" s="57"/>
      <c r="Y106" s="525"/>
      <c r="Z106" s="525"/>
    </row>
    <row r="107" spans="1:38">
      <c r="B107" s="31" t="str">
        <v>CLEMENTS, ALISSON A.</v>
      </c>
      <c r="C107" s="253"/>
      <c r="K107" s="428"/>
      <c r="L107" s="428"/>
      <c r="M107" s="428"/>
      <c r="X107" s="57"/>
      <c r="Y107" s="525"/>
      <c r="Z107" s="525"/>
    </row>
    <row r="108" spans="1:38">
      <c r="B108" s="31" t="str">
        <v>MULLEN, LILLIE A.</v>
      </c>
      <c r="C108" s="253"/>
      <c r="K108" s="428"/>
      <c r="L108" s="428"/>
      <c r="M108" s="428"/>
      <c r="X108" s="57"/>
      <c r="Y108" s="525"/>
      <c r="Z108" s="525"/>
    </row>
    <row r="109" spans="1:38">
      <c r="B109" s="31" t="str">
        <v>WONG, KATELYNN A.</v>
      </c>
      <c r="C109" s="253"/>
      <c r="K109" s="428"/>
      <c r="L109" s="428"/>
      <c r="M109" s="428"/>
      <c r="X109" s="57"/>
      <c r="Y109" s="525"/>
      <c r="Z109" s="525"/>
    </row>
    <row r="110" spans="1:38">
      <c r="B110" s="31" t="str">
        <v>FRANK, DAVIN A.</v>
      </c>
      <c r="C110" s="253"/>
      <c r="K110" s="428"/>
      <c r="L110" s="428"/>
      <c r="M110" s="428"/>
      <c r="X110" s="57"/>
      <c r="Y110" s="525"/>
      <c r="Z110" s="525"/>
    </row>
    <row r="111" spans="1:38">
      <c r="B111" s="31" t="str">
        <v>MOODY, TIANNA A.</v>
      </c>
      <c r="C111" s="253"/>
      <c r="K111" s="428"/>
      <c r="L111" s="428"/>
      <c r="M111" s="428"/>
      <c r="X111" s="57"/>
      <c r="Y111" s="525"/>
      <c r="Z111" s="525"/>
    </row>
    <row r="112" spans="1:38">
      <c r="B112" s="31" t="str">
        <v>MAYO, SANIYAH A.</v>
      </c>
      <c r="C112" s="253"/>
      <c r="K112" s="428"/>
      <c r="L112" s="428"/>
      <c r="M112" s="428"/>
      <c r="X112" s="57"/>
      <c r="Y112" s="525"/>
      <c r="Z112" s="525"/>
    </row>
    <row r="113" spans="2:26">
      <c r="B113" s="31" t="str">
        <v>TERRELL, KAMORA A.</v>
      </c>
      <c r="C113" s="253"/>
      <c r="K113" s="428"/>
      <c r="L113" s="428"/>
      <c r="M113" s="428"/>
      <c r="X113" s="57"/>
      <c r="Y113" s="525"/>
      <c r="Z113" s="525"/>
    </row>
    <row r="114" spans="2:26">
      <c r="B114" s="31" t="str">
        <v>ARNOLD, MARY A.</v>
      </c>
      <c r="C114" s="253"/>
      <c r="K114" s="428"/>
      <c r="L114" s="428"/>
      <c r="M114" s="428"/>
      <c r="X114" s="57"/>
      <c r="Y114" s="525"/>
      <c r="Z114" s="525"/>
    </row>
    <row r="115" spans="2:26">
      <c r="B115" s="31" t="str">
        <v>WILLIS, AKIRA A.</v>
      </c>
      <c r="C115" s="253"/>
      <c r="K115" s="428"/>
      <c r="L115" s="428"/>
      <c r="M115" s="428"/>
      <c r="X115" s="57"/>
      <c r="Y115" s="525"/>
      <c r="Z115" s="525"/>
    </row>
    <row r="116" spans="2:26">
      <c r="B116" s="31" t="str">
        <v>RITTER, DEMETRIUS A.</v>
      </c>
      <c r="C116" s="253"/>
      <c r="K116" s="428"/>
      <c r="L116" s="428"/>
      <c r="M116" s="428"/>
      <c r="X116" s="57"/>
      <c r="Y116" s="525"/>
      <c r="Z116" s="525"/>
    </row>
    <row r="117" spans="2:26">
      <c r="B117" s="31" t="str">
        <v>HARTMAN, DANE A.</v>
      </c>
      <c r="C117" s="253"/>
      <c r="K117" s="428"/>
      <c r="L117" s="428"/>
      <c r="M117" s="428"/>
      <c r="X117" s="57"/>
      <c r="Y117" s="525"/>
      <c r="Z117" s="525"/>
    </row>
    <row r="118" spans="2:26">
      <c r="B118" s="31" t="str">
        <v>FRY, DARIUS A.</v>
      </c>
      <c r="C118" s="253"/>
      <c r="K118" s="428"/>
      <c r="L118" s="428"/>
      <c r="M118" s="428"/>
      <c r="X118" s="57"/>
      <c r="Y118" s="525"/>
      <c r="Z118" s="525"/>
    </row>
    <row r="119" spans="2:26">
      <c r="B119" s="31" t="str">
        <v>NASH, KIERAN A.</v>
      </c>
      <c r="C119" s="253"/>
      <c r="K119" s="428"/>
      <c r="L119" s="428"/>
      <c r="M119" s="428"/>
      <c r="X119" s="29"/>
      <c r="Y119" s="525"/>
      <c r="Z119" s="525"/>
    </row>
    <row r="120" spans="2:26">
      <c r="B120" s="31" t="str">
        <v>SHAH, BRYNN A.</v>
      </c>
      <c r="C120" s="253"/>
      <c r="K120" s="428"/>
      <c r="L120" s="428"/>
      <c r="M120" s="428"/>
      <c r="X120" s="29"/>
      <c r="Y120" s="525"/>
      <c r="Z120" s="525"/>
    </row>
    <row r="121" spans="2:26">
      <c r="B121" s="31" t="str">
        <v>WEISS, BRAXTON A.</v>
      </c>
      <c r="C121" s="253"/>
      <c r="K121" s="428"/>
      <c r="L121" s="428"/>
      <c r="M121" s="428"/>
      <c r="X121" s="29"/>
      <c r="Y121" s="525"/>
      <c r="Z121" s="525"/>
    </row>
    <row r="122" spans="2:26">
      <c r="B122" s="31" t="str">
        <v>HOPKINS, NICK A.</v>
      </c>
      <c r="C122" s="253"/>
      <c r="K122" s="428"/>
      <c r="L122" s="428"/>
      <c r="M122" s="428"/>
      <c r="X122" s="29"/>
      <c r="Y122" s="525"/>
      <c r="Z122" s="525"/>
    </row>
    <row r="123" spans="2:26">
      <c r="B123" s="31" t="str">
        <v>GIBBS, SANDRA A.</v>
      </c>
      <c r="C123" s="253"/>
      <c r="K123" s="428"/>
      <c r="L123" s="428"/>
      <c r="M123" s="428"/>
      <c r="X123" s="29"/>
      <c r="Y123" s="66"/>
      <c r="Z123" s="525"/>
    </row>
    <row r="124" spans="2:26">
      <c r="B124" s="31" t="str">
        <v>FRIEDMAN, ROHAN A.</v>
      </c>
      <c r="C124" s="253"/>
      <c r="K124" s="428"/>
      <c r="L124" s="428"/>
      <c r="M124" s="428"/>
    </row>
    <row r="125" spans="2:26">
      <c r="B125" s="31" t="str">
        <v>SPEARS, TRIPP A.</v>
      </c>
      <c r="C125" s="253"/>
      <c r="K125" s="428"/>
      <c r="L125" s="428"/>
      <c r="M125" s="428"/>
      <c r="X125" s="29"/>
    </row>
    <row r="126" spans="2:26">
      <c r="B126" s="31" t="str">
        <v>KENNEDY, RYAN A.</v>
      </c>
      <c r="C126" s="253"/>
      <c r="K126" s="428"/>
      <c r="L126" s="428"/>
      <c r="M126" s="428"/>
      <c r="X126" s="29"/>
    </row>
    <row r="127" spans="2:26">
      <c r="B127" s="31" t="str">
        <v>CHEN, ANGELINE A.</v>
      </c>
      <c r="C127" s="253"/>
      <c r="K127" s="428"/>
      <c r="L127" s="428"/>
      <c r="M127" s="428"/>
      <c r="X127" s="29"/>
    </row>
    <row r="128" spans="2:26">
      <c r="B128" s="31" t="str">
        <v>BUCHANAN, TIMOTHY A.</v>
      </c>
      <c r="C128" s="253"/>
      <c r="K128" s="428"/>
      <c r="L128" s="428"/>
      <c r="M128" s="428"/>
      <c r="X128" s="29"/>
    </row>
    <row r="129" spans="2:24">
      <c r="B129" s="31" t="str">
        <v>LARSEN, JENSEN A.</v>
      </c>
      <c r="C129" s="253"/>
      <c r="K129" s="428"/>
      <c r="L129" s="428"/>
      <c r="M129" s="428"/>
      <c r="X129" s="29"/>
    </row>
    <row r="130" spans="2:24">
      <c r="B130" s="31" t="str">
        <v>MCBRIDE, ZION A.</v>
      </c>
      <c r="C130" s="253"/>
      <c r="K130" s="428"/>
      <c r="L130" s="428"/>
      <c r="M130" s="428"/>
      <c r="X130" s="29"/>
    </row>
    <row r="131" spans="2:24">
      <c r="B131" s="31" t="str">
        <v>CORDOVA, GRADY A.</v>
      </c>
      <c r="C131" s="253"/>
      <c r="K131" s="428"/>
      <c r="L131" s="428"/>
      <c r="M131" s="428"/>
      <c r="X131" s="29"/>
    </row>
    <row r="132" spans="2:24">
      <c r="B132" s="31" t="str">
        <v>HARRISON, FIONA A.</v>
      </c>
      <c r="C132" s="253"/>
      <c r="K132" s="428"/>
      <c r="L132" s="428"/>
      <c r="M132" s="428"/>
      <c r="X132" s="29"/>
    </row>
    <row r="133" spans="2:24">
      <c r="B133" s="31" t="str">
        <v>HAAS, VALERY A.</v>
      </c>
      <c r="C133" s="253"/>
      <c r="K133" s="428"/>
      <c r="L133" s="428"/>
      <c r="M133" s="428"/>
      <c r="X133" s="29"/>
    </row>
    <row r="134" spans="2:24">
      <c r="B134" s="31" t="str">
        <v>BRADFORD, CADENCE A.</v>
      </c>
      <c r="C134" s="253"/>
      <c r="K134" s="428"/>
      <c r="L134" s="428"/>
      <c r="M134" s="428"/>
      <c r="X134" s="29"/>
    </row>
    <row r="135" spans="2:24">
      <c r="B135" s="31" t="str">
        <v>BERGER, PAYTON A.</v>
      </c>
      <c r="C135" s="253"/>
      <c r="K135" s="428"/>
      <c r="L135" s="428"/>
      <c r="M135" s="428"/>
      <c r="X135" s="29"/>
    </row>
    <row r="136" spans="2:24">
      <c r="B136" s="31" t="str">
        <v>MCCOY, EILEEN A.</v>
      </c>
      <c r="C136" s="253"/>
      <c r="K136" s="428"/>
      <c r="L136" s="428"/>
      <c r="M136" s="428"/>
      <c r="X136" s="29"/>
    </row>
    <row r="137" spans="2:24">
      <c r="B137" s="31" t="str">
        <v>MALONE, DAMARION A.</v>
      </c>
      <c r="C137" s="253"/>
      <c r="K137" s="428"/>
      <c r="L137" s="428"/>
      <c r="M137" s="428"/>
      <c r="X137" s="29"/>
    </row>
    <row r="138" spans="2:24">
      <c r="B138" s="31" t="str">
        <v>GROSS, SHERLYN A.</v>
      </c>
      <c r="C138" s="253"/>
      <c r="K138" s="428"/>
      <c r="L138" s="428"/>
      <c r="M138" s="428"/>
      <c r="X138" s="29"/>
    </row>
    <row r="139" spans="2:24">
      <c r="B139" s="31" t="str">
        <v>BECK, LEVI A.</v>
      </c>
      <c r="C139" s="253"/>
      <c r="K139" s="428"/>
      <c r="L139" s="428"/>
      <c r="M139" s="428"/>
      <c r="X139" s="29"/>
    </row>
    <row r="140" spans="2:24">
      <c r="B140" s="31" t="str">
        <v>SILVA, ABIGAIL A.</v>
      </c>
      <c r="C140" s="253"/>
      <c r="K140" s="428"/>
      <c r="L140" s="428"/>
      <c r="M140" s="428"/>
      <c r="X140" s="29"/>
    </row>
    <row r="141" spans="2:24">
      <c r="B141" s="31" t="str">
        <v>CONWAY, TATIANA A.</v>
      </c>
      <c r="C141" s="253"/>
      <c r="K141" s="428"/>
      <c r="L141" s="428"/>
      <c r="M141" s="428"/>
      <c r="X141" s="29"/>
    </row>
    <row r="142" spans="2:24">
      <c r="B142" s="31" t="str">
        <v>HUGHES, GILBERTO A.</v>
      </c>
      <c r="C142" s="253"/>
      <c r="K142" s="428"/>
      <c r="L142" s="428"/>
      <c r="M142" s="428"/>
      <c r="X142" s="29"/>
    </row>
    <row r="143" spans="2:24">
      <c r="B143" s="31" t="str">
        <v>NASH, LEONARDO A.</v>
      </c>
      <c r="C143" s="253"/>
      <c r="K143" s="428"/>
      <c r="L143" s="428"/>
      <c r="M143" s="428"/>
    </row>
    <row r="144" spans="2:24">
      <c r="B144" s="31" t="str">
        <v>MONROE, MARIAM A.</v>
      </c>
      <c r="C144" s="253"/>
      <c r="K144" s="428"/>
      <c r="L144" s="428"/>
      <c r="M144" s="428"/>
    </row>
    <row r="145" spans="2:24">
      <c r="B145" s="31" t="str">
        <v>MCDONALD, DESIREE A.</v>
      </c>
      <c r="C145" s="253"/>
      <c r="K145" s="428"/>
      <c r="L145" s="428"/>
      <c r="M145" s="428"/>
    </row>
    <row r="146" spans="2:24">
      <c r="B146" s="31" t="str">
        <v>FOWLER, DEVYN A.</v>
      </c>
      <c r="C146" s="253"/>
      <c r="K146" s="428"/>
      <c r="L146" s="428"/>
      <c r="M146" s="428"/>
    </row>
    <row r="147" spans="2:24">
      <c r="B147" s="31" t="str">
        <v>MCGEE, MAYRA A.</v>
      </c>
      <c r="C147" s="253"/>
      <c r="K147" s="428"/>
      <c r="L147" s="428"/>
      <c r="M147" s="428"/>
    </row>
    <row r="148" spans="2:24">
      <c r="B148" s="31" t="str">
        <v>SCHAEFER, JAYLA A.</v>
      </c>
      <c r="C148" s="253"/>
      <c r="K148" s="428"/>
      <c r="L148" s="428"/>
      <c r="M148" s="428"/>
    </row>
    <row r="149" spans="2:24">
      <c r="B149" s="31" t="str">
        <v>LARSON, TYREE A.</v>
      </c>
      <c r="C149" s="253"/>
      <c r="K149" s="428"/>
      <c r="L149" s="428"/>
      <c r="M149" s="428"/>
    </row>
    <row r="150" spans="2:24">
      <c r="B150" s="31" t="str">
        <v>DAVID, HEATHER A.</v>
      </c>
      <c r="C150" s="253"/>
      <c r="K150" s="428"/>
      <c r="L150" s="428"/>
      <c r="M150" s="428"/>
    </row>
    <row r="151" spans="2:24">
      <c r="B151" s="31" t="str">
        <v>DAWSON, DEMARION A.</v>
      </c>
      <c r="C151" s="253"/>
      <c r="K151" s="428"/>
      <c r="L151" s="428"/>
      <c r="M151" s="428"/>
    </row>
    <row r="152" spans="2:24">
      <c r="B152" s="31" t="str">
        <v>SOLOMON, DILLON A.</v>
      </c>
      <c r="C152" s="253"/>
      <c r="K152" s="428"/>
      <c r="L152" s="428"/>
      <c r="M152" s="428"/>
      <c r="X152" s="57"/>
    </row>
    <row r="153" spans="2:24">
      <c r="B153" s="31" t="str">
        <v>VELAZQUEZ, EMILIE A.</v>
      </c>
      <c r="C153" s="253"/>
      <c r="K153" s="428"/>
      <c r="L153" s="428"/>
      <c r="M153" s="428"/>
    </row>
    <row r="154" spans="2:24">
      <c r="B154" s="31" t="str">
        <v>WALKER, ANAYA A.</v>
      </c>
      <c r="C154" s="253"/>
      <c r="K154" s="428"/>
      <c r="L154" s="428"/>
      <c r="M154" s="428"/>
    </row>
    <row r="155" spans="2:24">
      <c r="B155" s="31" t="str">
        <v>HEBERT, MAYRA A.</v>
      </c>
      <c r="C155" s="253"/>
      <c r="K155" s="428"/>
      <c r="L155" s="428"/>
      <c r="M155" s="428"/>
    </row>
    <row r="156" spans="2:24">
      <c r="B156" s="31" t="str">
        <v>JOSEPH, GUADALUPE A.</v>
      </c>
      <c r="C156" s="253"/>
      <c r="K156" s="428"/>
      <c r="L156" s="428"/>
      <c r="M156" s="428"/>
    </row>
    <row r="157" spans="2:24">
      <c r="B157" s="31" t="str">
        <v>TODD, GLENN A.</v>
      </c>
      <c r="C157" s="253"/>
      <c r="K157" s="428"/>
      <c r="L157" s="428"/>
      <c r="M157" s="428"/>
    </row>
    <row r="158" spans="2:24">
      <c r="B158" s="31" t="str">
        <v>RIOS, LEWIS A.</v>
      </c>
      <c r="C158" s="253"/>
      <c r="K158" s="428"/>
      <c r="L158" s="428"/>
      <c r="M158" s="428"/>
    </row>
    <row r="159" spans="2:24">
      <c r="B159" s="31" t="str">
        <v>MAXWELL, COBY A.</v>
      </c>
      <c r="C159" s="253"/>
      <c r="K159" s="428"/>
      <c r="L159" s="428"/>
      <c r="M159" s="428"/>
    </row>
    <row r="160" spans="2:24">
      <c r="B160" s="31" t="str">
        <v>DAVENPORT, ANYA A.</v>
      </c>
      <c r="C160" s="253"/>
      <c r="K160" s="428"/>
      <c r="L160" s="428"/>
      <c r="M160" s="428"/>
    </row>
    <row r="161" spans="2:29">
      <c r="B161" s="31" t="str">
        <v>ALVAREZ, KIANA A.</v>
      </c>
      <c r="C161" s="253"/>
      <c r="K161" s="428"/>
      <c r="L161" s="428"/>
      <c r="M161" s="428"/>
    </row>
    <row r="162" spans="2:29">
      <c r="B162" s="31" t="str">
        <v>TRAVIS, ANGELINA A.</v>
      </c>
      <c r="C162" s="253"/>
      <c r="K162" s="428"/>
      <c r="L162" s="428"/>
      <c r="M162" s="428"/>
      <c r="Y162" s="16"/>
      <c r="Z162" s="136"/>
      <c r="AA162" s="136"/>
      <c r="AB162" s="537" t="str" cm="1">
        <f t="array" ref="AB162">_xlfn.LET(_xlpm.s,(IFERROR(IF(IF(ISTEXT(RecallTable[[#This Row],[Return Date]]), "", _xlfn.DAYS(RecallTable[[#This Row],[Return Date]],RecallTable[[#This Row],[Start Date]])), _xlfn.DAYS(RecallTable[[#This Row],[Return Date]],RecallTable[[#This Row],[Start Date]]),""),"")),IF(_xlpm.s="","",_xlpm.s))</f>
        <v/>
      </c>
      <c r="AC162" s="19"/>
    </row>
    <row r="163" spans="2:29">
      <c r="B163" s="31" t="str">
        <v>BLEVINS, TOBIAS A.</v>
      </c>
      <c r="C163" s="253"/>
      <c r="K163" s="428"/>
      <c r="L163" s="428"/>
      <c r="M163" s="428"/>
    </row>
    <row r="164" spans="2:29">
      <c r="B164" s="31" t="str">
        <v>ROSE, YUSUF A.</v>
      </c>
      <c r="C164" s="253"/>
      <c r="K164" s="428"/>
      <c r="L164" s="428"/>
      <c r="M164" s="428"/>
    </row>
    <row r="165" spans="2:29">
      <c r="B165" s="31" t="str">
        <v>HARRINGTON, TODD A.</v>
      </c>
      <c r="C165" s="253"/>
      <c r="K165" s="428"/>
      <c r="L165" s="428"/>
      <c r="M165" s="428"/>
    </row>
    <row r="166" spans="2:29">
      <c r="B166" s="31" t="str">
        <v>STAFFORD, ALLYSON A.</v>
      </c>
      <c r="C166" s="253"/>
      <c r="K166" s="428"/>
      <c r="L166" s="428"/>
      <c r="M166" s="428"/>
    </row>
    <row r="167" spans="2:29">
      <c r="B167" s="31" t="str">
        <v>THOMAS, AVA A.</v>
      </c>
      <c r="C167" s="253"/>
      <c r="K167" s="428"/>
      <c r="L167" s="428"/>
      <c r="M167" s="428"/>
    </row>
    <row r="168" spans="2:29">
      <c r="B168" s="31" t="str">
        <v>POWERS, BLAKE A.</v>
      </c>
      <c r="C168" s="253"/>
      <c r="K168" s="428"/>
      <c r="L168" s="428"/>
      <c r="M168" s="428"/>
    </row>
    <row r="169" spans="2:29">
      <c r="B169" s="31"/>
      <c r="C169" s="253"/>
      <c r="K169" s="428"/>
      <c r="L169" s="428"/>
      <c r="M169" s="428"/>
    </row>
    <row r="170" spans="2:29">
      <c r="B170" s="31"/>
      <c r="C170" s="253"/>
      <c r="K170" s="428"/>
      <c r="L170" s="428"/>
      <c r="M170" s="428"/>
    </row>
    <row r="171" spans="2:29">
      <c r="B171" s="31"/>
      <c r="C171" s="253"/>
      <c r="K171" s="428"/>
      <c r="L171" s="428"/>
      <c r="M171" s="428"/>
    </row>
    <row r="172" spans="2:29">
      <c r="B172" s="31"/>
      <c r="C172" s="253"/>
      <c r="K172" s="428"/>
      <c r="L172" s="428"/>
      <c r="M172" s="428"/>
    </row>
    <row r="173" spans="2:29">
      <c r="B173" s="31"/>
      <c r="K173" s="428"/>
      <c r="L173" s="428"/>
      <c r="M173" s="428"/>
    </row>
    <row r="174" spans="2:29">
      <c r="B174" s="31"/>
      <c r="K174" s="428"/>
      <c r="L174" s="428"/>
      <c r="M174" s="428"/>
    </row>
    <row r="175" spans="2:29">
      <c r="B175" s="31"/>
      <c r="K175" s="428"/>
      <c r="L175" s="428"/>
      <c r="M175" s="428"/>
    </row>
    <row r="176" spans="2:29">
      <c r="B176" s="31"/>
      <c r="K176" s="428"/>
      <c r="L176" s="428"/>
      <c r="M176" s="428"/>
    </row>
    <row r="177" spans="2:13">
      <c r="B177" s="31"/>
      <c r="K177" s="428"/>
      <c r="L177" s="428"/>
      <c r="M177" s="428"/>
    </row>
    <row r="178" spans="2:13">
      <c r="B178" s="31"/>
      <c r="K178" s="428"/>
      <c r="L178" s="428"/>
      <c r="M178" s="428"/>
    </row>
    <row r="179" spans="2:13">
      <c r="K179" s="428"/>
      <c r="L179" s="428"/>
      <c r="M179" s="428"/>
    </row>
    <row r="180" spans="2:13">
      <c r="K180" s="428"/>
      <c r="L180" s="428"/>
      <c r="M180" s="428"/>
    </row>
    <row r="181" spans="2:13">
      <c r="K181" s="428"/>
      <c r="L181" s="428"/>
      <c r="M181" s="428"/>
    </row>
    <row r="1047880" spans="15:15">
      <c r="O1047880" s="57" t="s">
        <v>659</v>
      </c>
    </row>
  </sheetData>
  <mergeCells count="5">
    <mergeCell ref="N1:O1"/>
    <mergeCell ref="A1:F1"/>
    <mergeCell ref="S1:W1"/>
    <mergeCell ref="P1:Q1"/>
    <mergeCell ref="H1:M1"/>
  </mergeCells>
  <conditionalFormatting sqref="S3:S82">
    <cfRule type="notContainsText" dxfId="159" priority="60" operator="notContains" text="On Hand">
      <formula>ISERROR(SEARCH("On Hand",S3))</formula>
    </cfRule>
  </conditionalFormatting>
  <conditionalFormatting sqref="T3:V81">
    <cfRule type="notContainsBlanks" dxfId="158" priority="40">
      <formula>LEN(TRIM(T3))&gt;0</formula>
    </cfRule>
  </conditionalFormatting>
  <conditionalFormatting sqref="B3:R81 C82">
    <cfRule type="containsBlanks" dxfId="157" priority="12">
      <formula>LEN(TRIM(B3))=0</formula>
    </cfRule>
  </conditionalFormatting>
  <conditionalFormatting sqref="K85:K1048576 K2:K81">
    <cfRule type="timePeriod" dxfId="156" priority="10" timePeriod="thisMonth">
      <formula>AND(MONTH(K2)=MONTH(TODAY()),YEAR(K2)=YEAR(TODAY()))</formula>
    </cfRule>
  </conditionalFormatting>
  <conditionalFormatting sqref="K3:K81">
    <cfRule type="cellIs" dxfId="155" priority="9" operator="lessThan">
      <formula>TODAY()+180</formula>
    </cfRule>
  </conditionalFormatting>
  <conditionalFormatting sqref="B3:B168">
    <cfRule type="uniqueValues" dxfId="154" priority="1078"/>
  </conditionalFormatting>
  <conditionalFormatting sqref="W3:W81">
    <cfRule type="colorScale" priority="12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2">
    <cfRule type="containsBlanks" dxfId="153" priority="1">
      <formula>LEN(TRIM(N82))=0</formula>
    </cfRule>
  </conditionalFormatting>
  <dataValidations count="1">
    <dataValidation allowBlank="1" showInputMessage="1" showErrorMessage="1" sqref="Y162:AA162 S3:V81 S82" xr:uid="{2E5AAE76-7C6A-45BE-A5B7-482130B87952}"/>
  </dataValidations>
  <pageMargins left="0.7" right="0.7" top="0.75" bottom="0.75" header="0.3" footer="0.3"/>
  <pageSetup fitToHeight="0" orientation="landscape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2217-E4F0-48F0-8B89-78A10C1B48DC}">
  <sheetPr>
    <tabColor rgb="FF0070C0"/>
  </sheetPr>
  <dimension ref="A1:BH1048526"/>
  <sheetViews>
    <sheetView workbookViewId="0">
      <pane xSplit="4" ySplit="2" topLeftCell="E3" activePane="bottomRight" state="frozen"/>
      <selection pane="topRight"/>
      <selection pane="bottomLeft"/>
      <selection pane="bottomRight" activeCell="A3" sqref="A3"/>
    </sheetView>
  </sheetViews>
  <sheetFormatPr defaultColWidth="9.140625" defaultRowHeight="15"/>
  <cols>
    <col min="1" max="1" width="10" style="19" bestFit="1" customWidth="1"/>
    <col min="2" max="2" width="10" style="19" customWidth="1"/>
    <col min="3" max="3" width="7.85546875" style="19" bestFit="1" customWidth="1"/>
    <col min="4" max="4" width="30.7109375" style="19" bestFit="1" customWidth="1"/>
    <col min="5" max="5" width="11.42578125" style="19" bestFit="1" customWidth="1"/>
    <col min="6" max="6" width="10" style="19" customWidth="1"/>
    <col min="7" max="7" width="11" style="19" customWidth="1"/>
    <col min="8" max="8" width="15.85546875" style="19" customWidth="1"/>
    <col min="9" max="9" width="11.140625" style="19" customWidth="1"/>
    <col min="10" max="10" width="16.7109375" style="19" customWidth="1"/>
    <col min="11" max="11" width="14" style="19" bestFit="1" customWidth="1"/>
    <col min="12" max="12" width="17.7109375" style="19" bestFit="1" customWidth="1"/>
    <col min="13" max="13" width="13.42578125" style="19" bestFit="1" customWidth="1"/>
    <col min="14" max="14" width="18.28515625" style="19" bestFit="1" customWidth="1"/>
    <col min="15" max="15" width="16.28515625" style="19" bestFit="1" customWidth="1"/>
    <col min="16" max="16" width="12.140625" style="19" customWidth="1"/>
    <col min="17" max="17" width="13.28515625" style="19" customWidth="1"/>
    <col min="18" max="18" width="13.5703125" style="19" bestFit="1" customWidth="1"/>
    <col min="19" max="19" width="11.5703125" style="19" customWidth="1"/>
    <col min="20" max="20" width="11.85546875" style="19" bestFit="1" customWidth="1"/>
    <col min="21" max="23" width="13" style="19" customWidth="1"/>
    <col min="24" max="24" width="10.7109375" style="19" bestFit="1" customWidth="1"/>
    <col min="25" max="25" width="9.28515625" style="19" customWidth="1"/>
    <col min="26" max="26" width="10.7109375" style="19" bestFit="1" customWidth="1"/>
    <col min="27" max="27" width="10.28515625" style="19" customWidth="1"/>
    <col min="28" max="28" width="9.85546875" style="19" customWidth="1"/>
    <col min="29" max="29" width="10" style="19" customWidth="1"/>
    <col min="30" max="30" width="10.7109375" style="19" bestFit="1" customWidth="1"/>
    <col min="31" max="31" width="11.5703125" style="19" customWidth="1"/>
    <col min="32" max="35" width="10.7109375" style="19" bestFit="1" customWidth="1"/>
    <col min="36" max="36" width="13" style="19" bestFit="1" customWidth="1"/>
    <col min="37" max="37" width="10.7109375" style="19" customWidth="1"/>
    <col min="38" max="39" width="10.7109375" style="19" bestFit="1" customWidth="1"/>
    <col min="40" max="40" width="10.7109375" style="19" customWidth="1"/>
    <col min="41" max="41" width="11.5703125" style="19" bestFit="1" customWidth="1"/>
    <col min="42" max="43" width="11.5703125" style="19" customWidth="1"/>
    <col min="44" max="46" width="10.7109375" style="19" bestFit="1" customWidth="1"/>
    <col min="47" max="47" width="12.140625" style="19" bestFit="1" customWidth="1"/>
    <col min="48" max="49" width="12.140625" style="19" customWidth="1"/>
    <col min="50" max="50" width="10.7109375" style="19" bestFit="1" customWidth="1"/>
    <col min="51" max="51" width="11.42578125" style="19" bestFit="1" customWidth="1"/>
    <col min="52" max="52" width="12.42578125" style="19" bestFit="1" customWidth="1"/>
    <col min="53" max="53" width="10.28515625" style="19" customWidth="1"/>
    <col min="54" max="54" width="11.140625" style="19" bestFit="1" customWidth="1"/>
    <col min="55" max="55" width="13.5703125" style="19" customWidth="1"/>
    <col min="56" max="59" width="12.7109375" style="19" customWidth="1"/>
    <col min="60" max="60" width="49.42578125" style="19" bestFit="1" customWidth="1"/>
    <col min="61" max="16384" width="9.140625" style="19"/>
  </cols>
  <sheetData>
    <row r="1" spans="1:60">
      <c r="A1" s="638" t="s">
        <v>945</v>
      </c>
      <c r="B1" s="639"/>
      <c r="C1" s="639"/>
      <c r="D1" s="639"/>
      <c r="E1" s="645" t="s">
        <v>277</v>
      </c>
      <c r="F1" s="646"/>
      <c r="G1" s="646"/>
      <c r="H1" s="646"/>
      <c r="I1" s="646"/>
      <c r="J1" s="646"/>
      <c r="K1" s="646"/>
      <c r="L1" s="646"/>
      <c r="M1" s="646"/>
      <c r="N1" s="646"/>
      <c r="O1" s="646"/>
      <c r="P1" s="646"/>
      <c r="Q1" s="646"/>
      <c r="R1" s="646"/>
      <c r="S1" s="646"/>
      <c r="T1" s="646"/>
      <c r="U1" s="646"/>
      <c r="V1" s="646"/>
      <c r="W1" s="647"/>
      <c r="X1" s="640" t="s">
        <v>946</v>
      </c>
      <c r="Y1" s="640"/>
      <c r="Z1" s="640"/>
      <c r="AA1" s="640"/>
      <c r="AB1" s="640"/>
      <c r="AC1" s="640"/>
      <c r="AD1" s="640"/>
      <c r="AE1" s="640"/>
      <c r="AF1" s="640"/>
      <c r="AG1" s="640"/>
      <c r="AH1" s="640"/>
      <c r="AI1" s="640"/>
      <c r="AJ1" s="641"/>
      <c r="AK1" s="642" t="s">
        <v>210</v>
      </c>
      <c r="AL1" s="643"/>
      <c r="AM1" s="643"/>
      <c r="AN1" s="643"/>
      <c r="AO1" s="643"/>
      <c r="AP1" s="643"/>
      <c r="AQ1" s="643"/>
      <c r="AR1" s="643"/>
      <c r="AS1" s="643"/>
      <c r="AT1" s="643"/>
      <c r="AU1" s="643"/>
      <c r="AV1" s="643"/>
      <c r="AW1" s="643"/>
      <c r="AX1" s="643"/>
      <c r="AY1" s="643"/>
      <c r="AZ1" s="643"/>
      <c r="BA1" s="644" t="s">
        <v>947</v>
      </c>
      <c r="BB1" s="644"/>
      <c r="BC1" s="644"/>
      <c r="BD1" s="644"/>
      <c r="BE1" s="644"/>
      <c r="BF1" s="644"/>
      <c r="BG1" s="482"/>
      <c r="BH1" s="139"/>
    </row>
    <row r="2" spans="1:60" s="48" customFormat="1" ht="30">
      <c r="A2" s="158" t="s">
        <v>195</v>
      </c>
      <c r="B2" s="159" t="s">
        <v>221</v>
      </c>
      <c r="C2" s="49" t="s">
        <v>248</v>
      </c>
      <c r="D2" s="50" t="s">
        <v>155</v>
      </c>
      <c r="E2" s="73" t="s">
        <v>948</v>
      </c>
      <c r="F2" s="73" t="s">
        <v>949</v>
      </c>
      <c r="G2" s="73" t="s">
        <v>950</v>
      </c>
      <c r="H2" s="73" t="s">
        <v>951</v>
      </c>
      <c r="I2" s="73" t="s">
        <v>264</v>
      </c>
      <c r="J2" s="73" t="s">
        <v>265</v>
      </c>
      <c r="K2" s="73" t="s">
        <v>268</v>
      </c>
      <c r="L2" s="73" t="s">
        <v>269</v>
      </c>
      <c r="M2" s="73" t="s">
        <v>272</v>
      </c>
      <c r="N2" s="73" t="s">
        <v>273</v>
      </c>
      <c r="O2" s="73" t="s">
        <v>275</v>
      </c>
      <c r="P2" s="73" t="s">
        <v>276</v>
      </c>
      <c r="Q2" s="73" t="s">
        <v>278</v>
      </c>
      <c r="R2" s="73" t="s">
        <v>279</v>
      </c>
      <c r="S2" s="73" t="s">
        <v>281</v>
      </c>
      <c r="T2" s="73" t="s">
        <v>952</v>
      </c>
      <c r="U2" s="73" t="s">
        <v>953</v>
      </c>
      <c r="V2" s="73" t="s">
        <v>285</v>
      </c>
      <c r="W2" s="73" t="s">
        <v>954</v>
      </c>
      <c r="X2" s="115" t="s">
        <v>955</v>
      </c>
      <c r="Y2" s="49" t="s">
        <v>956</v>
      </c>
      <c r="Z2" s="49" t="s">
        <v>957</v>
      </c>
      <c r="AA2" s="49" t="s">
        <v>958</v>
      </c>
      <c r="AB2" s="49" t="s">
        <v>959</v>
      </c>
      <c r="AC2" s="49" t="s">
        <v>960</v>
      </c>
      <c r="AD2" s="49" t="s">
        <v>961</v>
      </c>
      <c r="AE2" s="49" t="s">
        <v>962</v>
      </c>
      <c r="AF2" s="49" t="s">
        <v>963</v>
      </c>
      <c r="AG2" s="49" t="s">
        <v>964</v>
      </c>
      <c r="AH2" s="49" t="s">
        <v>965</v>
      </c>
      <c r="AI2" s="49" t="s">
        <v>966</v>
      </c>
      <c r="AJ2" s="49" t="s">
        <v>283</v>
      </c>
      <c r="AK2" s="115" t="s">
        <v>932</v>
      </c>
      <c r="AL2" s="49" t="s">
        <v>967</v>
      </c>
      <c r="AM2" s="49" t="s">
        <v>968</v>
      </c>
      <c r="AN2" s="49" t="s">
        <v>969</v>
      </c>
      <c r="AO2" s="49" t="s">
        <v>970</v>
      </c>
      <c r="AP2" s="49" t="s">
        <v>971</v>
      </c>
      <c r="AQ2" s="49" t="s">
        <v>972</v>
      </c>
      <c r="AR2" s="49" t="s">
        <v>973</v>
      </c>
      <c r="AS2" s="49" t="s">
        <v>974</v>
      </c>
      <c r="AT2" s="49" t="s">
        <v>975</v>
      </c>
      <c r="AU2" s="49" t="s">
        <v>976</v>
      </c>
      <c r="AV2" s="49" t="s">
        <v>977</v>
      </c>
      <c r="AW2" s="49" t="s">
        <v>978</v>
      </c>
      <c r="AX2" s="49" t="s">
        <v>979</v>
      </c>
      <c r="AY2" s="49" t="s">
        <v>980</v>
      </c>
      <c r="AZ2" s="50" t="s">
        <v>282</v>
      </c>
      <c r="BA2" s="49" t="s">
        <v>223</v>
      </c>
      <c r="BB2" s="49" t="s">
        <v>981</v>
      </c>
      <c r="BC2" s="49" t="s">
        <v>982</v>
      </c>
      <c r="BD2" s="49" t="s">
        <v>983</v>
      </c>
      <c r="BE2" s="49" t="s">
        <v>984</v>
      </c>
      <c r="BF2" s="49" t="s">
        <v>985</v>
      </c>
      <c r="BG2" s="49" t="s">
        <v>986</v>
      </c>
      <c r="BH2" s="138" t="s">
        <v>987</v>
      </c>
    </row>
    <row r="3" spans="1:60" ht="15" customHeight="1">
      <c r="A3" s="137" t="str">
        <f>_xlfn.XLOOKUP(WholeMarineTrainingTable[[#This Row],[Name]], RecallTable[NAME], RecallTable[SECTION])</f>
        <v>1PLT</v>
      </c>
      <c r="B3" s="268">
        <f>_xlfn.XLOOKUP(WholeMarineTrainingTable[[#This Row],[Name]],RecallTable[NAME],RecallTable[MOS])</f>
        <v>1702</v>
      </c>
      <c r="C3" s="268" t="str">
        <f>_xlfn.XLOOKUP(WholeMarineTrainingTable[[#This Row],[Name]],RecallTable[NAME],RecallTable[GRADE],"")</f>
        <v>O2</v>
      </c>
      <c r="D3" s="265" t="s">
        <v>1094</v>
      </c>
      <c r="E3" s="332" t="str" cm="1">
        <f t="array" ref="E3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3" s="333" t="str" cm="1">
        <f t="array" aca="1" ref="F3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3" s="334" t="str" cm="1">
        <f t="array" ref="G3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3" s="335" t="str" cm="1">
        <f t="array" aca="1" ref="H3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3" s="469"/>
      <c r="J3" s="429"/>
      <c r="K3" s="429"/>
      <c r="L3" s="430"/>
      <c r="M3" s="430"/>
      <c r="N3" s="430"/>
      <c r="O3" s="430"/>
      <c r="P3" s="430"/>
      <c r="Q3" s="430"/>
      <c r="R3" s="430"/>
      <c r="S3" s="430"/>
      <c r="T3" s="430"/>
      <c r="U3" s="430"/>
      <c r="V3" s="430"/>
      <c r="W3" s="430"/>
      <c r="X3" s="87"/>
      <c r="Y3" s="78"/>
      <c r="Z3" s="78"/>
      <c r="AA3" s="78" t="s">
        <v>988</v>
      </c>
      <c r="AB3" s="78"/>
      <c r="AC3" s="78"/>
      <c r="AD3" s="78"/>
      <c r="AE3" s="78"/>
      <c r="AF3" s="78"/>
      <c r="AG3" s="78"/>
      <c r="AH3" s="78"/>
      <c r="AI3" s="78"/>
      <c r="AJ3" s="78"/>
      <c r="AK3" s="87"/>
      <c r="AL3" s="88" t="s">
        <v>7</v>
      </c>
      <c r="AM3" s="78" t="s">
        <v>177</v>
      </c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87" t="s">
        <v>839</v>
      </c>
      <c r="BB3" s="88" t="s">
        <v>839</v>
      </c>
      <c r="BC3" s="88" t="s">
        <v>177</v>
      </c>
      <c r="BD3" s="88" t="s">
        <v>839</v>
      </c>
      <c r="BE3" s="88"/>
      <c r="BF3" s="88"/>
      <c r="BG3" s="89" t="s">
        <v>799</v>
      </c>
      <c r="BH3" s="198"/>
    </row>
    <row r="4" spans="1:60" ht="15" customHeight="1">
      <c r="A4" s="137" t="str">
        <f>_xlfn.XLOOKUP(WholeMarineTrainingTable[[#This Row],[Name]], RecallTable[NAME], RecallTable[SECTION])</f>
        <v>1PLT</v>
      </c>
      <c r="B4" s="268">
        <f>_xlfn.XLOOKUP(WholeMarineTrainingTable[[#This Row],[Name]],RecallTable[NAME],RecallTable[MOS])</f>
        <v>1721</v>
      </c>
      <c r="C4" s="28" t="str">
        <f>_xlfn.XLOOKUP(WholeMarineTrainingTable[[#This Row],[Name]],RecallTable[NAME],RecallTable[GRADE])</f>
        <v>E7</v>
      </c>
      <c r="D4" s="116" t="s">
        <v>1095</v>
      </c>
      <c r="E4" s="241" cm="1">
        <f t="array" ref="E4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45097</v>
      </c>
      <c r="F4" s="42" cm="1">
        <f t="array" aca="1" ref="F4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-301</v>
      </c>
      <c r="G4" s="241" cm="1">
        <f t="array" ref="G4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45371</v>
      </c>
      <c r="H4" s="42" cm="1">
        <f t="array" aca="1" ref="H4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-27</v>
      </c>
      <c r="I4" s="88" t="s">
        <v>7</v>
      </c>
      <c r="J4" s="88" t="s">
        <v>7</v>
      </c>
      <c r="K4" s="88" t="s">
        <v>7</v>
      </c>
      <c r="L4" s="88" t="s">
        <v>7</v>
      </c>
      <c r="M4" s="88"/>
      <c r="N4" s="88"/>
      <c r="O4" s="88"/>
      <c r="P4" s="88"/>
      <c r="Q4" s="88"/>
      <c r="R4" s="88"/>
      <c r="S4" s="88"/>
      <c r="T4" s="88"/>
      <c r="U4" s="88"/>
      <c r="V4" s="91"/>
      <c r="W4" s="88" t="s">
        <v>7</v>
      </c>
      <c r="X4" s="87"/>
      <c r="Y4" s="88"/>
      <c r="Z4" s="88"/>
      <c r="AA4" s="88" t="s">
        <v>989</v>
      </c>
      <c r="AB4" s="88"/>
      <c r="AC4" s="88"/>
      <c r="AD4" s="88"/>
      <c r="AE4" s="88"/>
      <c r="AF4" s="88"/>
      <c r="AG4" s="88"/>
      <c r="AH4" s="88"/>
      <c r="AI4" s="88"/>
      <c r="AJ4" s="88"/>
      <c r="AK4" s="87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90"/>
      <c r="AZ4" s="92"/>
      <c r="BA4" s="197" t="s">
        <v>799</v>
      </c>
      <c r="BB4" s="92" t="s">
        <v>839</v>
      </c>
      <c r="BC4" s="92" t="s">
        <v>177</v>
      </c>
      <c r="BD4" s="92" t="s">
        <v>839</v>
      </c>
      <c r="BE4" s="92"/>
      <c r="BF4" s="92"/>
      <c r="BG4" s="93" t="s">
        <v>799</v>
      </c>
      <c r="BH4" s="198"/>
    </row>
    <row r="5" spans="1:60" ht="15" customHeight="1">
      <c r="A5" s="137" t="str">
        <f>_xlfn.XLOOKUP(WholeMarineTrainingTable[[#This Row],[Name]], RecallTable[NAME], RecallTable[SECTION])</f>
        <v>1PLT</v>
      </c>
      <c r="B5" s="268">
        <f>_xlfn.XLOOKUP(WholeMarineTrainingTable[[#This Row],[Name]],RecallTable[NAME],RecallTable[MOS])</f>
        <v>1721</v>
      </c>
      <c r="C5" s="42" t="str">
        <f>_xlfn.XLOOKUP(WholeMarineTrainingTable[[#This Row],[Name]],RecallTable[NAME],RecallTable[GRADE])</f>
        <v>E6</v>
      </c>
      <c r="D5" s="116" t="s">
        <v>1096</v>
      </c>
      <c r="E5" s="543" cm="1">
        <f t="array" ref="E5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45097</v>
      </c>
      <c r="F5" s="544" cm="1">
        <f t="array" aca="1" ref="F5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-301</v>
      </c>
      <c r="G5" s="545" cm="1">
        <f t="array" ref="G5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45371</v>
      </c>
      <c r="H5" s="546" cm="1">
        <f t="array" aca="1" ref="H5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-27</v>
      </c>
      <c r="I5" s="42" t="s">
        <v>7</v>
      </c>
      <c r="J5" s="88" t="s">
        <v>7</v>
      </c>
      <c r="K5" s="88"/>
      <c r="L5" s="78"/>
      <c r="M5" s="78"/>
      <c r="N5" s="78"/>
      <c r="O5" s="78"/>
      <c r="P5" s="78"/>
      <c r="Q5" s="78"/>
      <c r="R5" s="78"/>
      <c r="S5" s="78"/>
      <c r="T5" s="78"/>
      <c r="U5" s="78"/>
      <c r="V5" s="107"/>
      <c r="W5" s="78" t="s">
        <v>175</v>
      </c>
      <c r="X5" s="87"/>
      <c r="Y5" s="78"/>
      <c r="Z5" s="78"/>
      <c r="AA5" s="78" t="s">
        <v>989</v>
      </c>
      <c r="AB5" s="78"/>
      <c r="AC5" s="78"/>
      <c r="AD5" s="78"/>
      <c r="AE5" s="78"/>
      <c r="AF5" s="78"/>
      <c r="AG5" s="78"/>
      <c r="AH5" s="78"/>
      <c r="AI5" s="78"/>
      <c r="AJ5" s="78"/>
      <c r="AK5" s="87"/>
      <c r="AL5" s="8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314" t="s">
        <v>839</v>
      </c>
      <c r="BB5" s="100" t="s">
        <v>839</v>
      </c>
      <c r="BC5" s="100" t="s">
        <v>177</v>
      </c>
      <c r="BD5" s="100" t="s">
        <v>839</v>
      </c>
      <c r="BE5" s="78"/>
      <c r="BF5" s="88"/>
      <c r="BG5" s="89" t="s">
        <v>799</v>
      </c>
      <c r="BH5" s="198"/>
    </row>
    <row r="6" spans="1:60" ht="15" customHeight="1">
      <c r="A6" s="100" t="str">
        <f>_xlfn.XLOOKUP(WholeMarineTrainingTable[[#This Row],[Name]], RecallTable[NAME], RecallTable[SECTION])</f>
        <v>1PLT</v>
      </c>
      <c r="B6" s="268">
        <f>_xlfn.XLOOKUP(WholeMarineTrainingTable[[#This Row],[Name]],RecallTable[NAME],RecallTable[MOS])</f>
        <v>1721</v>
      </c>
      <c r="C6" s="42" t="str">
        <f>_xlfn.XLOOKUP(WholeMarineTrainingTable[[#This Row],[Name]],RecallTable[NAME],RecallTable[GRADE])</f>
        <v>E6</v>
      </c>
      <c r="D6" s="116" t="s">
        <v>1097</v>
      </c>
      <c r="E6" s="543" cm="1">
        <f t="array" ref="E6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45287</v>
      </c>
      <c r="F6" s="544" cm="1">
        <f t="array" aca="1" ref="F6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-111</v>
      </c>
      <c r="G6" s="545" cm="1">
        <f t="array" ref="G6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45562</v>
      </c>
      <c r="H6" s="546" cm="1">
        <f t="array" aca="1" ref="H6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164</v>
      </c>
      <c r="I6" s="42" t="s">
        <v>7</v>
      </c>
      <c r="J6" s="88" t="s">
        <v>7</v>
      </c>
      <c r="K6" s="88" t="s">
        <v>7</v>
      </c>
      <c r="L6" s="88" t="s">
        <v>7</v>
      </c>
      <c r="M6" s="78"/>
      <c r="N6" s="78"/>
      <c r="O6" s="78"/>
      <c r="P6" s="78"/>
      <c r="Q6" s="78"/>
      <c r="R6" s="78"/>
      <c r="S6" s="78"/>
      <c r="T6" s="78"/>
      <c r="U6" s="78"/>
      <c r="V6" s="107"/>
      <c r="W6" s="78" t="s">
        <v>7</v>
      </c>
      <c r="X6" s="87"/>
      <c r="Y6" s="78"/>
      <c r="Z6" s="78"/>
      <c r="AA6" s="78" t="s">
        <v>990</v>
      </c>
      <c r="AB6" s="78"/>
      <c r="AC6" s="78"/>
      <c r="AD6" s="78"/>
      <c r="AE6" s="78"/>
      <c r="AF6" s="78"/>
      <c r="AG6" s="78"/>
      <c r="AH6" s="78"/>
      <c r="AI6" s="78"/>
      <c r="AJ6" s="78"/>
      <c r="AK6" s="87"/>
      <c r="AL6" s="8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87" t="s">
        <v>799</v>
      </c>
      <c r="BB6" s="88" t="s">
        <v>839</v>
      </c>
      <c r="BC6" s="88" t="s">
        <v>177</v>
      </c>
      <c r="BD6" s="88" t="s">
        <v>839</v>
      </c>
      <c r="BE6" s="78"/>
      <c r="BF6" s="88"/>
      <c r="BG6" s="89" t="s">
        <v>839</v>
      </c>
      <c r="BH6" s="198"/>
    </row>
    <row r="7" spans="1:60" ht="15" customHeight="1">
      <c r="A7" s="137" t="str">
        <f>_xlfn.XLOOKUP(WholeMarineTrainingTable[[#This Row],[Name]], RecallTable[NAME], RecallTable[SECTION])</f>
        <v>1PLT</v>
      </c>
      <c r="B7" s="268">
        <f>_xlfn.XLOOKUP(WholeMarineTrainingTable[[#This Row],[Name]],RecallTable[NAME],RecallTable[MOS])</f>
        <v>1721</v>
      </c>
      <c r="C7" s="28" t="str">
        <f>_xlfn.XLOOKUP(WholeMarineTrainingTable[[#This Row],[Name]],RecallTable[NAME],RecallTable[GRADE])</f>
        <v>E5</v>
      </c>
      <c r="D7" s="117" t="s">
        <v>1098</v>
      </c>
      <c r="E7" s="241" t="str" cm="1">
        <f t="array" ref="E7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7" s="42" t="str" cm="1">
        <f t="array" aca="1" ref="F7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7" s="241" t="str" cm="1">
        <f t="array" ref="G7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7" s="42" t="str" cm="1">
        <f t="array" aca="1" ref="H7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7" s="42" t="s">
        <v>7</v>
      </c>
      <c r="J7" s="88" t="s">
        <v>7</v>
      </c>
      <c r="K7" s="88" t="s">
        <v>7</v>
      </c>
      <c r="L7" s="88" t="s">
        <v>7</v>
      </c>
      <c r="M7" s="88" t="s">
        <v>7</v>
      </c>
      <c r="N7" s="88" t="s">
        <v>7</v>
      </c>
      <c r="O7" s="88" t="s">
        <v>7</v>
      </c>
      <c r="P7" s="88" t="s">
        <v>7</v>
      </c>
      <c r="Q7" s="88" t="s">
        <v>177</v>
      </c>
      <c r="R7" s="88" t="s">
        <v>175</v>
      </c>
      <c r="S7" s="88"/>
      <c r="T7" s="88"/>
      <c r="U7" s="88"/>
      <c r="V7" s="91"/>
      <c r="W7" s="429"/>
      <c r="X7" s="87"/>
      <c r="Y7" s="88"/>
      <c r="Z7" s="88"/>
      <c r="AA7" s="88" t="s">
        <v>991</v>
      </c>
      <c r="AB7" s="88"/>
      <c r="AC7" s="88"/>
      <c r="AD7" s="88"/>
      <c r="AE7" s="88" t="s">
        <v>7</v>
      </c>
      <c r="AF7" s="88"/>
      <c r="AG7" s="88"/>
      <c r="AH7" s="88"/>
      <c r="AI7" s="88"/>
      <c r="AJ7" s="88"/>
      <c r="AK7" s="87" t="s">
        <v>7</v>
      </c>
      <c r="AL7" s="88" t="s">
        <v>7</v>
      </c>
      <c r="AM7" s="88" t="s">
        <v>7</v>
      </c>
      <c r="AN7" s="88"/>
      <c r="AO7" s="88"/>
      <c r="AP7" s="88"/>
      <c r="AQ7" s="88"/>
      <c r="AR7" s="88"/>
      <c r="AS7" s="88" t="s">
        <v>7</v>
      </c>
      <c r="AT7" s="88"/>
      <c r="AU7" s="88"/>
      <c r="AV7" s="88"/>
      <c r="AW7" s="88" t="s">
        <v>7</v>
      </c>
      <c r="AX7" s="88"/>
      <c r="AY7" s="88"/>
      <c r="AZ7" s="88"/>
      <c r="BA7" s="87" t="s">
        <v>799</v>
      </c>
      <c r="BB7" s="88" t="s">
        <v>799</v>
      </c>
      <c r="BC7" s="88" t="s">
        <v>799</v>
      </c>
      <c r="BD7" s="88" t="s">
        <v>799</v>
      </c>
      <c r="BE7" s="88"/>
      <c r="BF7" s="88"/>
      <c r="BG7" s="89" t="s">
        <v>799</v>
      </c>
      <c r="BH7" s="198"/>
    </row>
    <row r="8" spans="1:60" ht="15" customHeight="1">
      <c r="A8" s="137" t="str">
        <f>_xlfn.XLOOKUP(WholeMarineTrainingTable[[#This Row],[Name]], RecallTable[NAME], RecallTable[SECTION])</f>
        <v>1PLT</v>
      </c>
      <c r="B8" s="268">
        <f>_xlfn.XLOOKUP(WholeMarineTrainingTable[[#This Row],[Name]],RecallTable[NAME],RecallTable[MOS])</f>
        <v>1721</v>
      </c>
      <c r="C8" s="28" t="str">
        <f>_xlfn.XLOOKUP(WholeMarineTrainingTable[[#This Row],[Name]],RecallTable[NAME],RecallTable[GRADE])</f>
        <v>E5</v>
      </c>
      <c r="D8" s="117" t="s">
        <v>1099</v>
      </c>
      <c r="E8" s="241" cm="1">
        <f t="array" ref="E8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45097</v>
      </c>
      <c r="F8" s="42" cm="1">
        <f t="array" aca="1" ref="F8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-301</v>
      </c>
      <c r="G8" s="241" cm="1">
        <f t="array" ref="G8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45371</v>
      </c>
      <c r="H8" s="42" cm="1">
        <f t="array" aca="1" ref="H8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-27</v>
      </c>
      <c r="I8" s="88" t="s">
        <v>7</v>
      </c>
      <c r="J8" s="88" t="s">
        <v>7</v>
      </c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91"/>
      <c r="W8" s="88" t="s">
        <v>7</v>
      </c>
      <c r="X8" s="87"/>
      <c r="Y8" s="88"/>
      <c r="Z8" s="88"/>
      <c r="AA8" s="88" t="s">
        <v>988</v>
      </c>
      <c r="AB8" s="88"/>
      <c r="AC8" s="88"/>
      <c r="AD8" s="88"/>
      <c r="AE8" s="88"/>
      <c r="AF8" s="88"/>
      <c r="AG8" s="88"/>
      <c r="AH8" s="88"/>
      <c r="AI8" s="88"/>
      <c r="AJ8" s="88"/>
      <c r="AK8" s="87" t="s">
        <v>7</v>
      </c>
      <c r="AL8" s="88" t="s">
        <v>177</v>
      </c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197" t="s">
        <v>799</v>
      </c>
      <c r="BB8" s="92" t="s">
        <v>839</v>
      </c>
      <c r="BC8" s="90" t="s">
        <v>799</v>
      </c>
      <c r="BD8" s="92" t="s">
        <v>839</v>
      </c>
      <c r="BE8" s="92"/>
      <c r="BF8" s="92"/>
      <c r="BG8" s="93" t="s">
        <v>839</v>
      </c>
      <c r="BH8" s="198"/>
    </row>
    <row r="9" spans="1:60" ht="15" customHeight="1">
      <c r="A9" s="137" t="str">
        <f>_xlfn.XLOOKUP(WholeMarineTrainingTable[[#This Row],[Name]], RecallTable[NAME], RecallTable[SECTION])</f>
        <v>1PLT</v>
      </c>
      <c r="B9" s="268">
        <f>_xlfn.XLOOKUP(WholeMarineTrainingTable[[#This Row],[Name]],RecallTable[NAME],RecallTable[MOS])</f>
        <v>1700</v>
      </c>
      <c r="C9" s="28" t="str">
        <f>_xlfn.XLOOKUP(WholeMarineTrainingTable[[#This Row],[Name]],RecallTable[NAME],RecallTable[GRADE])</f>
        <v>E5</v>
      </c>
      <c r="D9" s="247" t="s">
        <v>1100</v>
      </c>
      <c r="E9" s="241" t="str" cm="1">
        <f t="array" ref="E9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9" s="42" t="str" cm="1">
        <f t="array" aca="1" ref="F9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9" s="241" t="str" cm="1">
        <f t="array" ref="G9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9" s="42" t="str" cm="1">
        <f t="array" aca="1" ref="H9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9" s="78" t="s">
        <v>7</v>
      </c>
      <c r="J9" s="78" t="s">
        <v>7</v>
      </c>
      <c r="K9" s="78" t="s">
        <v>7</v>
      </c>
      <c r="L9" s="78" t="s">
        <v>7</v>
      </c>
      <c r="M9" s="78" t="s">
        <v>7</v>
      </c>
      <c r="N9" s="78" t="s">
        <v>7</v>
      </c>
      <c r="O9" s="78" t="s">
        <v>7</v>
      </c>
      <c r="P9" s="78" t="s">
        <v>175</v>
      </c>
      <c r="Q9" s="78"/>
      <c r="R9" s="78"/>
      <c r="S9" s="78"/>
      <c r="T9" s="78"/>
      <c r="U9" s="78"/>
      <c r="V9" s="107"/>
      <c r="W9" s="430"/>
      <c r="X9" s="87"/>
      <c r="Y9" s="78"/>
      <c r="Z9" s="78"/>
      <c r="AA9" s="78" t="s">
        <v>990</v>
      </c>
      <c r="AB9" s="78"/>
      <c r="AC9" s="78"/>
      <c r="AD9" s="78"/>
      <c r="AE9" s="78"/>
      <c r="AF9" s="78"/>
      <c r="AG9" s="78"/>
      <c r="AH9" s="78"/>
      <c r="AI9" s="78"/>
      <c r="AJ9" s="88"/>
      <c r="AK9" s="87"/>
      <c r="AL9" s="88" t="s">
        <v>7</v>
      </c>
      <c r="AM9" s="88" t="s">
        <v>7</v>
      </c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 t="s">
        <v>177</v>
      </c>
      <c r="AY9" s="88"/>
      <c r="AZ9" s="88" t="s">
        <v>992</v>
      </c>
      <c r="BA9" s="87" t="s">
        <v>799</v>
      </c>
      <c r="BB9" s="88" t="s">
        <v>909</v>
      </c>
      <c r="BC9" s="88" t="s">
        <v>799</v>
      </c>
      <c r="BD9" s="88" t="s">
        <v>839</v>
      </c>
      <c r="BE9" s="88"/>
      <c r="BF9" s="88"/>
      <c r="BG9" s="89" t="s">
        <v>799</v>
      </c>
      <c r="BH9" s="198"/>
    </row>
    <row r="10" spans="1:60" ht="15" customHeight="1">
      <c r="A10" s="137" t="str">
        <f>_xlfn.XLOOKUP(WholeMarineTrainingTable[[#This Row],[Name]], RecallTable[NAME], RecallTable[SECTION])</f>
        <v>1PLT</v>
      </c>
      <c r="B10" s="268">
        <f>_xlfn.XLOOKUP(WholeMarineTrainingTable[[#This Row],[Name]],RecallTable[NAME],RecallTable[MOS])</f>
        <v>1721</v>
      </c>
      <c r="C10" s="28" t="str">
        <f>_xlfn.XLOOKUP(WholeMarineTrainingTable[[#This Row],[Name]],RecallTable[NAME],RecallTable[GRADE])</f>
        <v>E4</v>
      </c>
      <c r="D10" s="247" t="s">
        <v>1101</v>
      </c>
      <c r="E10" s="241" cm="1">
        <f t="array" ref="E10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45097</v>
      </c>
      <c r="F10" s="42" cm="1">
        <f t="array" aca="1" ref="F10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-301</v>
      </c>
      <c r="G10" s="241" cm="1">
        <f t="array" ref="G10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45371</v>
      </c>
      <c r="H10" s="42" cm="1">
        <f t="array" aca="1" ref="H10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-27</v>
      </c>
      <c r="I10" s="42" t="s">
        <v>7</v>
      </c>
      <c r="J10" s="78" t="s">
        <v>7</v>
      </c>
      <c r="K10" s="8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91"/>
      <c r="W10" s="88" t="s">
        <v>7</v>
      </c>
      <c r="X10" s="87"/>
      <c r="Y10" s="88"/>
      <c r="Z10" s="88"/>
      <c r="AA10" s="88" t="s">
        <v>989</v>
      </c>
      <c r="AB10" s="88"/>
      <c r="AC10" s="88"/>
      <c r="AD10" s="88"/>
      <c r="AE10" s="88"/>
      <c r="AF10" s="88"/>
      <c r="AG10" s="88"/>
      <c r="AH10" s="88"/>
      <c r="AI10" s="88"/>
      <c r="AJ10" s="88"/>
      <c r="AK10" s="87"/>
      <c r="AL10" s="88" t="s">
        <v>7</v>
      </c>
      <c r="AM10" s="88" t="s">
        <v>177</v>
      </c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 t="s">
        <v>177</v>
      </c>
      <c r="AY10" s="88"/>
      <c r="AZ10" s="88"/>
      <c r="BA10" s="87" t="s">
        <v>799</v>
      </c>
      <c r="BB10" s="88" t="s">
        <v>799</v>
      </c>
      <c r="BC10" s="88" t="s">
        <v>177</v>
      </c>
      <c r="BD10" s="88" t="s">
        <v>839</v>
      </c>
      <c r="BE10" s="88"/>
      <c r="BF10" s="88"/>
      <c r="BG10" s="89" t="s">
        <v>799</v>
      </c>
      <c r="BH10" s="198"/>
    </row>
    <row r="11" spans="1:60" ht="15" customHeight="1">
      <c r="A11" s="137" t="str">
        <f>_xlfn.XLOOKUP(WholeMarineTrainingTable[[#This Row],[Name]], RecallTable[NAME], RecallTable[SECTION])</f>
        <v>1PLT</v>
      </c>
      <c r="B11" s="268">
        <f>_xlfn.XLOOKUP(WholeMarineTrainingTable[[#This Row],[Name]],RecallTable[NAME],RecallTable[MOS])</f>
        <v>1721</v>
      </c>
      <c r="C11" s="42" t="str">
        <f>_xlfn.XLOOKUP(WholeMarineTrainingTable[[#This Row],[Name]],RecallTable[NAME],RecallTable[GRADE])</f>
        <v>E4</v>
      </c>
      <c r="D11" s="116" t="s">
        <v>1102</v>
      </c>
      <c r="E11" s="543" cm="1">
        <f t="array" ref="E1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45304</v>
      </c>
      <c r="F11" s="544" cm="1">
        <f t="array" aca="1" ref="F11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-94</v>
      </c>
      <c r="G11" s="545" cm="1">
        <f t="array" ref="G11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45578</v>
      </c>
      <c r="H11" s="546" cm="1">
        <f t="array" aca="1" ref="H11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180</v>
      </c>
      <c r="I11" s="42" t="s">
        <v>7</v>
      </c>
      <c r="J11" s="88" t="s">
        <v>7</v>
      </c>
      <c r="K11" s="8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107"/>
      <c r="W11" s="78" t="s">
        <v>175</v>
      </c>
      <c r="X11" s="87"/>
      <c r="Y11" s="78"/>
      <c r="Z11" s="78"/>
      <c r="AA11" s="78" t="s">
        <v>988</v>
      </c>
      <c r="AB11" s="78"/>
      <c r="AC11" s="78"/>
      <c r="AD11" s="78"/>
      <c r="AE11" s="78"/>
      <c r="AF11" s="78"/>
      <c r="AG11" s="78"/>
      <c r="AH11" s="78"/>
      <c r="AI11" s="78"/>
      <c r="AJ11" s="78"/>
      <c r="AK11" s="87"/>
      <c r="AL11" s="8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87" t="s">
        <v>839</v>
      </c>
      <c r="BB11" s="88" t="s">
        <v>839</v>
      </c>
      <c r="BC11" s="88" t="s">
        <v>177</v>
      </c>
      <c r="BD11" s="88" t="s">
        <v>839</v>
      </c>
      <c r="BE11" s="78"/>
      <c r="BF11" s="88"/>
      <c r="BG11" s="89" t="s">
        <v>799</v>
      </c>
      <c r="BH11" s="198"/>
    </row>
    <row r="12" spans="1:60" ht="15" customHeight="1">
      <c r="A12" s="100" t="str">
        <f>_xlfn.XLOOKUP(WholeMarineTrainingTable[[#This Row],[Name]], RecallTable[NAME], RecallTable[SECTION])</f>
        <v>1PLT</v>
      </c>
      <c r="B12" s="269">
        <f>_xlfn.XLOOKUP(WholeMarineTrainingTable[[#This Row],[Name]],RecallTable[NAME],RecallTable[MOS])</f>
        <v>1721</v>
      </c>
      <c r="C12" s="42" t="str">
        <f>_xlfn.XLOOKUP(WholeMarineTrainingTable[[#This Row],[Name]],RecallTable[NAME],RecallTable[GRADE])</f>
        <v>E4</v>
      </c>
      <c r="D12" s="116" t="s">
        <v>1103</v>
      </c>
      <c r="E12" s="543" cm="1">
        <f t="array" ref="E12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45097</v>
      </c>
      <c r="F12" s="544" cm="1">
        <f t="array" aca="1" ref="F12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-301</v>
      </c>
      <c r="G12" s="545" cm="1">
        <f t="array" ref="G12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45371</v>
      </c>
      <c r="H12" s="546" cm="1">
        <f t="array" aca="1" ref="H12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-27</v>
      </c>
      <c r="I12" s="42" t="s">
        <v>7</v>
      </c>
      <c r="J12" s="88" t="s">
        <v>7</v>
      </c>
      <c r="K12" s="8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107"/>
      <c r="W12" s="78" t="s">
        <v>7</v>
      </c>
      <c r="X12" s="87"/>
      <c r="Y12" s="78"/>
      <c r="Z12" s="78"/>
      <c r="AA12" s="78" t="s">
        <v>991</v>
      </c>
      <c r="AB12" s="78"/>
      <c r="AC12" s="78"/>
      <c r="AD12" s="78"/>
      <c r="AE12" s="78"/>
      <c r="AF12" s="78"/>
      <c r="AG12" s="78"/>
      <c r="AH12" s="78"/>
      <c r="AI12" s="78"/>
      <c r="AJ12" s="78"/>
      <c r="AK12" s="87"/>
      <c r="AL12" s="8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87" t="s">
        <v>839</v>
      </c>
      <c r="BB12" s="88" t="s">
        <v>839</v>
      </c>
      <c r="BC12" s="88" t="s">
        <v>177</v>
      </c>
      <c r="BD12" s="88" t="s">
        <v>839</v>
      </c>
      <c r="BE12" s="78"/>
      <c r="BF12" s="88"/>
      <c r="BG12" s="89" t="s">
        <v>799</v>
      </c>
      <c r="BH12" s="198"/>
    </row>
    <row r="13" spans="1:60">
      <c r="A13" s="137" t="str">
        <f>_xlfn.XLOOKUP(WholeMarineTrainingTable[[#This Row],[Name]], RecallTable[NAME], RecallTable[SECTION])</f>
        <v>1PLT</v>
      </c>
      <c r="B13" s="268">
        <f>_xlfn.XLOOKUP(WholeMarineTrainingTable[[#This Row],[Name]],RecallTable[NAME],RecallTable[MOS])</f>
        <v>1721</v>
      </c>
      <c r="C13" s="28" t="str">
        <f>_xlfn.XLOOKUP(WholeMarineTrainingTable[[#This Row],[Name]],RecallTable[NAME],RecallTable[GRADE])</f>
        <v>E4</v>
      </c>
      <c r="D13" s="247" t="s">
        <v>1104</v>
      </c>
      <c r="E13" s="241" cm="1">
        <f t="array" ref="E13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45371</v>
      </c>
      <c r="F13" s="42" cm="1">
        <f t="array" aca="1" ref="F13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-27</v>
      </c>
      <c r="G13" s="241" cm="1">
        <f t="array" ref="G13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45646</v>
      </c>
      <c r="H13" s="42" cm="1">
        <f t="array" aca="1" ref="H13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248</v>
      </c>
      <c r="I13" s="42"/>
      <c r="J13" s="78"/>
      <c r="K13" s="8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107"/>
      <c r="W13" s="430"/>
      <c r="X13" s="87"/>
      <c r="Y13" s="78"/>
      <c r="Z13" s="78"/>
      <c r="AA13" s="78" t="s">
        <v>989</v>
      </c>
      <c r="AB13" s="78"/>
      <c r="AC13" s="78"/>
      <c r="AD13" s="78"/>
      <c r="AE13" s="78"/>
      <c r="AF13" s="78"/>
      <c r="AG13" s="78"/>
      <c r="AH13" s="78"/>
      <c r="AI13" s="78"/>
      <c r="AJ13" s="88"/>
      <c r="AK13" s="87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 t="s">
        <v>7</v>
      </c>
      <c r="AY13" s="88" t="s">
        <v>177</v>
      </c>
      <c r="AZ13" s="88" t="s">
        <v>993</v>
      </c>
      <c r="BA13" s="87" t="s">
        <v>799</v>
      </c>
      <c r="BB13" s="88" t="s">
        <v>799</v>
      </c>
      <c r="BC13" s="88" t="s">
        <v>839</v>
      </c>
      <c r="BD13" s="88" t="s">
        <v>839</v>
      </c>
      <c r="BE13" s="88"/>
      <c r="BF13" s="88"/>
      <c r="BG13" s="89" t="s">
        <v>799</v>
      </c>
      <c r="BH13" s="198"/>
    </row>
    <row r="14" spans="1:60" ht="15" customHeight="1">
      <c r="A14" s="137" t="str">
        <f>_xlfn.XLOOKUP(WholeMarineTrainingTable[[#This Row],[Name]], RecallTable[NAME], RecallTable[SECTION])</f>
        <v>1PLT</v>
      </c>
      <c r="B14" s="268">
        <f>_xlfn.XLOOKUP(WholeMarineTrainingTable[[#This Row],[Name]],RecallTable[NAME],RecallTable[MOS])</f>
        <v>1721</v>
      </c>
      <c r="C14" s="28" t="str">
        <f>_xlfn.XLOOKUP(WholeMarineTrainingTable[[#This Row],[Name]],RecallTable[NAME],RecallTable[GRADE])</f>
        <v>E4</v>
      </c>
      <c r="D14" s="117" t="s">
        <v>1105</v>
      </c>
      <c r="E14" s="241" cm="1">
        <f t="array" ref="E14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45097</v>
      </c>
      <c r="F14" s="42" cm="1">
        <f t="array" aca="1" ref="F14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-301</v>
      </c>
      <c r="G14" s="241" cm="1">
        <f t="array" ref="G14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45371</v>
      </c>
      <c r="H14" s="42" cm="1">
        <f t="array" aca="1" ref="H14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-27</v>
      </c>
      <c r="I14" s="88" t="s">
        <v>7</v>
      </c>
      <c r="J14" s="88" t="s">
        <v>7</v>
      </c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91"/>
      <c r="W14" s="88" t="s">
        <v>7</v>
      </c>
      <c r="X14" s="87"/>
      <c r="Y14" s="88"/>
      <c r="Z14" s="88"/>
      <c r="AA14" s="88" t="s">
        <v>991</v>
      </c>
      <c r="AB14" s="88"/>
      <c r="AC14" s="88"/>
      <c r="AD14" s="88"/>
      <c r="AE14" s="88"/>
      <c r="AF14" s="88"/>
      <c r="AG14" s="88"/>
      <c r="AH14" s="88"/>
      <c r="AI14" s="88"/>
      <c r="AJ14" s="88"/>
      <c r="AK14" s="87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197" t="s">
        <v>799</v>
      </c>
      <c r="BB14" s="92" t="s">
        <v>839</v>
      </c>
      <c r="BC14" s="92" t="s">
        <v>177</v>
      </c>
      <c r="BD14" s="92" t="s">
        <v>839</v>
      </c>
      <c r="BE14" s="92"/>
      <c r="BF14" s="92"/>
      <c r="BG14" s="93" t="s">
        <v>799</v>
      </c>
      <c r="BH14" s="198" t="s">
        <v>994</v>
      </c>
    </row>
    <row r="15" spans="1:60" ht="15" customHeight="1">
      <c r="A15" s="137" t="str">
        <f>_xlfn.XLOOKUP(WholeMarineTrainingTable[[#This Row],[Name]], RecallTable[NAME], RecallTable[SECTION])</f>
        <v>1PLT</v>
      </c>
      <c r="B15" s="268">
        <f>_xlfn.XLOOKUP(WholeMarineTrainingTable[[#This Row],[Name]],RecallTable[NAME],RecallTable[MOS])</f>
        <v>1721</v>
      </c>
      <c r="C15" s="28" t="str">
        <f>_xlfn.XLOOKUP(WholeMarineTrainingTable[[#This Row],[Name]],RecallTable[NAME],RecallTable[GRADE])</f>
        <v>E4</v>
      </c>
      <c r="D15" s="117" t="s">
        <v>1106</v>
      </c>
      <c r="E15" s="241" t="str" cm="1">
        <f t="array" ref="E15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15" s="42" t="str" cm="1">
        <f t="array" aca="1" ref="F15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15" s="241" t="str" cm="1">
        <f t="array" ref="G15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15" s="42" t="str" cm="1">
        <f t="array" aca="1" ref="H15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15" s="88" t="s">
        <v>7</v>
      </c>
      <c r="J15" s="88" t="s">
        <v>7</v>
      </c>
      <c r="K15" s="88" t="s">
        <v>7</v>
      </c>
      <c r="L15" s="88" t="s">
        <v>7</v>
      </c>
      <c r="M15" s="88" t="s">
        <v>7</v>
      </c>
      <c r="N15" s="88" t="s">
        <v>7</v>
      </c>
      <c r="O15" s="88"/>
      <c r="P15" s="88"/>
      <c r="Q15" s="88"/>
      <c r="R15" s="88"/>
      <c r="S15" s="88"/>
      <c r="T15" s="88"/>
      <c r="U15" s="88"/>
      <c r="V15" s="91"/>
      <c r="W15" s="429"/>
      <c r="X15" s="87"/>
      <c r="Y15" s="88"/>
      <c r="Z15" s="88"/>
      <c r="AA15" s="88" t="s">
        <v>990</v>
      </c>
      <c r="AB15" s="88"/>
      <c r="AC15" s="88"/>
      <c r="AD15" s="88"/>
      <c r="AE15" s="88"/>
      <c r="AF15" s="88"/>
      <c r="AG15" s="88"/>
      <c r="AH15" s="88" t="s">
        <v>7</v>
      </c>
      <c r="AI15" s="88"/>
      <c r="AJ15" s="88"/>
      <c r="AK15" s="87" t="s">
        <v>7</v>
      </c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197" t="s">
        <v>799</v>
      </c>
      <c r="BB15" s="92" t="s">
        <v>839</v>
      </c>
      <c r="BC15" s="90" t="s">
        <v>799</v>
      </c>
      <c r="BD15" s="92" t="s">
        <v>839</v>
      </c>
      <c r="BE15" s="92"/>
      <c r="BF15" s="92"/>
      <c r="BG15" s="93" t="s">
        <v>839</v>
      </c>
      <c r="BH15" s="198"/>
    </row>
    <row r="16" spans="1:60" ht="15" customHeight="1">
      <c r="A16" s="137" t="str">
        <f>_xlfn.XLOOKUP(WholeMarineTrainingTable[[#This Row],[Name]], RecallTable[NAME], RecallTable[SECTION])</f>
        <v>1PLT</v>
      </c>
      <c r="B16" s="268">
        <f>_xlfn.XLOOKUP(WholeMarineTrainingTable[[#This Row],[Name]],RecallTable[NAME],RecallTable[MOS])</f>
        <v>1721</v>
      </c>
      <c r="C16" s="28" t="str">
        <f>_xlfn.XLOOKUP(WholeMarineTrainingTable[[#This Row],[Name]],RecallTable[NAME],RecallTable[GRADE])</f>
        <v>E4</v>
      </c>
      <c r="D16" s="117" t="s">
        <v>1107</v>
      </c>
      <c r="E16" s="241" t="str" cm="1">
        <f t="array" ref="E16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16" s="42" t="str" cm="1">
        <f t="array" aca="1" ref="F16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16" s="241" t="str" cm="1">
        <f t="array" ref="G16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16" s="42" t="str" cm="1">
        <f t="array" aca="1" ref="H16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16" s="88" t="s">
        <v>7</v>
      </c>
      <c r="J16" s="88" t="s">
        <v>7</v>
      </c>
      <c r="K16" s="88" t="s">
        <v>7</v>
      </c>
      <c r="L16" s="88" t="s">
        <v>7</v>
      </c>
      <c r="M16" s="88" t="s">
        <v>7</v>
      </c>
      <c r="N16" s="88" t="s">
        <v>7</v>
      </c>
      <c r="O16" s="88" t="s">
        <v>7</v>
      </c>
      <c r="P16" s="88" t="s">
        <v>7</v>
      </c>
      <c r="Q16" s="88"/>
      <c r="R16" s="88"/>
      <c r="S16" s="88"/>
      <c r="T16" s="88"/>
      <c r="U16" s="88"/>
      <c r="V16" s="91"/>
      <c r="W16" s="429"/>
      <c r="X16" s="87"/>
      <c r="Y16" s="88"/>
      <c r="Z16" s="88"/>
      <c r="AA16" s="88" t="s">
        <v>990</v>
      </c>
      <c r="AB16" s="88"/>
      <c r="AC16" s="88"/>
      <c r="AD16" s="88"/>
      <c r="AE16" s="88"/>
      <c r="AF16" s="88"/>
      <c r="AG16" s="88" t="s">
        <v>7</v>
      </c>
      <c r="AH16" s="88"/>
      <c r="AI16" s="88"/>
      <c r="AJ16" s="88"/>
      <c r="AK16" s="87" t="s">
        <v>7</v>
      </c>
      <c r="AL16" s="88"/>
      <c r="AM16" s="88" t="s">
        <v>7</v>
      </c>
      <c r="AN16" s="88"/>
      <c r="AO16" s="88"/>
      <c r="AP16" s="88"/>
      <c r="AQ16" s="88" t="s">
        <v>7</v>
      </c>
      <c r="AR16" s="88"/>
      <c r="AS16" s="88"/>
      <c r="AT16" s="88"/>
      <c r="AU16" s="88"/>
      <c r="AV16" s="88"/>
      <c r="AW16" s="88"/>
      <c r="AX16" s="88" t="s">
        <v>177</v>
      </c>
      <c r="AY16" s="88"/>
      <c r="AZ16" s="88" t="s">
        <v>995</v>
      </c>
      <c r="BA16" s="197" t="s">
        <v>799</v>
      </c>
      <c r="BB16" s="88" t="s">
        <v>799</v>
      </c>
      <c r="BC16" s="90" t="s">
        <v>799</v>
      </c>
      <c r="BD16" s="88" t="s">
        <v>799</v>
      </c>
      <c r="BE16" s="88"/>
      <c r="BF16" s="88"/>
      <c r="BG16" s="89" t="s">
        <v>799</v>
      </c>
      <c r="BH16" s="198"/>
    </row>
    <row r="17" spans="1:60" ht="15" customHeight="1">
      <c r="A17" s="102" t="str">
        <f>_xlfn.XLOOKUP(WholeMarineTrainingTable[[#This Row],[Name]], RecallTable[NAME], RecallTable[SECTION])</f>
        <v>1PLT</v>
      </c>
      <c r="B17" s="268">
        <f>_xlfn.XLOOKUP(WholeMarineTrainingTable[[#This Row],[Name]],RecallTable[NAME],RecallTable[MOS])</f>
        <v>1721</v>
      </c>
      <c r="C17" s="42" t="str">
        <f>_xlfn.XLOOKUP(WholeMarineTrainingTable[[#This Row],[Name]],RecallTable[NAME],RecallTable[GRADE])</f>
        <v>E3</v>
      </c>
      <c r="D17" s="248" t="s">
        <v>1108</v>
      </c>
      <c r="E17" s="543" t="str" cm="1">
        <f t="array" ref="E17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17" s="544" t="str" cm="1">
        <f t="array" aca="1" ref="F17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17" s="545" t="str" cm="1">
        <f t="array" ref="G17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17" s="546" t="str" cm="1">
        <f t="array" aca="1" ref="H17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17" s="42" t="s">
        <v>7</v>
      </c>
      <c r="J17" s="88" t="s">
        <v>7</v>
      </c>
      <c r="K17" s="88" t="s">
        <v>7</v>
      </c>
      <c r="L17" s="78" t="s">
        <v>7</v>
      </c>
      <c r="M17" s="78" t="s">
        <v>7</v>
      </c>
      <c r="N17" s="78" t="s">
        <v>7</v>
      </c>
      <c r="O17" s="78"/>
      <c r="P17" s="78"/>
      <c r="Q17" s="78"/>
      <c r="R17" s="78"/>
      <c r="S17" s="78"/>
      <c r="T17" s="78"/>
      <c r="U17" s="78"/>
      <c r="V17" s="107"/>
      <c r="W17" s="430"/>
      <c r="X17" s="87" t="s">
        <v>7</v>
      </c>
      <c r="Y17" s="78"/>
      <c r="Z17" s="78"/>
      <c r="AA17" s="78" t="s">
        <v>990</v>
      </c>
      <c r="AB17" s="78"/>
      <c r="AC17" s="78"/>
      <c r="AD17" s="78"/>
      <c r="AE17" s="78"/>
      <c r="AF17" s="78"/>
      <c r="AG17" s="78"/>
      <c r="AH17" s="78"/>
      <c r="AI17" s="78"/>
      <c r="AJ17" s="78"/>
      <c r="AK17" s="87"/>
      <c r="AL17" s="88" t="s">
        <v>7</v>
      </c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87" t="s">
        <v>839</v>
      </c>
      <c r="BB17" s="88" t="s">
        <v>839</v>
      </c>
      <c r="BC17" s="88" t="s">
        <v>177</v>
      </c>
      <c r="BD17" s="88" t="s">
        <v>839</v>
      </c>
      <c r="BE17" s="78"/>
      <c r="BF17" s="88"/>
      <c r="BG17" s="89" t="s">
        <v>799</v>
      </c>
      <c r="BH17" s="198"/>
    </row>
    <row r="18" spans="1:60" ht="15" customHeight="1">
      <c r="A18" s="102" t="str">
        <f>_xlfn.XLOOKUP(WholeMarineTrainingTable[[#This Row],[Name]], RecallTable[NAME], RecallTable[SECTION])</f>
        <v>2PLT</v>
      </c>
      <c r="B18" s="268">
        <f>_xlfn.XLOOKUP(WholeMarineTrainingTable[[#This Row],[Name]],RecallTable[NAME],RecallTable[MOS])</f>
        <v>1702</v>
      </c>
      <c r="C18" s="42" t="str">
        <f>_xlfn.XLOOKUP(WholeMarineTrainingTable[[#This Row],[Name]],RecallTable[NAME],RecallTable[GRADE])</f>
        <v>O2</v>
      </c>
      <c r="D18" s="117" t="s">
        <v>1109</v>
      </c>
      <c r="E18" s="332" t="str" cm="1">
        <f t="array" ref="E18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18" s="333" t="str" cm="1">
        <f t="array" aca="1" ref="F18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18" s="334" t="str" cm="1">
        <f t="array" ref="G18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18" s="335" t="str" cm="1">
        <f t="array" aca="1" ref="H18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18" s="469"/>
      <c r="J18" s="429"/>
      <c r="K18" s="429"/>
      <c r="L18" s="430"/>
      <c r="M18" s="430"/>
      <c r="N18" s="430"/>
      <c r="O18" s="430"/>
      <c r="P18" s="430"/>
      <c r="Q18" s="430"/>
      <c r="R18" s="430"/>
      <c r="S18" s="430"/>
      <c r="T18" s="430"/>
      <c r="U18" s="430"/>
      <c r="V18" s="430"/>
      <c r="W18" s="430"/>
      <c r="X18" s="87"/>
      <c r="Y18" s="78"/>
      <c r="Z18" s="78"/>
      <c r="AA18" s="78" t="s">
        <v>989</v>
      </c>
      <c r="AB18" s="78"/>
      <c r="AC18" s="78"/>
      <c r="AD18" s="78"/>
      <c r="AE18" s="78"/>
      <c r="AF18" s="78"/>
      <c r="AG18" s="78"/>
      <c r="AH18" s="78"/>
      <c r="AI18" s="78"/>
      <c r="AJ18" s="78"/>
      <c r="AK18" s="87"/>
      <c r="AL18" s="88"/>
      <c r="AM18" s="78" t="s">
        <v>7</v>
      </c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87" t="s">
        <v>839</v>
      </c>
      <c r="BB18" s="88" t="s">
        <v>839</v>
      </c>
      <c r="BC18" s="88" t="s">
        <v>177</v>
      </c>
      <c r="BD18" s="88" t="s">
        <v>839</v>
      </c>
      <c r="BE18" s="78"/>
      <c r="BF18" s="88"/>
      <c r="BG18" s="89" t="s">
        <v>799</v>
      </c>
      <c r="BH18" s="198"/>
    </row>
    <row r="19" spans="1:60" ht="15" customHeight="1">
      <c r="A19" s="102" t="str">
        <f>_xlfn.XLOOKUP(WholeMarineTrainingTable[[#This Row],[Name]], RecallTable[NAME], RecallTable[SECTION])</f>
        <v>2PLT</v>
      </c>
      <c r="B19" s="268">
        <f>_xlfn.XLOOKUP(WholeMarineTrainingTable[[#This Row],[Name]],RecallTable[NAME],RecallTable[MOS])</f>
        <v>1721</v>
      </c>
      <c r="C19" s="42" t="str">
        <f>_xlfn.XLOOKUP(WholeMarineTrainingTable[[#This Row],[Name]],RecallTable[NAME],RecallTable[GRADE])</f>
        <v>E7</v>
      </c>
      <c r="D19" s="117" t="s">
        <v>1110</v>
      </c>
      <c r="E19" s="241" cm="1">
        <f t="array" ref="E19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45338</v>
      </c>
      <c r="F19" s="42" cm="1">
        <f t="array" aca="1" ref="F19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-60</v>
      </c>
      <c r="G19" s="241" cm="1">
        <f t="array" ref="G19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45612</v>
      </c>
      <c r="H19" s="42" cm="1">
        <f t="array" aca="1" ref="H19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214</v>
      </c>
      <c r="I19" s="42" t="s">
        <v>7</v>
      </c>
      <c r="J19" s="88" t="s">
        <v>7</v>
      </c>
      <c r="K19" s="88" t="s">
        <v>7</v>
      </c>
      <c r="L19" s="88" t="s">
        <v>7</v>
      </c>
      <c r="M19" s="88" t="s">
        <v>7</v>
      </c>
      <c r="N19" s="88" t="s">
        <v>7</v>
      </c>
      <c r="O19" s="88"/>
      <c r="P19" s="88"/>
      <c r="Q19" s="88"/>
      <c r="R19" s="88"/>
      <c r="S19" s="88"/>
      <c r="T19" s="88"/>
      <c r="U19" s="88"/>
      <c r="V19" s="91"/>
      <c r="W19" s="429"/>
      <c r="X19" s="87"/>
      <c r="Y19" s="88"/>
      <c r="Z19" s="88"/>
      <c r="AA19" s="88" t="s">
        <v>991</v>
      </c>
      <c r="AB19" s="88"/>
      <c r="AC19" s="88"/>
      <c r="AD19" s="88"/>
      <c r="AE19" s="88"/>
      <c r="AF19" s="88"/>
      <c r="AG19" s="88"/>
      <c r="AH19" s="88"/>
      <c r="AI19" s="88"/>
      <c r="AJ19" s="88"/>
      <c r="AK19" s="87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7" t="s">
        <v>839</v>
      </c>
      <c r="BB19" s="88" t="s">
        <v>839</v>
      </c>
      <c r="BC19" s="88" t="s">
        <v>799</v>
      </c>
      <c r="BD19" s="88" t="s">
        <v>839</v>
      </c>
      <c r="BE19" s="88"/>
      <c r="BF19" s="88"/>
      <c r="BG19" s="89" t="s">
        <v>799</v>
      </c>
      <c r="BH19" s="198"/>
    </row>
    <row r="20" spans="1:60" ht="15" customHeight="1">
      <c r="A20" s="102" t="str">
        <f>_xlfn.XLOOKUP(WholeMarineTrainingTable[[#This Row],[Name]], RecallTable[NAME], RecallTable[SECTION])</f>
        <v>2PLT</v>
      </c>
      <c r="B20" s="269">
        <f>_xlfn.XLOOKUP(WholeMarineTrainingTable[[#This Row],[Name]],RecallTable[NAME],RecallTable[MOS])</f>
        <v>1721</v>
      </c>
      <c r="C20" s="42" t="str">
        <f>_xlfn.XLOOKUP(WholeMarineTrainingTable[[#This Row],[Name]],RecallTable[NAME],RecallTable[GRADE])</f>
        <v>E6</v>
      </c>
      <c r="D20" s="248" t="s">
        <v>1111</v>
      </c>
      <c r="E20" s="543" cm="1">
        <f t="array" ref="E20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45097</v>
      </c>
      <c r="F20" s="544" cm="1">
        <f t="array" aca="1" ref="F20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-301</v>
      </c>
      <c r="G20" s="545" cm="1">
        <f t="array" ref="G20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45371</v>
      </c>
      <c r="H20" s="546" cm="1">
        <f t="array" aca="1" ref="H20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-27</v>
      </c>
      <c r="I20" s="42" t="s">
        <v>7</v>
      </c>
      <c r="J20" s="88" t="s">
        <v>7</v>
      </c>
      <c r="K20" s="88" t="s">
        <v>7</v>
      </c>
      <c r="L20" s="78" t="s">
        <v>7</v>
      </c>
      <c r="M20" s="78" t="s">
        <v>7</v>
      </c>
      <c r="N20" s="78" t="s">
        <v>175</v>
      </c>
      <c r="O20" s="78"/>
      <c r="P20" s="78"/>
      <c r="Q20" s="78"/>
      <c r="R20" s="78"/>
      <c r="S20" s="78"/>
      <c r="T20" s="78"/>
      <c r="U20" s="78"/>
      <c r="V20" s="107"/>
      <c r="W20" s="78" t="s">
        <v>175</v>
      </c>
      <c r="X20" s="87"/>
      <c r="Y20" s="78"/>
      <c r="Z20" s="78"/>
      <c r="AA20" s="78" t="s">
        <v>990</v>
      </c>
      <c r="AB20" s="78"/>
      <c r="AC20" s="78"/>
      <c r="AD20" s="78"/>
      <c r="AE20" s="78"/>
      <c r="AF20" s="78"/>
      <c r="AG20" s="78"/>
      <c r="AH20" s="78"/>
      <c r="AI20" s="78"/>
      <c r="AJ20" s="78" t="s">
        <v>996</v>
      </c>
      <c r="AK20" s="87" t="s">
        <v>7</v>
      </c>
      <c r="AL20" s="88" t="s">
        <v>7</v>
      </c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87" t="s">
        <v>799</v>
      </c>
      <c r="BB20" s="78" t="s">
        <v>839</v>
      </c>
      <c r="BC20" s="78" t="s">
        <v>177</v>
      </c>
      <c r="BD20" s="78" t="s">
        <v>839</v>
      </c>
      <c r="BE20" s="78"/>
      <c r="BF20" s="88"/>
      <c r="BG20" s="89" t="s">
        <v>839</v>
      </c>
      <c r="BH20" s="198"/>
    </row>
    <row r="21" spans="1:60" ht="15" customHeight="1">
      <c r="A21" s="102" t="str">
        <f>_xlfn.XLOOKUP(WholeMarineTrainingTable[[#This Row],[Name]], RecallTable[NAME], RecallTable[SECTION])</f>
        <v>2PLT</v>
      </c>
      <c r="B21" s="268">
        <f>_xlfn.XLOOKUP(WholeMarineTrainingTable[[#This Row],[Name]],RecallTable[NAME],RecallTable[MOS])</f>
        <v>1721</v>
      </c>
      <c r="C21" s="42" t="str">
        <f>_xlfn.XLOOKUP(WholeMarineTrainingTable[[#This Row],[Name]],RecallTable[NAME],RecallTable[GRADE])</f>
        <v>E6</v>
      </c>
      <c r="D21" s="117" t="s">
        <v>1112</v>
      </c>
      <c r="E21" s="241" cm="1">
        <f t="array" ref="E2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45097</v>
      </c>
      <c r="F21" s="42" cm="1">
        <f t="array" aca="1" ref="F21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-301</v>
      </c>
      <c r="G21" s="241" cm="1">
        <f t="array" ref="G21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45371</v>
      </c>
      <c r="H21" s="42" cm="1">
        <f t="array" aca="1" ref="H21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-27</v>
      </c>
      <c r="I21" s="88" t="s">
        <v>7</v>
      </c>
      <c r="J21" s="88" t="s">
        <v>7</v>
      </c>
      <c r="K21" s="88" t="s">
        <v>7</v>
      </c>
      <c r="L21" s="88" t="s">
        <v>7</v>
      </c>
      <c r="M21" s="88" t="s">
        <v>7</v>
      </c>
      <c r="N21" s="88" t="s">
        <v>7</v>
      </c>
      <c r="O21" s="88"/>
      <c r="P21" s="88"/>
      <c r="Q21" s="88"/>
      <c r="R21" s="88"/>
      <c r="S21" s="88"/>
      <c r="T21" s="88"/>
      <c r="U21" s="88"/>
      <c r="V21" s="91"/>
      <c r="W21" s="429"/>
      <c r="X21" s="87"/>
      <c r="Y21" s="88"/>
      <c r="Z21" s="88"/>
      <c r="AA21" s="88" t="s">
        <v>990</v>
      </c>
      <c r="AB21" s="88"/>
      <c r="AC21" s="88"/>
      <c r="AD21" s="88"/>
      <c r="AE21" s="88"/>
      <c r="AF21" s="88"/>
      <c r="AG21" s="88"/>
      <c r="AH21" s="88"/>
      <c r="AI21" s="88"/>
      <c r="AJ21" s="88"/>
      <c r="AK21" s="87"/>
      <c r="AL21" s="88"/>
      <c r="AM21" s="88" t="s">
        <v>7</v>
      </c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197" t="s">
        <v>799</v>
      </c>
      <c r="BB21" s="92" t="s">
        <v>839</v>
      </c>
      <c r="BC21" s="90" t="s">
        <v>799</v>
      </c>
      <c r="BD21" s="92" t="s">
        <v>839</v>
      </c>
      <c r="BE21" s="92"/>
      <c r="BF21" s="92"/>
      <c r="BG21" s="93" t="s">
        <v>839</v>
      </c>
      <c r="BH21" s="198"/>
    </row>
    <row r="22" spans="1:60" ht="15" customHeight="1">
      <c r="A22" s="88" t="s">
        <v>108</v>
      </c>
      <c r="B22" s="268">
        <f>_xlfn.XLOOKUP(WholeMarineTrainingTable[[#This Row],[Name]],RecallTable[NAME],RecallTable[MOS])</f>
        <v>1721</v>
      </c>
      <c r="C22" s="42" t="str">
        <f>_xlfn.XLOOKUP(WholeMarineTrainingTable[[#This Row],[Name]],RecallTable[NAME],RecallTable[GRADE])</f>
        <v>E5</v>
      </c>
      <c r="D22" s="117" t="s">
        <v>1113</v>
      </c>
      <c r="E22" s="543" t="str" cm="1">
        <f t="array" ref="E22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22" s="544" t="str" cm="1">
        <f t="array" aca="1" ref="F22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22" s="545" cm="1">
        <f t="array" ref="G22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45371</v>
      </c>
      <c r="H22" s="546" cm="1">
        <f t="array" aca="1" ref="H22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-27</v>
      </c>
      <c r="I22" s="42" t="s">
        <v>7</v>
      </c>
      <c r="J22" s="88" t="s">
        <v>7</v>
      </c>
      <c r="K22" s="88" t="s">
        <v>7</v>
      </c>
      <c r="L22" s="78" t="s">
        <v>7</v>
      </c>
      <c r="M22" s="78" t="s">
        <v>7</v>
      </c>
      <c r="N22" s="78" t="s">
        <v>175</v>
      </c>
      <c r="O22" s="78"/>
      <c r="P22" s="78"/>
      <c r="Q22" s="78"/>
      <c r="R22" s="78"/>
      <c r="S22" s="78"/>
      <c r="T22" s="78"/>
      <c r="U22" s="78"/>
      <c r="V22" s="107"/>
      <c r="W22" s="430"/>
      <c r="X22" s="87"/>
      <c r="Y22" s="78"/>
      <c r="Z22" s="78"/>
      <c r="AA22" s="78" t="s">
        <v>990</v>
      </c>
      <c r="AB22" s="78"/>
      <c r="AC22" s="78"/>
      <c r="AD22" s="78"/>
      <c r="AE22" s="78"/>
      <c r="AF22" s="78"/>
      <c r="AG22" s="78"/>
      <c r="AH22" s="78"/>
      <c r="AI22" s="78"/>
      <c r="AJ22" s="78"/>
      <c r="AK22" s="87" t="s">
        <v>7</v>
      </c>
      <c r="AL22" s="8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87" t="s">
        <v>839</v>
      </c>
      <c r="BB22" s="88" t="s">
        <v>839</v>
      </c>
      <c r="BC22" s="88" t="s">
        <v>799</v>
      </c>
      <c r="BD22" s="88" t="s">
        <v>839</v>
      </c>
      <c r="BE22" s="78"/>
      <c r="BF22" s="88"/>
      <c r="BG22" s="89" t="s">
        <v>839</v>
      </c>
      <c r="BH22" s="198"/>
    </row>
    <row r="23" spans="1:60" ht="15" customHeight="1">
      <c r="A23" s="137" t="str">
        <f>_xlfn.XLOOKUP(WholeMarineTrainingTable[[#This Row],[Name]], RecallTable[NAME], RecallTable[SECTION])</f>
        <v>2PLT</v>
      </c>
      <c r="B23" s="269">
        <f>_xlfn.XLOOKUP(WholeMarineTrainingTable[[#This Row],[Name]],RecallTable[NAME],RecallTable[MOS])</f>
        <v>1721</v>
      </c>
      <c r="C23" s="42" t="str">
        <f>_xlfn.XLOOKUP(WholeMarineTrainingTable[[#This Row],[Name]],RecallTable[NAME],RecallTable[GRADE])</f>
        <v>E5</v>
      </c>
      <c r="D23" s="116" t="s">
        <v>1114</v>
      </c>
      <c r="E23" s="543" cm="1">
        <f t="array" ref="E23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45097</v>
      </c>
      <c r="F23" s="544" cm="1">
        <f t="array" aca="1" ref="F23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-301</v>
      </c>
      <c r="G23" s="545" cm="1">
        <f t="array" ref="G23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45371</v>
      </c>
      <c r="H23" s="546" cm="1">
        <f t="array" aca="1" ref="H23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-27</v>
      </c>
      <c r="I23" s="42" t="s">
        <v>7</v>
      </c>
      <c r="J23" s="88" t="s">
        <v>7</v>
      </c>
      <c r="K23" s="8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107"/>
      <c r="W23" s="78"/>
      <c r="X23" s="87"/>
      <c r="Y23" s="78"/>
      <c r="Z23" s="78"/>
      <c r="AA23" s="78" t="s">
        <v>988</v>
      </c>
      <c r="AB23" s="78"/>
      <c r="AC23" s="78"/>
      <c r="AD23" s="78"/>
      <c r="AE23" s="78"/>
      <c r="AF23" s="78"/>
      <c r="AG23" s="78"/>
      <c r="AH23" s="78"/>
      <c r="AI23" s="78"/>
      <c r="AJ23" s="78"/>
      <c r="AK23" s="87"/>
      <c r="AL23" s="8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87" t="s">
        <v>799</v>
      </c>
      <c r="BB23" s="78" t="s">
        <v>799</v>
      </c>
      <c r="BC23" s="78" t="s">
        <v>177</v>
      </c>
      <c r="BD23" s="78"/>
      <c r="BE23" s="78"/>
      <c r="BF23" s="78"/>
      <c r="BG23" s="89" t="s">
        <v>799</v>
      </c>
      <c r="BH23" s="198"/>
    </row>
    <row r="24" spans="1:60" ht="15" customHeight="1">
      <c r="A24" s="137" t="str">
        <f>_xlfn.XLOOKUP(WholeMarineTrainingTable[[#This Row],[Name]], RecallTable[NAME], RecallTable[SECTION])</f>
        <v>2PLT</v>
      </c>
      <c r="B24" s="268">
        <f>_xlfn.XLOOKUP(WholeMarineTrainingTable[[#This Row],[Name]],RecallTable[NAME],RecallTable[MOS])</f>
        <v>1700</v>
      </c>
      <c r="C24" s="42" t="str">
        <f>_xlfn.XLOOKUP(WholeMarineTrainingTable[[#This Row],[Name]],RecallTable[NAME],RecallTable[GRADE])</f>
        <v>E5</v>
      </c>
      <c r="D24" s="426" t="s">
        <v>1115</v>
      </c>
      <c r="E24" s="547" cm="1">
        <f t="array" ref="E24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45097</v>
      </c>
      <c r="F24" s="42" cm="1">
        <f t="array" aca="1" ref="F24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-301</v>
      </c>
      <c r="G24" s="241" cm="1">
        <f t="array" ref="G24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45371</v>
      </c>
      <c r="H24" s="42" cm="1">
        <f t="array" aca="1" ref="H24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-27</v>
      </c>
      <c r="I24" s="42" t="s">
        <v>7</v>
      </c>
      <c r="J24" s="78" t="s">
        <v>7</v>
      </c>
      <c r="K24" s="88" t="s">
        <v>7</v>
      </c>
      <c r="L24" s="78" t="s">
        <v>7</v>
      </c>
      <c r="M24" s="78"/>
      <c r="N24" s="78"/>
      <c r="O24" s="78"/>
      <c r="P24" s="78"/>
      <c r="Q24" s="78"/>
      <c r="R24" s="78"/>
      <c r="S24" s="78"/>
      <c r="T24" s="78"/>
      <c r="U24" s="78"/>
      <c r="V24" s="107"/>
      <c r="W24" s="78" t="s">
        <v>175</v>
      </c>
      <c r="X24" s="87"/>
      <c r="Y24" s="78" t="s">
        <v>176</v>
      </c>
      <c r="Z24" s="78"/>
      <c r="AA24" s="78" t="s">
        <v>991</v>
      </c>
      <c r="AB24" s="78"/>
      <c r="AC24" s="78"/>
      <c r="AD24" s="78"/>
      <c r="AE24" s="78"/>
      <c r="AF24" s="78"/>
      <c r="AG24" s="78"/>
      <c r="AH24" s="78"/>
      <c r="AI24" s="78"/>
      <c r="AJ24" s="78"/>
      <c r="AK24" s="87"/>
      <c r="AL24" s="8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88"/>
      <c r="BA24" s="87" t="s">
        <v>839</v>
      </c>
      <c r="BB24" s="88" t="s">
        <v>839</v>
      </c>
      <c r="BC24" s="88" t="s">
        <v>177</v>
      </c>
      <c r="BD24" s="88" t="s">
        <v>839</v>
      </c>
      <c r="BE24" s="88"/>
      <c r="BF24" s="88"/>
      <c r="BG24" s="89" t="s">
        <v>799</v>
      </c>
      <c r="BH24" s="198"/>
    </row>
    <row r="25" spans="1:60" ht="15" customHeight="1">
      <c r="A25" s="137" t="str">
        <f>_xlfn.XLOOKUP(WholeMarineTrainingTable[[#This Row],[Name]], RecallTable[NAME], RecallTable[SECTION])</f>
        <v>2PLT</v>
      </c>
      <c r="B25" s="268">
        <f>_xlfn.XLOOKUP(WholeMarineTrainingTable[[#This Row],[Name]],RecallTable[NAME],RecallTable[MOS])</f>
        <v>1721</v>
      </c>
      <c r="C25" s="42" t="str">
        <f>_xlfn.XLOOKUP(WholeMarineTrainingTable[[#This Row],[Name]],RecallTable[NAME],RecallTable[GRADE])</f>
        <v>E4</v>
      </c>
      <c r="D25" s="117" t="s">
        <v>1116</v>
      </c>
      <c r="E25" s="241" t="str" cm="1">
        <f t="array" ref="E25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25" s="42" t="str" cm="1">
        <f t="array" aca="1" ref="F25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25" s="241" t="str" cm="1">
        <f t="array" ref="G25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25" s="42" t="str" cm="1">
        <f t="array" aca="1" ref="H25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25" s="88" t="s">
        <v>7</v>
      </c>
      <c r="J25" s="88" t="s">
        <v>7</v>
      </c>
      <c r="K25" s="88" t="s">
        <v>7</v>
      </c>
      <c r="L25" s="88" t="s">
        <v>7</v>
      </c>
      <c r="M25" s="88"/>
      <c r="N25" s="88"/>
      <c r="O25" s="88"/>
      <c r="P25" s="88"/>
      <c r="Q25" s="88"/>
      <c r="R25" s="88"/>
      <c r="S25" s="88"/>
      <c r="T25" s="88"/>
      <c r="U25" s="88"/>
      <c r="V25" s="91"/>
      <c r="W25" s="88" t="s">
        <v>7</v>
      </c>
      <c r="X25" s="87"/>
      <c r="Y25" s="88"/>
      <c r="Z25" s="88"/>
      <c r="AA25" s="88" t="s">
        <v>990</v>
      </c>
      <c r="AB25" s="88"/>
      <c r="AC25" s="88"/>
      <c r="AD25" s="88"/>
      <c r="AE25" s="88"/>
      <c r="AF25" s="88"/>
      <c r="AG25" s="88"/>
      <c r="AH25" s="88"/>
      <c r="AI25" s="88"/>
      <c r="AJ25" s="88"/>
      <c r="AK25" s="87"/>
      <c r="AL25" s="88" t="s">
        <v>7</v>
      </c>
      <c r="AM25" s="88" t="s">
        <v>7</v>
      </c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197" t="s">
        <v>799</v>
      </c>
      <c r="BB25" s="92" t="s">
        <v>839</v>
      </c>
      <c r="BC25" s="92" t="s">
        <v>177</v>
      </c>
      <c r="BD25" s="92" t="s">
        <v>839</v>
      </c>
      <c r="BE25" s="92"/>
      <c r="BF25" s="92"/>
      <c r="BG25" s="93" t="s">
        <v>799</v>
      </c>
      <c r="BH25" s="198"/>
    </row>
    <row r="26" spans="1:60" ht="15" customHeight="1">
      <c r="A26" s="137" t="str">
        <f>_xlfn.XLOOKUP(WholeMarineTrainingTable[[#This Row],[Name]], RecallTable[NAME], RecallTable[SECTION])</f>
        <v>2PLT</v>
      </c>
      <c r="B26" s="268">
        <f>_xlfn.XLOOKUP(WholeMarineTrainingTable[[#This Row],[Name]],RecallTable[NAME],RecallTable[MOS])</f>
        <v>1721</v>
      </c>
      <c r="C26" s="42" t="str">
        <f>_xlfn.XLOOKUP(WholeMarineTrainingTable[[#This Row],[Name]],RecallTable[NAME],RecallTable[GRADE])</f>
        <v>E4</v>
      </c>
      <c r="D26" s="251" t="s">
        <v>1117</v>
      </c>
      <c r="E26" s="548" t="str" cm="1">
        <f t="array" ref="E26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26" s="42" t="str" cm="1">
        <f t="array" aca="1" ref="F26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26" s="241" t="str" cm="1">
        <f t="array" ref="G26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26" s="42" t="str" cm="1">
        <f t="array" aca="1" ref="H26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26" s="42" t="s">
        <v>7</v>
      </c>
      <c r="J26" s="88" t="s">
        <v>7</v>
      </c>
      <c r="K26" s="88" t="s">
        <v>7</v>
      </c>
      <c r="L26" s="88" t="s">
        <v>7</v>
      </c>
      <c r="M26" s="88" t="s">
        <v>7</v>
      </c>
      <c r="N26" s="88" t="s">
        <v>175</v>
      </c>
      <c r="O26" s="88"/>
      <c r="P26" s="88"/>
      <c r="Q26" s="88"/>
      <c r="R26" s="88"/>
      <c r="S26" s="88"/>
      <c r="T26" s="88"/>
      <c r="U26" s="88"/>
      <c r="V26" s="91"/>
      <c r="W26" s="429"/>
      <c r="X26" s="87"/>
      <c r="Y26" s="88"/>
      <c r="Z26" s="88"/>
      <c r="AA26" s="88" t="s">
        <v>991</v>
      </c>
      <c r="AB26" s="88"/>
      <c r="AC26" s="88"/>
      <c r="AD26" s="88"/>
      <c r="AE26" s="88"/>
      <c r="AF26" s="88"/>
      <c r="AG26" s="88"/>
      <c r="AH26" s="88"/>
      <c r="AI26" s="88"/>
      <c r="AJ26" s="88"/>
      <c r="AK26" s="87" t="s">
        <v>7</v>
      </c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7" t="s">
        <v>799</v>
      </c>
      <c r="BB26" s="88" t="s">
        <v>839</v>
      </c>
      <c r="BC26" s="88" t="s">
        <v>839</v>
      </c>
      <c r="BD26" s="88" t="s">
        <v>839</v>
      </c>
      <c r="BE26" s="88"/>
      <c r="BF26" s="88"/>
      <c r="BG26" s="89" t="s">
        <v>799</v>
      </c>
      <c r="BH26" s="198"/>
    </row>
    <row r="27" spans="1:60" ht="15" customHeight="1">
      <c r="A27" s="137" t="str">
        <f>_xlfn.XLOOKUP(WholeMarineTrainingTable[[#This Row],[Name]], RecallTable[NAME], RecallTable[SECTION])</f>
        <v>2PLT</v>
      </c>
      <c r="B27" s="268">
        <f>_xlfn.XLOOKUP(WholeMarineTrainingTable[[#This Row],[Name]],RecallTable[NAME],RecallTable[MOS])</f>
        <v>1721</v>
      </c>
      <c r="C27" s="42" t="str">
        <f>_xlfn.XLOOKUP(WholeMarineTrainingTable[[#This Row],[Name]],RecallTable[NAME],RecallTable[GRADE])</f>
        <v>E4</v>
      </c>
      <c r="D27" s="313" t="s">
        <v>1118</v>
      </c>
      <c r="E27" s="241" t="str" cm="1">
        <f t="array" ref="E27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27" s="42" t="str" cm="1">
        <f t="array" aca="1" ref="F27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27" s="241" t="str" cm="1">
        <f t="array" ref="G27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27" s="42" t="str" cm="1">
        <f t="array" aca="1" ref="H27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27" s="88" t="s">
        <v>7</v>
      </c>
      <c r="J27" s="88" t="s">
        <v>7</v>
      </c>
      <c r="K27" s="88" t="s">
        <v>7</v>
      </c>
      <c r="L27" s="88" t="s">
        <v>7</v>
      </c>
      <c r="M27" s="88" t="s">
        <v>177</v>
      </c>
      <c r="N27" s="88" t="s">
        <v>175</v>
      </c>
      <c r="O27" s="88"/>
      <c r="P27" s="88"/>
      <c r="Q27" s="88"/>
      <c r="R27" s="88"/>
      <c r="S27" s="88"/>
      <c r="T27" s="88"/>
      <c r="U27" s="88"/>
      <c r="V27" s="91"/>
      <c r="W27" s="429"/>
      <c r="X27" s="87"/>
      <c r="Y27" s="88"/>
      <c r="Z27" s="88"/>
      <c r="AA27" s="88" t="s">
        <v>989</v>
      </c>
      <c r="AB27" s="88"/>
      <c r="AC27" s="88"/>
      <c r="AD27" s="88"/>
      <c r="AE27" s="88"/>
      <c r="AF27" s="88"/>
      <c r="AG27" s="88"/>
      <c r="AH27" s="88"/>
      <c r="AI27" s="88" t="s">
        <v>7</v>
      </c>
      <c r="AJ27" s="88"/>
      <c r="AK27" s="87"/>
      <c r="AL27" s="88"/>
      <c r="AM27" s="88" t="s">
        <v>7</v>
      </c>
      <c r="AN27" s="88"/>
      <c r="AO27" s="88"/>
      <c r="AP27" s="88"/>
      <c r="AQ27" s="88"/>
      <c r="AR27" s="88" t="s">
        <v>7</v>
      </c>
      <c r="AS27" s="88"/>
      <c r="AT27" s="88"/>
      <c r="AU27" s="88"/>
      <c r="AV27" s="88"/>
      <c r="AW27" s="88"/>
      <c r="AX27" s="88"/>
      <c r="AY27" s="88"/>
      <c r="AZ27" s="88"/>
      <c r="BA27" s="197" t="s">
        <v>799</v>
      </c>
      <c r="BB27" s="90" t="s">
        <v>799</v>
      </c>
      <c r="BC27" s="90" t="s">
        <v>799</v>
      </c>
      <c r="BD27" s="92" t="s">
        <v>839</v>
      </c>
      <c r="BE27" s="92"/>
      <c r="BF27" s="92"/>
      <c r="BG27" s="93"/>
      <c r="BH27" s="198"/>
    </row>
    <row r="28" spans="1:60" ht="15" customHeight="1">
      <c r="A28" s="137" t="str">
        <f>_xlfn.XLOOKUP(WholeMarineTrainingTable[[#This Row],[Name]], RecallTable[NAME], RecallTable[SECTION])</f>
        <v>2PLT</v>
      </c>
      <c r="B28" s="268">
        <f>_xlfn.XLOOKUP(WholeMarineTrainingTable[[#This Row],[Name]],RecallTable[NAME],RecallTable[MOS])</f>
        <v>1721</v>
      </c>
      <c r="C28" s="42" t="str">
        <f>_xlfn.XLOOKUP(WholeMarineTrainingTable[[#This Row],[Name]],RecallTable[NAME],RecallTable[GRADE])</f>
        <v>E4</v>
      </c>
      <c r="D28" s="116" t="s">
        <v>1119</v>
      </c>
      <c r="E28" s="241" cm="1">
        <f t="array" ref="E28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45097</v>
      </c>
      <c r="F28" s="42" cm="1">
        <f t="array" aca="1" ref="F28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-301</v>
      </c>
      <c r="G28" s="241" cm="1">
        <f t="array" ref="G28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45371</v>
      </c>
      <c r="H28" s="42" cm="1">
        <f t="array" aca="1" ref="H28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-27</v>
      </c>
      <c r="I28" s="42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91"/>
      <c r="W28" s="429"/>
      <c r="X28" s="87"/>
      <c r="Y28" s="88"/>
      <c r="Z28" s="88"/>
      <c r="AA28" s="88" t="s">
        <v>990</v>
      </c>
      <c r="AB28" s="88"/>
      <c r="AC28" s="88"/>
      <c r="AD28" s="88"/>
      <c r="AE28" s="88"/>
      <c r="AF28" s="88"/>
      <c r="AG28" s="88"/>
      <c r="AH28" s="88"/>
      <c r="AI28" s="88"/>
      <c r="AJ28" s="88"/>
      <c r="AK28" s="87" t="s">
        <v>7</v>
      </c>
      <c r="AL28" s="88" t="s">
        <v>7</v>
      </c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 t="s">
        <v>7</v>
      </c>
      <c r="AY28" s="90" t="s">
        <v>177</v>
      </c>
      <c r="AZ28" s="88" t="s">
        <v>997</v>
      </c>
      <c r="BA28" s="197" t="s">
        <v>799</v>
      </c>
      <c r="BB28" s="90" t="s">
        <v>799</v>
      </c>
      <c r="BC28" s="90" t="s">
        <v>799</v>
      </c>
      <c r="BD28" s="88" t="s">
        <v>799</v>
      </c>
      <c r="BE28" s="88"/>
      <c r="BF28" s="88"/>
      <c r="BG28" s="89" t="s">
        <v>799</v>
      </c>
      <c r="BH28" s="198"/>
    </row>
    <row r="29" spans="1:60">
      <c r="A29" s="137" t="str">
        <f>_xlfn.XLOOKUP(WholeMarineTrainingTable[[#This Row],[Name]], RecallTable[NAME], RecallTable[SECTION])</f>
        <v>2PLT</v>
      </c>
      <c r="B29" s="268">
        <f>_xlfn.XLOOKUP(WholeMarineTrainingTable[[#This Row],[Name]],RecallTable[NAME],RecallTable[MOS])</f>
        <v>1721</v>
      </c>
      <c r="C29" s="42" t="str">
        <f>_xlfn.XLOOKUP(WholeMarineTrainingTable[[#This Row],[Name]],RecallTable[NAME],RecallTable[GRADE])</f>
        <v>E4</v>
      </c>
      <c r="D29" s="116" t="s">
        <v>1120</v>
      </c>
      <c r="E29" s="241" cm="1">
        <f t="array" ref="E29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45097</v>
      </c>
      <c r="F29" s="42" cm="1">
        <f t="array" aca="1" ref="F29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-301</v>
      </c>
      <c r="G29" s="241" cm="1">
        <f t="array" ref="G29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45371</v>
      </c>
      <c r="H29" s="42" cm="1">
        <f t="array" aca="1" ref="H29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-27</v>
      </c>
      <c r="I29" s="42" t="s">
        <v>7</v>
      </c>
      <c r="J29" s="88"/>
      <c r="K29" s="8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107"/>
      <c r="W29" s="78"/>
      <c r="X29" s="87"/>
      <c r="Y29" s="78"/>
      <c r="Z29" s="78"/>
      <c r="AA29" s="78" t="s">
        <v>988</v>
      </c>
      <c r="AB29" s="78"/>
      <c r="AC29" s="78"/>
      <c r="AD29" s="78"/>
      <c r="AE29" s="78"/>
      <c r="AF29" s="78"/>
      <c r="AG29" s="78"/>
      <c r="AH29" s="78"/>
      <c r="AI29" s="78"/>
      <c r="AJ29" s="78"/>
      <c r="AK29" s="87"/>
      <c r="AL29" s="8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87" t="s">
        <v>839</v>
      </c>
      <c r="BB29" s="100" t="s">
        <v>839</v>
      </c>
      <c r="BC29" s="100" t="s">
        <v>839</v>
      </c>
      <c r="BD29" s="100" t="s">
        <v>839</v>
      </c>
      <c r="BE29" s="78"/>
      <c r="BF29" s="88"/>
      <c r="BG29" s="89" t="s">
        <v>799</v>
      </c>
      <c r="BH29" s="198"/>
    </row>
    <row r="30" spans="1:60" ht="15" customHeight="1">
      <c r="A30" s="137" t="str">
        <f>_xlfn.XLOOKUP(WholeMarineTrainingTable[[#This Row],[Name]], RecallTable[NAME], RecallTable[SECTION])</f>
        <v>2PLT</v>
      </c>
      <c r="B30" s="268">
        <f>_xlfn.XLOOKUP(WholeMarineTrainingTable[[#This Row],[Name]],RecallTable[NAME],RecallTable[MOS])</f>
        <v>1721</v>
      </c>
      <c r="C30" s="42" t="str">
        <f>_xlfn.XLOOKUP(WholeMarineTrainingTable[[#This Row],[Name]],RecallTable[NAME],RecallTable[GRADE])</f>
        <v>E4</v>
      </c>
      <c r="D30" s="474" t="s">
        <v>1121</v>
      </c>
      <c r="E30" s="543" t="str" cm="1">
        <f t="array" ref="E30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30" s="544" t="str" cm="1">
        <f t="array" aca="1" ref="F30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30" s="545" t="str" cm="1">
        <f t="array" ref="G30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30" s="546" t="str" cm="1">
        <f t="array" aca="1" ref="H30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30" s="42" t="s">
        <v>7</v>
      </c>
      <c r="J30" s="88" t="s">
        <v>7</v>
      </c>
      <c r="K30" s="88" t="s">
        <v>7</v>
      </c>
      <c r="L30" s="78" t="s">
        <v>7</v>
      </c>
      <c r="M30" s="78" t="s">
        <v>175</v>
      </c>
      <c r="N30" s="78" t="s">
        <v>175</v>
      </c>
      <c r="O30" s="78"/>
      <c r="P30" s="78"/>
      <c r="Q30" s="78"/>
      <c r="R30" s="78"/>
      <c r="S30" s="78"/>
      <c r="T30" s="78"/>
      <c r="U30" s="78"/>
      <c r="V30" s="107"/>
      <c r="W30" s="78" t="s">
        <v>7</v>
      </c>
      <c r="X30" s="87"/>
      <c r="Y30" s="78"/>
      <c r="Z30" s="78"/>
      <c r="AA30" s="78" t="s">
        <v>990</v>
      </c>
      <c r="AB30" s="78"/>
      <c r="AC30" s="78"/>
      <c r="AD30" s="78"/>
      <c r="AE30" s="78"/>
      <c r="AF30" s="78"/>
      <c r="AG30" s="78"/>
      <c r="AH30" s="78"/>
      <c r="AI30" s="78"/>
      <c r="AJ30" s="78"/>
      <c r="AK30" s="87" t="s">
        <v>7</v>
      </c>
      <c r="AL30" s="88" t="s">
        <v>7</v>
      </c>
      <c r="AM30" s="78" t="s">
        <v>7</v>
      </c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87" t="s">
        <v>839</v>
      </c>
      <c r="BB30" s="78" t="s">
        <v>799</v>
      </c>
      <c r="BC30" s="78" t="s">
        <v>839</v>
      </c>
      <c r="BD30" s="78" t="s">
        <v>839</v>
      </c>
      <c r="BE30" s="78"/>
      <c r="BF30" s="88"/>
      <c r="BG30" s="89"/>
      <c r="BH30" s="198"/>
    </row>
    <row r="31" spans="1:60" ht="15" customHeight="1">
      <c r="A31" s="137" t="str">
        <f>_xlfn.XLOOKUP(WholeMarineTrainingTable[[#This Row],[Name]], RecallTable[NAME], RecallTable[SECTION])</f>
        <v>2PLT</v>
      </c>
      <c r="B31" s="269">
        <f>_xlfn.XLOOKUP(WholeMarineTrainingTable[[#This Row],[Name]],RecallTable[NAME],RecallTable[MOS])</f>
        <v>1721</v>
      </c>
      <c r="C31" s="42" t="str">
        <f>_xlfn.XLOOKUP(WholeMarineTrainingTable[[#This Row],[Name]],RecallTable[NAME],RecallTable[GRADE])</f>
        <v>E4</v>
      </c>
      <c r="D31" s="116" t="s">
        <v>1122</v>
      </c>
      <c r="E31" s="543" cm="1">
        <f t="array" ref="E3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45097</v>
      </c>
      <c r="F31" s="544" cm="1">
        <f t="array" aca="1" ref="F31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-301</v>
      </c>
      <c r="G31" s="545" cm="1">
        <f t="array" ref="G31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45371</v>
      </c>
      <c r="H31" s="546" cm="1">
        <f t="array" aca="1" ref="H31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-27</v>
      </c>
      <c r="I31" s="42" t="s">
        <v>7</v>
      </c>
      <c r="J31" s="88" t="s">
        <v>7</v>
      </c>
      <c r="K31" s="8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107"/>
      <c r="W31" s="78"/>
      <c r="X31" s="87"/>
      <c r="Y31" s="78"/>
      <c r="Z31" s="78"/>
      <c r="AA31" s="78" t="s">
        <v>988</v>
      </c>
      <c r="AB31" s="78"/>
      <c r="AC31" s="78"/>
      <c r="AD31" s="78"/>
      <c r="AE31" s="78"/>
      <c r="AF31" s="78"/>
      <c r="AG31" s="78"/>
      <c r="AH31" s="78"/>
      <c r="AI31" s="78"/>
      <c r="AJ31" s="78"/>
      <c r="AK31" s="87"/>
      <c r="AL31" s="8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87"/>
      <c r="BB31" s="88" t="s">
        <v>839</v>
      </c>
      <c r="BC31" s="78" t="s">
        <v>177</v>
      </c>
      <c r="BD31" s="78"/>
      <c r="BE31" s="78"/>
      <c r="BF31" s="78"/>
      <c r="BG31" s="89" t="s">
        <v>799</v>
      </c>
      <c r="BH31" s="198"/>
    </row>
    <row r="32" spans="1:60" ht="15" customHeight="1">
      <c r="A32" s="100" t="s">
        <v>209</v>
      </c>
      <c r="B32" s="268">
        <f>_xlfn.XLOOKUP(WholeMarineTrainingTable[[#This Row],[Name]],RecallTable[NAME],RecallTable[MOS])</f>
        <v>1721</v>
      </c>
      <c r="C32" s="42" t="str">
        <f>_xlfn.XLOOKUP(WholeMarineTrainingTable[[#This Row],[Name]],RecallTable[NAME],RecallTable[GRADE])</f>
        <v>E3</v>
      </c>
      <c r="D32" s="116" t="s">
        <v>1123</v>
      </c>
      <c r="E32" s="543" t="str" cm="1">
        <f t="array" ref="E32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32" s="544" t="str" cm="1">
        <f t="array" aca="1" ref="F32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32" s="545" t="str" cm="1">
        <f t="array" ref="G32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32" s="546" t="str" cm="1">
        <f t="array" aca="1" ref="H32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32" s="42" t="s">
        <v>7</v>
      </c>
      <c r="J32" s="88" t="s">
        <v>7</v>
      </c>
      <c r="K32" s="88" t="s">
        <v>7</v>
      </c>
      <c r="L32" s="88" t="s">
        <v>7</v>
      </c>
      <c r="M32" s="88" t="s">
        <v>7</v>
      </c>
      <c r="N32" s="78" t="s">
        <v>176</v>
      </c>
      <c r="O32" s="78"/>
      <c r="P32" s="78"/>
      <c r="Q32" s="78"/>
      <c r="R32" s="78"/>
      <c r="S32" s="78"/>
      <c r="T32" s="78"/>
      <c r="U32" s="78"/>
      <c r="V32" s="107"/>
      <c r="W32" s="430"/>
      <c r="X32" s="87"/>
      <c r="Y32" s="78"/>
      <c r="Z32" s="78"/>
      <c r="AA32" s="78" t="s">
        <v>990</v>
      </c>
      <c r="AB32" s="78"/>
      <c r="AC32" s="78"/>
      <c r="AD32" s="78"/>
      <c r="AE32" s="78"/>
      <c r="AF32" s="78"/>
      <c r="AG32" s="78"/>
      <c r="AH32" s="78"/>
      <c r="AI32" s="78"/>
      <c r="AJ32" s="78"/>
      <c r="AK32" s="87"/>
      <c r="AL32" s="88" t="s">
        <v>7</v>
      </c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88" t="s">
        <v>177</v>
      </c>
      <c r="AY32" s="78"/>
      <c r="AZ32" s="78" t="s">
        <v>998</v>
      </c>
      <c r="BA32" s="87" t="s">
        <v>799</v>
      </c>
      <c r="BB32" s="88" t="s">
        <v>839</v>
      </c>
      <c r="BC32" s="90" t="s">
        <v>799</v>
      </c>
      <c r="BD32" s="90" t="s">
        <v>799</v>
      </c>
      <c r="BE32" s="78"/>
      <c r="BF32" s="88"/>
      <c r="BG32" s="89"/>
      <c r="BH32" s="198"/>
    </row>
    <row r="33" spans="1:60" ht="15" customHeight="1">
      <c r="A33" s="137" t="str">
        <f>_xlfn.XLOOKUP(WholeMarineTrainingTable[[#This Row],[Name]], RecallTable[NAME], RecallTable[SECTION])</f>
        <v>3PLT</v>
      </c>
      <c r="B33" s="268">
        <f>_xlfn.XLOOKUP(WholeMarineTrainingTable[[#This Row],[Name]],RecallTable[NAME],RecallTable[MOS])</f>
        <v>1702</v>
      </c>
      <c r="C33" s="42" t="str">
        <f>_xlfn.XLOOKUP(WholeMarineTrainingTable[[#This Row],[Name]],RecallTable[NAME],RecallTable[GRADE])</f>
        <v>O2</v>
      </c>
      <c r="D33" s="116" t="s">
        <v>1124</v>
      </c>
      <c r="E33" s="555" t="str" cm="1">
        <f t="array" ref="E33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33" s="469" t="str" cm="1">
        <f t="array" aca="1" ref="F33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33" s="555" t="str" cm="1">
        <f t="array" ref="G33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33" s="469" t="str" cm="1">
        <f t="array" aca="1" ref="H33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33" s="469"/>
      <c r="J33" s="429"/>
      <c r="K33" s="429"/>
      <c r="L33" s="429"/>
      <c r="M33" s="429"/>
      <c r="N33" s="429"/>
      <c r="O33" s="429"/>
      <c r="P33" s="429"/>
      <c r="Q33" s="429"/>
      <c r="R33" s="429"/>
      <c r="S33" s="429"/>
      <c r="T33" s="429"/>
      <c r="U33" s="429"/>
      <c r="V33" s="429"/>
      <c r="W33" s="429"/>
      <c r="X33" s="87"/>
      <c r="Y33" s="88"/>
      <c r="Z33" s="88"/>
      <c r="AA33" s="88" t="s">
        <v>991</v>
      </c>
      <c r="AB33" s="88"/>
      <c r="AC33" s="88"/>
      <c r="AD33" s="88"/>
      <c r="AE33" s="88"/>
      <c r="AF33" s="88"/>
      <c r="AG33" s="88"/>
      <c r="AH33" s="88" t="s">
        <v>7</v>
      </c>
      <c r="AI33" s="88"/>
      <c r="AJ33" s="88" t="s">
        <v>996</v>
      </c>
      <c r="AK33" s="87" t="s">
        <v>7</v>
      </c>
      <c r="AL33" s="88"/>
      <c r="AM33" s="88"/>
      <c r="AN33" s="88"/>
      <c r="AO33" s="88"/>
      <c r="AP33" s="88"/>
      <c r="AQ33" s="88"/>
      <c r="AR33" s="88" t="s">
        <v>7</v>
      </c>
      <c r="AS33" s="88"/>
      <c r="AT33" s="88"/>
      <c r="AU33" s="88"/>
      <c r="AV33" s="88"/>
      <c r="AW33" s="88"/>
      <c r="AX33" s="88"/>
      <c r="AY33" s="88"/>
      <c r="AZ33" s="88"/>
      <c r="BA33" s="87" t="s">
        <v>839</v>
      </c>
      <c r="BB33" s="88" t="s">
        <v>839</v>
      </c>
      <c r="BC33" s="88" t="s">
        <v>177</v>
      </c>
      <c r="BD33" s="88" t="s">
        <v>839</v>
      </c>
      <c r="BE33" s="88"/>
      <c r="BF33" s="88"/>
      <c r="BG33" s="89"/>
      <c r="BH33" s="198"/>
    </row>
    <row r="34" spans="1:60">
      <c r="A34" s="137" t="str">
        <f>_xlfn.XLOOKUP(WholeMarineTrainingTable[[#This Row],[Name]], RecallTable[NAME], RecallTable[SECTION])</f>
        <v>3PLT</v>
      </c>
      <c r="B34" s="268">
        <f>_xlfn.XLOOKUP(WholeMarineTrainingTable[[#This Row],[Name]],RecallTable[NAME],RecallTable[MOS])</f>
        <v>1721</v>
      </c>
      <c r="C34" s="42" t="str">
        <f>_xlfn.XLOOKUP(WholeMarineTrainingTable[[#This Row],[Name]],RecallTable[NAME],RecallTable[GRADE])</f>
        <v>E7</v>
      </c>
      <c r="D34" s="117" t="s">
        <v>1125</v>
      </c>
      <c r="E34" s="241" cm="1">
        <f t="array" ref="E34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45097</v>
      </c>
      <c r="F34" s="42" cm="1">
        <f t="array" aca="1" ref="F34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-301</v>
      </c>
      <c r="G34" s="241" cm="1">
        <f t="array" ref="G34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45371</v>
      </c>
      <c r="H34" s="42" cm="1">
        <f t="array" aca="1" ref="H34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-27</v>
      </c>
      <c r="I34" s="42" t="s">
        <v>7</v>
      </c>
      <c r="J34" s="88" t="s">
        <v>7</v>
      </c>
      <c r="K34" s="88" t="s">
        <v>7</v>
      </c>
      <c r="L34" s="88" t="s">
        <v>7</v>
      </c>
      <c r="M34" s="88" t="s">
        <v>7</v>
      </c>
      <c r="N34" s="88" t="s">
        <v>7</v>
      </c>
      <c r="O34" s="88" t="s">
        <v>7</v>
      </c>
      <c r="P34" s="88" t="s">
        <v>175</v>
      </c>
      <c r="Q34" s="88"/>
      <c r="R34" s="88"/>
      <c r="S34" s="88"/>
      <c r="T34" s="88"/>
      <c r="U34" s="88"/>
      <c r="V34" s="91"/>
      <c r="W34" s="429"/>
      <c r="X34" s="87" t="s">
        <v>7</v>
      </c>
      <c r="Y34" s="88"/>
      <c r="Z34" s="88"/>
      <c r="AA34" s="88" t="s">
        <v>991</v>
      </c>
      <c r="AB34" s="88"/>
      <c r="AC34" s="88"/>
      <c r="AD34" s="88"/>
      <c r="AE34" s="88"/>
      <c r="AF34" s="88" t="s">
        <v>175</v>
      </c>
      <c r="AG34" s="88"/>
      <c r="AH34" s="88"/>
      <c r="AI34" s="88"/>
      <c r="AJ34" s="88"/>
      <c r="AK34" s="87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7" t="s">
        <v>799</v>
      </c>
      <c r="BB34" s="88" t="s">
        <v>177</v>
      </c>
      <c r="BC34" s="88" t="s">
        <v>799</v>
      </c>
      <c r="BD34" s="88" t="s">
        <v>177</v>
      </c>
      <c r="BE34" s="88"/>
      <c r="BF34" s="88"/>
      <c r="BG34" s="89" t="s">
        <v>799</v>
      </c>
      <c r="BH34" s="198"/>
    </row>
    <row r="35" spans="1:60" ht="15" customHeight="1">
      <c r="A35" s="88" t="s">
        <v>209</v>
      </c>
      <c r="B35" s="268">
        <f>_xlfn.XLOOKUP(WholeMarineTrainingTable[[#This Row],[Name]],RecallTable[NAME],RecallTable[MOS])</f>
        <v>1721</v>
      </c>
      <c r="C35" s="42" t="str">
        <f>_xlfn.XLOOKUP(WholeMarineTrainingTable[[#This Row],[Name]],RecallTable[NAME],RecallTable[GRADE])</f>
        <v>E6</v>
      </c>
      <c r="D35" s="116" t="s">
        <v>1126</v>
      </c>
      <c r="E35" s="543" cm="1">
        <f t="array" ref="E35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45097</v>
      </c>
      <c r="F35" s="544" cm="1">
        <f t="array" aca="1" ref="F35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-301</v>
      </c>
      <c r="G35" s="545" cm="1">
        <f t="array" ref="G35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45371</v>
      </c>
      <c r="H35" s="546" cm="1">
        <f t="array" aca="1" ref="H35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-27</v>
      </c>
      <c r="I35" s="42" t="s">
        <v>7</v>
      </c>
      <c r="J35" s="78" t="s">
        <v>7</v>
      </c>
      <c r="K35" s="8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107"/>
      <c r="W35" s="78" t="s">
        <v>175</v>
      </c>
      <c r="X35" s="87"/>
      <c r="Y35" s="78"/>
      <c r="Z35" s="78"/>
      <c r="AA35" s="78" t="s">
        <v>988</v>
      </c>
      <c r="AB35" s="78"/>
      <c r="AC35" s="78"/>
      <c r="AD35" s="78"/>
      <c r="AE35" s="78"/>
      <c r="AF35" s="78" t="s">
        <v>7</v>
      </c>
      <c r="AG35" s="78"/>
      <c r="AH35" s="78"/>
      <c r="AI35" s="78"/>
      <c r="AJ35" s="78"/>
      <c r="AK35" s="87"/>
      <c r="AL35" s="88" t="s">
        <v>7</v>
      </c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 t="s">
        <v>177</v>
      </c>
      <c r="AY35" s="78"/>
      <c r="AZ35" s="78"/>
      <c r="BA35" s="87" t="s">
        <v>839</v>
      </c>
      <c r="BB35" s="137" t="s">
        <v>839</v>
      </c>
      <c r="BC35" s="137" t="s">
        <v>799</v>
      </c>
      <c r="BD35" s="137" t="s">
        <v>839</v>
      </c>
      <c r="BE35" s="78"/>
      <c r="BF35" s="88"/>
      <c r="BG35" s="89" t="s">
        <v>799</v>
      </c>
      <c r="BH35" s="198"/>
    </row>
    <row r="36" spans="1:60" ht="15" customHeight="1">
      <c r="A36" s="137" t="str">
        <f>_xlfn.XLOOKUP(WholeMarineTrainingTable[[#This Row],[Name]], RecallTable[NAME], RecallTable[SECTION])</f>
        <v>3PLT</v>
      </c>
      <c r="B36" s="268">
        <f>_xlfn.XLOOKUP(WholeMarineTrainingTable[[#This Row],[Name]],RecallTable[NAME],RecallTable[MOS])</f>
        <v>1721</v>
      </c>
      <c r="C36" s="42" t="str">
        <f>_xlfn.XLOOKUP(WholeMarineTrainingTable[[#This Row],[Name]],RecallTable[NAME],RecallTable[GRADE])</f>
        <v>E6</v>
      </c>
      <c r="D36" s="246" t="s">
        <v>1127</v>
      </c>
      <c r="E36" s="241" cm="1">
        <f t="array" ref="E36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45165</v>
      </c>
      <c r="F36" s="42" cm="1">
        <f t="array" aca="1" ref="F36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-233</v>
      </c>
      <c r="G36" s="241" cm="1">
        <f t="array" ref="G36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45439</v>
      </c>
      <c r="H36" s="42" cm="1">
        <f t="array" aca="1" ref="H36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41</v>
      </c>
      <c r="I36" s="88" t="s">
        <v>7</v>
      </c>
      <c r="J36" s="88" t="s">
        <v>7</v>
      </c>
      <c r="K36" s="88" t="s">
        <v>7</v>
      </c>
      <c r="L36" s="88" t="s">
        <v>7</v>
      </c>
      <c r="M36" s="88"/>
      <c r="N36" s="88"/>
      <c r="O36" s="88"/>
      <c r="P36" s="88"/>
      <c r="Q36" s="88"/>
      <c r="R36" s="88"/>
      <c r="S36" s="88"/>
      <c r="T36" s="88"/>
      <c r="U36" s="88"/>
      <c r="V36" s="91"/>
      <c r="W36" s="88" t="s">
        <v>7</v>
      </c>
      <c r="X36" s="94"/>
      <c r="Y36" s="92"/>
      <c r="Z36" s="92"/>
      <c r="AA36" s="92" t="s">
        <v>989</v>
      </c>
      <c r="AB36" s="92"/>
      <c r="AC36" s="92"/>
      <c r="AD36" s="92"/>
      <c r="AE36" s="92"/>
      <c r="AF36" s="92" t="s">
        <v>7</v>
      </c>
      <c r="AG36" s="92"/>
      <c r="AH36" s="92" t="s">
        <v>7</v>
      </c>
      <c r="AI36" s="92"/>
      <c r="AJ36" s="92" t="s">
        <v>996</v>
      </c>
      <c r="AK36" s="94" t="s">
        <v>7</v>
      </c>
      <c r="AL36" s="92" t="s">
        <v>7</v>
      </c>
      <c r="AM36" s="92" t="s">
        <v>7</v>
      </c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 t="s">
        <v>177</v>
      </c>
      <c r="AY36" s="92"/>
      <c r="AZ36" s="92" t="s">
        <v>999</v>
      </c>
      <c r="BA36" s="94" t="s">
        <v>799</v>
      </c>
      <c r="BB36" s="92" t="s">
        <v>839</v>
      </c>
      <c r="BC36" s="92" t="s">
        <v>799</v>
      </c>
      <c r="BD36" s="92" t="s">
        <v>177</v>
      </c>
      <c r="BE36" s="92"/>
      <c r="BF36" s="92"/>
      <c r="BG36" s="93" t="s">
        <v>799</v>
      </c>
      <c r="BH36" s="199" t="s">
        <v>1000</v>
      </c>
    </row>
    <row r="37" spans="1:60" ht="15" customHeight="1">
      <c r="A37" s="137" t="str">
        <f>_xlfn.XLOOKUP(WholeMarineTrainingTable[[#This Row],[Name]], RecallTable[NAME], RecallTable[SECTION])</f>
        <v>3PLT</v>
      </c>
      <c r="B37" s="268">
        <f>_xlfn.XLOOKUP(WholeMarineTrainingTable[[#This Row],[Name]],RecallTable[NAME],RecallTable[MOS])</f>
        <v>1721</v>
      </c>
      <c r="C37" s="42" t="str">
        <f>_xlfn.XLOOKUP(WholeMarineTrainingTable[[#This Row],[Name]],RecallTable[NAME],RecallTable[GRADE])</f>
        <v>E5</v>
      </c>
      <c r="D37" s="249" t="s">
        <v>1128</v>
      </c>
      <c r="E37" s="549" cm="1">
        <f t="array" ref="E37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45097</v>
      </c>
      <c r="F37" s="42" cm="1">
        <f t="array" aca="1" ref="F37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-301</v>
      </c>
      <c r="G37" s="241" cm="1">
        <f t="array" ref="G37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45371</v>
      </c>
      <c r="H37" s="42" cm="1">
        <f t="array" aca="1" ref="H37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-27</v>
      </c>
      <c r="I37" s="88" t="s">
        <v>7</v>
      </c>
      <c r="J37" s="88" t="s">
        <v>7</v>
      </c>
      <c r="K37" s="88" t="s">
        <v>7</v>
      </c>
      <c r="L37" s="88" t="s">
        <v>7</v>
      </c>
      <c r="M37" s="88"/>
      <c r="N37" s="88"/>
      <c r="O37" s="88"/>
      <c r="P37" s="88"/>
      <c r="Q37" s="88"/>
      <c r="R37" s="88"/>
      <c r="S37" s="88"/>
      <c r="T37" s="88"/>
      <c r="U37" s="88"/>
      <c r="V37" s="91"/>
      <c r="W37" s="88" t="s">
        <v>7</v>
      </c>
      <c r="X37" s="94"/>
      <c r="Y37" s="92"/>
      <c r="Z37" s="92"/>
      <c r="AA37" s="92" t="s">
        <v>990</v>
      </c>
      <c r="AB37" s="92"/>
      <c r="AC37" s="92"/>
      <c r="AD37" s="92"/>
      <c r="AE37" s="92"/>
      <c r="AF37" s="92" t="s">
        <v>175</v>
      </c>
      <c r="AG37" s="92"/>
      <c r="AH37" s="92" t="s">
        <v>7</v>
      </c>
      <c r="AI37" s="92"/>
      <c r="AJ37" s="92"/>
      <c r="AK37" s="94"/>
      <c r="AL37" s="92" t="s">
        <v>7</v>
      </c>
      <c r="AM37" s="92" t="s">
        <v>7</v>
      </c>
      <c r="AN37" s="92" t="s">
        <v>7</v>
      </c>
      <c r="AO37" s="92" t="s">
        <v>7</v>
      </c>
      <c r="AP37" s="92"/>
      <c r="AQ37" s="92"/>
      <c r="AR37" s="92" t="s">
        <v>7</v>
      </c>
      <c r="AS37" s="92" t="s">
        <v>7</v>
      </c>
      <c r="AT37" s="92"/>
      <c r="AU37" s="92"/>
      <c r="AV37" s="92"/>
      <c r="AW37" s="92"/>
      <c r="AX37" s="92" t="s">
        <v>7</v>
      </c>
      <c r="AY37" s="92" t="s">
        <v>177</v>
      </c>
      <c r="AZ37" s="92" t="s">
        <v>992</v>
      </c>
      <c r="BA37" s="94" t="s">
        <v>799</v>
      </c>
      <c r="BB37" s="92" t="s">
        <v>799</v>
      </c>
      <c r="BC37" s="92" t="s">
        <v>799</v>
      </c>
      <c r="BD37" s="92" t="s">
        <v>177</v>
      </c>
      <c r="BE37" s="92"/>
      <c r="BF37" s="92"/>
      <c r="BG37" s="93" t="s">
        <v>799</v>
      </c>
      <c r="BH37" s="199"/>
    </row>
    <row r="38" spans="1:60" ht="15" customHeight="1">
      <c r="A38" s="137" t="str">
        <f>_xlfn.XLOOKUP(WholeMarineTrainingTable[[#This Row],[Name]], RecallTable[NAME], RecallTable[SECTION])</f>
        <v>3PLT</v>
      </c>
      <c r="B38" s="268">
        <f>_xlfn.XLOOKUP(WholeMarineTrainingTable[[#This Row],[Name]],RecallTable[NAME],RecallTable[MOS])</f>
        <v>1721</v>
      </c>
      <c r="C38" s="42" t="str">
        <f>_xlfn.XLOOKUP(WholeMarineTrainingTable[[#This Row],[Name]],RecallTable[NAME],RecallTable[GRADE])</f>
        <v>E5</v>
      </c>
      <c r="D38" s="247" t="s">
        <v>1129</v>
      </c>
      <c r="E38" s="241" cm="1">
        <f t="array" ref="E38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45097</v>
      </c>
      <c r="F38" s="42" cm="1">
        <f t="array" aca="1" ref="F38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-301</v>
      </c>
      <c r="G38" s="241" cm="1">
        <f t="array" ref="G38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45371</v>
      </c>
      <c r="H38" s="42" cm="1">
        <f t="array" aca="1" ref="H38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-27</v>
      </c>
      <c r="I38" s="42" t="s">
        <v>7</v>
      </c>
      <c r="J38" s="78" t="s">
        <v>7</v>
      </c>
      <c r="K38" s="88" t="s">
        <v>177</v>
      </c>
      <c r="L38" s="78" t="s">
        <v>175</v>
      </c>
      <c r="M38" s="78"/>
      <c r="N38" s="78"/>
      <c r="O38" s="78"/>
      <c r="P38" s="78"/>
      <c r="Q38" s="78"/>
      <c r="R38" s="78"/>
      <c r="S38" s="78"/>
      <c r="T38" s="78"/>
      <c r="U38" s="78"/>
      <c r="V38" s="107"/>
      <c r="W38" s="100" t="s">
        <v>7</v>
      </c>
      <c r="X38" s="87"/>
      <c r="Y38" s="78"/>
      <c r="Z38" s="78"/>
      <c r="AA38" s="78" t="s">
        <v>991</v>
      </c>
      <c r="AB38" s="78"/>
      <c r="AC38" s="78"/>
      <c r="AD38" s="78"/>
      <c r="AE38" s="78"/>
      <c r="AF38" s="78" t="s">
        <v>175</v>
      </c>
      <c r="AG38" s="78"/>
      <c r="AH38" s="78"/>
      <c r="AI38" s="78"/>
      <c r="AJ38" s="78"/>
      <c r="AK38" s="87"/>
      <c r="AL38" s="88"/>
      <c r="AM38" s="88"/>
      <c r="AN38" s="88"/>
      <c r="AO38" s="88"/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  <c r="BA38" s="87" t="s">
        <v>177</v>
      </c>
      <c r="BB38" s="88" t="s">
        <v>799</v>
      </c>
      <c r="BC38" s="88" t="s">
        <v>177</v>
      </c>
      <c r="BD38" s="88" t="s">
        <v>839</v>
      </c>
      <c r="BE38" s="88"/>
      <c r="BF38" s="88"/>
      <c r="BG38" s="89" t="s">
        <v>799</v>
      </c>
      <c r="BH38" s="198"/>
    </row>
    <row r="39" spans="1:60" ht="15" customHeight="1">
      <c r="A39" s="137" t="str">
        <f>_xlfn.XLOOKUP(WholeMarineTrainingTable[[#This Row],[Name]], RecallTable[NAME], RecallTable[SECTION])</f>
        <v>3PLT</v>
      </c>
      <c r="B39" s="268">
        <f>_xlfn.XLOOKUP(WholeMarineTrainingTable[[#This Row],[Name]],RecallTable[NAME],RecallTable[MOS])</f>
        <v>1700</v>
      </c>
      <c r="C39" s="42" t="str">
        <f>_xlfn.XLOOKUP(WholeMarineTrainingTable[[#This Row],[Name]],RecallTable[NAME],RecallTable[GRADE])</f>
        <v>E5</v>
      </c>
      <c r="D39" s="246" t="s">
        <v>1130</v>
      </c>
      <c r="E39" s="241" cm="1">
        <f t="array" ref="E39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45097</v>
      </c>
      <c r="F39" s="42" cm="1">
        <f t="array" aca="1" ref="F39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-301</v>
      </c>
      <c r="G39" s="241" cm="1">
        <f t="array" ref="G39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45371</v>
      </c>
      <c r="H39" s="42" cm="1">
        <f t="array" aca="1" ref="H39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-27</v>
      </c>
      <c r="I39" s="88" t="s">
        <v>7</v>
      </c>
      <c r="J39" s="88" t="s">
        <v>7</v>
      </c>
      <c r="K39" s="88" t="s">
        <v>7</v>
      </c>
      <c r="L39" s="88" t="s">
        <v>7</v>
      </c>
      <c r="M39" s="88"/>
      <c r="N39" s="88"/>
      <c r="O39" s="88"/>
      <c r="P39" s="88"/>
      <c r="Q39" s="88"/>
      <c r="R39" s="88"/>
      <c r="S39" s="88"/>
      <c r="T39" s="88"/>
      <c r="U39" s="88"/>
      <c r="V39" s="91"/>
      <c r="W39" s="88" t="s">
        <v>7</v>
      </c>
      <c r="X39" s="94"/>
      <c r="Y39" s="92"/>
      <c r="Z39" s="92"/>
      <c r="AA39" s="92" t="s">
        <v>988</v>
      </c>
      <c r="AB39" s="92"/>
      <c r="AC39" s="92"/>
      <c r="AD39" s="92"/>
      <c r="AE39" s="92"/>
      <c r="AF39" s="92" t="s">
        <v>175</v>
      </c>
      <c r="AG39" s="92"/>
      <c r="AH39" s="92" t="s">
        <v>7</v>
      </c>
      <c r="AI39" s="92"/>
      <c r="AJ39" s="92"/>
      <c r="AK39" s="94"/>
      <c r="AL39" s="92"/>
      <c r="AM39" s="92" t="s">
        <v>7</v>
      </c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4"/>
      <c r="BB39" s="92" t="s">
        <v>177</v>
      </c>
      <c r="BC39" s="92" t="s">
        <v>799</v>
      </c>
      <c r="BD39" s="92" t="s">
        <v>177</v>
      </c>
      <c r="BE39" s="92"/>
      <c r="BF39" s="92"/>
      <c r="BG39" s="93" t="s">
        <v>799</v>
      </c>
      <c r="BH39" s="199" t="s">
        <v>1000</v>
      </c>
    </row>
    <row r="40" spans="1:60" ht="15" customHeight="1">
      <c r="A40" s="137" t="str">
        <f>_xlfn.XLOOKUP(WholeMarineTrainingTable[[#This Row],[Name]], RecallTable[NAME], RecallTable[SECTION])</f>
        <v>3PLT</v>
      </c>
      <c r="B40" s="268">
        <f>_xlfn.XLOOKUP(WholeMarineTrainingTable[[#This Row],[Name]],RecallTable[NAME],RecallTable[MOS])</f>
        <v>1721</v>
      </c>
      <c r="C40" s="42" t="str">
        <f>_xlfn.XLOOKUP(WholeMarineTrainingTable[[#This Row],[Name]],RecallTable[NAME],RecallTable[GRADE])</f>
        <v>E4</v>
      </c>
      <c r="D40" s="117" t="s">
        <v>1131</v>
      </c>
      <c r="E40" s="241" cm="1">
        <f t="array" ref="E40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45248</v>
      </c>
      <c r="F40" s="41" cm="1">
        <f t="array" aca="1" ref="F40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-150</v>
      </c>
      <c r="G40" s="241" cm="1">
        <f t="array" ref="G40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45522</v>
      </c>
      <c r="H40" s="41" cm="1">
        <f t="array" aca="1" ref="H40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124</v>
      </c>
      <c r="I40" s="42" t="s">
        <v>7</v>
      </c>
      <c r="J40" s="88" t="s">
        <v>7</v>
      </c>
      <c r="K40" s="88" t="s">
        <v>177</v>
      </c>
      <c r="L40" s="88" t="s">
        <v>175</v>
      </c>
      <c r="M40" s="88"/>
      <c r="N40" s="88"/>
      <c r="O40" s="88"/>
      <c r="P40" s="88"/>
      <c r="Q40" s="88"/>
      <c r="R40" s="88"/>
      <c r="S40" s="88"/>
      <c r="T40" s="88"/>
      <c r="U40" s="88"/>
      <c r="V40" s="91"/>
      <c r="W40" s="88" t="s">
        <v>7</v>
      </c>
      <c r="X40" s="87" t="s">
        <v>7</v>
      </c>
      <c r="Y40" s="88"/>
      <c r="Z40" s="88"/>
      <c r="AA40" s="88" t="s">
        <v>991</v>
      </c>
      <c r="AB40" s="88"/>
      <c r="AC40" s="88"/>
      <c r="AD40" s="88"/>
      <c r="AE40" s="88"/>
      <c r="AF40" s="88" t="s">
        <v>7</v>
      </c>
      <c r="AG40" s="88"/>
      <c r="AH40" s="88"/>
      <c r="AI40" s="88"/>
      <c r="AJ40" s="88"/>
      <c r="AK40" s="87" t="s">
        <v>7</v>
      </c>
      <c r="AL40" s="88" t="s">
        <v>7</v>
      </c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87" t="s">
        <v>799</v>
      </c>
      <c r="BB40" s="88" t="s">
        <v>799</v>
      </c>
      <c r="BC40" s="88" t="s">
        <v>799</v>
      </c>
      <c r="BD40" s="88" t="s">
        <v>839</v>
      </c>
      <c r="BE40" s="88"/>
      <c r="BF40" s="88"/>
      <c r="BG40" s="89"/>
      <c r="BH40" s="198"/>
    </row>
    <row r="41" spans="1:60">
      <c r="A41" s="102" t="str">
        <f>_xlfn.XLOOKUP(WholeMarineTrainingTable[[#This Row],[Name]], RecallTable[NAME], RecallTable[SECTION])</f>
        <v>3PLT</v>
      </c>
      <c r="B41" s="268">
        <f>_xlfn.XLOOKUP(WholeMarineTrainingTable[[#This Row],[Name]],RecallTable[NAME],RecallTable[MOS])</f>
        <v>1721</v>
      </c>
      <c r="C41" s="42" t="str">
        <f>_xlfn.XLOOKUP(WholeMarineTrainingTable[[#This Row],[Name]],RecallTable[NAME],RecallTable[GRADE])</f>
        <v>E4</v>
      </c>
      <c r="D41" s="246" t="s">
        <v>1132</v>
      </c>
      <c r="E41" s="241" t="str" cm="1">
        <f t="array" ref="E4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41" s="42" t="str" cm="1">
        <f t="array" aca="1" ref="F41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41" s="241" t="str" cm="1">
        <f t="array" ref="G41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41" s="42" t="str" cm="1">
        <f t="array" aca="1" ref="H41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41" s="88" t="s">
        <v>7</v>
      </c>
      <c r="J41" s="88" t="s">
        <v>7</v>
      </c>
      <c r="K41" s="88" t="s">
        <v>7</v>
      </c>
      <c r="L41" s="88" t="s">
        <v>7</v>
      </c>
      <c r="M41" s="88"/>
      <c r="N41" s="88"/>
      <c r="O41" s="88"/>
      <c r="P41" s="88"/>
      <c r="Q41" s="88"/>
      <c r="R41" s="88"/>
      <c r="S41" s="88"/>
      <c r="T41" s="88"/>
      <c r="U41" s="88"/>
      <c r="V41" s="91"/>
      <c r="W41" s="88" t="s">
        <v>7</v>
      </c>
      <c r="X41" s="94"/>
      <c r="Y41" s="92"/>
      <c r="Z41" s="92"/>
      <c r="AA41" s="92" t="s">
        <v>991</v>
      </c>
      <c r="AB41" s="92"/>
      <c r="AC41" s="92"/>
      <c r="AD41" s="92"/>
      <c r="AE41" s="92"/>
      <c r="AF41" s="92" t="s">
        <v>175</v>
      </c>
      <c r="AG41" s="92"/>
      <c r="AH41" s="92" t="s">
        <v>7</v>
      </c>
      <c r="AI41" s="92" t="s">
        <v>7</v>
      </c>
      <c r="AJ41" s="92" t="s">
        <v>996</v>
      </c>
      <c r="AK41" s="94"/>
      <c r="AL41" s="92"/>
      <c r="AM41" s="92" t="s">
        <v>7</v>
      </c>
      <c r="AN41" s="92"/>
      <c r="AO41" s="92"/>
      <c r="AP41" s="92"/>
      <c r="AQ41" s="92"/>
      <c r="AR41" s="92" t="s">
        <v>7</v>
      </c>
      <c r="AS41" s="92"/>
      <c r="AT41" s="92"/>
      <c r="AU41" s="92"/>
      <c r="AV41" s="92"/>
      <c r="AW41" s="92"/>
      <c r="AX41" s="92" t="s">
        <v>177</v>
      </c>
      <c r="AY41" s="92"/>
      <c r="AZ41" s="92" t="s">
        <v>992</v>
      </c>
      <c r="BA41" s="94" t="s">
        <v>799</v>
      </c>
      <c r="BB41" s="92" t="s">
        <v>177</v>
      </c>
      <c r="BC41" s="92"/>
      <c r="BD41" s="92" t="s">
        <v>177</v>
      </c>
      <c r="BE41" s="92"/>
      <c r="BF41" s="92"/>
      <c r="BG41" s="93" t="s">
        <v>799</v>
      </c>
      <c r="BH41" s="199"/>
    </row>
    <row r="42" spans="1:60" ht="15" customHeight="1">
      <c r="A42" s="102" t="str">
        <f>_xlfn.XLOOKUP(WholeMarineTrainingTable[[#This Row],[Name]], RecallTable[NAME], RecallTable[SECTION])</f>
        <v>3PLT</v>
      </c>
      <c r="B42" s="268">
        <f>_xlfn.XLOOKUP(WholeMarineTrainingTable[[#This Row],[Name]],RecallTable[NAME],RecallTable[MOS])</f>
        <v>1721</v>
      </c>
      <c r="C42" s="42" t="str">
        <f>_xlfn.XLOOKUP(WholeMarineTrainingTable[[#This Row],[Name]],RecallTable[NAME],RecallTable[GRADE])</f>
        <v>E4</v>
      </c>
      <c r="D42" s="117" t="s">
        <v>1133</v>
      </c>
      <c r="E42" s="543" cm="1">
        <f t="array" ref="E42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45246</v>
      </c>
      <c r="F42" s="544" cm="1">
        <f t="array" aca="1" ref="F42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-152</v>
      </c>
      <c r="G42" s="545" cm="1">
        <f t="array" ref="G42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45520</v>
      </c>
      <c r="H42" s="546" cm="1">
        <f t="array" aca="1" ref="H42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122</v>
      </c>
      <c r="I42" s="42" t="s">
        <v>7</v>
      </c>
      <c r="J42" s="88" t="s">
        <v>7</v>
      </c>
      <c r="K42" s="8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107"/>
      <c r="W42" s="100" t="s">
        <v>7</v>
      </c>
      <c r="X42" s="87"/>
      <c r="Y42" s="78"/>
      <c r="Z42" s="78"/>
      <c r="AA42" s="78" t="s">
        <v>989</v>
      </c>
      <c r="AB42" s="78"/>
      <c r="AC42" s="78"/>
      <c r="AD42" s="78"/>
      <c r="AE42" s="78"/>
      <c r="AF42" s="78" t="s">
        <v>175</v>
      </c>
      <c r="AG42" s="78"/>
      <c r="AH42" s="78"/>
      <c r="AI42" s="78"/>
      <c r="AJ42" s="78"/>
      <c r="AK42" s="87" t="s">
        <v>7</v>
      </c>
      <c r="AL42" s="8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87" t="s">
        <v>839</v>
      </c>
      <c r="BB42" s="88" t="s">
        <v>839</v>
      </c>
      <c r="BC42" s="88" t="s">
        <v>177</v>
      </c>
      <c r="BD42" s="88" t="s">
        <v>839</v>
      </c>
      <c r="BE42" s="78"/>
      <c r="BF42" s="88"/>
      <c r="BG42" s="89" t="s">
        <v>799</v>
      </c>
      <c r="BH42" s="198"/>
    </row>
    <row r="43" spans="1:60" ht="15" customHeight="1">
      <c r="A43" s="102" t="str">
        <f>_xlfn.XLOOKUP(WholeMarineTrainingTable[[#This Row],[Name]], RecallTable[NAME], RecallTable[SECTION])</f>
        <v>3PLT</v>
      </c>
      <c r="B43" s="268">
        <f>_xlfn.XLOOKUP(WholeMarineTrainingTable[[#This Row],[Name]],RecallTable[NAME],RecallTable[MOS])</f>
        <v>1721</v>
      </c>
      <c r="C43" s="42" t="str">
        <f>_xlfn.XLOOKUP(WholeMarineTrainingTable[[#This Row],[Name]],RecallTable[NAME],RecallTable[GRADE])</f>
        <v>E4</v>
      </c>
      <c r="D43" s="117" t="s">
        <v>1134</v>
      </c>
      <c r="E43" s="241" t="str" cm="1">
        <f t="array" ref="E43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43" s="42" t="str" cm="1">
        <f t="array" aca="1" ref="F43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43" s="241" t="str" cm="1">
        <f t="array" ref="G43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43" s="42" t="str" cm="1">
        <f t="array" aca="1" ref="H43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43" s="42" t="s">
        <v>7</v>
      </c>
      <c r="J43" s="78" t="s">
        <v>7</v>
      </c>
      <c r="K43" s="88" t="s">
        <v>7</v>
      </c>
      <c r="L43" s="78" t="s">
        <v>7</v>
      </c>
      <c r="M43" s="78" t="s">
        <v>7</v>
      </c>
      <c r="N43" s="78" t="s">
        <v>176</v>
      </c>
      <c r="O43" s="78"/>
      <c r="P43" s="78"/>
      <c r="Q43" s="78"/>
      <c r="R43" s="78"/>
      <c r="S43" s="78"/>
      <c r="T43" s="78"/>
      <c r="U43" s="78"/>
      <c r="V43" s="91"/>
      <c r="W43" s="429"/>
      <c r="X43" s="87"/>
      <c r="Y43" s="88"/>
      <c r="Z43" s="88"/>
      <c r="AA43" s="88" t="s">
        <v>989</v>
      </c>
      <c r="AB43" s="88"/>
      <c r="AC43" s="88"/>
      <c r="AD43" s="88"/>
      <c r="AE43" s="88"/>
      <c r="AF43" s="88" t="s">
        <v>175</v>
      </c>
      <c r="AG43" s="88"/>
      <c r="AH43" s="88"/>
      <c r="AI43" s="88"/>
      <c r="AJ43" s="88"/>
      <c r="AK43" s="87"/>
      <c r="AL43" s="88" t="s">
        <v>7</v>
      </c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 t="s">
        <v>177</v>
      </c>
      <c r="AY43" s="88"/>
      <c r="AZ43" s="88" t="s">
        <v>1001</v>
      </c>
      <c r="BA43" s="87" t="s">
        <v>799</v>
      </c>
      <c r="BB43" s="88" t="s">
        <v>799</v>
      </c>
      <c r="BC43" s="88" t="s">
        <v>177</v>
      </c>
      <c r="BD43" s="88" t="s">
        <v>839</v>
      </c>
      <c r="BE43" s="88"/>
      <c r="BF43" s="88"/>
      <c r="BG43" s="89" t="s">
        <v>799</v>
      </c>
      <c r="BH43" s="198"/>
    </row>
    <row r="44" spans="1:60" ht="15" customHeight="1">
      <c r="A44" s="102" t="str">
        <f>_xlfn.XLOOKUP(WholeMarineTrainingTable[[#This Row],[Name]], RecallTable[NAME], RecallTable[SECTION])</f>
        <v>3PLT</v>
      </c>
      <c r="B44" s="268">
        <f>_xlfn.XLOOKUP(WholeMarineTrainingTable[[#This Row],[Name]],RecallTable[NAME],RecallTable[MOS])</f>
        <v>1721</v>
      </c>
      <c r="C44" s="42" t="str">
        <f>_xlfn.XLOOKUP(WholeMarineTrainingTable[[#This Row],[Name]],RecallTable[NAME],RecallTable[GRADE])</f>
        <v>E4</v>
      </c>
      <c r="D44" s="248" t="s">
        <v>1135</v>
      </c>
      <c r="E44" s="543" t="str" cm="1">
        <f t="array" ref="E44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44" s="544" t="str" cm="1">
        <f t="array" aca="1" ref="F44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44" s="545" t="str" cm="1">
        <f t="array" ref="G44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44" s="546" t="str" cm="1">
        <f t="array" aca="1" ref="H44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44" s="42" t="s">
        <v>7</v>
      </c>
      <c r="J44" s="88" t="s">
        <v>7</v>
      </c>
      <c r="K44" s="88" t="s">
        <v>7</v>
      </c>
      <c r="L44" s="78" t="s">
        <v>7</v>
      </c>
      <c r="M44" s="78" t="s">
        <v>7</v>
      </c>
      <c r="N44" s="78" t="s">
        <v>7</v>
      </c>
      <c r="O44" s="78" t="s">
        <v>7</v>
      </c>
      <c r="P44" s="78" t="s">
        <v>176</v>
      </c>
      <c r="Q44" s="78"/>
      <c r="R44" s="78"/>
      <c r="S44" s="78"/>
      <c r="T44" s="78"/>
      <c r="U44" s="78"/>
      <c r="V44" s="107"/>
      <c r="W44" s="430"/>
      <c r="X44" s="87"/>
      <c r="Y44" s="78"/>
      <c r="Z44" s="78"/>
      <c r="AA44" s="78" t="s">
        <v>1002</v>
      </c>
      <c r="AB44" s="78"/>
      <c r="AC44" s="78"/>
      <c r="AD44" s="78"/>
      <c r="AE44" s="78"/>
      <c r="AF44" s="78" t="s">
        <v>175</v>
      </c>
      <c r="AG44" s="78"/>
      <c r="AH44" s="78"/>
      <c r="AI44" s="78"/>
      <c r="AJ44" s="78"/>
      <c r="AK44" s="87"/>
      <c r="AL44" s="88"/>
      <c r="AM44" s="78" t="s">
        <v>7</v>
      </c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 t="s">
        <v>7</v>
      </c>
      <c r="AY44" s="78"/>
      <c r="AZ44" s="78" t="s">
        <v>1003</v>
      </c>
      <c r="BA44" s="87" t="s">
        <v>799</v>
      </c>
      <c r="BB44" s="78" t="s">
        <v>1004</v>
      </c>
      <c r="BC44" s="78" t="s">
        <v>839</v>
      </c>
      <c r="BD44" s="78" t="s">
        <v>839</v>
      </c>
      <c r="BE44" s="78"/>
      <c r="BF44" s="88"/>
      <c r="BG44" s="89" t="s">
        <v>799</v>
      </c>
      <c r="BH44" s="198"/>
    </row>
    <row r="45" spans="1:60" ht="15" customHeight="1">
      <c r="A45" s="102" t="str">
        <f>_xlfn.XLOOKUP(WholeMarineTrainingTable[[#This Row],[Name]], RecallTable[NAME], RecallTable[SECTION])</f>
        <v>3PLT</v>
      </c>
      <c r="B45" s="268">
        <f>_xlfn.XLOOKUP(WholeMarineTrainingTable[[#This Row],[Name]],RecallTable[NAME],RecallTable[MOS])</f>
        <v>1721</v>
      </c>
      <c r="C45" s="42" t="str">
        <f>_xlfn.XLOOKUP(WholeMarineTrainingTable[[#This Row],[Name]],RecallTable[NAME],RecallTable[GRADE])</f>
        <v>E4</v>
      </c>
      <c r="D45" s="247" t="s">
        <v>1136</v>
      </c>
      <c r="E45" s="241" t="str" cm="1">
        <f t="array" ref="E45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45" s="42" t="str" cm="1">
        <f t="array" aca="1" ref="F45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45" s="241" t="str" cm="1">
        <f t="array" ref="G45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45" s="42" t="str" cm="1">
        <f t="array" aca="1" ref="H45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45" s="42" t="s">
        <v>7</v>
      </c>
      <c r="J45" s="78" t="s">
        <v>7</v>
      </c>
      <c r="K45" s="88" t="s">
        <v>7</v>
      </c>
      <c r="L45" s="78" t="s">
        <v>7</v>
      </c>
      <c r="M45" s="78"/>
      <c r="N45" s="78"/>
      <c r="O45" s="78"/>
      <c r="P45" s="78"/>
      <c r="Q45" s="78"/>
      <c r="R45" s="78"/>
      <c r="S45" s="78"/>
      <c r="T45" s="78"/>
      <c r="U45" s="78"/>
      <c r="V45" s="107"/>
      <c r="W45" s="100" t="s">
        <v>7</v>
      </c>
      <c r="X45" s="87"/>
      <c r="Y45" s="78"/>
      <c r="Z45" s="78"/>
      <c r="AA45" s="78" t="s">
        <v>989</v>
      </c>
      <c r="AB45" s="78"/>
      <c r="AC45" s="78"/>
      <c r="AD45" s="78"/>
      <c r="AE45" s="78"/>
      <c r="AF45" s="78" t="s">
        <v>175</v>
      </c>
      <c r="AG45" s="78"/>
      <c r="AH45" s="78" t="s">
        <v>7</v>
      </c>
      <c r="AI45" s="78"/>
      <c r="AJ45" s="78"/>
      <c r="AK45" s="87"/>
      <c r="AL45" s="88"/>
      <c r="AM45" s="78" t="s">
        <v>7</v>
      </c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 t="s">
        <v>7</v>
      </c>
      <c r="AY45" s="78"/>
      <c r="AZ45" s="88" t="s">
        <v>1005</v>
      </c>
      <c r="BA45" s="87" t="s">
        <v>839</v>
      </c>
      <c r="BB45" s="88" t="s">
        <v>799</v>
      </c>
      <c r="BC45" s="87" t="s">
        <v>177</v>
      </c>
      <c r="BD45" s="88" t="s">
        <v>839</v>
      </c>
      <c r="BE45" s="88"/>
      <c r="BF45" s="88"/>
      <c r="BG45" s="89" t="s">
        <v>799</v>
      </c>
      <c r="BH45" s="198"/>
    </row>
    <row r="46" spans="1:60" ht="15" customHeight="1">
      <c r="A46" s="102" t="str">
        <f>_xlfn.XLOOKUP(WholeMarineTrainingTable[[#This Row],[Name]], RecallTable[NAME], RecallTable[SECTION])</f>
        <v>3PLT</v>
      </c>
      <c r="B46" s="268">
        <v>1721</v>
      </c>
      <c r="C46" s="42" t="str">
        <f>_xlfn.XLOOKUP(WholeMarineTrainingTable[[#This Row],[Name]],RecallTable[NAME],RecallTable[GRADE])</f>
        <v>E4</v>
      </c>
      <c r="D46" s="247" t="s">
        <v>1137</v>
      </c>
      <c r="E46" s="543" t="str" cm="1">
        <f t="array" ref="E46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46" s="544" t="str" cm="1">
        <f t="array" aca="1" ref="F46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46" s="545" t="str" cm="1">
        <f t="array" ref="G46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46" s="546" t="str" cm="1">
        <f t="array" aca="1" ref="H46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46" s="42" t="s">
        <v>7</v>
      </c>
      <c r="J46" s="88" t="s">
        <v>7</v>
      </c>
      <c r="K46" s="88" t="s">
        <v>7</v>
      </c>
      <c r="L46" s="78" t="s">
        <v>7</v>
      </c>
      <c r="M46" s="78" t="s">
        <v>7</v>
      </c>
      <c r="N46" s="78" t="s">
        <v>7</v>
      </c>
      <c r="O46" s="78"/>
      <c r="P46" s="78"/>
      <c r="Q46" s="78"/>
      <c r="R46" s="78"/>
      <c r="S46" s="78"/>
      <c r="T46" s="78"/>
      <c r="U46" s="78"/>
      <c r="V46" s="107"/>
      <c r="W46" s="430"/>
      <c r="X46" s="87"/>
      <c r="Y46" s="78"/>
      <c r="Z46" s="78"/>
      <c r="AA46" s="78" t="s">
        <v>990</v>
      </c>
      <c r="AB46" s="78"/>
      <c r="AC46" s="78"/>
      <c r="AD46" s="78"/>
      <c r="AE46" s="78"/>
      <c r="AF46" s="78"/>
      <c r="AG46" s="78"/>
      <c r="AH46" s="78"/>
      <c r="AI46" s="78"/>
      <c r="AJ46" s="78"/>
      <c r="AK46" s="87"/>
      <c r="AL46" s="88" t="s">
        <v>7</v>
      </c>
      <c r="AM46" s="78" t="s">
        <v>7</v>
      </c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87"/>
      <c r="BB46" s="78" t="s">
        <v>799</v>
      </c>
      <c r="BC46" s="78" t="s">
        <v>177</v>
      </c>
      <c r="BD46" s="78"/>
      <c r="BE46" s="78"/>
      <c r="BF46" s="88"/>
      <c r="BG46" s="89" t="s">
        <v>799</v>
      </c>
      <c r="BH46" s="198"/>
    </row>
    <row r="47" spans="1:60" ht="15" customHeight="1">
      <c r="A47" s="102" t="str">
        <f>_xlfn.XLOOKUP(WholeMarineTrainingTable[[#This Row],[Name]], RecallTable[NAME], RecallTable[SECTION])</f>
        <v>3PLT</v>
      </c>
      <c r="B47" s="268">
        <f>_xlfn.XLOOKUP(WholeMarineTrainingTable[[#This Row],[Name]],RecallTable[NAME],RecallTable[MOS])</f>
        <v>1721</v>
      </c>
      <c r="C47" s="42" t="str">
        <f>_xlfn.XLOOKUP(WholeMarineTrainingTable[[#This Row],[Name]],RecallTable[NAME],RecallTable[GRADE])</f>
        <v>E3</v>
      </c>
      <c r="D47" s="248" t="s">
        <v>1138</v>
      </c>
      <c r="E47" s="543" t="str" cm="1">
        <f t="array" ref="E47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47" s="544" t="str" cm="1">
        <f t="array" aca="1" ref="F47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47" s="545" t="str" cm="1">
        <f t="array" ref="G47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47" s="546" t="str" cm="1">
        <f t="array" aca="1" ref="H47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47" s="42" t="s">
        <v>7</v>
      </c>
      <c r="J47" s="78" t="s">
        <v>7</v>
      </c>
      <c r="K47" s="8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107"/>
      <c r="W47" s="100" t="s">
        <v>7</v>
      </c>
      <c r="X47" s="87"/>
      <c r="Y47" s="78"/>
      <c r="Z47" s="78"/>
      <c r="AA47" s="78" t="s">
        <v>989</v>
      </c>
      <c r="AB47" s="78"/>
      <c r="AC47" s="78"/>
      <c r="AD47" s="78"/>
      <c r="AE47" s="78"/>
      <c r="AF47" s="78" t="s">
        <v>175</v>
      </c>
      <c r="AG47" s="78"/>
      <c r="AH47" s="78"/>
      <c r="AI47" s="78"/>
      <c r="AJ47" s="78"/>
      <c r="AK47" s="87"/>
      <c r="AL47" s="8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87" t="s">
        <v>839</v>
      </c>
      <c r="BB47" s="78" t="s">
        <v>839</v>
      </c>
      <c r="BC47" s="88" t="s">
        <v>799</v>
      </c>
      <c r="BD47" s="78" t="s">
        <v>839</v>
      </c>
      <c r="BE47" s="78"/>
      <c r="BF47" s="88"/>
      <c r="BG47" s="89" t="s">
        <v>799</v>
      </c>
      <c r="BH47" s="198"/>
    </row>
    <row r="48" spans="1:60" ht="15" customHeight="1">
      <c r="A48" s="88" t="s">
        <v>209</v>
      </c>
      <c r="B48" s="268">
        <f>_xlfn.XLOOKUP(WholeMarineTrainingTable[[#This Row],[Name]],RecallTable[NAME],RecallTable[MOS])</f>
        <v>1721</v>
      </c>
      <c r="C48" s="42" t="str">
        <f>_xlfn.XLOOKUP(WholeMarineTrainingTable[[#This Row],[Name]],RecallTable[NAME],RecallTable[GRADE])</f>
        <v>E5</v>
      </c>
      <c r="D48" s="117" t="s">
        <v>1139</v>
      </c>
      <c r="E48" s="543" cm="1">
        <f t="array" ref="E48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45097</v>
      </c>
      <c r="F48" s="544" cm="1">
        <f t="array" aca="1" ref="F48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-301</v>
      </c>
      <c r="G48" s="545" cm="1">
        <f t="array" ref="G48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45371</v>
      </c>
      <c r="H48" s="546" cm="1">
        <f t="array" aca="1" ref="H48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-27</v>
      </c>
      <c r="I48" s="42" t="s">
        <v>7</v>
      </c>
      <c r="J48" s="78" t="s">
        <v>7</v>
      </c>
      <c r="K48" s="8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107"/>
      <c r="W48" s="100" t="s">
        <v>7</v>
      </c>
      <c r="X48" s="87"/>
      <c r="Y48" s="78"/>
      <c r="Z48" s="78"/>
      <c r="AA48" s="78" t="s">
        <v>989</v>
      </c>
      <c r="AB48" s="78"/>
      <c r="AC48" s="78"/>
      <c r="AD48" s="78"/>
      <c r="AE48" s="78"/>
      <c r="AF48" s="78" t="s">
        <v>7</v>
      </c>
      <c r="AG48" s="78"/>
      <c r="AH48" s="78"/>
      <c r="AI48" s="78"/>
      <c r="AJ48" s="78"/>
      <c r="AK48" s="87"/>
      <c r="AL48" s="8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314" t="s">
        <v>839</v>
      </c>
      <c r="BB48" s="100" t="s">
        <v>839</v>
      </c>
      <c r="BC48" s="137" t="s">
        <v>799</v>
      </c>
      <c r="BD48" s="100" t="s">
        <v>839</v>
      </c>
      <c r="BE48" s="78"/>
      <c r="BF48" s="88"/>
      <c r="BG48" s="89" t="s">
        <v>799</v>
      </c>
      <c r="BH48" s="198"/>
    </row>
    <row r="49" spans="1:60">
      <c r="A49" s="102" t="str">
        <f>_xlfn.XLOOKUP(WholeMarineTrainingTable[[#This Row],[Name]], RecallTable[NAME], RecallTable[SECTION])</f>
        <v>3PLT</v>
      </c>
      <c r="B49" s="268">
        <f>_xlfn.XLOOKUP(WholeMarineTrainingTable[[#This Row],[Name]],RecallTable[NAME],RecallTable[MOS])</f>
        <v>1721</v>
      </c>
      <c r="C49" s="42" t="str">
        <f>_xlfn.XLOOKUP(WholeMarineTrainingTable[[#This Row],[Name]],RecallTable[NAME],RecallTable[GRADE])</f>
        <v>E3</v>
      </c>
      <c r="D49" s="117" t="s">
        <v>1140</v>
      </c>
      <c r="E49" s="543" t="str" cm="1">
        <f t="array" ref="E49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49" s="544" t="str" cm="1">
        <f t="array" aca="1" ref="F49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49" s="545" t="str" cm="1">
        <f t="array" ref="G49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49" s="546" t="str" cm="1">
        <f t="array" aca="1" ref="H49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49" s="42" t="s">
        <v>7</v>
      </c>
      <c r="J49" s="88" t="s">
        <v>7</v>
      </c>
      <c r="K49" s="8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107"/>
      <c r="W49" s="100" t="s">
        <v>7</v>
      </c>
      <c r="X49" s="87"/>
      <c r="Y49" s="78"/>
      <c r="Z49" s="78"/>
      <c r="AA49" s="78" t="s">
        <v>989</v>
      </c>
      <c r="AB49" s="78"/>
      <c r="AC49" s="78"/>
      <c r="AD49" s="78"/>
      <c r="AE49" s="78"/>
      <c r="AF49" s="78" t="s">
        <v>7</v>
      </c>
      <c r="AG49" s="78"/>
      <c r="AH49" s="78"/>
      <c r="AI49" s="78"/>
      <c r="AJ49" s="78"/>
      <c r="AK49" s="87"/>
      <c r="AL49" s="8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87" t="s">
        <v>839</v>
      </c>
      <c r="BB49" s="88" t="s">
        <v>839</v>
      </c>
      <c r="BC49" s="88" t="s">
        <v>177</v>
      </c>
      <c r="BD49" s="88" t="s">
        <v>839</v>
      </c>
      <c r="BE49" s="78"/>
      <c r="BF49" s="88"/>
      <c r="BG49" s="89" t="s">
        <v>799</v>
      </c>
      <c r="BH49" s="198"/>
    </row>
    <row r="50" spans="1:60" ht="15" customHeight="1">
      <c r="A50" s="137" t="str">
        <f>_xlfn.XLOOKUP(WholeMarineTrainingTable[[#This Row],[Name]], RecallTable[NAME], RecallTable[SECTION])</f>
        <v>4PLT</v>
      </c>
      <c r="B50" s="268">
        <f>_xlfn.XLOOKUP(WholeMarineTrainingTable[[#This Row],[Name]],RecallTable[NAME],RecallTable[MOS])</f>
        <v>1702</v>
      </c>
      <c r="C50" s="42" t="str">
        <f>_xlfn.XLOOKUP(WholeMarineTrainingTable[[#This Row],[Name]],RecallTable[NAME],RecallTable[GRADE])</f>
        <v>O2</v>
      </c>
      <c r="D50" s="425" t="s">
        <v>1141</v>
      </c>
      <c r="E50" s="556" t="str" cm="1">
        <f t="array" ref="E50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50" s="469" t="str" cm="1">
        <f t="array" aca="1" ref="F50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50" s="555" t="str" cm="1">
        <f t="array" ref="G50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50" s="469" t="str" cm="1">
        <f t="array" aca="1" ref="H50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50" s="429"/>
      <c r="J50" s="429"/>
      <c r="K50" s="429"/>
      <c r="L50" s="429"/>
      <c r="M50" s="429"/>
      <c r="N50" s="429"/>
      <c r="O50" s="429"/>
      <c r="P50" s="429"/>
      <c r="Q50" s="429"/>
      <c r="R50" s="429"/>
      <c r="S50" s="429"/>
      <c r="T50" s="429"/>
      <c r="U50" s="429"/>
      <c r="V50" s="429"/>
      <c r="W50" s="429"/>
      <c r="X50" s="94"/>
      <c r="Y50" s="92"/>
      <c r="Z50" s="92"/>
      <c r="AA50" s="92" t="s">
        <v>988</v>
      </c>
      <c r="AB50" s="92"/>
      <c r="AC50" s="92"/>
      <c r="AD50" s="92"/>
      <c r="AE50" s="92"/>
      <c r="AF50" s="92"/>
      <c r="AG50" s="92" t="s">
        <v>7</v>
      </c>
      <c r="AH50" s="92"/>
      <c r="AI50" s="92"/>
      <c r="AJ50" s="92"/>
      <c r="AK50" s="94" t="s">
        <v>7</v>
      </c>
      <c r="AL50" s="92" t="s">
        <v>7</v>
      </c>
      <c r="AM50" s="92" t="s">
        <v>7</v>
      </c>
      <c r="AN50" s="92"/>
      <c r="AO50" s="92"/>
      <c r="AP50" s="92"/>
      <c r="AQ50" s="92"/>
      <c r="AR50" s="92"/>
      <c r="AS50" s="92" t="s">
        <v>177</v>
      </c>
      <c r="AT50" s="92"/>
      <c r="AU50" s="92"/>
      <c r="AV50" s="92"/>
      <c r="AW50" s="92"/>
      <c r="AX50" s="92"/>
      <c r="AY50" s="92"/>
      <c r="AZ50" s="92"/>
      <c r="BA50" s="94" t="s">
        <v>799</v>
      </c>
      <c r="BB50" s="92" t="s">
        <v>177</v>
      </c>
      <c r="BC50" s="92" t="s">
        <v>177</v>
      </c>
      <c r="BD50" s="92" t="s">
        <v>177</v>
      </c>
      <c r="BE50" s="92"/>
      <c r="BF50" s="92"/>
      <c r="BG50" s="93"/>
      <c r="BH50" s="199"/>
    </row>
    <row r="51" spans="1:60" ht="15" customHeight="1">
      <c r="A51" s="137" t="str">
        <f>_xlfn.XLOOKUP(WholeMarineTrainingTable[[#This Row],[Name]], RecallTable[NAME], RecallTable[SECTION])</f>
        <v>4PLT</v>
      </c>
      <c r="B51" s="269">
        <f>_xlfn.XLOOKUP(WholeMarineTrainingTable[[#This Row],[Name]],RecallTable[NAME],RecallTable[MOS])</f>
        <v>1721</v>
      </c>
      <c r="C51" s="42" t="str">
        <f>_xlfn.XLOOKUP(WholeMarineTrainingTable[[#This Row],[Name]],RecallTable[NAME],RecallTable[GRADE])</f>
        <v>E7</v>
      </c>
      <c r="D51" s="116" t="s">
        <v>1142</v>
      </c>
      <c r="E51" s="543" cm="1">
        <f t="array" ref="E5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45097</v>
      </c>
      <c r="F51" s="544" cm="1">
        <f t="array" aca="1" ref="F51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-301</v>
      </c>
      <c r="G51" s="545" cm="1">
        <f t="array" ref="G51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45371</v>
      </c>
      <c r="H51" s="546" cm="1">
        <f t="array" aca="1" ref="H51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-27</v>
      </c>
      <c r="I51" s="42" t="s">
        <v>7</v>
      </c>
      <c r="J51" s="88" t="s">
        <v>7</v>
      </c>
      <c r="K51" s="8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107"/>
      <c r="W51" s="78" t="s">
        <v>7</v>
      </c>
      <c r="X51" s="87"/>
      <c r="Y51" s="78"/>
      <c r="Z51" s="78"/>
      <c r="AA51" s="78" t="s">
        <v>991</v>
      </c>
      <c r="AB51" s="78"/>
      <c r="AC51" s="78"/>
      <c r="AD51" s="78"/>
      <c r="AE51" s="78"/>
      <c r="AF51" s="78" t="s">
        <v>175</v>
      </c>
      <c r="AG51" s="78"/>
      <c r="AH51" s="78"/>
      <c r="AI51" s="78"/>
      <c r="AJ51" s="78"/>
      <c r="AK51" s="87"/>
      <c r="AL51" s="88"/>
      <c r="AM51" s="78"/>
      <c r="AN51" s="78"/>
      <c r="AO51" s="78"/>
      <c r="AP51" s="78"/>
      <c r="AQ51" s="78"/>
      <c r="AR51" s="78" t="s">
        <v>177</v>
      </c>
      <c r="AS51" s="78"/>
      <c r="AT51" s="78"/>
      <c r="AU51" s="78"/>
      <c r="AV51" s="78"/>
      <c r="AW51" s="78"/>
      <c r="AX51" s="78" t="s">
        <v>177</v>
      </c>
      <c r="AY51" s="78"/>
      <c r="AZ51" s="78" t="s">
        <v>992</v>
      </c>
      <c r="BA51" s="87" t="s">
        <v>839</v>
      </c>
      <c r="BB51" s="78" t="s">
        <v>799</v>
      </c>
      <c r="BC51" s="88" t="s">
        <v>177</v>
      </c>
      <c r="BD51" s="88" t="s">
        <v>839</v>
      </c>
      <c r="BE51" s="78"/>
      <c r="BF51" s="88"/>
      <c r="BG51" s="89" t="s">
        <v>799</v>
      </c>
      <c r="BH51" s="198"/>
    </row>
    <row r="52" spans="1:60" ht="15" customHeight="1">
      <c r="A52" s="137" t="str">
        <f>_xlfn.XLOOKUP(WholeMarineTrainingTable[[#This Row],[Name]], RecallTable[NAME], RecallTable[SECTION])</f>
        <v>4PLT</v>
      </c>
      <c r="B52" s="268">
        <f>_xlfn.XLOOKUP(WholeMarineTrainingTable[[#This Row],[Name]],RecallTable[NAME],RecallTable[MOS])</f>
        <v>1721</v>
      </c>
      <c r="C52" s="42" t="str">
        <f>_xlfn.XLOOKUP(WholeMarineTrainingTable[[#This Row],[Name]],RecallTable[NAME],RecallTable[GRADE])</f>
        <v>E6</v>
      </c>
      <c r="D52" s="246" t="s">
        <v>1143</v>
      </c>
      <c r="E52" s="241" t="str" cm="1">
        <f t="array" ref="E52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52" s="42" t="str" cm="1">
        <f t="array" aca="1" ref="F52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52" s="241" t="str" cm="1">
        <f t="array" ref="G52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52" s="42" t="str" cm="1">
        <f t="array" aca="1" ref="H52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52" s="88" t="s">
        <v>7</v>
      </c>
      <c r="J52" s="88" t="s">
        <v>7</v>
      </c>
      <c r="K52" s="88" t="s">
        <v>7</v>
      </c>
      <c r="L52" s="88" t="s">
        <v>7</v>
      </c>
      <c r="M52" s="88" t="s">
        <v>7</v>
      </c>
      <c r="N52" s="88" t="s">
        <v>7</v>
      </c>
      <c r="O52" s="88" t="s">
        <v>7</v>
      </c>
      <c r="P52" s="88" t="s">
        <v>7</v>
      </c>
      <c r="Q52" s="88" t="s">
        <v>7</v>
      </c>
      <c r="R52" s="88" t="s">
        <v>7</v>
      </c>
      <c r="S52" s="88"/>
      <c r="T52" s="88"/>
      <c r="U52" s="88"/>
      <c r="V52" s="91"/>
      <c r="W52" s="429"/>
      <c r="X52" s="94"/>
      <c r="Y52" s="92"/>
      <c r="Z52" s="92"/>
      <c r="AA52" s="92" t="s">
        <v>991</v>
      </c>
      <c r="AB52" s="92"/>
      <c r="AC52" s="92"/>
      <c r="AD52" s="92"/>
      <c r="AE52" s="92"/>
      <c r="AF52" s="92"/>
      <c r="AG52" s="92"/>
      <c r="AH52" s="92"/>
      <c r="AI52" s="92"/>
      <c r="AJ52" s="92" t="s">
        <v>1006</v>
      </c>
      <c r="AK52" s="94"/>
      <c r="AL52" s="92" t="s">
        <v>7</v>
      </c>
      <c r="AM52" s="92" t="s">
        <v>7</v>
      </c>
      <c r="AN52" s="92"/>
      <c r="AO52" s="92"/>
      <c r="AP52" s="92"/>
      <c r="AQ52" s="92"/>
      <c r="AR52" s="92" t="s">
        <v>7</v>
      </c>
      <c r="AS52" s="92" t="s">
        <v>7</v>
      </c>
      <c r="AT52" s="92"/>
      <c r="AU52" s="92" t="s">
        <v>7</v>
      </c>
      <c r="AV52" s="92"/>
      <c r="AW52" s="92"/>
      <c r="AX52" s="92"/>
      <c r="AY52" s="92"/>
      <c r="AZ52" s="92"/>
      <c r="BA52" s="94" t="s">
        <v>799</v>
      </c>
      <c r="BB52" s="92" t="s">
        <v>799</v>
      </c>
      <c r="BC52" s="92" t="s">
        <v>799</v>
      </c>
      <c r="BD52" s="92" t="s">
        <v>799</v>
      </c>
      <c r="BE52" s="92"/>
      <c r="BF52" s="92"/>
      <c r="BG52" s="93" t="s">
        <v>799</v>
      </c>
      <c r="BH52" s="199"/>
    </row>
    <row r="53" spans="1:60" ht="15" customHeight="1">
      <c r="A53" s="137" t="str">
        <f>_xlfn.XLOOKUP(WholeMarineTrainingTable[[#This Row],[Name]], RecallTable[NAME], RecallTable[SECTION])</f>
        <v>4PLT</v>
      </c>
      <c r="B53" s="268">
        <f>_xlfn.XLOOKUP(WholeMarineTrainingTable[[#This Row],[Name]],RecallTable[NAME],RecallTable[MOS])</f>
        <v>1721</v>
      </c>
      <c r="C53" s="42" t="str">
        <f>_xlfn.XLOOKUP(WholeMarineTrainingTable[[#This Row],[Name]],RecallTable[NAME],RecallTable[GRADE])</f>
        <v>E6</v>
      </c>
      <c r="D53" s="117" t="s">
        <v>1144</v>
      </c>
      <c r="E53" s="241" cm="1">
        <f t="array" ref="E53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45097</v>
      </c>
      <c r="F53" s="42" cm="1">
        <f t="array" aca="1" ref="F53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-301</v>
      </c>
      <c r="G53" s="241" cm="1">
        <f t="array" ref="G53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45371</v>
      </c>
      <c r="H53" s="42" cm="1">
        <f t="array" aca="1" ref="H53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-27</v>
      </c>
      <c r="I53" s="42" t="s">
        <v>7</v>
      </c>
      <c r="J53" s="88" t="s">
        <v>7</v>
      </c>
      <c r="K53" s="88" t="s">
        <v>7</v>
      </c>
      <c r="L53" s="88" t="s">
        <v>7</v>
      </c>
      <c r="M53" s="88"/>
      <c r="N53" s="88"/>
      <c r="O53" s="88"/>
      <c r="P53" s="88"/>
      <c r="Q53" s="88"/>
      <c r="R53" s="88"/>
      <c r="S53" s="88"/>
      <c r="T53" s="88"/>
      <c r="U53" s="88"/>
      <c r="V53" s="91"/>
      <c r="W53" s="88"/>
      <c r="X53" s="87"/>
      <c r="Y53" s="88"/>
      <c r="Z53" s="88"/>
      <c r="AA53" s="88" t="s">
        <v>991</v>
      </c>
      <c r="AB53" s="88"/>
      <c r="AC53" s="88"/>
      <c r="AD53" s="88"/>
      <c r="AE53" s="88"/>
      <c r="AF53" s="88"/>
      <c r="AG53" s="88"/>
      <c r="AH53" s="88"/>
      <c r="AI53" s="88"/>
      <c r="AJ53" s="88"/>
      <c r="AK53" s="87"/>
      <c r="AL53" s="88"/>
      <c r="AM53" s="88" t="s">
        <v>7</v>
      </c>
      <c r="AN53" s="88"/>
      <c r="AO53" s="88"/>
      <c r="AP53" s="88"/>
      <c r="AQ53" s="88"/>
      <c r="AR53" s="88"/>
      <c r="AS53" s="88"/>
      <c r="AT53" s="88"/>
      <c r="AU53" s="88"/>
      <c r="AV53" s="88"/>
      <c r="AW53" s="88"/>
      <c r="AX53" s="88"/>
      <c r="AY53" s="90"/>
      <c r="AZ53" s="90"/>
      <c r="BA53" s="87" t="s">
        <v>839</v>
      </c>
      <c r="BB53" s="88" t="s">
        <v>839</v>
      </c>
      <c r="BC53" s="88" t="s">
        <v>177</v>
      </c>
      <c r="BD53" s="88" t="s">
        <v>839</v>
      </c>
      <c r="BE53" s="88"/>
      <c r="BF53" s="88"/>
      <c r="BG53" s="89" t="s">
        <v>799</v>
      </c>
      <c r="BH53" s="198"/>
    </row>
    <row r="54" spans="1:60" ht="15" customHeight="1">
      <c r="A54" s="137" t="str">
        <f>_xlfn.XLOOKUP(WholeMarineTrainingTable[[#This Row],[Name]], RecallTable[NAME], RecallTable[SECTION])</f>
        <v>4PLT</v>
      </c>
      <c r="B54" s="268">
        <f>_xlfn.XLOOKUP(WholeMarineTrainingTable[[#This Row],[Name]],RecallTable[NAME],RecallTable[MOS])</f>
        <v>1721</v>
      </c>
      <c r="C54" s="42" t="str">
        <f>_xlfn.XLOOKUP(WholeMarineTrainingTable[[#This Row],[Name]],RecallTable[NAME],RecallTable[GRADE])</f>
        <v>E5</v>
      </c>
      <c r="D54" s="116" t="s">
        <v>1145</v>
      </c>
      <c r="E54" s="241" cm="1">
        <f t="array" ref="E54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45274</v>
      </c>
      <c r="F54" s="42" cm="1">
        <f t="array" aca="1" ref="F54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-124</v>
      </c>
      <c r="G54" s="241" cm="1">
        <f t="array" ref="G54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45549</v>
      </c>
      <c r="H54" s="42" cm="1">
        <f t="array" aca="1" ref="H54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151</v>
      </c>
      <c r="I54" s="42" t="s">
        <v>7</v>
      </c>
      <c r="J54" s="78" t="s">
        <v>7</v>
      </c>
      <c r="K54" s="88" t="s">
        <v>7</v>
      </c>
      <c r="L54" s="78" t="s">
        <v>176</v>
      </c>
      <c r="M54" s="78"/>
      <c r="N54" s="78"/>
      <c r="O54" s="78"/>
      <c r="P54" s="78"/>
      <c r="Q54" s="78"/>
      <c r="R54" s="78"/>
      <c r="S54" s="78"/>
      <c r="T54" s="78"/>
      <c r="U54" s="78"/>
      <c r="V54" s="107"/>
      <c r="W54" s="78"/>
      <c r="X54" s="87" t="s">
        <v>175</v>
      </c>
      <c r="Y54" s="78"/>
      <c r="Z54" s="78"/>
      <c r="AA54" s="78" t="s">
        <v>989</v>
      </c>
      <c r="AB54" s="78"/>
      <c r="AC54" s="78"/>
      <c r="AD54" s="78"/>
      <c r="AE54" s="78"/>
      <c r="AF54" s="78"/>
      <c r="AG54" s="78"/>
      <c r="AH54" s="78"/>
      <c r="AI54" s="78"/>
      <c r="AJ54" s="78"/>
      <c r="AK54" s="87"/>
      <c r="AL54" s="88"/>
      <c r="AM54" s="78" t="s">
        <v>7</v>
      </c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88"/>
      <c r="BA54" s="87" t="s">
        <v>839</v>
      </c>
      <c r="BB54" s="88" t="s">
        <v>839</v>
      </c>
      <c r="BC54" s="88" t="s">
        <v>177</v>
      </c>
      <c r="BD54" s="88" t="s">
        <v>839</v>
      </c>
      <c r="BE54" s="88"/>
      <c r="BF54" s="88"/>
      <c r="BG54" s="89" t="s">
        <v>799</v>
      </c>
      <c r="BH54" s="198"/>
    </row>
    <row r="55" spans="1:60" ht="15" customHeight="1">
      <c r="A55" s="137" t="str">
        <f>_xlfn.XLOOKUP(WholeMarineTrainingTable[[#This Row],[Name]], RecallTable[NAME], RecallTable[SECTION])</f>
        <v>4PLT</v>
      </c>
      <c r="B55" s="268">
        <f>_xlfn.XLOOKUP(WholeMarineTrainingTable[[#This Row],[Name]],RecallTable[NAME],RecallTable[MOS])</f>
        <v>1721</v>
      </c>
      <c r="C55" s="42" t="str">
        <f>_xlfn.XLOOKUP(WholeMarineTrainingTable[[#This Row],[Name]],RecallTable[NAME],RecallTable[GRADE])</f>
        <v>E5</v>
      </c>
      <c r="D55" s="117" t="s">
        <v>1146</v>
      </c>
      <c r="E55" s="241" t="str" cm="1">
        <f t="array" ref="E55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55" s="42" t="str" cm="1">
        <f t="array" aca="1" ref="F55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55" s="241" t="str" cm="1">
        <f t="array" ref="G55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55" s="42" t="str" cm="1">
        <f t="array" aca="1" ref="H55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55" s="42" t="s">
        <v>7</v>
      </c>
      <c r="J55" s="88" t="s">
        <v>7</v>
      </c>
      <c r="K55" s="88" t="s">
        <v>7</v>
      </c>
      <c r="L55" s="88" t="s">
        <v>7</v>
      </c>
      <c r="M55" s="88" t="s">
        <v>7</v>
      </c>
      <c r="N55" s="88" t="s">
        <v>7</v>
      </c>
      <c r="O55" s="88" t="s">
        <v>7</v>
      </c>
      <c r="P55" s="88" t="s">
        <v>175</v>
      </c>
      <c r="Q55" s="88"/>
      <c r="R55" s="88"/>
      <c r="S55" s="88"/>
      <c r="T55" s="88"/>
      <c r="U55" s="88"/>
      <c r="V55" s="91"/>
      <c r="W55" s="429"/>
      <c r="X55" s="87"/>
      <c r="Y55" s="88"/>
      <c r="Z55" s="88" t="s">
        <v>175</v>
      </c>
      <c r="AA55" s="88" t="s">
        <v>1002</v>
      </c>
      <c r="AB55" s="88"/>
      <c r="AC55" s="88"/>
      <c r="AD55" s="88"/>
      <c r="AE55" s="88"/>
      <c r="AF55" s="88"/>
      <c r="AG55" s="88"/>
      <c r="AH55" s="88"/>
      <c r="AI55" s="88"/>
      <c r="AJ55" s="88"/>
      <c r="AK55" s="87"/>
      <c r="AL55" s="88" t="s">
        <v>7</v>
      </c>
      <c r="AM55" s="88" t="s">
        <v>7</v>
      </c>
      <c r="AN55" s="88"/>
      <c r="AO55" s="88"/>
      <c r="AP55" s="88"/>
      <c r="AQ55" s="88"/>
      <c r="AR55" s="88" t="s">
        <v>7</v>
      </c>
      <c r="AS55" s="88"/>
      <c r="AT55" s="88"/>
      <c r="AU55" s="88"/>
      <c r="AV55" s="88"/>
      <c r="AW55" s="88"/>
      <c r="AX55" s="88"/>
      <c r="AY55" s="90"/>
      <c r="AZ55" s="90"/>
      <c r="BA55" s="197" t="s">
        <v>799</v>
      </c>
      <c r="BB55" s="90"/>
      <c r="BC55" s="90" t="s">
        <v>799</v>
      </c>
      <c r="BD55" s="88" t="s">
        <v>799</v>
      </c>
      <c r="BE55" s="88"/>
      <c r="BF55" s="88"/>
      <c r="BG55" s="89" t="s">
        <v>799</v>
      </c>
      <c r="BH55" s="198"/>
    </row>
    <row r="56" spans="1:60" ht="15" customHeight="1">
      <c r="A56" s="137" t="str">
        <f>_xlfn.XLOOKUP(WholeMarineTrainingTable[[#This Row],[Name]], RecallTable[NAME], RecallTable[SECTION])</f>
        <v>4PLT</v>
      </c>
      <c r="B56" s="268">
        <f>_xlfn.XLOOKUP(WholeMarineTrainingTable[[#This Row],[Name]],RecallTable[NAME],RecallTable[MOS])</f>
        <v>1700</v>
      </c>
      <c r="C56" s="42" t="str">
        <f>_xlfn.XLOOKUP(WholeMarineTrainingTable[[#This Row],[Name]],RecallTable[NAME],RecallTable[GRADE])</f>
        <v>E5</v>
      </c>
      <c r="D56" s="116" t="s">
        <v>1147</v>
      </c>
      <c r="E56" s="543" t="str" cm="1">
        <f t="array" ref="E56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56" s="544" t="str" cm="1">
        <f t="array" aca="1" ref="F56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56" s="545" t="str" cm="1">
        <f t="array" ref="G56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56" s="546" t="str" cm="1">
        <f t="array" aca="1" ref="H56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56" s="42" t="s">
        <v>7</v>
      </c>
      <c r="J56" s="88" t="s">
        <v>7</v>
      </c>
      <c r="K56" s="88" t="s">
        <v>7</v>
      </c>
      <c r="L56" s="78" t="s">
        <v>7</v>
      </c>
      <c r="M56" s="78" t="s">
        <v>7</v>
      </c>
      <c r="N56" s="78" t="s">
        <v>7</v>
      </c>
      <c r="O56" s="78"/>
      <c r="P56" s="78"/>
      <c r="Q56" s="78"/>
      <c r="R56" s="78"/>
      <c r="S56" s="78"/>
      <c r="T56" s="78"/>
      <c r="U56" s="78"/>
      <c r="V56" s="107"/>
      <c r="W56" s="430"/>
      <c r="X56" s="87" t="s">
        <v>7</v>
      </c>
      <c r="Y56" s="78"/>
      <c r="Z56" s="78"/>
      <c r="AA56" s="78" t="s">
        <v>1002</v>
      </c>
      <c r="AB56" s="78"/>
      <c r="AC56" s="78"/>
      <c r="AD56" s="78"/>
      <c r="AE56" s="78"/>
      <c r="AF56" s="78"/>
      <c r="AG56" s="78"/>
      <c r="AH56" s="78"/>
      <c r="AI56" s="78"/>
      <c r="AJ56" s="78"/>
      <c r="AK56" s="87"/>
      <c r="AL56" s="88" t="s">
        <v>7</v>
      </c>
      <c r="AM56" s="78" t="s">
        <v>7</v>
      </c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87" t="s">
        <v>799</v>
      </c>
      <c r="BB56" s="78" t="s">
        <v>839</v>
      </c>
      <c r="BC56" s="78" t="s">
        <v>799</v>
      </c>
      <c r="BD56" s="78" t="s">
        <v>839</v>
      </c>
      <c r="BE56" s="78"/>
      <c r="BF56" s="88"/>
      <c r="BG56" s="89" t="s">
        <v>799</v>
      </c>
      <c r="BH56" s="198"/>
    </row>
    <row r="57" spans="1:60" ht="15" customHeight="1">
      <c r="A57" s="137" t="str">
        <f>_xlfn.XLOOKUP(WholeMarineTrainingTable[[#This Row],[Name]], RecallTable[NAME], RecallTable[SECTION])</f>
        <v>4PLT</v>
      </c>
      <c r="B57" s="268">
        <f>_xlfn.XLOOKUP(WholeMarineTrainingTable[[#This Row],[Name]],RecallTable[NAME],RecallTable[MOS])</f>
        <v>1721</v>
      </c>
      <c r="C57" s="42" t="str">
        <f>_xlfn.XLOOKUP(WholeMarineTrainingTable[[#This Row],[Name]],RecallTable[NAME],RecallTable[GRADE])</f>
        <v>E4</v>
      </c>
      <c r="D57" s="116" t="s">
        <v>1148</v>
      </c>
      <c r="E57" s="241" cm="1">
        <f t="array" ref="E57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45351</v>
      </c>
      <c r="F57" s="42" cm="1">
        <f t="array" aca="1" ref="F57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-47</v>
      </c>
      <c r="G57" s="241" cm="1">
        <f t="array" ref="G57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45625</v>
      </c>
      <c r="H57" s="42" cm="1">
        <f t="array" aca="1" ref="H57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227</v>
      </c>
      <c r="I57" s="42" t="s">
        <v>7</v>
      </c>
      <c r="J57" s="88" t="s">
        <v>7</v>
      </c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91"/>
      <c r="W57" s="88"/>
      <c r="X57" s="87"/>
      <c r="Y57" s="88"/>
      <c r="Z57" s="88"/>
      <c r="AA57" s="88" t="s">
        <v>989</v>
      </c>
      <c r="AB57" s="88"/>
      <c r="AC57" s="88"/>
      <c r="AD57" s="88"/>
      <c r="AE57" s="88"/>
      <c r="AF57" s="88"/>
      <c r="AG57" s="88"/>
      <c r="AH57" s="88"/>
      <c r="AI57" s="88"/>
      <c r="AJ57" s="88"/>
      <c r="AK57" s="87"/>
      <c r="AL57" s="88" t="s">
        <v>7</v>
      </c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90"/>
      <c r="AZ57" s="90"/>
      <c r="BA57" s="197"/>
      <c r="BB57" s="90"/>
      <c r="BC57" s="90" t="s">
        <v>799</v>
      </c>
      <c r="BD57" s="88" t="s">
        <v>799</v>
      </c>
      <c r="BE57" s="88"/>
      <c r="BF57" s="88"/>
      <c r="BG57" s="89"/>
      <c r="BH57" s="198"/>
    </row>
    <row r="58" spans="1:60" ht="15" customHeight="1">
      <c r="A58" s="100" t="str">
        <f>_xlfn.XLOOKUP(WholeMarineTrainingTable[[#This Row],[Name]], RecallTable[NAME], RecallTable[SECTION])</f>
        <v>4PLT</v>
      </c>
      <c r="B58" s="269">
        <f>_xlfn.XLOOKUP(WholeMarineTrainingTable[[#This Row],[Name]],RecallTable[NAME],RecallTable[MOS])</f>
        <v>1721</v>
      </c>
      <c r="C58" s="42" t="str">
        <f>_xlfn.XLOOKUP(WholeMarineTrainingTable[[#This Row],[Name]],RecallTable[NAME],RecallTable[GRADE])</f>
        <v>E4</v>
      </c>
      <c r="D58" s="116" t="s">
        <v>1149</v>
      </c>
      <c r="E58" s="543" t="str" cm="1">
        <f t="array" ref="E58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58" s="544" t="str" cm="1">
        <f t="array" aca="1" ref="F58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58" s="545" t="str" cm="1">
        <f t="array" ref="G58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58" s="546" t="str" cm="1">
        <f t="array" aca="1" ref="H58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58" s="42" t="s">
        <v>7</v>
      </c>
      <c r="J58" s="88" t="s">
        <v>7</v>
      </c>
      <c r="K58" s="88" t="s">
        <v>7</v>
      </c>
      <c r="L58" s="550" t="s">
        <v>7</v>
      </c>
      <c r="M58" s="78" t="s">
        <v>7</v>
      </c>
      <c r="N58" s="78" t="s">
        <v>177</v>
      </c>
      <c r="O58" s="78"/>
      <c r="P58" s="78"/>
      <c r="Q58" s="78"/>
      <c r="R58" s="78"/>
      <c r="S58" s="78"/>
      <c r="T58" s="78"/>
      <c r="U58" s="78"/>
      <c r="V58" s="107"/>
      <c r="W58" s="430"/>
      <c r="X58" s="87"/>
      <c r="Y58" s="78"/>
      <c r="Z58" s="78"/>
      <c r="AA58" s="78" t="s">
        <v>991</v>
      </c>
      <c r="AB58" s="78"/>
      <c r="AC58" s="78"/>
      <c r="AD58" s="78"/>
      <c r="AE58" s="78"/>
      <c r="AF58" s="78"/>
      <c r="AG58" s="78"/>
      <c r="AH58" s="78"/>
      <c r="AI58" s="78"/>
      <c r="AJ58" s="78"/>
      <c r="AK58" s="87"/>
      <c r="AL58" s="88" t="s">
        <v>7</v>
      </c>
      <c r="AM58" s="78" t="s">
        <v>7</v>
      </c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87" t="s">
        <v>799</v>
      </c>
      <c r="BB58" s="100" t="s">
        <v>839</v>
      </c>
      <c r="BC58" s="291" t="s">
        <v>177</v>
      </c>
      <c r="BD58" s="100" t="s">
        <v>839</v>
      </c>
      <c r="BE58" s="78"/>
      <c r="BF58" s="88"/>
      <c r="BG58" s="89" t="s">
        <v>839</v>
      </c>
      <c r="BH58" s="198" t="s">
        <v>1007</v>
      </c>
    </row>
    <row r="59" spans="1:60" ht="15" customHeight="1">
      <c r="A59" s="88" t="str">
        <f>_xlfn.XLOOKUP(WholeMarineTrainingTable[[#This Row],[Name]], RecallTable[NAME], RecallTable[SECTION])</f>
        <v>4PLT</v>
      </c>
      <c r="B59" s="269">
        <f>_xlfn.XLOOKUP(WholeMarineTrainingTable[[#This Row],[Name]],RecallTable[NAME],RecallTable[MOS])</f>
        <v>1721</v>
      </c>
      <c r="C59" s="42" t="str">
        <f>_xlfn.XLOOKUP(WholeMarineTrainingTable[[#This Row],[Name]],RecallTable[NAME],RecallTable[GRADE])</f>
        <v>E4</v>
      </c>
      <c r="D59" s="265" t="s">
        <v>1150</v>
      </c>
      <c r="E59" s="543" cm="1">
        <f t="array" ref="E59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>45324</v>
      </c>
      <c r="F59" s="544" cm="1">
        <f t="array" aca="1" ref="F59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>-74</v>
      </c>
      <c r="G59" s="545" t="str" cm="1">
        <f t="array" ref="G59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59" s="546" t="str" cm="1">
        <f t="array" aca="1" ref="H59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59" s="42"/>
      <c r="J59" s="88"/>
      <c r="K59" s="88"/>
      <c r="L59" s="78" t="s">
        <v>7</v>
      </c>
      <c r="M59" s="78" t="s">
        <v>7</v>
      </c>
      <c r="N59" s="78" t="s">
        <v>7</v>
      </c>
      <c r="O59" s="78" t="s">
        <v>7</v>
      </c>
      <c r="P59" s="78"/>
      <c r="Q59" s="78"/>
      <c r="R59" s="78"/>
      <c r="S59" s="78"/>
      <c r="T59" s="78" t="s">
        <v>7</v>
      </c>
      <c r="U59" s="78" t="s">
        <v>7</v>
      </c>
      <c r="V59" s="107"/>
      <c r="W59" s="430"/>
      <c r="X59" s="87"/>
      <c r="Y59" s="78"/>
      <c r="Z59" s="78"/>
      <c r="AA59" s="78" t="s">
        <v>1002</v>
      </c>
      <c r="AB59" s="78" t="s">
        <v>7</v>
      </c>
      <c r="AC59" s="78"/>
      <c r="AD59" s="78" t="s">
        <v>7</v>
      </c>
      <c r="AE59" s="78"/>
      <c r="AF59" s="78"/>
      <c r="AG59" s="78" t="s">
        <v>7</v>
      </c>
      <c r="AH59" s="78"/>
      <c r="AI59" s="78"/>
      <c r="AJ59" s="78"/>
      <c r="AK59" s="87"/>
      <c r="AL59" s="88" t="s">
        <v>7</v>
      </c>
      <c r="AM59" s="78" t="s">
        <v>177</v>
      </c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 t="s">
        <v>7</v>
      </c>
      <c r="AY59" s="78"/>
      <c r="AZ59" s="78" t="s">
        <v>998</v>
      </c>
      <c r="BA59" s="87" t="s">
        <v>799</v>
      </c>
      <c r="BB59" s="78" t="s">
        <v>799</v>
      </c>
      <c r="BC59" s="78" t="s">
        <v>799</v>
      </c>
      <c r="BD59" s="88" t="s">
        <v>177</v>
      </c>
      <c r="BE59" s="78"/>
      <c r="BF59" s="88"/>
      <c r="BG59" s="89" t="s">
        <v>799</v>
      </c>
      <c r="BH59" s="198"/>
    </row>
    <row r="60" spans="1:60" ht="15" customHeight="1">
      <c r="A60" s="88" t="s">
        <v>79</v>
      </c>
      <c r="B60" s="269">
        <f>_xlfn.XLOOKUP(WholeMarineTrainingTable[[#This Row],[Name]],RecallTable[NAME],RecallTable[MOS])</f>
        <v>1721</v>
      </c>
      <c r="C60" s="42" t="str">
        <f>_xlfn.XLOOKUP(WholeMarineTrainingTable[[#This Row],[Name]],RecallTable[NAME],RecallTable[GRADE])</f>
        <v>E4</v>
      </c>
      <c r="D60" s="116" t="s">
        <v>1151</v>
      </c>
      <c r="E60" s="543" t="str" cm="1">
        <f t="array" ref="E60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60" s="544" t="str" cm="1">
        <f t="array" aca="1" ref="F60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60" s="545" t="str" cm="1">
        <f t="array" ref="G60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60" s="546" t="str" cm="1">
        <f t="array" aca="1" ref="H60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60" s="42" t="s">
        <v>7</v>
      </c>
      <c r="J60" s="88" t="s">
        <v>7</v>
      </c>
      <c r="K60" s="42" t="s">
        <v>7</v>
      </c>
      <c r="L60" s="88" t="s">
        <v>7</v>
      </c>
      <c r="M60" s="78"/>
      <c r="N60" s="78"/>
      <c r="O60" s="78"/>
      <c r="P60" s="78"/>
      <c r="Q60" s="78"/>
      <c r="R60" s="78"/>
      <c r="S60" s="78"/>
      <c r="T60" s="78"/>
      <c r="U60" s="78"/>
      <c r="V60" s="107"/>
      <c r="W60" s="78"/>
      <c r="X60" s="87"/>
      <c r="Y60" s="78"/>
      <c r="Z60" s="78"/>
      <c r="AA60" s="78" t="s">
        <v>989</v>
      </c>
      <c r="AB60" s="78"/>
      <c r="AC60" s="78"/>
      <c r="AD60" s="78"/>
      <c r="AE60" s="78"/>
      <c r="AF60" s="78"/>
      <c r="AG60" s="78"/>
      <c r="AH60" s="78"/>
      <c r="AI60" s="78"/>
      <c r="AJ60" s="78"/>
      <c r="AK60" s="87"/>
      <c r="AL60" s="8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87" t="s">
        <v>839</v>
      </c>
      <c r="BB60" s="88" t="s">
        <v>839</v>
      </c>
      <c r="BC60" s="88" t="s">
        <v>177</v>
      </c>
      <c r="BD60" s="88" t="s">
        <v>839</v>
      </c>
      <c r="BE60" s="78"/>
      <c r="BF60" s="88"/>
      <c r="BG60" s="89" t="s">
        <v>799</v>
      </c>
      <c r="BH60" s="198"/>
    </row>
    <row r="61" spans="1:60" ht="15" customHeight="1">
      <c r="A61" s="137" t="str">
        <f>_xlfn.XLOOKUP(WholeMarineTrainingTable[[#This Row],[Name]], RecallTable[NAME], RecallTable[SECTION])</f>
        <v>4PLT</v>
      </c>
      <c r="B61" s="269">
        <f>_xlfn.XLOOKUP(WholeMarineTrainingTable[[#This Row],[Name]],RecallTable[NAME],RecallTable[MOS])</f>
        <v>1721</v>
      </c>
      <c r="C61" s="42" t="str">
        <f>_xlfn.XLOOKUP(WholeMarineTrainingTable[[#This Row],[Name]],RecallTable[NAME],RecallTable[GRADE])</f>
        <v>E4</v>
      </c>
      <c r="D61" s="116" t="s">
        <v>1152</v>
      </c>
      <c r="E61" s="543" t="str" cm="1">
        <f t="array" ref="E6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61" s="544" t="str" cm="1">
        <f t="array" aca="1" ref="F61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61" s="545" t="str" cm="1">
        <f t="array" ref="G61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61" s="546" t="str" cm="1">
        <f t="array" aca="1" ref="H61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61" s="42" t="s">
        <v>7</v>
      </c>
      <c r="J61" s="88" t="s">
        <v>7</v>
      </c>
      <c r="K61" s="42" t="s">
        <v>7</v>
      </c>
      <c r="L61" s="88" t="s">
        <v>7</v>
      </c>
      <c r="M61" s="78"/>
      <c r="N61" s="78"/>
      <c r="O61" s="78"/>
      <c r="P61" s="78"/>
      <c r="Q61" s="78"/>
      <c r="R61" s="78"/>
      <c r="S61" s="78"/>
      <c r="T61" s="78"/>
      <c r="U61" s="78"/>
      <c r="V61" s="107"/>
      <c r="W61" s="78"/>
      <c r="X61" s="87"/>
      <c r="Y61" s="78"/>
      <c r="Z61" s="78"/>
      <c r="AA61" s="78" t="s">
        <v>988</v>
      </c>
      <c r="AB61" s="78"/>
      <c r="AC61" s="78"/>
      <c r="AD61" s="78"/>
      <c r="AE61" s="78"/>
      <c r="AF61" s="78"/>
      <c r="AG61" s="78"/>
      <c r="AH61" s="78"/>
      <c r="AI61" s="78"/>
      <c r="AJ61" s="78"/>
      <c r="AK61" s="87"/>
      <c r="AL61" s="8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87" t="s">
        <v>839</v>
      </c>
      <c r="BB61" s="78" t="s">
        <v>799</v>
      </c>
      <c r="BC61" s="78" t="s">
        <v>799</v>
      </c>
      <c r="BD61" s="78" t="s">
        <v>839</v>
      </c>
      <c r="BE61" s="78"/>
      <c r="BF61" s="78"/>
      <c r="BG61" s="89" t="s">
        <v>839</v>
      </c>
      <c r="BH61" s="198"/>
    </row>
    <row r="62" spans="1:60" ht="15" customHeight="1">
      <c r="A62" s="137" t="str">
        <f>_xlfn.XLOOKUP(WholeMarineTrainingTable[[#This Row],[Name]], RecallTable[NAME], RecallTable[SECTION])</f>
        <v>4PLT</v>
      </c>
      <c r="B62" s="268">
        <f>_xlfn.XLOOKUP(WholeMarineTrainingTable[[#This Row],[Name]],RecallTable[NAME],RecallTable[MOS])</f>
        <v>1721</v>
      </c>
      <c r="C62" s="42" t="str">
        <f>_xlfn.XLOOKUP(WholeMarineTrainingTable[[#This Row],[Name]],RecallTable[NAME],RecallTable[GRADE])</f>
        <v>E4</v>
      </c>
      <c r="D62" s="116" t="s">
        <v>1153</v>
      </c>
      <c r="E62" s="543" t="str" cm="1">
        <f t="array" ref="E62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62" s="544" t="str" cm="1">
        <f t="array" aca="1" ref="F62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62" s="545" cm="1">
        <f t="array" ref="G62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45371</v>
      </c>
      <c r="H62" s="546" cm="1">
        <f t="array" aca="1" ref="H62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-27</v>
      </c>
      <c r="I62" s="42" t="s">
        <v>7</v>
      </c>
      <c r="J62" s="88" t="s">
        <v>7</v>
      </c>
      <c r="K62" s="88" t="s">
        <v>7</v>
      </c>
      <c r="L62" s="78" t="s">
        <v>176</v>
      </c>
      <c r="M62" s="78"/>
      <c r="N62" s="78"/>
      <c r="O62" s="78"/>
      <c r="P62" s="78"/>
      <c r="Q62" s="78"/>
      <c r="R62" s="78"/>
      <c r="S62" s="78"/>
      <c r="T62" s="78"/>
      <c r="U62" s="78"/>
      <c r="V62" s="107"/>
      <c r="W62" s="78"/>
      <c r="X62" s="87"/>
      <c r="Y62" s="78"/>
      <c r="Z62" s="78"/>
      <c r="AA62" s="78" t="s">
        <v>991</v>
      </c>
      <c r="AB62" s="78"/>
      <c r="AC62" s="78"/>
      <c r="AD62" s="78"/>
      <c r="AE62" s="78"/>
      <c r="AF62" s="78" t="s">
        <v>7</v>
      </c>
      <c r="AG62" s="78"/>
      <c r="AH62" s="78" t="s">
        <v>177</v>
      </c>
      <c r="AI62" s="78"/>
      <c r="AJ62" s="78"/>
      <c r="AK62" s="87"/>
      <c r="AL62" s="8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94" t="s">
        <v>799</v>
      </c>
      <c r="BB62" s="92" t="s">
        <v>1004</v>
      </c>
      <c r="BC62" s="88" t="s">
        <v>799</v>
      </c>
      <c r="BD62" s="88" t="s">
        <v>839</v>
      </c>
      <c r="BE62" s="78"/>
      <c r="BF62" s="88"/>
      <c r="BG62" s="89" t="s">
        <v>799</v>
      </c>
      <c r="BH62" s="198"/>
    </row>
    <row r="63" spans="1:60" ht="15" customHeight="1">
      <c r="A63" s="88" t="s">
        <v>79</v>
      </c>
      <c r="B63" s="268">
        <v>1721</v>
      </c>
      <c r="C63" s="42" t="str">
        <f>_xlfn.XLOOKUP(WholeMarineTrainingTable[[#This Row],[Name]],RecallTable[NAME],RecallTable[GRADE])</f>
        <v>O3</v>
      </c>
      <c r="D63" s="116" t="s">
        <v>1154</v>
      </c>
      <c r="E63" s="543" t="str" cm="1">
        <f t="array" ref="E63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63" s="544" t="str" cm="1">
        <f t="array" aca="1" ref="F63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63" s="545" t="str" cm="1">
        <f t="array" ref="G63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63" s="546" t="str" cm="1">
        <f t="array" aca="1" ref="H63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63" s="42" t="s">
        <v>7</v>
      </c>
      <c r="J63" s="88" t="s">
        <v>7</v>
      </c>
      <c r="K63" s="88" t="s">
        <v>7</v>
      </c>
      <c r="L63" s="78" t="s">
        <v>7</v>
      </c>
      <c r="M63" s="78" t="s">
        <v>177</v>
      </c>
      <c r="N63" s="78" t="s">
        <v>175</v>
      </c>
      <c r="O63" s="78"/>
      <c r="P63" s="78"/>
      <c r="Q63" s="78"/>
      <c r="R63" s="78"/>
      <c r="S63" s="78"/>
      <c r="T63" s="78"/>
      <c r="U63" s="78"/>
      <c r="V63" s="107"/>
      <c r="W63" s="430"/>
      <c r="X63" s="87"/>
      <c r="Y63" s="78"/>
      <c r="Z63" s="78"/>
      <c r="AA63" s="78" t="s">
        <v>989</v>
      </c>
      <c r="AB63" s="78"/>
      <c r="AC63" s="78"/>
      <c r="AD63" s="78"/>
      <c r="AE63" s="78"/>
      <c r="AF63" s="78"/>
      <c r="AG63" s="78"/>
      <c r="AH63" s="78"/>
      <c r="AI63" s="78"/>
      <c r="AJ63" s="78" t="s">
        <v>996</v>
      </c>
      <c r="AK63" s="87"/>
      <c r="AL63" s="8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87" t="s">
        <v>839</v>
      </c>
      <c r="BB63" s="88" t="s">
        <v>839</v>
      </c>
      <c r="BC63" s="88" t="s">
        <v>839</v>
      </c>
      <c r="BD63" s="88" t="s">
        <v>839</v>
      </c>
      <c r="BE63" s="78"/>
      <c r="BF63" s="88"/>
      <c r="BG63" s="89"/>
      <c r="BH63" s="198"/>
    </row>
    <row r="64" spans="1:60" ht="15" customHeight="1">
      <c r="A64" s="137" t="str">
        <f>_xlfn.XLOOKUP(WholeMarineTrainingTable[[#This Row],[Name]], RecallTable[NAME], RecallTable[SECTION])</f>
        <v>OPS</v>
      </c>
      <c r="B64" s="268">
        <f>_xlfn.XLOOKUP(WholeMarineTrainingTable[[#This Row],[Name]],RecallTable[NAME],RecallTable[MOS])</f>
        <v>1702</v>
      </c>
      <c r="C64" s="42" t="str">
        <f>_xlfn.XLOOKUP(WholeMarineTrainingTable[[#This Row],[Name]],RecallTable[NAME],RecallTable[GRADE])</f>
        <v>O2</v>
      </c>
      <c r="D64" s="117" t="s">
        <v>1155</v>
      </c>
      <c r="E64" s="555" t="str" cm="1">
        <f t="array" ref="E64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64" s="469" t="str" cm="1">
        <f t="array" aca="1" ref="F64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64" s="555" t="str" cm="1">
        <f t="array" ref="G64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64" s="469" t="str" cm="1">
        <f t="array" aca="1" ref="H64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64" s="469"/>
      <c r="J64" s="429"/>
      <c r="K64" s="429"/>
      <c r="L64" s="429"/>
      <c r="M64" s="429"/>
      <c r="N64" s="429"/>
      <c r="O64" s="429"/>
      <c r="P64" s="429"/>
      <c r="Q64" s="429"/>
      <c r="R64" s="429"/>
      <c r="S64" s="429"/>
      <c r="T64" s="429"/>
      <c r="U64" s="429"/>
      <c r="V64" s="429"/>
      <c r="W64" s="429"/>
      <c r="X64" s="87"/>
      <c r="Y64" s="88"/>
      <c r="Z64" s="88"/>
      <c r="AA64" s="88" t="s">
        <v>991</v>
      </c>
      <c r="AB64" s="88"/>
      <c r="AC64" s="88"/>
      <c r="AD64" s="88"/>
      <c r="AE64" s="88"/>
      <c r="AF64" s="88"/>
      <c r="AG64" s="88"/>
      <c r="AH64" s="88"/>
      <c r="AI64" s="88"/>
      <c r="AJ64" s="88"/>
      <c r="AK64" s="87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  <c r="AX64" s="88"/>
      <c r="AY64" s="88"/>
      <c r="AZ64" s="88"/>
      <c r="BA64" s="87" t="s">
        <v>799</v>
      </c>
      <c r="BB64" s="88"/>
      <c r="BC64" s="88" t="s">
        <v>799</v>
      </c>
      <c r="BD64" s="88"/>
      <c r="BE64" s="88"/>
      <c r="BF64" s="88"/>
      <c r="BG64" s="89" t="s">
        <v>799</v>
      </c>
      <c r="BH64" s="198"/>
    </row>
    <row r="65" spans="1:60" ht="15" customHeight="1">
      <c r="A65" s="137" t="str">
        <f>_xlfn.XLOOKUP(WholeMarineTrainingTable[[#This Row],[Name]], RecallTable[NAME], RecallTable[SECTION])</f>
        <v>OPS</v>
      </c>
      <c r="B65" s="268">
        <f>_xlfn.XLOOKUP(WholeMarineTrainingTable[[#This Row],[Name]],RecallTable[NAME],RecallTable[MOS])</f>
        <v>1799</v>
      </c>
      <c r="C65" s="42" t="str">
        <f>_xlfn.XLOOKUP(WholeMarineTrainingTable[[#This Row],[Name]],RecallTable[NAME],RecallTable[GRADE])</f>
        <v>E8</v>
      </c>
      <c r="D65" s="117" t="s">
        <v>1156</v>
      </c>
      <c r="E65" s="241" t="str" cm="1">
        <f t="array" ref="E65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65" s="42" t="str" cm="1">
        <f t="array" aca="1" ref="F65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65" s="241" cm="1">
        <f t="array" ref="G65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45371</v>
      </c>
      <c r="H65" s="42" cm="1">
        <f t="array" aca="1" ref="H65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-27</v>
      </c>
      <c r="I65" s="42" t="s">
        <v>7</v>
      </c>
      <c r="J65" s="88" t="s">
        <v>7</v>
      </c>
      <c r="K65" s="88" t="s">
        <v>7</v>
      </c>
      <c r="L65" s="88" t="s">
        <v>7</v>
      </c>
      <c r="M65" s="88" t="s">
        <v>7</v>
      </c>
      <c r="N65" s="88" t="s">
        <v>7</v>
      </c>
      <c r="O65" s="88" t="s">
        <v>7</v>
      </c>
      <c r="P65" s="88" t="s">
        <v>7</v>
      </c>
      <c r="Q65" s="88" t="s">
        <v>7</v>
      </c>
      <c r="R65" s="88" t="s">
        <v>7</v>
      </c>
      <c r="S65" s="88" t="s">
        <v>175</v>
      </c>
      <c r="T65" s="88"/>
      <c r="U65" s="88"/>
      <c r="V65" s="91"/>
      <c r="W65" s="88"/>
      <c r="X65" s="87"/>
      <c r="Y65" s="88"/>
      <c r="Z65" s="88"/>
      <c r="AA65" s="88" t="s">
        <v>988</v>
      </c>
      <c r="AB65" s="88"/>
      <c r="AC65" s="88"/>
      <c r="AD65" s="88"/>
      <c r="AE65" s="88"/>
      <c r="AF65" s="88"/>
      <c r="AG65" s="88"/>
      <c r="AH65" s="88"/>
      <c r="AI65" s="88"/>
      <c r="AJ65" s="88"/>
      <c r="AK65" s="87"/>
      <c r="AL65" s="88" t="s">
        <v>7</v>
      </c>
      <c r="AM65" s="88"/>
      <c r="AN65" s="88"/>
      <c r="AO65" s="88"/>
      <c r="AP65" s="88"/>
      <c r="AQ65" s="88"/>
      <c r="AR65" s="88"/>
      <c r="AS65" s="88"/>
      <c r="AT65" s="88"/>
      <c r="AU65" s="88"/>
      <c r="AV65" s="88"/>
      <c r="AW65" s="88"/>
      <c r="AX65" s="88"/>
      <c r="AY65" s="88"/>
      <c r="AZ65" s="88"/>
      <c r="BA65" s="87"/>
      <c r="BB65" s="88"/>
      <c r="BC65" s="88" t="s">
        <v>177</v>
      </c>
      <c r="BD65" s="88" t="s">
        <v>799</v>
      </c>
      <c r="BE65" s="88"/>
      <c r="BF65" s="88"/>
      <c r="BG65" s="89" t="s">
        <v>799</v>
      </c>
      <c r="BH65" s="198"/>
    </row>
    <row r="66" spans="1:60" ht="15" customHeight="1">
      <c r="A66" s="137" t="str">
        <f>_xlfn.XLOOKUP(WholeMarineTrainingTable[[#This Row],[Name]], RecallTable[NAME], RecallTable[SECTION])</f>
        <v>OPS</v>
      </c>
      <c r="B66" s="268">
        <f>_xlfn.XLOOKUP(WholeMarineTrainingTable[[#This Row],[Name]],RecallTable[NAME],RecallTable[MOS])</f>
        <v>1721</v>
      </c>
      <c r="C66" s="42" t="str">
        <f>_xlfn.XLOOKUP(WholeMarineTrainingTable[[#This Row],[Name]],RecallTable[NAME],RecallTable[GRADE])</f>
        <v>E7</v>
      </c>
      <c r="D66" s="248" t="s">
        <v>1157</v>
      </c>
      <c r="E66" s="551" t="str" cm="1">
        <f t="array" ref="E66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66" s="42" t="str" cm="1">
        <f t="array" aca="1" ref="F66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66" s="241" t="str" cm="1">
        <f t="array" ref="G66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66" s="42" t="str" cm="1">
        <f t="array" aca="1" ref="H66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66" s="42" t="s">
        <v>7</v>
      </c>
      <c r="J66" s="78" t="s">
        <v>7</v>
      </c>
      <c r="K66" s="88" t="s">
        <v>7</v>
      </c>
      <c r="L66" s="78" t="s">
        <v>7</v>
      </c>
      <c r="M66" s="78" t="s">
        <v>7</v>
      </c>
      <c r="N66" s="554" t="s">
        <v>7</v>
      </c>
      <c r="O66" s="554" t="s">
        <v>7</v>
      </c>
      <c r="P66" s="78" t="s">
        <v>7</v>
      </c>
      <c r="Q66" s="78" t="s">
        <v>7</v>
      </c>
      <c r="R66" s="78" t="s">
        <v>7</v>
      </c>
      <c r="S66" s="78"/>
      <c r="T66" s="78"/>
      <c r="U66" s="78"/>
      <c r="V66" s="107"/>
      <c r="W66" s="430"/>
      <c r="X66" s="87"/>
      <c r="Y66" s="78"/>
      <c r="Z66" s="78"/>
      <c r="AA66" s="78" t="s">
        <v>990</v>
      </c>
      <c r="AB66" s="78"/>
      <c r="AC66" s="78"/>
      <c r="AD66" s="78"/>
      <c r="AE66" s="78"/>
      <c r="AF66" s="78"/>
      <c r="AG66" s="78"/>
      <c r="AH66" s="78"/>
      <c r="AI66" s="78"/>
      <c r="AJ66" s="78"/>
      <c r="AK66" s="87"/>
      <c r="AL66" s="88" t="s">
        <v>7</v>
      </c>
      <c r="AM66" s="78" t="s">
        <v>7</v>
      </c>
      <c r="AN66" s="78"/>
      <c r="AO66" s="78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87" t="s">
        <v>799</v>
      </c>
      <c r="BB66" s="78" t="s">
        <v>839</v>
      </c>
      <c r="BC66" s="78" t="s">
        <v>799</v>
      </c>
      <c r="BD66" s="78" t="s">
        <v>839</v>
      </c>
      <c r="BE66" s="78"/>
      <c r="BF66" s="88"/>
      <c r="BG66" s="89" t="s">
        <v>799</v>
      </c>
      <c r="BH66" s="198"/>
    </row>
    <row r="67" spans="1:60">
      <c r="A67" s="100" t="str">
        <f>_xlfn.XLOOKUP(WholeMarineTrainingTable[[#This Row],[Name]], RecallTable[NAME], RecallTable[SECTION])</f>
        <v>OPS</v>
      </c>
      <c r="B67" s="268">
        <f>_xlfn.XLOOKUP(WholeMarineTrainingTable[[#This Row],[Name]],RecallTable[NAME],RecallTable[MOS])</f>
        <v>1721</v>
      </c>
      <c r="C67" s="42" t="str">
        <f>_xlfn.XLOOKUP(WholeMarineTrainingTable[[#This Row],[Name]],RecallTable[NAME],RecallTable[GRADE])</f>
        <v>E6</v>
      </c>
      <c r="D67" s="116" t="s">
        <v>1158</v>
      </c>
      <c r="E67" s="543" t="str" cm="1">
        <f t="array" ref="E67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67" s="544" t="str" cm="1">
        <f t="array" aca="1" ref="F67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67" s="545" cm="1">
        <f t="array" ref="G67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45371</v>
      </c>
      <c r="H67" s="546" cm="1">
        <f t="array" aca="1" ref="H67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-27</v>
      </c>
      <c r="I67" s="42" t="s">
        <v>7</v>
      </c>
      <c r="J67" s="78" t="s">
        <v>7</v>
      </c>
      <c r="K67" s="88" t="s">
        <v>7</v>
      </c>
      <c r="L67" s="78" t="s">
        <v>7</v>
      </c>
      <c r="M67" s="42" t="s">
        <v>7</v>
      </c>
      <c r="N67" s="88" t="s">
        <v>7</v>
      </c>
      <c r="O67" s="78" t="s">
        <v>7</v>
      </c>
      <c r="P67" s="78" t="s">
        <v>177</v>
      </c>
      <c r="Q67" s="78"/>
      <c r="R67" s="78"/>
      <c r="S67" s="78"/>
      <c r="T67" s="78"/>
      <c r="U67" s="78"/>
      <c r="V67" s="107"/>
      <c r="W67" s="78"/>
      <c r="X67" s="87"/>
      <c r="Y67" s="78"/>
      <c r="Z67" s="78"/>
      <c r="AA67" s="78" t="s">
        <v>991</v>
      </c>
      <c r="AB67" s="78"/>
      <c r="AC67" s="78"/>
      <c r="AD67" s="78"/>
      <c r="AE67" s="78"/>
      <c r="AF67" s="78"/>
      <c r="AG67" s="78"/>
      <c r="AH67" s="78"/>
      <c r="AI67" s="78"/>
      <c r="AJ67" s="78"/>
      <c r="AK67" s="87"/>
      <c r="AL67" s="8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87" t="s">
        <v>839</v>
      </c>
      <c r="BB67" s="88" t="s">
        <v>839</v>
      </c>
      <c r="BC67" s="88" t="s">
        <v>799</v>
      </c>
      <c r="BD67" s="88" t="s">
        <v>839</v>
      </c>
      <c r="BE67" s="78"/>
      <c r="BF67" s="88"/>
      <c r="BG67" s="89" t="s">
        <v>799</v>
      </c>
      <c r="BH67" s="198"/>
    </row>
    <row r="68" spans="1:60" ht="15" customHeight="1">
      <c r="A68" s="137" t="str">
        <f>_xlfn.XLOOKUP(WholeMarineTrainingTable[[#This Row],[Name]], RecallTable[NAME], RecallTable[SECTION])</f>
        <v>OPS</v>
      </c>
      <c r="B68" s="268">
        <f>_xlfn.XLOOKUP(WholeMarineTrainingTable[[#This Row],[Name]],RecallTable[NAME],RecallTable[MOS])</f>
        <v>1721</v>
      </c>
      <c r="C68" s="42" t="str">
        <f>_xlfn.XLOOKUP(WholeMarineTrainingTable[[#This Row],[Name]],RecallTable[NAME],RecallTable[GRADE])</f>
        <v>E6</v>
      </c>
      <c r="D68" s="250" t="s">
        <v>1159</v>
      </c>
      <c r="E68" s="552" t="str" cm="1">
        <f t="array" ref="E68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68" s="42" t="str" cm="1">
        <f t="array" aca="1" ref="F68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68" s="241" cm="1">
        <f t="array" ref="G68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45371</v>
      </c>
      <c r="H68" s="42" cm="1">
        <f t="array" aca="1" ref="H68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-27</v>
      </c>
      <c r="I68" s="42" t="s">
        <v>7</v>
      </c>
      <c r="J68" s="78" t="s">
        <v>7</v>
      </c>
      <c r="K68" s="88" t="s">
        <v>7</v>
      </c>
      <c r="L68" s="78" t="s">
        <v>7</v>
      </c>
      <c r="M68" s="42" t="s">
        <v>7</v>
      </c>
      <c r="N68" s="88" t="s">
        <v>7</v>
      </c>
      <c r="O68" s="78" t="s">
        <v>7</v>
      </c>
      <c r="P68" s="78" t="s">
        <v>177</v>
      </c>
      <c r="Q68" s="78"/>
      <c r="R68" s="78"/>
      <c r="S68" s="78"/>
      <c r="T68" s="78"/>
      <c r="U68" s="78"/>
      <c r="V68" s="107"/>
      <c r="W68" s="78"/>
      <c r="X68" s="87"/>
      <c r="Y68" s="78"/>
      <c r="Z68" s="78"/>
      <c r="AA68" s="78" t="s">
        <v>990</v>
      </c>
      <c r="AB68" s="78"/>
      <c r="AC68" s="78"/>
      <c r="AD68" s="78"/>
      <c r="AE68" s="78"/>
      <c r="AF68" s="78"/>
      <c r="AG68" s="78"/>
      <c r="AH68" s="78"/>
      <c r="AI68" s="78"/>
      <c r="AJ68" s="78"/>
      <c r="AK68" s="87"/>
      <c r="AL68" s="8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88"/>
      <c r="BA68" s="87" t="s">
        <v>799</v>
      </c>
      <c r="BB68" s="88" t="s">
        <v>799</v>
      </c>
      <c r="BC68" s="88" t="s">
        <v>799</v>
      </c>
      <c r="BD68" s="88" t="s">
        <v>839</v>
      </c>
      <c r="BE68" s="88"/>
      <c r="BF68" s="88"/>
      <c r="BG68" s="89" t="s">
        <v>799</v>
      </c>
      <c r="BH68" s="198"/>
    </row>
    <row r="69" spans="1:60" ht="15" customHeight="1">
      <c r="A69" s="88" t="s">
        <v>79</v>
      </c>
      <c r="B69" s="268">
        <f>_xlfn.XLOOKUP(WholeMarineTrainingTable[[#This Row],[Name]],RecallTable[NAME],RecallTable[MOS])</f>
        <v>1721</v>
      </c>
      <c r="C69" s="42" t="str">
        <f>_xlfn.XLOOKUP(WholeMarineTrainingTable[[#This Row],[Name]],RecallTable[NAME],RecallTable[GRADE])</f>
        <v>E5</v>
      </c>
      <c r="D69" s="116" t="s">
        <v>1160</v>
      </c>
      <c r="E69" s="543" t="str" cm="1">
        <f t="array" ref="E69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69" s="544" t="str" cm="1">
        <f t="array" aca="1" ref="F69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69" s="545" cm="1">
        <f t="array" ref="G69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45371</v>
      </c>
      <c r="H69" s="546" cm="1">
        <f t="array" aca="1" ref="H69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-27</v>
      </c>
      <c r="I69" s="42" t="s">
        <v>7</v>
      </c>
      <c r="J69" s="88" t="s">
        <v>7</v>
      </c>
      <c r="K69" s="42" t="s">
        <v>7</v>
      </c>
      <c r="L69" s="42" t="s">
        <v>7</v>
      </c>
      <c r="M69" s="88" t="s">
        <v>7</v>
      </c>
      <c r="N69" s="78" t="s">
        <v>176</v>
      </c>
      <c r="O69" s="78"/>
      <c r="P69" s="78"/>
      <c r="Q69" s="78"/>
      <c r="R69" s="78"/>
      <c r="S69" s="78"/>
      <c r="T69" s="78"/>
      <c r="U69" s="78"/>
      <c r="V69" s="107"/>
      <c r="W69" s="78"/>
      <c r="X69" s="87"/>
      <c r="Y69" s="78"/>
      <c r="Z69" s="78"/>
      <c r="AA69" s="78" t="s">
        <v>989</v>
      </c>
      <c r="AB69" s="78"/>
      <c r="AC69" s="78"/>
      <c r="AD69" s="78"/>
      <c r="AE69" s="78"/>
      <c r="AF69" s="78"/>
      <c r="AG69" s="78"/>
      <c r="AH69" s="78"/>
      <c r="AI69" s="78"/>
      <c r="AJ69" s="78"/>
      <c r="AK69" s="87"/>
      <c r="AL69" s="8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87" t="s">
        <v>799</v>
      </c>
      <c r="BB69" s="88" t="s">
        <v>839</v>
      </c>
      <c r="BC69" s="88" t="s">
        <v>799</v>
      </c>
      <c r="BD69" s="88" t="s">
        <v>839</v>
      </c>
      <c r="BE69" s="78"/>
      <c r="BF69" s="88"/>
      <c r="BG69" s="89" t="s">
        <v>799</v>
      </c>
      <c r="BH69" s="198"/>
    </row>
    <row r="70" spans="1:60" ht="15" customHeight="1">
      <c r="A70" s="88" t="s">
        <v>79</v>
      </c>
      <c r="B70" s="268">
        <f>_xlfn.XLOOKUP(WholeMarineTrainingTable[[#This Row],[Name]],RecallTable[NAME],RecallTable[MOS])</f>
        <v>1721</v>
      </c>
      <c r="C70" s="42" t="str">
        <f>_xlfn.XLOOKUP(WholeMarineTrainingTable[[#This Row],[Name]],RecallTable[NAME],RecallTable[GRADE])</f>
        <v>E5</v>
      </c>
      <c r="D70" s="265" t="s">
        <v>1161</v>
      </c>
      <c r="E70" s="543" t="str" cm="1">
        <f t="array" ref="E70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70" s="544" t="str" cm="1">
        <f t="array" aca="1" ref="F70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70" s="545" cm="1">
        <f t="array" ref="G70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45424</v>
      </c>
      <c r="H70" s="546" cm="1">
        <f t="array" aca="1" ref="H70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26</v>
      </c>
      <c r="I70" s="88" t="s">
        <v>7</v>
      </c>
      <c r="J70" s="88" t="s">
        <v>7</v>
      </c>
      <c r="K70" s="88" t="s">
        <v>7</v>
      </c>
      <c r="L70" s="88" t="s">
        <v>7</v>
      </c>
      <c r="M70" s="78" t="s">
        <v>7</v>
      </c>
      <c r="N70" s="78" t="s">
        <v>177</v>
      </c>
      <c r="O70" s="78"/>
      <c r="P70" s="78"/>
      <c r="Q70" s="78"/>
      <c r="R70" s="78"/>
      <c r="S70" s="78"/>
      <c r="T70" s="78"/>
      <c r="U70" s="78"/>
      <c r="V70" s="107"/>
      <c r="W70" s="78"/>
      <c r="X70" s="87"/>
      <c r="Y70" s="78"/>
      <c r="Z70" s="78"/>
      <c r="AA70" s="78" t="s">
        <v>990</v>
      </c>
      <c r="AB70" s="78"/>
      <c r="AC70" s="78"/>
      <c r="AD70" s="78"/>
      <c r="AE70" s="78"/>
      <c r="AF70" s="78"/>
      <c r="AG70" s="78"/>
      <c r="AH70" s="78"/>
      <c r="AI70" s="78"/>
      <c r="AJ70" s="78"/>
      <c r="AK70" s="87"/>
      <c r="AL70" s="88" t="s">
        <v>7</v>
      </c>
      <c r="AM70" s="88" t="s">
        <v>7</v>
      </c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197" t="s">
        <v>799</v>
      </c>
      <c r="BB70" s="90" t="s">
        <v>799</v>
      </c>
      <c r="BC70" s="90" t="s">
        <v>799</v>
      </c>
      <c r="BD70" s="92" t="s">
        <v>839</v>
      </c>
      <c r="BE70" s="78"/>
      <c r="BF70" s="88"/>
      <c r="BG70" s="89" t="s">
        <v>839</v>
      </c>
      <c r="BH70" s="198" t="s">
        <v>1007</v>
      </c>
    </row>
    <row r="71" spans="1:60" ht="15" customHeight="1">
      <c r="A71" s="137" t="str">
        <f>_xlfn.XLOOKUP(WholeMarineTrainingTable[[#This Row],[Name]], RecallTable[NAME], RecallTable[SECTION])</f>
        <v>SOC</v>
      </c>
      <c r="B71" s="268">
        <f>_xlfn.XLOOKUP(WholeMarineTrainingTable[[#This Row],[Name]],RecallTable[NAME],RecallTable[MOS])</f>
        <v>1702</v>
      </c>
      <c r="C71" s="42" t="str">
        <f>_xlfn.XLOOKUP(WholeMarineTrainingTable[[#This Row],[Name]],RecallTable[NAME],RecallTable[GRADE])</f>
        <v>O2</v>
      </c>
      <c r="D71" s="117" t="s">
        <v>1162</v>
      </c>
      <c r="E71" s="555" t="str" cm="1">
        <f t="array" ref="E7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71" s="469" t="str" cm="1">
        <f t="array" aca="1" ref="F71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71" s="555" t="str" cm="1">
        <f t="array" ref="G71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71" s="469" t="str" cm="1">
        <f t="array" aca="1" ref="H71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71" s="469"/>
      <c r="J71" s="429"/>
      <c r="K71" s="429"/>
      <c r="L71" s="429"/>
      <c r="M71" s="429"/>
      <c r="N71" s="429"/>
      <c r="O71" s="429"/>
      <c r="P71" s="429"/>
      <c r="Q71" s="429"/>
      <c r="R71" s="429"/>
      <c r="S71" s="429"/>
      <c r="T71" s="429"/>
      <c r="U71" s="429"/>
      <c r="V71" s="429"/>
      <c r="W71" s="429"/>
      <c r="X71" s="87"/>
      <c r="Y71" s="88"/>
      <c r="Z71" s="88"/>
      <c r="AA71" s="88" t="s">
        <v>991</v>
      </c>
      <c r="AB71" s="88"/>
      <c r="AC71" s="88"/>
      <c r="AD71" s="88"/>
      <c r="AE71" s="88"/>
      <c r="AF71" s="88" t="s">
        <v>177</v>
      </c>
      <c r="AG71" s="88"/>
      <c r="AH71" s="88"/>
      <c r="AI71" s="88"/>
      <c r="AJ71" s="88"/>
      <c r="AK71" s="87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  <c r="AX71" s="88"/>
      <c r="AY71" s="88"/>
      <c r="AZ71" s="88"/>
      <c r="BA71" s="87"/>
      <c r="BB71" s="88"/>
      <c r="BC71" s="88" t="s">
        <v>799</v>
      </c>
      <c r="BD71" s="88" t="s">
        <v>799</v>
      </c>
      <c r="BE71" s="88"/>
      <c r="BF71" s="88" t="s">
        <v>799</v>
      </c>
      <c r="BG71" s="89" t="s">
        <v>799</v>
      </c>
      <c r="BH71" s="198"/>
    </row>
    <row r="72" spans="1:60" ht="15" customHeight="1">
      <c r="A72" s="137" t="str">
        <f>_xlfn.XLOOKUP(WholeMarineTrainingTable[[#This Row],[Name]], RecallTable[NAME], RecallTable[SECTION])</f>
        <v>SOC</v>
      </c>
      <c r="B72" s="268">
        <f>_xlfn.XLOOKUP(WholeMarineTrainingTable[[#This Row],[Name]],RecallTable[NAME],RecallTable[MOS])</f>
        <v>1721</v>
      </c>
      <c r="C72" s="42" t="str">
        <f>_xlfn.XLOOKUP(WholeMarineTrainingTable[[#This Row],[Name]],RecallTable[NAME],RecallTable[GRADE])</f>
        <v>E7</v>
      </c>
      <c r="D72" s="117" t="s">
        <v>1163</v>
      </c>
      <c r="E72" s="241" t="str" cm="1">
        <f t="array" ref="E72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72" s="42" t="str" cm="1">
        <f t="array" aca="1" ref="F72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72" s="241" cm="1">
        <f t="array" ref="G72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45371</v>
      </c>
      <c r="H72" s="42" cm="1">
        <f t="array" aca="1" ref="H72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-27</v>
      </c>
      <c r="I72" s="42" t="s">
        <v>7</v>
      </c>
      <c r="J72" s="88" t="s">
        <v>7</v>
      </c>
      <c r="K72" s="88" t="s">
        <v>7</v>
      </c>
      <c r="L72" s="88" t="s">
        <v>7</v>
      </c>
      <c r="M72" s="88" t="s">
        <v>7</v>
      </c>
      <c r="N72" s="88" t="s">
        <v>7</v>
      </c>
      <c r="O72" s="88" t="s">
        <v>7</v>
      </c>
      <c r="P72" s="88" t="s">
        <v>7</v>
      </c>
      <c r="Q72" s="88" t="s">
        <v>7</v>
      </c>
      <c r="R72" s="88" t="s">
        <v>175</v>
      </c>
      <c r="S72" s="88"/>
      <c r="T72" s="88"/>
      <c r="U72" s="88"/>
      <c r="V72" s="91"/>
      <c r="W72" s="429"/>
      <c r="X72" s="87"/>
      <c r="Y72" s="88"/>
      <c r="Z72" s="88"/>
      <c r="AA72" s="88" t="s">
        <v>1002</v>
      </c>
      <c r="AB72" s="88"/>
      <c r="AC72" s="88"/>
      <c r="AD72" s="88"/>
      <c r="AE72" s="88"/>
      <c r="AF72" s="88"/>
      <c r="AG72" s="88"/>
      <c r="AH72" s="88"/>
      <c r="AI72" s="88"/>
      <c r="AJ72" s="88"/>
      <c r="AK72" s="87"/>
      <c r="AL72" s="88"/>
      <c r="AM72" s="88" t="s">
        <v>7</v>
      </c>
      <c r="AN72" s="88"/>
      <c r="AO72" s="88"/>
      <c r="AP72" s="88"/>
      <c r="AQ72" s="88"/>
      <c r="AR72" s="88"/>
      <c r="AS72" s="88"/>
      <c r="AT72" s="88"/>
      <c r="AU72" s="88"/>
      <c r="AV72" s="88"/>
      <c r="AW72" s="88"/>
      <c r="AX72" s="88"/>
      <c r="AY72" s="88"/>
      <c r="AZ72" s="88"/>
      <c r="BA72" s="87" t="s">
        <v>799</v>
      </c>
      <c r="BB72" s="88"/>
      <c r="BC72" s="88" t="s">
        <v>799</v>
      </c>
      <c r="BD72" s="88" t="s">
        <v>799</v>
      </c>
      <c r="BE72" s="88"/>
      <c r="BF72" s="88"/>
      <c r="BG72" s="89" t="s">
        <v>799</v>
      </c>
      <c r="BH72" s="198"/>
    </row>
    <row r="73" spans="1:60" ht="15" customHeight="1">
      <c r="A73" s="102" t="str">
        <f>_xlfn.XLOOKUP(WholeMarineTrainingTable[[#This Row],[Name]], RecallTable[NAME], RecallTable[SECTION])</f>
        <v>SOC</v>
      </c>
      <c r="B73" s="268">
        <f>_xlfn.XLOOKUP(WholeMarineTrainingTable[[#This Row],[Name]],RecallTable[NAME],RecallTable[MOS])</f>
        <v>1721</v>
      </c>
      <c r="C73" s="42" t="str">
        <f>_xlfn.XLOOKUP(WholeMarineTrainingTable[[#This Row],[Name]],RecallTable[NAME],RecallTable[GRADE])</f>
        <v>E5</v>
      </c>
      <c r="D73" s="252" t="s">
        <v>1164</v>
      </c>
      <c r="E73" s="553" t="str" cm="1">
        <f t="array" ref="E73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73" s="42" t="str" cm="1">
        <f t="array" aca="1" ref="F73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73" s="241" t="str" cm="1">
        <f t="array" ref="G73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73" s="42" t="str" cm="1">
        <f t="array" aca="1" ref="H73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73" s="42" t="s">
        <v>7</v>
      </c>
      <c r="J73" s="88" t="s">
        <v>7</v>
      </c>
      <c r="K73" s="88" t="s">
        <v>7</v>
      </c>
      <c r="L73" s="88" t="s">
        <v>7</v>
      </c>
      <c r="M73" s="88" t="s">
        <v>7</v>
      </c>
      <c r="N73" s="88" t="s">
        <v>7</v>
      </c>
      <c r="O73" s="88"/>
      <c r="P73" s="88"/>
      <c r="Q73" s="88"/>
      <c r="R73" s="88"/>
      <c r="S73" s="88"/>
      <c r="T73" s="88"/>
      <c r="U73" s="88"/>
      <c r="V73" s="91"/>
      <c r="W73" s="429"/>
      <c r="X73" s="87"/>
      <c r="Y73" s="88"/>
      <c r="Z73" s="88"/>
      <c r="AA73" s="88" t="s">
        <v>990</v>
      </c>
      <c r="AB73" s="88"/>
      <c r="AC73" s="88"/>
      <c r="AD73" s="88"/>
      <c r="AE73" s="88"/>
      <c r="AF73" s="88"/>
      <c r="AG73" s="88" t="s">
        <v>7</v>
      </c>
      <c r="AH73" s="88" t="s">
        <v>7</v>
      </c>
      <c r="AI73" s="88"/>
      <c r="AJ73" s="88"/>
      <c r="AK73" s="87" t="s">
        <v>7</v>
      </c>
      <c r="AL73" s="88" t="s">
        <v>7</v>
      </c>
      <c r="AM73" s="88" t="s">
        <v>7</v>
      </c>
      <c r="AN73" s="88"/>
      <c r="AO73" s="88"/>
      <c r="AP73" s="88"/>
      <c r="AQ73" s="88"/>
      <c r="AR73" s="88" t="s">
        <v>177</v>
      </c>
      <c r="AS73" s="88"/>
      <c r="AT73" s="88"/>
      <c r="AU73" s="88"/>
      <c r="AV73" s="88"/>
      <c r="AW73" s="88"/>
      <c r="AX73" s="88"/>
      <c r="AY73" s="88"/>
      <c r="AZ73" s="88"/>
      <c r="BA73" s="87" t="s">
        <v>839</v>
      </c>
      <c r="BB73" s="88" t="s">
        <v>839</v>
      </c>
      <c r="BC73" s="88" t="s">
        <v>839</v>
      </c>
      <c r="BD73" s="88" t="s">
        <v>839</v>
      </c>
      <c r="BE73" s="88"/>
      <c r="BF73" s="88"/>
      <c r="BG73" s="89" t="s">
        <v>839</v>
      </c>
      <c r="BH73" s="198" t="s">
        <v>1007</v>
      </c>
    </row>
    <row r="74" spans="1:60" ht="15" customHeight="1">
      <c r="A74" s="102" t="str">
        <f>_xlfn.XLOOKUP(WholeMarineTrainingTable[[#This Row],[Name]], RecallTable[NAME], RecallTable[SECTION])</f>
        <v>SOC</v>
      </c>
      <c r="B74" s="268">
        <f>_xlfn.XLOOKUP(WholeMarineTrainingTable[[#This Row],[Name]],RecallTable[NAME],RecallTable[MOS])</f>
        <v>1721</v>
      </c>
      <c r="C74" s="42" t="str">
        <f>_xlfn.XLOOKUP(WholeMarineTrainingTable[[#This Row],[Name]],RecallTable[NAME],RecallTable[GRADE])</f>
        <v>E4</v>
      </c>
      <c r="D74" s="117" t="s">
        <v>1165</v>
      </c>
      <c r="E74" s="543" t="str" cm="1">
        <f t="array" ref="E74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74" s="544" t="str" cm="1">
        <f t="array" aca="1" ref="F74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74" s="545" t="str" cm="1">
        <f t="array" ref="G74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74" s="546" t="str" cm="1">
        <f t="array" aca="1" ref="H74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74" s="42" t="s">
        <v>7</v>
      </c>
      <c r="J74" s="42" t="s">
        <v>7</v>
      </c>
      <c r="K74" s="88" t="s">
        <v>7</v>
      </c>
      <c r="L74" s="78" t="s">
        <v>7</v>
      </c>
      <c r="M74" s="78"/>
      <c r="N74" s="78"/>
      <c r="O74" s="78"/>
      <c r="P74" s="78"/>
      <c r="Q74" s="78"/>
      <c r="R74" s="78"/>
      <c r="S74" s="78"/>
      <c r="T74" s="78"/>
      <c r="U74" s="78"/>
      <c r="V74" s="107"/>
      <c r="W74" s="78"/>
      <c r="X74" s="87"/>
      <c r="Y74" s="78"/>
      <c r="Z74" s="78"/>
      <c r="AA74" s="78" t="s">
        <v>990</v>
      </c>
      <c r="AB74" s="78"/>
      <c r="AC74" s="78"/>
      <c r="AD74" s="78"/>
      <c r="AE74" s="78"/>
      <c r="AF74" s="78"/>
      <c r="AG74" s="78"/>
      <c r="AH74" s="78"/>
      <c r="AI74" s="78"/>
      <c r="AJ74" s="78"/>
      <c r="AK74" s="87"/>
      <c r="AL74" s="88" t="s">
        <v>7</v>
      </c>
      <c r="AM74" s="78"/>
      <c r="AN74" s="78"/>
      <c r="AO74" s="78"/>
      <c r="AP74" s="78"/>
      <c r="AQ74" s="78"/>
      <c r="AR74" s="78" t="s">
        <v>7</v>
      </c>
      <c r="AS74" s="78"/>
      <c r="AT74" s="78"/>
      <c r="AU74" s="78"/>
      <c r="AV74" s="78"/>
      <c r="AW74" s="78"/>
      <c r="AX74" s="78"/>
      <c r="AY74" s="78"/>
      <c r="AZ74" s="78"/>
      <c r="BA74" s="87" t="s">
        <v>839</v>
      </c>
      <c r="BB74" s="88" t="s">
        <v>839</v>
      </c>
      <c r="BC74" s="88" t="s">
        <v>177</v>
      </c>
      <c r="BD74" s="88" t="s">
        <v>839</v>
      </c>
      <c r="BE74" s="78"/>
      <c r="BF74" s="88"/>
      <c r="BG74" s="89" t="s">
        <v>839</v>
      </c>
      <c r="BH74" s="198" t="s">
        <v>1007</v>
      </c>
    </row>
    <row r="75" spans="1:60" ht="15" customHeight="1">
      <c r="A75" s="137" t="str">
        <f>_xlfn.XLOOKUP(WholeMarineTrainingTable[[#This Row],[Name]], RecallTable[NAME], RecallTable[SECTION])</f>
        <v>SOC</v>
      </c>
      <c r="B75" s="268">
        <f>_xlfn.XLOOKUP(WholeMarineTrainingTable[[#This Row],[Name]],RecallTable[NAME],RecallTable[MOS])</f>
        <v>231</v>
      </c>
      <c r="C75" s="42" t="str">
        <f>_xlfn.XLOOKUP(WholeMarineTrainingTable[[#This Row],[Name]],RecallTable[NAME],RecallTable[GRADE])</f>
        <v>E3</v>
      </c>
      <c r="D75" s="116" t="s">
        <v>1166</v>
      </c>
      <c r="E75" s="543" t="str" cm="1">
        <f t="array" ref="E75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75" s="544" t="str" cm="1">
        <f t="array" aca="1" ref="F75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75" s="545" t="str" cm="1">
        <f t="array" ref="G75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75" s="546" t="str" cm="1">
        <f t="array" aca="1" ref="H75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75" s="42" t="s">
        <v>7</v>
      </c>
      <c r="J75" s="42" t="s">
        <v>7</v>
      </c>
      <c r="K75" s="88" t="s">
        <v>7</v>
      </c>
      <c r="L75" s="78" t="s">
        <v>7</v>
      </c>
      <c r="M75" s="78"/>
      <c r="N75" s="78"/>
      <c r="O75" s="78"/>
      <c r="P75" s="78"/>
      <c r="Q75" s="78"/>
      <c r="R75" s="78"/>
      <c r="S75" s="78"/>
      <c r="T75" s="78"/>
      <c r="U75" s="78"/>
      <c r="V75" s="430"/>
      <c r="W75" s="430"/>
      <c r="X75" s="87"/>
      <c r="Y75" s="78"/>
      <c r="Z75" s="78"/>
      <c r="AA75" s="78" t="s">
        <v>988</v>
      </c>
      <c r="AB75" s="78"/>
      <c r="AC75" s="78"/>
      <c r="AD75" s="78"/>
      <c r="AE75" s="78"/>
      <c r="AF75" s="78"/>
      <c r="AG75" s="78"/>
      <c r="AH75" s="78"/>
      <c r="AI75" s="78"/>
      <c r="AJ75" s="78"/>
      <c r="AK75" s="87"/>
      <c r="AL75" s="88"/>
      <c r="AM75" s="78" t="s">
        <v>7</v>
      </c>
      <c r="AN75" s="78"/>
      <c r="AO75" s="78"/>
      <c r="AP75" s="78"/>
      <c r="AQ75" s="78"/>
      <c r="AR75" s="78"/>
      <c r="AS75" s="78"/>
      <c r="AT75" s="78"/>
      <c r="AU75" s="78"/>
      <c r="AV75" s="78"/>
      <c r="AW75" s="78"/>
      <c r="AX75" s="78" t="s">
        <v>7</v>
      </c>
      <c r="AY75" s="78"/>
      <c r="AZ75" s="78" t="s">
        <v>1008</v>
      </c>
      <c r="BA75" s="87" t="s">
        <v>799</v>
      </c>
      <c r="BB75" s="78" t="s">
        <v>799</v>
      </c>
      <c r="BC75" s="78" t="s">
        <v>177</v>
      </c>
      <c r="BD75" s="78" t="s">
        <v>839</v>
      </c>
      <c r="BE75" s="78"/>
      <c r="BF75" s="78"/>
      <c r="BG75" s="89" t="s">
        <v>839</v>
      </c>
      <c r="BH75" s="490"/>
    </row>
    <row r="76" spans="1:60" ht="15" customHeight="1">
      <c r="A76" s="102" t="str">
        <f>_xlfn.XLOOKUP(WholeMarineTrainingTable[[#This Row],[Name]], RecallTable[NAME], RecallTable[SECTION])</f>
        <v>SOC</v>
      </c>
      <c r="B76" s="268">
        <f>_xlfn.XLOOKUP(WholeMarineTrainingTable[[#This Row],[Name]],RecallTable[NAME],RecallTable[MOS])</f>
        <v>1721</v>
      </c>
      <c r="C76" s="42" t="str">
        <f>_xlfn.XLOOKUP(WholeMarineTrainingTable[[#This Row],[Name]],RecallTable[NAME],RecallTable[GRADE])</f>
        <v>E3</v>
      </c>
      <c r="D76" s="247" t="s">
        <v>1167</v>
      </c>
      <c r="E76" s="241" t="str" cm="1">
        <f t="array" ref="E76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76" s="42" t="str" cm="1">
        <f t="array" aca="1" ref="F76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76" s="241" t="str" cm="1">
        <f t="array" ref="G76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76" s="42" t="str" cm="1">
        <f t="array" aca="1" ref="H76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76" s="42" t="s">
        <v>7</v>
      </c>
      <c r="J76" s="78" t="s">
        <v>7</v>
      </c>
      <c r="K76" s="8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91"/>
      <c r="W76" s="88"/>
      <c r="X76" s="87"/>
      <c r="Y76" s="88"/>
      <c r="Z76" s="88"/>
      <c r="AA76" s="88" t="s">
        <v>988</v>
      </c>
      <c r="AB76" s="88"/>
      <c r="AC76" s="88"/>
      <c r="AD76" s="88"/>
      <c r="AE76" s="88"/>
      <c r="AF76" s="88"/>
      <c r="AG76" s="88"/>
      <c r="AH76" s="88"/>
      <c r="AI76" s="88"/>
      <c r="AJ76" s="88"/>
      <c r="AK76" s="87"/>
      <c r="AL76" s="88"/>
      <c r="AM76" s="88" t="s">
        <v>7</v>
      </c>
      <c r="AN76" s="88"/>
      <c r="AO76" s="88"/>
      <c r="AP76" s="88"/>
      <c r="AQ76" s="88"/>
      <c r="AR76" s="88"/>
      <c r="AS76" s="88"/>
      <c r="AT76" s="88"/>
      <c r="AU76" s="88"/>
      <c r="AV76" s="88"/>
      <c r="AW76" s="88"/>
      <c r="AX76" s="88"/>
      <c r="AY76" s="88"/>
      <c r="AZ76" s="88"/>
      <c r="BA76" s="87" t="s">
        <v>839</v>
      </c>
      <c r="BB76" s="88" t="s">
        <v>839</v>
      </c>
      <c r="BC76" s="88" t="s">
        <v>177</v>
      </c>
      <c r="BD76" s="88" t="s">
        <v>839</v>
      </c>
      <c r="BE76" s="88"/>
      <c r="BF76" s="88"/>
      <c r="BG76" s="89" t="s">
        <v>799</v>
      </c>
      <c r="BH76" s="198"/>
    </row>
    <row r="77" spans="1:60" ht="15" customHeight="1">
      <c r="A77" s="102" t="str">
        <f>_xlfn.XLOOKUP(WholeMarineTrainingTable[[#This Row],[Name]], RecallTable[NAME], RecallTable[SECTION])</f>
        <v>HQ</v>
      </c>
      <c r="B77" s="268">
        <f>_xlfn.XLOOKUP(WholeMarineTrainingTable[[#This Row],[Name]],RecallTable[NAME],RecallTable[MOS])</f>
        <v>1702</v>
      </c>
      <c r="C77" s="42" t="str">
        <f>_xlfn.XLOOKUP(WholeMarineTrainingTable[[#This Row],[Name]],RecallTable[NAME],RecallTable[GRADE])</f>
        <v>O4</v>
      </c>
      <c r="D77" s="117" t="s">
        <v>1168</v>
      </c>
      <c r="E77" s="241" t="str" cm="1">
        <f t="array" ref="E77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77" s="42" t="str" cm="1">
        <f t="array" aca="1" ref="F77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77" s="241" t="str" cm="1">
        <f t="array" ref="G77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77" s="42" t="str" cm="1">
        <f t="array" aca="1" ref="H77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77" s="42" t="s">
        <v>7</v>
      </c>
      <c r="J77" s="88" t="s">
        <v>7</v>
      </c>
      <c r="K77" s="88" t="s">
        <v>7</v>
      </c>
      <c r="L77" s="88" t="s">
        <v>7</v>
      </c>
      <c r="M77" s="88"/>
      <c r="N77" s="88"/>
      <c r="O77" s="88"/>
      <c r="P77" s="88"/>
      <c r="Q77" s="88"/>
      <c r="R77" s="88"/>
      <c r="S77" s="88"/>
      <c r="T77" s="88"/>
      <c r="U77" s="88"/>
      <c r="V77" s="91"/>
      <c r="W77" s="88"/>
      <c r="X77" s="87"/>
      <c r="Y77" s="88"/>
      <c r="Z77" s="88"/>
      <c r="AA77" s="88" t="s">
        <v>991</v>
      </c>
      <c r="AB77" s="88"/>
      <c r="AC77" s="88"/>
      <c r="AD77" s="88"/>
      <c r="AE77" s="88"/>
      <c r="AF77" s="88"/>
      <c r="AG77" s="88"/>
      <c r="AH77" s="88"/>
      <c r="AI77" s="88"/>
      <c r="AJ77" s="88"/>
      <c r="AK77" s="87"/>
      <c r="AL77" s="88" t="s">
        <v>7</v>
      </c>
      <c r="AM77" s="88" t="s">
        <v>7</v>
      </c>
      <c r="AN77" s="88"/>
      <c r="AO77" s="88"/>
      <c r="AP77" s="88"/>
      <c r="AQ77" s="88"/>
      <c r="AR77" s="88"/>
      <c r="AS77" s="88"/>
      <c r="AT77" s="88"/>
      <c r="AU77" s="88"/>
      <c r="AV77" s="88"/>
      <c r="AW77" s="88"/>
      <c r="AX77" s="88"/>
      <c r="AY77" s="88"/>
      <c r="AZ77" s="88"/>
      <c r="BA77" s="87"/>
      <c r="BB77" s="88"/>
      <c r="BC77" s="88" t="s">
        <v>177</v>
      </c>
      <c r="BD77" s="88" t="s">
        <v>799</v>
      </c>
      <c r="BE77" s="88"/>
      <c r="BF77" s="88"/>
      <c r="BG77" s="88" t="s">
        <v>799</v>
      </c>
      <c r="BH77" s="230"/>
    </row>
    <row r="78" spans="1:60" ht="15" customHeight="1">
      <c r="A78" s="88" t="s">
        <v>79</v>
      </c>
      <c r="B78" s="268">
        <f>_xlfn.XLOOKUP(WholeMarineTrainingTable[[#This Row],[Name]],RecallTable[NAME],RecallTable[MOS])</f>
        <v>1702</v>
      </c>
      <c r="C78" s="42" t="str">
        <f>_xlfn.XLOOKUP(WholeMarineTrainingTable[[#This Row],[Name]],RecallTable[NAME],RecallTable[GRADE])</f>
        <v>O2</v>
      </c>
      <c r="D78" s="248" t="s">
        <v>1169</v>
      </c>
      <c r="E78" s="543" t="str" cm="1">
        <f t="array" ref="E78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78" s="544" t="str" cm="1">
        <f t="array" aca="1" ref="F78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78" s="545" t="str" cm="1">
        <f t="array" ref="G78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78" s="546" t="str" cm="1">
        <f t="array" aca="1" ref="H78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78" s="42" t="s">
        <v>7</v>
      </c>
      <c r="J78" s="88" t="s">
        <v>7</v>
      </c>
      <c r="K78" s="8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107"/>
      <c r="W78" s="78"/>
      <c r="X78" s="87"/>
      <c r="Y78" s="78"/>
      <c r="Z78" s="78"/>
      <c r="AA78" s="78" t="s">
        <v>988</v>
      </c>
      <c r="AB78" s="78"/>
      <c r="AC78" s="78"/>
      <c r="AD78" s="78"/>
      <c r="AE78" s="78"/>
      <c r="AF78" s="78"/>
      <c r="AG78" s="78"/>
      <c r="AH78" s="78"/>
      <c r="AI78" s="78"/>
      <c r="AJ78" s="78"/>
      <c r="AK78" s="87"/>
      <c r="AL78" s="88"/>
      <c r="AM78" s="78"/>
      <c r="AN78" s="78"/>
      <c r="AO78" s="78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87" t="s">
        <v>839</v>
      </c>
      <c r="BB78" s="88" t="s">
        <v>839</v>
      </c>
      <c r="BC78" s="88" t="s">
        <v>177</v>
      </c>
      <c r="BD78" s="88" t="s">
        <v>839</v>
      </c>
      <c r="BE78" s="78"/>
      <c r="BF78" s="88"/>
      <c r="BG78" s="88" t="s">
        <v>799</v>
      </c>
      <c r="BH78" s="230"/>
    </row>
    <row r="79" spans="1:60" ht="15" customHeight="1">
      <c r="A79" s="137" t="str">
        <f>_xlfn.XLOOKUP(WholeMarineTrainingTable[[#This Row],[Name]], RecallTable[NAME], RecallTable[SECTION])</f>
        <v>HQ</v>
      </c>
      <c r="B79" s="268">
        <f>_xlfn.XLOOKUP(WholeMarineTrainingTable[[#This Row],[Name]],RecallTable[NAME],RecallTable[MOS])</f>
        <v>8999</v>
      </c>
      <c r="C79" s="42" t="str">
        <f>_xlfn.XLOOKUP(WholeMarineTrainingTable[[#This Row],[Name]],RecallTable[NAME],RecallTable[GRADE])</f>
        <v>E8</v>
      </c>
      <c r="D79" s="117" t="s">
        <v>1170</v>
      </c>
      <c r="E79" s="241" t="str" cm="1">
        <f t="array" ref="E79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79" s="42" t="str" cm="1">
        <f t="array" aca="1" ref="F79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79" s="241" t="str" cm="1">
        <f t="array" ref="G79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79" s="42" t="str" cm="1">
        <f t="array" aca="1" ref="H79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79" s="42" t="s">
        <v>7</v>
      </c>
      <c r="J79" s="88" t="s">
        <v>7</v>
      </c>
      <c r="K79" s="88" t="s">
        <v>7</v>
      </c>
      <c r="L79" s="88" t="s">
        <v>7</v>
      </c>
      <c r="M79" s="88" t="s">
        <v>7</v>
      </c>
      <c r="N79" s="88" t="s">
        <v>7</v>
      </c>
      <c r="O79" s="88" t="s">
        <v>7</v>
      </c>
      <c r="P79" s="88" t="s">
        <v>7</v>
      </c>
      <c r="Q79" s="88" t="s">
        <v>7</v>
      </c>
      <c r="R79" s="88" t="s">
        <v>7</v>
      </c>
      <c r="S79" s="88" t="s">
        <v>7</v>
      </c>
      <c r="T79" s="88"/>
      <c r="U79" s="88"/>
      <c r="V79" s="91"/>
      <c r="W79" s="429"/>
      <c r="X79" s="87"/>
      <c r="Y79" s="88"/>
      <c r="Z79" s="88"/>
      <c r="AA79" s="88" t="s">
        <v>1002</v>
      </c>
      <c r="AB79" s="88" t="s">
        <v>7</v>
      </c>
      <c r="AC79" s="88"/>
      <c r="AD79" s="88"/>
      <c r="AE79" s="88"/>
      <c r="AF79" s="88"/>
      <c r="AG79" s="88"/>
      <c r="AH79" s="88"/>
      <c r="AI79" s="88"/>
      <c r="AJ79" s="88" t="s">
        <v>996</v>
      </c>
      <c r="AK79" s="87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  <c r="AX79" s="88"/>
      <c r="AY79" s="88"/>
      <c r="AZ79" s="88"/>
      <c r="BA79" s="87" t="s">
        <v>799</v>
      </c>
      <c r="BB79" s="88"/>
      <c r="BC79" s="88" t="s">
        <v>799</v>
      </c>
      <c r="BD79" s="88" t="s">
        <v>799</v>
      </c>
      <c r="BE79" s="88"/>
      <c r="BF79" s="88"/>
      <c r="BG79" s="88" t="s">
        <v>799</v>
      </c>
      <c r="BH79" s="230"/>
    </row>
    <row r="80" spans="1:60" ht="15" customHeight="1">
      <c r="A80" s="137" t="str">
        <f>_xlfn.XLOOKUP(WholeMarineTrainingTable[[#This Row],[Name]], RecallTable[NAME], RecallTable[SECTION])</f>
        <v>HQ</v>
      </c>
      <c r="B80" s="268">
        <f>_xlfn.XLOOKUP(WholeMarineTrainingTable[[#This Row],[Name]],RecallTable[NAME],RecallTable[MOS])</f>
        <v>1721</v>
      </c>
      <c r="C80" s="42" t="str">
        <f>_xlfn.XLOOKUP(WholeMarineTrainingTable[[#This Row],[Name]],RecallTable[NAME],RecallTable[GRADE])</f>
        <v>E6</v>
      </c>
      <c r="D80" s="40" t="s">
        <v>1171</v>
      </c>
      <c r="E80" s="543" t="str" cm="1">
        <f t="array" ref="E80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80" s="544" t="str" cm="1">
        <f t="array" aca="1" ref="F80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80" s="545" cm="1">
        <f t="array" ref="G80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>45540</v>
      </c>
      <c r="H80" s="546" cm="1">
        <f t="array" aca="1" ref="H80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>142</v>
      </c>
      <c r="I80" s="88" t="s">
        <v>7</v>
      </c>
      <c r="J80" s="88" t="s">
        <v>7</v>
      </c>
      <c r="K80" s="88" t="s">
        <v>7</v>
      </c>
      <c r="L80" s="88" t="s">
        <v>7</v>
      </c>
      <c r="M80" s="88" t="s">
        <v>7</v>
      </c>
      <c r="N80" s="88" t="s">
        <v>7</v>
      </c>
      <c r="O80" s="78" t="s">
        <v>7</v>
      </c>
      <c r="P80" s="78" t="s">
        <v>176</v>
      </c>
      <c r="Q80" s="78"/>
      <c r="R80" s="78"/>
      <c r="S80" s="78"/>
      <c r="T80" s="78"/>
      <c r="U80" s="78"/>
      <c r="V80" s="107"/>
      <c r="W80" s="430"/>
      <c r="X80" s="87"/>
      <c r="Y80" s="78"/>
      <c r="Z80" s="78"/>
      <c r="AA80" s="78" t="s">
        <v>990</v>
      </c>
      <c r="AB80" s="78"/>
      <c r="AC80" s="78"/>
      <c r="AD80" s="78"/>
      <c r="AE80" s="78"/>
      <c r="AF80" s="78"/>
      <c r="AG80" s="78" t="s">
        <v>7</v>
      </c>
      <c r="AH80" s="78"/>
      <c r="AI80" s="78"/>
      <c r="AJ80" s="78"/>
      <c r="AK80" s="87" t="s">
        <v>7</v>
      </c>
      <c r="AL80" s="88"/>
      <c r="AM80" s="78"/>
      <c r="AN80" s="78"/>
      <c r="AO80" s="78"/>
      <c r="AP80" s="78"/>
      <c r="AQ80" s="78"/>
      <c r="AR80" s="78"/>
      <c r="AS80" s="78"/>
      <c r="AT80" s="78"/>
      <c r="AU80" s="78"/>
      <c r="AV80" s="78"/>
      <c r="AW80" s="78"/>
      <c r="AX80" s="78"/>
      <c r="AY80" s="78"/>
      <c r="AZ80" s="78"/>
      <c r="BA80" s="197" t="s">
        <v>799</v>
      </c>
      <c r="BB80" s="90" t="s">
        <v>799</v>
      </c>
      <c r="BC80" s="88" t="s">
        <v>177</v>
      </c>
      <c r="BD80" s="88" t="s">
        <v>839</v>
      </c>
      <c r="BE80" s="78"/>
      <c r="BF80" s="88"/>
      <c r="BG80" s="88" t="s">
        <v>839</v>
      </c>
      <c r="BH80" s="489" t="s">
        <v>1007</v>
      </c>
    </row>
    <row r="81" spans="1:60" ht="15" customHeight="1">
      <c r="A81" s="137" t="str">
        <f>_xlfn.XLOOKUP(WholeMarineTrainingTable[[#This Row],[Name]], RecallTable[NAME], RecallTable[SECTION])</f>
        <v>HQ</v>
      </c>
      <c r="B81" s="268">
        <f>_xlfn.XLOOKUP(WholeMarineTrainingTable[[#This Row],[Name]],RecallTable[NAME],RecallTable[MOS])</f>
        <v>1721</v>
      </c>
      <c r="C81" s="42" t="str">
        <f>_xlfn.XLOOKUP(WholeMarineTrainingTable[[#This Row],[Name]],RecallTable[NAME],RecallTable[GRADE])</f>
        <v>E4</v>
      </c>
      <c r="D81" s="74" t="s">
        <v>1172</v>
      </c>
      <c r="E81" s="241" t="str" cm="1">
        <f t="array" ref="E8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Row],[Grade]],PMEMatrix[Grade],PMEMatrix[Dist Months])))))</f>
        <v/>
      </c>
      <c r="F81" s="42" t="str" cm="1">
        <f t="array" aca="1" ref="F81" ca="1">IF(COUNTIF(WholeMarineTrainingTable[[#This Row],[Grade]],"*O*"),"", IF(COUNTIF(WholeMarineTrainingTable[[#This Row],[Grade]],"E8"),"", IF(_xlfn.XLOOKUP(_xlfn.XLOOKUP(WholeMarineTrainingTable[[#This Row],[Grade]],PMEMatrix[Grade],PMEMatrix[Dist]),WholeMarineTrainingTable[#Headers],WholeMarineTrainingTable[#This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Row],[Grade]],PMEMatrix[Grade],PMEMatrix[Dist Months])),TODAY()))))</f>
        <v/>
      </c>
      <c r="G81" s="241" t="str" cm="1">
        <f t="array" ref="G81">IF(COUNTIF(WholeMarineTrainingTable[[#This Row],[Grade]],"*O*"),"", IF(_xlfn.XLOOKUP(_xlfn.XLOOKUP(WholeMarineTrainingTable[[#This Row],[Grade]],PMEMatrix[Grade],PMEMatrix[Res]),WholeMarineTrainingTable[#Headers],WholeMarineTrainingTable[#This Row])="Completed","", EDATE(MAXA(_xlfn.XLOOKUP(WholeMarineTrainingTable[[#This Row],[Name]],RecallTable[NAME],RecallTable[Arrival Date]), _xlfn.XLOOKUP(WholeMarineTrainingTable[[#This Row],[Name]],RecallTable[NAME],RecallTable[DOR]), Summaries!$C$73), _xlfn.XLOOKUP(WholeMarineTrainingTable[[#This Row],[Grade]],PMEMatrix[Grade],PMEMatrix[Res Months]))))</f>
        <v/>
      </c>
      <c r="H81" s="42" t="str" cm="1">
        <f t="array" aca="1" ref="H81" ca="1">IF(COUNTIF(WholeMarineTrainingTable[[#This Row],[Grade]],"*O*"),"", IF(_xlfn.XLOOKUP(_xlfn.XLOOKUP(WholeMarineTrainingTable[[#This Row],[Grade]],PMEMatrix[Grade],PMEMatrix[Res]),WholeMarineTrainingTable[#Headers],WholeMarineTrainingTable[#This Row])="Completed","", _xlfn.DAYS(EDATE(MAXA(_xlfn.XLOOKUP(WholeMarineTrainingTable[[#This Row],[Name]],RecallTable[NAME],RecallTable[Arrival Date]),_xlfn.XLOOKUP(WholeMarineTrainingTable[[#This Row],[Name]],RecallTable[NAME],RecallTable[DOR]), Summaries!$C$73),_xlfn.XLOOKUP(WholeMarineTrainingTable[[#This Row],[Grade]],PMEMatrix[Grade],PMEMatrix[Res Months])),TODAY())))</f>
        <v/>
      </c>
      <c r="I81" s="42" t="s">
        <v>7</v>
      </c>
      <c r="J81" s="42" t="s">
        <v>7</v>
      </c>
      <c r="K81" s="88" t="s">
        <v>7</v>
      </c>
      <c r="L81" s="78" t="s">
        <v>7</v>
      </c>
      <c r="M81" s="88"/>
      <c r="N81" s="88"/>
      <c r="O81" s="88"/>
      <c r="P81" s="88"/>
      <c r="Q81" s="88"/>
      <c r="R81" s="88"/>
      <c r="S81" s="88"/>
      <c r="T81" s="88"/>
      <c r="U81" s="88"/>
      <c r="V81" s="91"/>
      <c r="W81" s="429"/>
      <c r="X81" s="87"/>
      <c r="Y81" s="88"/>
      <c r="Z81" s="88"/>
      <c r="AA81" s="88" t="s">
        <v>989</v>
      </c>
      <c r="AB81" s="88"/>
      <c r="AC81" s="88"/>
      <c r="AD81" s="88"/>
      <c r="AE81" s="88"/>
      <c r="AF81" s="88"/>
      <c r="AG81" s="88"/>
      <c r="AH81" s="88"/>
      <c r="AI81" s="88"/>
      <c r="AJ81" s="88"/>
      <c r="AK81" s="87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8"/>
      <c r="AX81" s="88" t="s">
        <v>7</v>
      </c>
      <c r="AY81" s="88"/>
      <c r="AZ81" s="88"/>
      <c r="BA81" s="87" t="s">
        <v>799</v>
      </c>
      <c r="BB81" s="88" t="s">
        <v>799</v>
      </c>
      <c r="BC81" s="88" t="s">
        <v>799</v>
      </c>
      <c r="BD81" s="88" t="s">
        <v>799</v>
      </c>
      <c r="BE81" s="88"/>
      <c r="BF81" s="88"/>
      <c r="BG81" s="88"/>
      <c r="BH81" s="230"/>
    </row>
    <row r="82" spans="1:60" ht="15" customHeight="1"/>
    <row r="83" spans="1:60" ht="15" customHeight="1"/>
    <row r="84" spans="1:60" ht="15" customHeight="1"/>
    <row r="85" spans="1:60" ht="15" customHeight="1"/>
    <row r="88" spans="1:60" ht="15" customHeight="1"/>
    <row r="89" spans="1:60" ht="15" customHeight="1"/>
    <row r="90" spans="1:60" ht="15" customHeight="1"/>
    <row r="91" spans="1:60" ht="15" customHeight="1"/>
    <row r="92" spans="1:60" ht="15" customHeight="1"/>
    <row r="93" spans="1:60" ht="15" customHeight="1"/>
    <row r="94" spans="1:60" ht="15" customHeight="1"/>
    <row r="95" spans="1:60" ht="15" customHeight="1"/>
    <row r="96" spans="1:60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048526" spans="1:1">
      <c r="A1048526" s="19" t="s">
        <v>659</v>
      </c>
    </row>
  </sheetData>
  <mergeCells count="5">
    <mergeCell ref="A1:D1"/>
    <mergeCell ref="X1:AJ1"/>
    <mergeCell ref="AK1:AZ1"/>
    <mergeCell ref="BA1:BF1"/>
    <mergeCell ref="E1:W1"/>
  </mergeCells>
  <conditionalFormatting sqref="F3:F81 H3:H81">
    <cfRule type="cellIs" dxfId="124" priority="126" operator="lessThan">
      <formula>0</formula>
    </cfRule>
  </conditionalFormatting>
  <conditionalFormatting sqref="F3:F81 H3:H81">
    <cfRule type="cellIs" dxfId="123" priority="125" operator="between">
      <formula>1</formula>
      <formula>30</formula>
    </cfRule>
  </conditionalFormatting>
  <conditionalFormatting sqref="BA3:BG81 I3:AY81">
    <cfRule type="containsText" dxfId="122" priority="12" operator="containsText" text="In Progress">
      <formula>NOT(ISERROR(SEARCH("In Progress",I3)))</formula>
    </cfRule>
  </conditionalFormatting>
  <conditionalFormatting sqref="I3:AY81">
    <cfRule type="containsText" dxfId="121" priority="11" operator="containsText" text="Completed">
      <formula>NOT(ISERROR(SEARCH("Completed",I3)))</formula>
    </cfRule>
  </conditionalFormatting>
  <conditionalFormatting sqref="I3:AY81">
    <cfRule type="containsText" dxfId="120" priority="10" operator="containsText" text="Required">
      <formula>NOT(ISERROR(SEARCH("Required",I3)))</formula>
    </cfRule>
  </conditionalFormatting>
  <conditionalFormatting sqref="I3:AY81">
    <cfRule type="containsText" dxfId="119" priority="9" operator="containsText" text="Registered">
      <formula>NOT(ISERROR(SEARCH("Registered",I3)))</formula>
    </cfRule>
  </conditionalFormatting>
  <conditionalFormatting sqref="BA3:BG81">
    <cfRule type="containsText" dxfId="118" priority="8" operator="containsText" text="Yes">
      <formula>NOT(ISERROR(SEARCH("Yes",BA3)))</formula>
    </cfRule>
  </conditionalFormatting>
  <conditionalFormatting sqref="BA3:BG81">
    <cfRule type="containsText" dxfId="117" priority="7" operator="containsText" text="No">
      <formula>NOT(ISERROR(SEARCH("No",BA3)))</formula>
    </cfRule>
  </conditionalFormatting>
  <conditionalFormatting sqref="BG3:BG81">
    <cfRule type="notContainsText" dxfId="116" priority="1" operator="notContains" text="Yes">
      <formula>ISERROR(SEARCH("Yes",BG3))</formula>
    </cfRule>
  </conditionalFormatting>
  <dataValidations count="5">
    <dataValidation type="list" showInputMessage="1" showErrorMessage="1" sqref="AB3:AI81 I3:Z81" xr:uid="{6387084B-69F9-4095-B06E-47963B79A1BD}">
      <formula1>"Required, Registered, In Progress, Completed"</formula1>
    </dataValidation>
    <dataValidation type="list" showInputMessage="1" showErrorMessage="1" sqref="AK3:AY81" xr:uid="{C9F6DD22-97E4-4196-8FE9-02FAE062997F}">
      <formula1>"Required, In Progress, Completed"</formula1>
    </dataValidation>
    <dataValidation type="list" showInputMessage="1" showErrorMessage="1" sqref="AJ3:AJ81" xr:uid="{240B1C80-D79B-4891-A9B9-0E7FDA2221C3}">
      <formula1>"Rider, Rep"</formula1>
    </dataValidation>
    <dataValidation type="list" allowBlank="1" showInputMessage="1" showErrorMessage="1" sqref="AA3:AA81" xr:uid="{7A332668-1DDA-4123-BFEA-81A37AE5889B}">
      <formula1>"Tan, Gray, Green, Brown, Black"</formula1>
    </dataValidation>
    <dataValidation type="list" allowBlank="1" showInputMessage="1" showErrorMessage="1" sqref="BC3:BC81" xr:uid="{CF5621CE-D3FF-4797-A533-385F818A5E00}">
      <formula1>"Yes, No, In Progress"</formula1>
    </dataValidation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  <pageSetUpPr fitToPage="1"/>
  </sheetPr>
  <dimension ref="A1:AG1048576"/>
  <sheetViews>
    <sheetView workbookViewId="0">
      <pane xSplit="3" topLeftCell="D1" activePane="topRight" state="frozen"/>
      <selection pane="topRight" activeCell="U61" sqref="U61"/>
    </sheetView>
  </sheetViews>
  <sheetFormatPr defaultRowHeight="15"/>
  <cols>
    <col min="1" max="1" width="10" style="19" bestFit="1" customWidth="1"/>
    <col min="2" max="2" width="8.85546875" style="31" customWidth="1"/>
    <col min="3" max="3" width="26.5703125" customWidth="1"/>
    <col min="4" max="4" width="12" bestFit="1" customWidth="1"/>
    <col min="5" max="5" width="10.85546875" bestFit="1" customWidth="1"/>
    <col min="6" max="6" width="14.28515625" bestFit="1" customWidth="1"/>
    <col min="7" max="7" width="9.85546875" style="19" bestFit="1" customWidth="1"/>
    <col min="8" max="8" width="9.140625" customWidth="1"/>
    <col min="9" max="9" width="9.85546875" hidden="1" customWidth="1"/>
    <col min="10" max="10" width="9.140625" customWidth="1"/>
    <col min="11" max="11" width="10.85546875" bestFit="1" customWidth="1"/>
    <col min="12" max="12" width="9.85546875" bestFit="1" customWidth="1"/>
    <col min="13" max="13" width="10.85546875" bestFit="1" customWidth="1"/>
    <col min="14" max="14" width="9.85546875" bestFit="1" customWidth="1"/>
    <col min="15" max="15" width="11.7109375" bestFit="1" customWidth="1"/>
    <col min="16" max="16" width="11.42578125" customWidth="1"/>
    <col min="17" max="17" width="10.5703125" bestFit="1" customWidth="1"/>
    <col min="18" max="18" width="10.5703125" style="10" bestFit="1" customWidth="1"/>
    <col min="19" max="19" width="9.85546875" bestFit="1" customWidth="1"/>
    <col min="20" max="20" width="11.42578125" style="19" bestFit="1" customWidth="1"/>
    <col min="21" max="21" width="45.42578125" bestFit="1" customWidth="1"/>
    <col min="22" max="22" width="86.28515625" customWidth="1"/>
    <col min="23" max="23" width="68.7109375" bestFit="1" customWidth="1"/>
  </cols>
  <sheetData>
    <row r="1" spans="1:33" ht="15" customHeight="1">
      <c r="A1" s="648" t="s">
        <v>1009</v>
      </c>
      <c r="B1" s="648"/>
      <c r="C1" s="648"/>
      <c r="D1" s="648"/>
      <c r="E1" s="648"/>
      <c r="F1" s="648"/>
      <c r="G1" s="648"/>
      <c r="H1" s="648"/>
      <c r="I1" s="648"/>
      <c r="J1" s="648"/>
      <c r="K1" s="648"/>
      <c r="L1" s="648"/>
      <c r="M1" s="648"/>
      <c r="N1" s="648"/>
      <c r="O1" s="648"/>
      <c r="P1" s="648"/>
      <c r="Q1" s="648"/>
      <c r="R1" s="428"/>
      <c r="S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spans="1:33">
      <c r="A2" s="537" t="s">
        <v>195</v>
      </c>
      <c r="B2" s="32" t="s">
        <v>248</v>
      </c>
      <c r="C2" s="19" t="s">
        <v>155</v>
      </c>
      <c r="D2" s="19" t="s">
        <v>229</v>
      </c>
      <c r="E2" s="19" t="s">
        <v>13</v>
      </c>
      <c r="F2" s="19" t="s">
        <v>207</v>
      </c>
      <c r="G2" s="19" t="s">
        <v>208</v>
      </c>
      <c r="H2" s="17" t="s">
        <v>211</v>
      </c>
      <c r="I2" s="17" t="s">
        <v>1010</v>
      </c>
      <c r="J2" s="17" t="s">
        <v>212</v>
      </c>
      <c r="K2" s="19" t="s">
        <v>214</v>
      </c>
      <c r="L2" s="19" t="s">
        <v>197</v>
      </c>
      <c r="M2" s="19" t="s">
        <v>198</v>
      </c>
      <c r="N2" s="19" t="s">
        <v>199</v>
      </c>
      <c r="O2" s="19" t="s">
        <v>200</v>
      </c>
      <c r="P2" s="19" t="s">
        <v>201</v>
      </c>
      <c r="Q2" s="19" t="s">
        <v>202</v>
      </c>
      <c r="R2" s="19" t="s">
        <v>203</v>
      </c>
      <c r="S2" s="19" t="s">
        <v>204</v>
      </c>
      <c r="T2" s="19" t="s">
        <v>205</v>
      </c>
      <c r="U2" s="428" t="s">
        <v>899</v>
      </c>
      <c r="V2" s="19" t="s">
        <v>1011</v>
      </c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spans="1:33">
      <c r="A3" s="16" t="str">
        <f>_xlfn.XLOOKUP(HitlistTable[[#This Row],[Name]], RecallTable[NAME], RecallTable[SECTION])</f>
        <v>1PLT</v>
      </c>
      <c r="B3" s="47" t="str">
        <f>_xlfn.XLOOKUP(HitlistTable[[#This Row],[Name]],RecallTable[NAME],RecallTable[GRADE])</f>
        <v>O2</v>
      </c>
      <c r="C3" s="19" t="s">
        <v>1094</v>
      </c>
      <c r="D3" s="428">
        <f>_xlfn.XLOOKUP(HitlistTable[[#This Row],[Name]],RecallTable[NAME],RecallTable[EDIPI])</f>
        <v>4741999075</v>
      </c>
      <c r="E3" s="56" t="str">
        <f>IF(ISTEXT(_xlfn.XLOOKUP(HitlistTable[[#This Row],[Name]],DutyStatusTable[Name],DutyStatusTable[Duty Status])),_xlfn.XLOOKUP(HitlistTable[[#This Row],[Name]],DutyStatusTable[Name],DutyStatusTable[Duty Status]),"")</f>
        <v>LIMDU</v>
      </c>
      <c r="F3" s="537"/>
      <c r="G3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3" s="18"/>
      <c r="I3" s="18"/>
      <c r="J3" s="18"/>
      <c r="K3" s="537"/>
      <c r="L3" s="27"/>
      <c r="M3" s="537">
        <v>20231016</v>
      </c>
      <c r="N3" s="537">
        <v>20240114</v>
      </c>
      <c r="O3" s="537"/>
      <c r="P3" s="537">
        <v>20230926</v>
      </c>
      <c r="Q3" s="537"/>
      <c r="R3" s="537">
        <v>20230312</v>
      </c>
      <c r="S3" s="537"/>
      <c r="T3" s="16">
        <v>20231022</v>
      </c>
      <c r="U3" s="428"/>
      <c r="V3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Audio: 20231016, Blood/HIV: 20240114, PHA: 20230926, Flu: 20231022, </v>
      </c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</row>
    <row r="4" spans="1:33">
      <c r="A4" s="16" t="str">
        <f>_xlfn.XLOOKUP(HitlistTable[[#This Row],[Name]], RecallTable[NAME], RecallTable[SECTION])</f>
        <v>1PLT</v>
      </c>
      <c r="B4" s="47" t="str">
        <f>_xlfn.XLOOKUP(HitlistTable[[#This Row],[Name]],RecallTable[NAME],RecallTable[GRADE])</f>
        <v>E7</v>
      </c>
      <c r="C4" s="43" t="s">
        <v>1095</v>
      </c>
      <c r="D4" s="428">
        <f>_xlfn.XLOOKUP(HitlistTable[[#This Row],[Name]],RecallTable[NAME],RecallTable[EDIPI])</f>
        <v>1538999384</v>
      </c>
      <c r="E4" s="40" t="str">
        <f>IF(ISTEXT(_xlfn.XLOOKUP(HitlistTable[[#This Row],[Name]],DutyStatusTable[Name],DutyStatusTable[Duty Status])),_xlfn.XLOOKUP(HitlistTable[[#This Row],[Name]],DutyStatusTable[Name],DutyStatusTable[Duty Status]),"")</f>
        <v>LIMDU</v>
      </c>
      <c r="F4" s="16"/>
      <c r="G4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4" s="28">
        <v>20230810</v>
      </c>
      <c r="I4" s="28" t="s">
        <v>939</v>
      </c>
      <c r="J4" s="28"/>
      <c r="K4" s="16"/>
      <c r="L4" s="38">
        <v>20240111</v>
      </c>
      <c r="M4" s="26">
        <v>20230801</v>
      </c>
      <c r="N4" s="26"/>
      <c r="O4" s="26"/>
      <c r="P4" s="26">
        <v>20230622</v>
      </c>
      <c r="Q4" s="26"/>
      <c r="R4" s="16"/>
      <c r="S4" s="16"/>
      <c r="T4" s="16">
        <v>20231022</v>
      </c>
      <c r="U4" s="52"/>
      <c r="V4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20240111, Audio: 20230801, PHA: 20230622, Flu: 20231022, </v>
      </c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spans="1:33">
      <c r="A5" s="16" t="str">
        <f>_xlfn.XLOOKUP(HitlistTable[[#This Row],[Name]], RecallTable[NAME], RecallTable[SECTION])</f>
        <v>1PLT</v>
      </c>
      <c r="B5" s="47" t="str">
        <f>_xlfn.XLOOKUP(HitlistTable[[#This Row],[Name]],RecallTable[NAME],RecallTable[GRADE])</f>
        <v>E6</v>
      </c>
      <c r="C5" s="46" t="s">
        <v>1096</v>
      </c>
      <c r="D5" s="428">
        <f>_xlfn.XLOOKUP(HitlistTable[[#This Row],[Name]],RecallTable[NAME],RecallTable[EDIPI])</f>
        <v>1160110691</v>
      </c>
      <c r="E5" s="56" t="str">
        <f>IF(ISTEXT(_xlfn.XLOOKUP(HitlistTable[[#This Row],[Name]],DutyStatusTable[Name],DutyStatusTable[Duty Status])),_xlfn.XLOOKUP(HitlistTable[[#This Row],[Name]],DutyStatusTable[Name],DutyStatusTable[Duty Status]),"")</f>
        <v>LIGHT</v>
      </c>
      <c r="F5" s="537"/>
      <c r="G5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5" s="18">
        <v>20240404</v>
      </c>
      <c r="I5" s="18"/>
      <c r="J5" s="18"/>
      <c r="K5" s="537"/>
      <c r="L5" s="27"/>
      <c r="M5" s="537"/>
      <c r="N5" s="537"/>
      <c r="O5" s="537"/>
      <c r="P5" s="537"/>
      <c r="Q5" s="537"/>
      <c r="R5" s="537"/>
      <c r="S5" s="537"/>
      <c r="T5" s="537"/>
      <c r="U5" s="428"/>
      <c r="V5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/>
      </c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spans="1:33" ht="15.75" customHeight="1">
      <c r="A6" s="16" t="str">
        <f>_xlfn.XLOOKUP(HitlistTable[[#This Row],[Name]], RecallTable[NAME], RecallTable[SECTION])</f>
        <v>1PLT</v>
      </c>
      <c r="B6" s="47" t="str">
        <f>_xlfn.XLOOKUP(HitlistTable[[#This Row],[Name]],RecallTable[NAME],RecallTable[GRADE])</f>
        <v>E6</v>
      </c>
      <c r="C6" s="19" t="s">
        <v>1097</v>
      </c>
      <c r="D6" s="428">
        <f>_xlfn.XLOOKUP(HitlistTable[[#This Row],[Name]],RecallTable[NAME],RecallTable[EDIPI])</f>
        <v>1520074788</v>
      </c>
      <c r="E6" s="56" t="str">
        <f>IF(ISTEXT(_xlfn.XLOOKUP(HitlistTable[[#This Row],[Name]],DutyStatusTable[Name],DutyStatusTable[Duty Status])),_xlfn.XLOOKUP(HitlistTable[[#This Row],[Name]],DutyStatusTable[Name],DutyStatusTable[Duty Status]),"")</f>
        <v>LIMDU</v>
      </c>
      <c r="F6" s="537"/>
      <c r="G6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6" s="18"/>
      <c r="I6" s="18"/>
      <c r="J6" s="18"/>
      <c r="K6" s="537"/>
      <c r="L6" s="27"/>
      <c r="M6" s="537">
        <v>20231116</v>
      </c>
      <c r="N6" s="537">
        <v>20231129</v>
      </c>
      <c r="O6" s="537"/>
      <c r="P6" s="16">
        <v>20240320</v>
      </c>
      <c r="Q6" s="537"/>
      <c r="R6" s="537"/>
      <c r="S6" s="537"/>
      <c r="T6" s="537">
        <v>20231022</v>
      </c>
      <c r="U6" s="428" t="s">
        <v>1012</v>
      </c>
      <c r="V6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Audio: 20231116, Blood/HIV: 20231129, PHA: 20240320, Flu: 20231022, 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spans="1:33">
      <c r="A7" s="16" t="str">
        <f>_xlfn.XLOOKUP(HitlistTable[[#This Row],[Name]], RecallTable[NAME], RecallTable[SECTION])</f>
        <v>1PLT</v>
      </c>
      <c r="B7" s="47" t="str">
        <f>_xlfn.XLOOKUP(HitlistTable[[#This Row],[Name]],RecallTable[NAME],RecallTable[GRADE])</f>
        <v>E5</v>
      </c>
      <c r="C7" s="21" t="s">
        <v>1098</v>
      </c>
      <c r="D7" s="428">
        <f>_xlfn.XLOOKUP(HitlistTable[[#This Row],[Name]],RecallTable[NAME],RecallTable[EDIPI])</f>
        <v>1220711349</v>
      </c>
      <c r="E7" s="40" t="str">
        <f>IF(ISTEXT(_xlfn.XLOOKUP(HitlistTable[[#This Row],[Name]],DutyStatusTable[Name],DutyStatusTable[Duty Status])),_xlfn.XLOOKUP(HitlistTable[[#This Row],[Name]],DutyStatusTable[Name],DutyStatusTable[Duty Status]),"")</f>
        <v>LIGHT</v>
      </c>
      <c r="F7" s="26"/>
      <c r="G7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7" s="28"/>
      <c r="I7" s="28">
        <v>20230725</v>
      </c>
      <c r="J7" s="42"/>
      <c r="K7" s="16" t="s">
        <v>939</v>
      </c>
      <c r="L7" s="29">
        <v>20240125</v>
      </c>
      <c r="M7" s="26">
        <v>20230412</v>
      </c>
      <c r="N7" s="26"/>
      <c r="O7" s="16"/>
      <c r="P7" s="16">
        <v>20230607</v>
      </c>
      <c r="Q7" s="16"/>
      <c r="R7" s="16"/>
      <c r="S7" s="16"/>
      <c r="T7" s="16">
        <v>20231102</v>
      </c>
      <c r="U7" s="30" t="s">
        <v>1012</v>
      </c>
      <c r="V7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20240125, Audio: 20230412, PHA: 20230607, Flu: 20231102, </v>
      </c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spans="1:33" s="19" customFormat="1">
      <c r="A8" s="16" t="str">
        <f>_xlfn.XLOOKUP(HitlistTable[[#This Row],[Name]], RecallTable[NAME], RecallTable[SECTION])</f>
        <v>1PLT</v>
      </c>
      <c r="B8" s="47" t="str">
        <f>_xlfn.XLOOKUP(HitlistTable[[#This Row],[Name]],RecallTable[NAME],RecallTable[GRADE])</f>
        <v>E5</v>
      </c>
      <c r="C8" s="21" t="s">
        <v>1099</v>
      </c>
      <c r="D8" s="428">
        <f>_xlfn.XLOOKUP(HitlistTable[[#This Row],[Name]],RecallTable[NAME],RecallTable[EDIPI])</f>
        <v>1534568011</v>
      </c>
      <c r="E8" s="40" t="str">
        <f>IF(ISTEXT(_xlfn.XLOOKUP(HitlistTable[[#This Row],[Name]],DutyStatusTable[Name],DutyStatusTable[Duty Status])),_xlfn.XLOOKUP(HitlistTable[[#This Row],[Name]],DutyStatusTable[Name],DutyStatusTable[Duty Status]),"")</f>
        <v>LIGHT</v>
      </c>
      <c r="F8" s="537"/>
      <c r="G8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8" s="18"/>
      <c r="I8" s="28">
        <v>20230725</v>
      </c>
      <c r="J8" s="18"/>
      <c r="K8" s="537"/>
      <c r="L8" s="27">
        <v>20240118</v>
      </c>
      <c r="M8" s="537">
        <v>20231017</v>
      </c>
      <c r="N8" s="537"/>
      <c r="O8" s="537"/>
      <c r="P8" s="537">
        <v>20240209</v>
      </c>
      <c r="Q8" s="537"/>
      <c r="R8" s="537"/>
      <c r="S8" s="537"/>
      <c r="T8" s="537">
        <v>20231102</v>
      </c>
      <c r="U8" s="428" t="s">
        <v>1012</v>
      </c>
      <c r="V8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20240118, Audio: 20231017, PHA: 20240209, Flu: 20231102, </v>
      </c>
    </row>
    <row r="9" spans="1:33">
      <c r="A9" s="16" t="str">
        <f>_xlfn.XLOOKUP(HitlistTable[[#This Row],[Name]], RecallTable[NAME], RecallTable[SECTION])</f>
        <v>1PLT</v>
      </c>
      <c r="B9" s="47" t="str">
        <f>_xlfn.XLOOKUP(HitlistTable[[#This Row],[Name]],RecallTable[NAME],RecallTable[GRADE])</f>
        <v>E5</v>
      </c>
      <c r="C9" s="316" t="s">
        <v>1100</v>
      </c>
      <c r="D9" s="428">
        <f>_xlfn.XLOOKUP(HitlistTable[[#This Row],[Name]],RecallTable[NAME],RecallTable[EDIPI])</f>
        <v>1418134206</v>
      </c>
      <c r="E9" s="40" t="str">
        <f>IF(ISTEXT(_xlfn.XLOOKUP(HitlistTable[[#This Row],[Name]],DutyStatusTable[Name],DutyStatusTable[Duty Status])),_xlfn.XLOOKUP(HitlistTable[[#This Row],[Name]],DutyStatusTable[Name],DutyStatusTable[Duty Status]),"")</f>
        <v>LIMDU</v>
      </c>
      <c r="F9" s="537"/>
      <c r="G9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9" s="18"/>
      <c r="I9" s="28" t="s">
        <v>939</v>
      </c>
      <c r="J9" s="18"/>
      <c r="K9" s="537">
        <v>20240227</v>
      </c>
      <c r="L9" s="27"/>
      <c r="M9" s="537">
        <v>20230801</v>
      </c>
      <c r="N9" s="537">
        <v>20230801</v>
      </c>
      <c r="O9" s="537"/>
      <c r="P9" s="537">
        <v>20230801</v>
      </c>
      <c r="Q9" s="537"/>
      <c r="R9" s="537">
        <v>20240201</v>
      </c>
      <c r="S9" s="537"/>
      <c r="T9" s="537">
        <v>20231102</v>
      </c>
      <c r="U9" s="428"/>
      <c r="V9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Audio: 20230801, Blood/HIV: 20230801, PHA: 20230801, Flu: 20231102, </v>
      </c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spans="1:33">
      <c r="A10" s="16" t="str">
        <f>_xlfn.XLOOKUP(HitlistTable[[#This Row],[Name]], RecallTable[NAME], RecallTable[SECTION])</f>
        <v>1PLT</v>
      </c>
      <c r="B10" s="47" t="str">
        <f>_xlfn.XLOOKUP(HitlistTable[[#This Row],[Name]],RecallTable[NAME],RecallTable[GRADE])</f>
        <v>E4</v>
      </c>
      <c r="C10" s="22" t="s">
        <v>1101</v>
      </c>
      <c r="D10" s="428">
        <f>_xlfn.XLOOKUP(HitlistTable[[#This Row],[Name]],RecallTable[NAME],RecallTable[EDIPI])</f>
        <v>1007476454</v>
      </c>
      <c r="E10" s="40" t="str">
        <f>IF(ISTEXT(_xlfn.XLOOKUP(HitlistTable[[#This Row],[Name]],DutyStatusTable[Name],DutyStatusTable[Duty Status])),_xlfn.XLOOKUP(HitlistTable[[#This Row],[Name]],DutyStatusTable[Name],DutyStatusTable[Duty Status]),"")</f>
        <v>LIGHT</v>
      </c>
      <c r="F10" s="537"/>
      <c r="G10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10" s="18">
        <v>20231003</v>
      </c>
      <c r="I10" s="28">
        <v>20230725</v>
      </c>
      <c r="J10" s="59">
        <v>20230808</v>
      </c>
      <c r="K10" s="537"/>
      <c r="L10" s="27"/>
      <c r="M10" s="537">
        <v>20240320</v>
      </c>
      <c r="N10" s="537">
        <v>20230913</v>
      </c>
      <c r="O10" s="537"/>
      <c r="P10" s="537">
        <v>20230717</v>
      </c>
      <c r="Q10" s="537"/>
      <c r="R10" s="537"/>
      <c r="S10" s="537"/>
      <c r="T10" s="537">
        <v>20231016</v>
      </c>
      <c r="U10" s="428"/>
      <c r="V10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Audio: 20240320, Blood/HIV: 20230913, PHA: 20230717, Flu: 20231016, </v>
      </c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spans="1:33">
      <c r="A11" s="16" t="s">
        <v>108</v>
      </c>
      <c r="B11" s="47" t="str">
        <f>_xlfn.XLOOKUP(HitlistTable[[#This Row],[Name]],RecallTable[NAME],RecallTable[GRADE])</f>
        <v>E4</v>
      </c>
      <c r="C11" s="56" t="s">
        <v>1102</v>
      </c>
      <c r="D11" s="428">
        <f>_xlfn.XLOOKUP(HitlistTable[[#This Row],[Name]],RecallTable[NAME],RecallTable[EDIPI])</f>
        <v>1245991266</v>
      </c>
      <c r="E11" s="56" t="str">
        <f>IF(ISTEXT(_xlfn.XLOOKUP(HitlistTable[[#This Row],[Name]],DutyStatusTable[Name],DutyStatusTable[Duty Status])),_xlfn.XLOOKUP(HitlistTable[[#This Row],[Name]],DutyStatusTable[Name],DutyStatusTable[Duty Status]),"")</f>
        <v>LIGHT</v>
      </c>
      <c r="F11" s="537"/>
      <c r="G11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11" s="18"/>
      <c r="I11" s="18"/>
      <c r="J11" s="18"/>
      <c r="K11" s="537"/>
      <c r="L11" s="27"/>
      <c r="M11" s="537"/>
      <c r="N11" s="537"/>
      <c r="O11" s="537"/>
      <c r="P11" s="537">
        <v>20240124</v>
      </c>
      <c r="Q11" s="537"/>
      <c r="R11" s="537"/>
      <c r="S11" s="537"/>
      <c r="T11" s="537"/>
      <c r="U11" s="428"/>
      <c r="V11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PHA: 20240124, </v>
      </c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spans="1:33" s="19" customFormat="1">
      <c r="A12" s="16" t="str">
        <f>_xlfn.XLOOKUP(HitlistTable[[#This Row],[Name]], RecallTable[NAME], RecallTable[SECTION])</f>
        <v>1PLT</v>
      </c>
      <c r="B12" s="47" t="str">
        <f>_xlfn.XLOOKUP(HitlistTable[[#This Row],[Name]],RecallTable[NAME],RecallTable[GRADE])</f>
        <v>E4</v>
      </c>
      <c r="C12" s="9" t="s">
        <v>1103</v>
      </c>
      <c r="D12" s="428">
        <f>_xlfn.XLOOKUP(HitlistTable[[#This Row],[Name]],RecallTable[NAME],RecallTable[EDIPI])</f>
        <v>1019647482</v>
      </c>
      <c r="E12" s="56" t="str">
        <f>IF(ISTEXT(_xlfn.XLOOKUP(HitlistTable[[#This Row],[Name]],DutyStatusTable[Name],DutyStatusTable[Duty Status])),_xlfn.XLOOKUP(HitlistTable[[#This Row],[Name]],DutyStatusTable[Name],DutyStatusTable[Duty Status]),"")</f>
        <v>SIQ</v>
      </c>
      <c r="F12" s="537"/>
      <c r="G12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12" s="18"/>
      <c r="I12" s="18"/>
      <c r="J12" s="18"/>
      <c r="K12" s="537"/>
      <c r="L12" s="27">
        <v>20240321</v>
      </c>
      <c r="M12" s="537"/>
      <c r="N12" s="537"/>
      <c r="O12" s="537"/>
      <c r="P12" s="537">
        <v>20231201</v>
      </c>
      <c r="Q12" s="537"/>
      <c r="R12" s="537">
        <v>20240122</v>
      </c>
      <c r="S12" s="537"/>
      <c r="T12" s="537">
        <v>20231102</v>
      </c>
      <c r="U12" s="428"/>
      <c r="V12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20240321, PHA: 20231201, Flu: 20231102, </v>
      </c>
    </row>
    <row r="13" spans="1:33">
      <c r="A13" s="16" t="str">
        <f>_xlfn.XLOOKUP(HitlistTable[[#This Row],[Name]], RecallTable[NAME], RecallTable[SECTION])</f>
        <v>1PLT</v>
      </c>
      <c r="B13" s="47" t="str">
        <f>_xlfn.XLOOKUP(HitlistTable[[#This Row],[Name]],RecallTable[NAME],RecallTable[GRADE])</f>
        <v>E4</v>
      </c>
      <c r="C13" s="113" t="s">
        <v>1104</v>
      </c>
      <c r="D13" s="428">
        <f>_xlfn.XLOOKUP(HitlistTable[[#This Row],[Name]],RecallTable[NAME],RecallTable[EDIPI])</f>
        <v>1216965036</v>
      </c>
      <c r="E13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13" s="537"/>
      <c r="G13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13" s="18">
        <v>20230915</v>
      </c>
      <c r="I13" s="28" t="s">
        <v>939</v>
      </c>
      <c r="J13" s="18"/>
      <c r="K13" s="537">
        <v>20240328</v>
      </c>
      <c r="L13" s="27"/>
      <c r="M13" s="537">
        <v>20230907</v>
      </c>
      <c r="N13" s="537"/>
      <c r="O13" s="537"/>
      <c r="P13" s="537">
        <v>20230918</v>
      </c>
      <c r="Q13" s="537"/>
      <c r="R13" s="537"/>
      <c r="S13" s="537"/>
      <c r="T13" s="537">
        <v>20231016</v>
      </c>
      <c r="U13" s="428"/>
      <c r="V13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Audio: 20230907, PHA: 20230918, Flu: 20231016, 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spans="1:33" s="19" customFormat="1">
      <c r="A14" s="16" t="str">
        <f>_xlfn.XLOOKUP(HitlistTable[[#This Row],[Name]], RecallTable[NAME], RecallTable[SECTION])</f>
        <v>1PLT</v>
      </c>
      <c r="B14" s="47" t="str">
        <f>_xlfn.XLOOKUP(HitlistTable[[#This Row],[Name]],RecallTable[NAME],RecallTable[GRADE])</f>
        <v>E4</v>
      </c>
      <c r="C14" s="9" t="s">
        <v>1105</v>
      </c>
      <c r="D14" s="428">
        <f>_xlfn.XLOOKUP(HitlistTable[[#This Row],[Name]],RecallTable[NAME],RecallTable[EDIPI])</f>
        <v>1014426852</v>
      </c>
      <c r="E14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14" s="537"/>
      <c r="G14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14" s="18">
        <v>20230518</v>
      </c>
      <c r="I14" s="28" t="s">
        <v>939</v>
      </c>
      <c r="J14" s="18"/>
      <c r="K14" s="537"/>
      <c r="L14" s="27"/>
      <c r="M14" s="537">
        <v>20230720</v>
      </c>
      <c r="N14" s="15">
        <v>20230606</v>
      </c>
      <c r="O14" s="15"/>
      <c r="P14" s="26">
        <v>20230524</v>
      </c>
      <c r="Q14" s="537"/>
      <c r="R14" s="537"/>
      <c r="S14" s="537"/>
      <c r="T14" s="537">
        <v>20231102</v>
      </c>
      <c r="U14" s="428"/>
      <c r="V14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Audio: 20230720, Blood/HIV: 20230606, PHA: 20230524, Flu: 20231102, </v>
      </c>
    </row>
    <row r="15" spans="1:33" s="19" customFormat="1">
      <c r="A15" s="16" t="str">
        <f>_xlfn.XLOOKUP(HitlistTable[[#This Row],[Name]], RecallTable[NAME], RecallTable[SECTION])</f>
        <v>1PLT</v>
      </c>
      <c r="B15" s="47" t="str">
        <f>_xlfn.XLOOKUP(HitlistTable[[#This Row],[Name]],RecallTable[NAME],RecallTable[GRADE])</f>
        <v>E4</v>
      </c>
      <c r="C15" s="9" t="s">
        <v>1106</v>
      </c>
      <c r="D15" s="428">
        <f>_xlfn.XLOOKUP(HitlistTable[[#This Row],[Name]],RecallTable[NAME],RecallTable[EDIPI])</f>
        <v>1342870108</v>
      </c>
      <c r="E15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15" s="537"/>
      <c r="G15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15" s="18"/>
      <c r="I15" s="28">
        <v>20230727</v>
      </c>
      <c r="J15" s="18"/>
      <c r="K15" s="537"/>
      <c r="L15" s="27">
        <v>20240227</v>
      </c>
      <c r="M15" s="537">
        <v>202307017</v>
      </c>
      <c r="N15" s="15">
        <v>20230414</v>
      </c>
      <c r="O15" s="15"/>
      <c r="P15" s="15">
        <v>20230715</v>
      </c>
      <c r="Q15" s="537"/>
      <c r="R15" s="537"/>
      <c r="S15" s="537"/>
      <c r="T15" s="537">
        <v>20231117</v>
      </c>
      <c r="U15" s="428"/>
      <c r="V15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20240227, Audio: 202307017, Blood/HIV: 20230414, PHA: 20230715, Flu: 20231117, </v>
      </c>
    </row>
    <row r="16" spans="1:33" s="19" customFormat="1">
      <c r="A16" s="16" t="str">
        <f>_xlfn.XLOOKUP(HitlistTable[[#This Row],[Name]], RecallTable[NAME], RecallTable[SECTION])</f>
        <v>1PLT</v>
      </c>
      <c r="B16" s="47" t="str">
        <f>_xlfn.XLOOKUP(HitlistTable[[#This Row],[Name]],RecallTable[NAME],RecallTable[GRADE])</f>
        <v>E4</v>
      </c>
      <c r="C16" s="21" t="s">
        <v>1107</v>
      </c>
      <c r="D16" s="428">
        <f>_xlfn.XLOOKUP(HitlistTable[[#This Row],[Name]],RecallTable[NAME],RecallTable[EDIPI])</f>
        <v>1563539788</v>
      </c>
      <c r="E16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16" s="26"/>
      <c r="G16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16" s="28"/>
      <c r="I16" s="28" t="s">
        <v>939</v>
      </c>
      <c r="J16" s="28"/>
      <c r="K16" s="16">
        <v>20240227</v>
      </c>
      <c r="L16" s="537"/>
      <c r="M16" s="16">
        <v>20230228</v>
      </c>
      <c r="N16" s="16">
        <v>20230228</v>
      </c>
      <c r="O16" s="16"/>
      <c r="P16" s="16">
        <v>20240205</v>
      </c>
      <c r="Q16" s="16"/>
      <c r="R16" s="16"/>
      <c r="S16" s="16"/>
      <c r="T16" s="16">
        <v>20231102</v>
      </c>
      <c r="U16" s="30"/>
      <c r="V16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Audio: 20230228, Blood/HIV: 20230228, PHA: 20240205, Flu: 20231102, </v>
      </c>
    </row>
    <row r="17" spans="1:33">
      <c r="A17" s="16" t="str">
        <f>_xlfn.XLOOKUP(HitlistTable[[#This Row],[Name]], RecallTable[NAME], RecallTable[SECTION])</f>
        <v>1PLT</v>
      </c>
      <c r="B17" s="47" t="str">
        <f>_xlfn.XLOOKUP(HitlistTable[[#This Row],[Name]],RecallTable[NAME],RecallTable[GRADE])</f>
        <v>E3</v>
      </c>
      <c r="C17" s="9" t="s">
        <v>1108</v>
      </c>
      <c r="D17" s="428">
        <f>_xlfn.XLOOKUP(HitlistTable[[#This Row],[Name]],RecallTable[NAME],RecallTable[EDIPI])</f>
        <v>1243619874</v>
      </c>
      <c r="E17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17" s="537"/>
      <c r="G17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17" s="18"/>
      <c r="I17" s="18"/>
      <c r="J17" s="18"/>
      <c r="K17" s="537"/>
      <c r="L17" s="27"/>
      <c r="M17" s="537">
        <v>20231117</v>
      </c>
      <c r="N17" s="537"/>
      <c r="O17" s="537"/>
      <c r="P17" s="537">
        <v>20231115</v>
      </c>
      <c r="Q17" s="537"/>
      <c r="R17" s="537"/>
      <c r="S17" s="537"/>
      <c r="T17" s="537">
        <v>20231023</v>
      </c>
      <c r="U17" s="428" t="s">
        <v>1012</v>
      </c>
      <c r="V17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Audio: 20231117, PHA: 20231115, Flu: 20231023, 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spans="1:33" s="19" customFormat="1">
      <c r="A18" s="16" t="s">
        <v>108</v>
      </c>
      <c r="B18" s="47" t="str">
        <f>_xlfn.XLOOKUP(HitlistTable[[#This Row],[Name]],RecallTable[NAME],RecallTable[GRADE])</f>
        <v>O2</v>
      </c>
      <c r="C18" s="9" t="s">
        <v>1109</v>
      </c>
      <c r="D18" s="428">
        <f>_xlfn.XLOOKUP(HitlistTable[[#This Row],[Name]],RecallTable[NAME],RecallTable[EDIPI])</f>
        <v>1204889319</v>
      </c>
      <c r="E18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18" s="537"/>
      <c r="G18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18" s="18"/>
      <c r="I18" s="18"/>
      <c r="J18" s="18"/>
      <c r="K18" s="537"/>
      <c r="L18" s="27"/>
      <c r="M18" s="537"/>
      <c r="N18" s="537"/>
      <c r="O18" s="537"/>
      <c r="P18" s="537">
        <v>20240131</v>
      </c>
      <c r="Q18" s="537"/>
      <c r="R18" s="537"/>
      <c r="S18" s="537"/>
      <c r="T18" s="537"/>
      <c r="U18" s="428"/>
      <c r="V18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PHA: 20240131, </v>
      </c>
    </row>
    <row r="19" spans="1:33">
      <c r="A19" s="16" t="str">
        <f>_xlfn.XLOOKUP(HitlistTable[[#This Row],[Name]], RecallTable[NAME], RecallTable[SECTION])</f>
        <v>2PLT</v>
      </c>
      <c r="B19" s="47" t="str">
        <f>_xlfn.XLOOKUP(HitlistTable[[#This Row],[Name]],RecallTable[NAME],RecallTable[GRADE])</f>
        <v>E7</v>
      </c>
      <c r="C19" s="21" t="s">
        <v>1110</v>
      </c>
      <c r="D19" s="428">
        <f>_xlfn.XLOOKUP(HitlistTable[[#This Row],[Name]],RecallTable[NAME],RecallTable[EDIPI])</f>
        <v>1598039312</v>
      </c>
      <c r="E19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19" s="537"/>
      <c r="G19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19" s="18">
        <v>20240404</v>
      </c>
      <c r="I19" s="28">
        <v>20230725</v>
      </c>
      <c r="J19" s="18"/>
      <c r="K19" s="537"/>
      <c r="L19" s="27">
        <v>20240311</v>
      </c>
      <c r="M19" s="537"/>
      <c r="N19" s="537"/>
      <c r="O19" s="537"/>
      <c r="P19" s="537">
        <v>20230612</v>
      </c>
      <c r="Q19" s="537"/>
      <c r="R19" s="121"/>
      <c r="S19" s="121"/>
      <c r="T19" s="360">
        <v>20231102</v>
      </c>
      <c r="U19" s="77"/>
      <c r="V19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20240311, PHA: 20230612, Flu: 20231102, 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33">
      <c r="A20" s="16" t="str">
        <f>_xlfn.XLOOKUP(HitlistTable[[#This Row],[Name]], RecallTable[NAME], RecallTable[SECTION])</f>
        <v>2PLT</v>
      </c>
      <c r="B20" s="47" t="str">
        <f>_xlfn.XLOOKUP(HitlistTable[[#This Row],[Name]],RecallTable[NAME],RecallTable[GRADE])</f>
        <v>E6</v>
      </c>
      <c r="C20" s="9" t="s">
        <v>1111</v>
      </c>
      <c r="D20" s="428">
        <f>_xlfn.XLOOKUP(HitlistTable[[#This Row],[Name]],RecallTable[NAME],RecallTable[EDIPI])</f>
        <v>1057200841</v>
      </c>
      <c r="E20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20" s="537"/>
      <c r="G20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20" s="18">
        <v>20231019</v>
      </c>
      <c r="I20" s="18"/>
      <c r="J20" s="18"/>
      <c r="K20" s="537"/>
      <c r="L20" s="27"/>
      <c r="M20" s="537">
        <v>20240227</v>
      </c>
      <c r="N20" s="537"/>
      <c r="O20" s="537"/>
      <c r="P20" s="537"/>
      <c r="Q20" s="537"/>
      <c r="R20" s="537"/>
      <c r="S20" s="537"/>
      <c r="T20" s="537">
        <v>20231102</v>
      </c>
      <c r="U20" s="428"/>
      <c r="V20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Audio: 20240227, Flu: 20231102, 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s="19" customFormat="1">
      <c r="A21" s="16" t="str">
        <f>_xlfn.XLOOKUP(HitlistTable[[#This Row],[Name]], RecallTable[NAME], RecallTable[SECTION])</f>
        <v>2PLT</v>
      </c>
      <c r="B21" s="47" t="str">
        <f>_xlfn.XLOOKUP(HitlistTable[[#This Row],[Name]],RecallTable[NAME],RecallTable[GRADE])</f>
        <v>E6</v>
      </c>
      <c r="C21" s="21" t="s">
        <v>1112</v>
      </c>
      <c r="D21" s="428">
        <f>_xlfn.XLOOKUP(HitlistTable[[#This Row],[Name]],RecallTable[NAME],RecallTable[EDIPI])</f>
        <v>1605838371</v>
      </c>
      <c r="E21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21" s="537"/>
      <c r="G21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21" s="18"/>
      <c r="I21" s="28">
        <v>20230725</v>
      </c>
      <c r="J21" s="18"/>
      <c r="K21" s="537"/>
      <c r="L21" s="27"/>
      <c r="M21" s="537">
        <v>20230720</v>
      </c>
      <c r="N21" s="537"/>
      <c r="O21" s="537"/>
      <c r="P21" s="537"/>
      <c r="Q21" s="537"/>
      <c r="R21" s="537"/>
      <c r="S21" s="537"/>
      <c r="T21" s="360">
        <v>20231102</v>
      </c>
      <c r="U21" s="77"/>
      <c r="V21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Audio: 20230720, Flu: 20231102, </v>
      </c>
    </row>
    <row r="22" spans="1:33">
      <c r="A22" s="537" t="str">
        <f>_xlfn.XLOOKUP(HitlistTable[[#This Row],[Name]], RecallTable[NAME], RecallTable[SECTION])</f>
        <v>2PLT</v>
      </c>
      <c r="B22" s="47" t="str">
        <f>_xlfn.XLOOKUP(HitlistTable[[#This Row],[Name]],RecallTable[NAME],RecallTable[GRADE])</f>
        <v>E5</v>
      </c>
      <c r="C22" s="33" t="s">
        <v>1113</v>
      </c>
      <c r="D22" s="428">
        <f>_xlfn.XLOOKUP(HitlistTable[[#This Row],[Name]],RecallTable[NAME],RecallTable[EDIPI])</f>
        <v>1583777566</v>
      </c>
      <c r="E22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22" s="537"/>
      <c r="G22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22" s="18"/>
      <c r="I22" s="18"/>
      <c r="J22" s="18"/>
      <c r="K22" s="537"/>
      <c r="L22" s="27"/>
      <c r="M22" s="537"/>
      <c r="N22" s="537"/>
      <c r="O22" s="537"/>
      <c r="P22" s="537">
        <v>20231128</v>
      </c>
      <c r="Q22" s="537"/>
      <c r="R22" s="537"/>
      <c r="S22" s="537"/>
      <c r="T22" s="537">
        <v>20231115</v>
      </c>
      <c r="U22" s="428"/>
      <c r="V22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PHA: 20231128, Flu: 20231115, 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s="19" customFormat="1" ht="15.75" customHeight="1">
      <c r="A23" s="16" t="str">
        <f>_xlfn.XLOOKUP(HitlistTable[[#This Row],[Name]], RecallTable[NAME], RecallTable[SECTION])</f>
        <v>2PLT</v>
      </c>
      <c r="B23" s="47" t="str">
        <f>_xlfn.XLOOKUP(HitlistTable[[#This Row],[Name]],RecallTable[NAME],RecallTable[GRADE])</f>
        <v>E5</v>
      </c>
      <c r="C23" s="9" t="s">
        <v>1114</v>
      </c>
      <c r="D23" s="428">
        <f>_xlfn.XLOOKUP(HitlistTable[[#This Row],[Name]],RecallTable[NAME],RecallTable[EDIPI])</f>
        <v>1309210629</v>
      </c>
      <c r="E23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23" s="537"/>
      <c r="G23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23" s="18"/>
      <c r="I23" s="18"/>
      <c r="J23" s="18"/>
      <c r="K23" s="537"/>
      <c r="L23" s="27"/>
      <c r="M23" s="16">
        <v>20240321</v>
      </c>
      <c r="N23" s="537"/>
      <c r="O23" s="537"/>
      <c r="P23" s="16">
        <v>20240321</v>
      </c>
      <c r="Q23" s="537"/>
      <c r="R23" s="537"/>
      <c r="S23" s="537"/>
      <c r="T23" s="16">
        <v>20240321</v>
      </c>
      <c r="U23" s="428" t="s">
        <v>1013</v>
      </c>
      <c r="V23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Audio: 20240321, PHA: 20240321, Flu: 20240321, </v>
      </c>
    </row>
    <row r="24" spans="1:33">
      <c r="A24" s="16" t="str">
        <f>_xlfn.XLOOKUP(HitlistTable[[#This Row],[Name]], RecallTable[NAME], RecallTable[SECTION])</f>
        <v>2PLT</v>
      </c>
      <c r="B24" s="47" t="str">
        <f>_xlfn.XLOOKUP(HitlistTable[[#This Row],[Name]],RecallTable[NAME],RecallTable[GRADE])</f>
        <v>E5</v>
      </c>
      <c r="C24" s="507" t="s">
        <v>1115</v>
      </c>
      <c r="D24" s="428">
        <f>_xlfn.XLOOKUP(HitlistTable[[#This Row],[Name]],RecallTable[NAME],RecallTable[EDIPI])</f>
        <v>1068605275</v>
      </c>
      <c r="E24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24" s="537"/>
      <c r="G24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24" s="18"/>
      <c r="I24" s="189"/>
      <c r="J24" s="18"/>
      <c r="K24" s="537"/>
      <c r="L24" s="27"/>
      <c r="M24" s="537">
        <v>20231017</v>
      </c>
      <c r="N24" s="537">
        <v>20230921</v>
      </c>
      <c r="O24" s="537"/>
      <c r="P24" s="537">
        <v>20230910</v>
      </c>
      <c r="Q24" s="537"/>
      <c r="R24" s="537"/>
      <c r="S24" s="537"/>
      <c r="T24" s="16">
        <v>20231022</v>
      </c>
      <c r="U24" s="99" t="s">
        <v>1012</v>
      </c>
      <c r="V24" s="55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spans="1:33" s="19" customFormat="1">
      <c r="A25" s="16" t="str">
        <f>_xlfn.XLOOKUP(HitlistTable[[#This Row],[Name]], RecallTable[NAME], RecallTable[SECTION])</f>
        <v>2PLT</v>
      </c>
      <c r="B25" s="47" t="str">
        <f>_xlfn.XLOOKUP(HitlistTable[[#This Row],[Name]],RecallTable[NAME],RecallTable[GRADE])</f>
        <v>E4</v>
      </c>
      <c r="C25" s="21" t="s">
        <v>1116</v>
      </c>
      <c r="D25" s="428">
        <f>_xlfn.XLOOKUP(HitlistTable[[#This Row],[Name]],RecallTable[NAME],RecallTable[EDIPI])</f>
        <v>1504022008</v>
      </c>
      <c r="E25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25" s="26"/>
      <c r="G25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25" s="28">
        <v>20240227</v>
      </c>
      <c r="I25" s="28" t="s">
        <v>939</v>
      </c>
      <c r="J25" s="28"/>
      <c r="K25" s="16"/>
      <c r="L25" s="16">
        <v>20240319</v>
      </c>
      <c r="M25" s="16">
        <v>20231017</v>
      </c>
      <c r="N25" s="16">
        <v>20230410</v>
      </c>
      <c r="O25" s="16"/>
      <c r="P25" s="16">
        <v>20230918</v>
      </c>
      <c r="Q25" s="16"/>
      <c r="R25" s="16"/>
      <c r="S25" s="16"/>
      <c r="T25" s="16">
        <v>20231022</v>
      </c>
      <c r="U25" s="99"/>
      <c r="V25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20240319, Audio: 20231017, Blood/HIV: 20230410, PHA: 20230918, Flu: 20231022, </v>
      </c>
    </row>
    <row r="26" spans="1:33" s="19" customFormat="1">
      <c r="A26" s="16" t="str">
        <f>_xlfn.XLOOKUP(HitlistTable[[#This Row],[Name]], RecallTable[NAME], RecallTable[SECTION])</f>
        <v>2PLT</v>
      </c>
      <c r="B26" s="47" t="str">
        <f>_xlfn.XLOOKUP(HitlistTable[[#This Row],[Name]],RecallTable[NAME],RecallTable[GRADE])</f>
        <v>E4</v>
      </c>
      <c r="C26" s="58" t="s">
        <v>1117</v>
      </c>
      <c r="D26" s="428">
        <f>_xlfn.XLOOKUP(HitlistTable[[#This Row],[Name]],RecallTable[NAME],RecallTable[EDIPI])</f>
        <v>1306349386</v>
      </c>
      <c r="E26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26" s="537"/>
      <c r="G26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26" s="18"/>
      <c r="I26" s="28" t="s">
        <v>939</v>
      </c>
      <c r="J26" s="18"/>
      <c r="K26" s="537"/>
      <c r="L26" s="27">
        <v>20230621</v>
      </c>
      <c r="M26" s="16" t="s">
        <v>939</v>
      </c>
      <c r="N26" s="537">
        <v>20230627</v>
      </c>
      <c r="O26" s="537"/>
      <c r="P26" s="537">
        <v>20230710</v>
      </c>
      <c r="Q26" s="537"/>
      <c r="R26" s="537"/>
      <c r="S26" s="537"/>
      <c r="T26" s="537">
        <v>20231105</v>
      </c>
      <c r="U26" s="428"/>
      <c r="V26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20230621, Blood/HIV: 20230627, PHA: 20230710, Flu: 20231105, </v>
      </c>
    </row>
    <row r="27" spans="1:33" s="19" customFormat="1">
      <c r="A27" s="16" t="str">
        <f>_xlfn.XLOOKUP(HitlistTable[[#This Row],[Name]], RecallTable[NAME], RecallTable[SECTION])</f>
        <v>2PLT</v>
      </c>
      <c r="B27" s="47" t="str">
        <f>_xlfn.XLOOKUP(HitlistTable[[#This Row],[Name]],RecallTable[NAME],RecallTable[GRADE])</f>
        <v>E4</v>
      </c>
      <c r="C27" s="21" t="s">
        <v>1118</v>
      </c>
      <c r="D27" s="428">
        <f>_xlfn.XLOOKUP(HitlistTable[[#This Row],[Name]],RecallTable[NAME],RecallTable[EDIPI])</f>
        <v>1320652076</v>
      </c>
      <c r="E27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27" s="537"/>
      <c r="G27" s="16">
        <v>20230922</v>
      </c>
      <c r="H27" s="18"/>
      <c r="I27" s="28" t="s">
        <v>939</v>
      </c>
      <c r="J27" s="18"/>
      <c r="K27" s="537"/>
      <c r="L27" s="27">
        <v>20231115</v>
      </c>
      <c r="M27" s="537">
        <v>20231017</v>
      </c>
      <c r="N27" s="537">
        <v>20230606</v>
      </c>
      <c r="O27" s="537"/>
      <c r="P27" s="16">
        <v>20240201</v>
      </c>
      <c r="Q27" s="537"/>
      <c r="R27" s="537"/>
      <c r="S27" s="537"/>
      <c r="T27" s="537">
        <v>20231104</v>
      </c>
      <c r="U27" s="428" t="s">
        <v>1014</v>
      </c>
      <c r="V27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20231115, Audio: 20231017, Blood/HIV: 20230606, PHA: 20240201, Flu: 20231104, </v>
      </c>
    </row>
    <row r="28" spans="1:33">
      <c r="A28" s="16" t="str">
        <f>_xlfn.XLOOKUP(HitlistTable[[#This Row],[Name]], RecallTable[NAME], RecallTable[SECTION])</f>
        <v>2PLT</v>
      </c>
      <c r="B28" s="47" t="str">
        <f>_xlfn.XLOOKUP(HitlistTable[[#This Row],[Name]],RecallTable[NAME],RecallTable[GRADE])</f>
        <v>E4</v>
      </c>
      <c r="C28" s="13" t="s">
        <v>1119</v>
      </c>
      <c r="D28" s="428">
        <f>_xlfn.XLOOKUP(HitlistTable[[#This Row],[Name]],RecallTable[NAME],RecallTable[EDIPI])</f>
        <v>1478966980</v>
      </c>
      <c r="E28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28" s="16"/>
      <c r="G28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28" s="28">
        <v>20231102</v>
      </c>
      <c r="I28" s="28" t="s">
        <v>939</v>
      </c>
      <c r="J28" s="28"/>
      <c r="K28" s="16">
        <v>20240118</v>
      </c>
      <c r="L28" s="38">
        <v>20230906</v>
      </c>
      <c r="M28" s="16">
        <v>20240319</v>
      </c>
      <c r="N28" s="26">
        <v>20230428</v>
      </c>
      <c r="O28" s="26"/>
      <c r="P28" s="26">
        <v>20240116</v>
      </c>
      <c r="Q28" s="26"/>
      <c r="R28" s="16"/>
      <c r="S28" s="16"/>
      <c r="T28" s="16">
        <v>20231120</v>
      </c>
      <c r="U28" s="30"/>
      <c r="V28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20230906, Audio: 20240319, Blood/HIV: 20230428, PHA: 20240116, Flu: 20231120, 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spans="1:33" s="19" customFormat="1">
      <c r="A29" s="537" t="str">
        <f>_xlfn.XLOOKUP(HitlistTable[[#This Row],[Name]], RecallTable[NAME], RecallTable[SECTION])</f>
        <v>2PLT</v>
      </c>
      <c r="B29" s="47" t="str">
        <f>_xlfn.XLOOKUP(HitlistTable[[#This Row],[Name]],RecallTable[NAME],RecallTable[GRADE])</f>
        <v>E4</v>
      </c>
      <c r="C29" s="19" t="s">
        <v>1120</v>
      </c>
      <c r="D29" s="428">
        <f>_xlfn.XLOOKUP(HitlistTable[[#This Row],[Name]],RecallTable[NAME],RecallTable[EDIPI])</f>
        <v>1308481514</v>
      </c>
      <c r="E29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29" s="537"/>
      <c r="G29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29" s="18"/>
      <c r="I29" s="18"/>
      <c r="J29" s="18"/>
      <c r="K29" s="537"/>
      <c r="L29" s="27"/>
      <c r="M29" s="537">
        <v>20240227</v>
      </c>
      <c r="N29" s="537"/>
      <c r="O29" s="537"/>
      <c r="P29" s="537">
        <v>20240209</v>
      </c>
      <c r="Q29" s="537"/>
      <c r="R29" s="537"/>
      <c r="S29" s="537"/>
      <c r="T29" s="16">
        <v>20240321</v>
      </c>
      <c r="U29" s="428"/>
      <c r="V29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Audio: 20240227, PHA: 20240209, Flu: 20240321, </v>
      </c>
    </row>
    <row r="30" spans="1:33" s="19" customFormat="1">
      <c r="A30" s="16" t="str">
        <f>_xlfn.XLOOKUP(HitlistTable[[#This Row],[Name]], RecallTable[NAME], RecallTable[SECTION])</f>
        <v>2PLT</v>
      </c>
      <c r="B30" s="47" t="str">
        <f>_xlfn.XLOOKUP(HitlistTable[[#This Row],[Name]],RecallTable[NAME],RecallTable[GRADE])</f>
        <v>E4</v>
      </c>
      <c r="C30" s="19" t="s">
        <v>1121</v>
      </c>
      <c r="D30" s="428">
        <f>_xlfn.XLOOKUP(HitlistTable[[#This Row],[Name]],RecallTable[NAME],RecallTable[EDIPI])</f>
        <v>1511922179</v>
      </c>
      <c r="E30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30" s="537"/>
      <c r="G30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30" s="18"/>
      <c r="I30" s="18"/>
      <c r="J30" s="18"/>
      <c r="K30" s="537"/>
      <c r="L30" s="27">
        <v>20240123</v>
      </c>
      <c r="M30" s="537">
        <v>20231117</v>
      </c>
      <c r="N30" s="537"/>
      <c r="O30" s="537"/>
      <c r="P30" s="16">
        <v>20240320</v>
      </c>
      <c r="Q30" s="537"/>
      <c r="R30" s="537"/>
      <c r="S30" s="537"/>
      <c r="T30" s="16">
        <v>20231102</v>
      </c>
      <c r="U30" s="428"/>
      <c r="V30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20240123, Audio: 20231117, PHA: 20240320, Flu: 20231102, </v>
      </c>
    </row>
    <row r="31" spans="1:33">
      <c r="A31" s="16" t="str">
        <f>_xlfn.XLOOKUP(HitlistTable[[#This Row],[Name]], RecallTable[NAME], RecallTable[SECTION])</f>
        <v>2PLT</v>
      </c>
      <c r="B31" s="47" t="str">
        <f>_xlfn.XLOOKUP(HitlistTable[[#This Row],[Name]],RecallTable[NAME],RecallTable[GRADE])</f>
        <v>E4</v>
      </c>
      <c r="C31" s="19" t="s">
        <v>1122</v>
      </c>
      <c r="D31" s="428">
        <f>_xlfn.XLOOKUP(HitlistTable[[#This Row],[Name]],RecallTable[NAME],RecallTable[EDIPI])</f>
        <v>1363966758</v>
      </c>
      <c r="E31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31" s="537"/>
      <c r="G31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31" s="18"/>
      <c r="I31" s="18"/>
      <c r="J31" s="18"/>
      <c r="K31" s="537"/>
      <c r="L31" s="27"/>
      <c r="M31" s="16">
        <v>20240321</v>
      </c>
      <c r="N31" s="537"/>
      <c r="O31" s="537"/>
      <c r="P31" s="16">
        <v>20240321</v>
      </c>
      <c r="Q31" s="537"/>
      <c r="R31" s="16">
        <v>20240321</v>
      </c>
      <c r="S31" s="537"/>
      <c r="T31" s="537"/>
      <c r="U31" s="428" t="s">
        <v>1012</v>
      </c>
      <c r="V31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Audio: 20240321, PHA: 20240321, 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spans="1:33">
      <c r="A32" s="16" t="str">
        <f>_xlfn.XLOOKUP(HitlistTable[[#This Row],[Name]], RecallTable[NAME], RecallTable[SECTION])</f>
        <v>2PLT</v>
      </c>
      <c r="B32" s="47" t="str">
        <f>_xlfn.XLOOKUP(HitlistTable[[#This Row],[Name]],RecallTable[NAME],RecallTable[GRADE])</f>
        <v>E3</v>
      </c>
      <c r="C32" s="19" t="s">
        <v>1123</v>
      </c>
      <c r="D32" s="428">
        <f>_xlfn.XLOOKUP(HitlistTable[[#This Row],[Name]],RecallTable[NAME],RecallTable[EDIPI])</f>
        <v>1212075255</v>
      </c>
      <c r="E32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32" s="537"/>
      <c r="G32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32" s="18">
        <v>20240125</v>
      </c>
      <c r="I32" s="18"/>
      <c r="J32" s="18"/>
      <c r="K32" s="537"/>
      <c r="L32" s="27">
        <v>20240119</v>
      </c>
      <c r="M32" s="537"/>
      <c r="N32" s="537"/>
      <c r="O32" s="537"/>
      <c r="P32" s="537"/>
      <c r="Q32" s="537"/>
      <c r="R32" s="537"/>
      <c r="S32" s="537"/>
      <c r="T32" s="537">
        <v>20231101</v>
      </c>
      <c r="U32" s="428"/>
      <c r="V32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20240119, Flu: 20231101, 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spans="1:33">
      <c r="A33" s="16" t="str">
        <f>_xlfn.XLOOKUP(HitlistTable[[#This Row],[Name]], RecallTable[NAME], RecallTable[SECTION])</f>
        <v>3PLT</v>
      </c>
      <c r="B33" s="47" t="str">
        <f>_xlfn.XLOOKUP(HitlistTable[[#This Row],[Name]],RecallTable[NAME],RecallTable[GRADE])</f>
        <v>O2</v>
      </c>
      <c r="C33" s="58" t="s">
        <v>1124</v>
      </c>
      <c r="D33" s="428">
        <f>_xlfn.XLOOKUP(HitlistTable[[#This Row],[Name]],RecallTable[NAME],RecallTable[EDIPI])</f>
        <v>1039148847</v>
      </c>
      <c r="E33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33" s="537"/>
      <c r="G33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33" s="18"/>
      <c r="I33" s="28">
        <v>20230725</v>
      </c>
      <c r="J33" s="18"/>
      <c r="K33" s="537"/>
      <c r="L33" s="27">
        <v>20230508</v>
      </c>
      <c r="M33" s="537">
        <v>20240228</v>
      </c>
      <c r="N33" s="537"/>
      <c r="O33" s="537"/>
      <c r="P33" s="537">
        <v>20230524</v>
      </c>
      <c r="Q33" s="537"/>
      <c r="R33" s="537"/>
      <c r="S33" s="537"/>
      <c r="T33" s="16">
        <v>20231102</v>
      </c>
      <c r="U33" s="428"/>
      <c r="V33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20230508, Audio: 20240228, PHA: 20230524, Flu: 20231102, 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spans="1:33" s="19" customFormat="1">
      <c r="A34" s="16" t="str">
        <f>_xlfn.XLOOKUP(HitlistTable[[#This Row],[Name]], RecallTable[NAME], RecallTable[SECTION])</f>
        <v>3PLT</v>
      </c>
      <c r="B34" s="47" t="str">
        <f>_xlfn.XLOOKUP(HitlistTable[[#This Row],[Name]],RecallTable[NAME],RecallTable[GRADE])</f>
        <v>E7</v>
      </c>
      <c r="C34" s="19" t="s">
        <v>1125</v>
      </c>
      <c r="D34" s="428">
        <f>_xlfn.XLOOKUP(HitlistTable[[#This Row],[Name]],RecallTable[NAME],RecallTable[EDIPI])</f>
        <v>1282303798</v>
      </c>
      <c r="E34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34" s="537"/>
      <c r="G34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34" s="18"/>
      <c r="I34" s="28" t="s">
        <v>939</v>
      </c>
      <c r="J34" s="18"/>
      <c r="K34" s="537">
        <v>20240229</v>
      </c>
      <c r="L34" s="27">
        <v>20240122</v>
      </c>
      <c r="M34" s="537">
        <v>20230927</v>
      </c>
      <c r="N34" s="537">
        <v>20230525</v>
      </c>
      <c r="O34" s="537"/>
      <c r="P34" s="537">
        <v>20230524</v>
      </c>
      <c r="Q34" s="537"/>
      <c r="R34" s="537">
        <v>20230525</v>
      </c>
      <c r="S34" s="537"/>
      <c r="T34" s="16">
        <v>20231102</v>
      </c>
      <c r="U34" s="52" t="s">
        <v>1012</v>
      </c>
      <c r="V34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20240122, Audio: 20230927, Blood/HIV: 20230525, PHA: 20230524, Flu: 20231102, </v>
      </c>
    </row>
    <row r="35" spans="1:33">
      <c r="A35" s="537" t="str">
        <f>_xlfn.XLOOKUP(HitlistTable[[#This Row],[Name]], RecallTable[NAME], RecallTable[SECTION])</f>
        <v>3PLT</v>
      </c>
      <c r="B35" s="47" t="s">
        <v>179</v>
      </c>
      <c r="C35" s="19" t="s">
        <v>1126</v>
      </c>
      <c r="D35" s="428">
        <f>_xlfn.XLOOKUP(HitlistTable[[#This Row],[Name]],RecallTable[NAME],RecallTable[EDIPI])</f>
        <v>1456272150</v>
      </c>
      <c r="E35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35" s="537"/>
      <c r="G35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35" s="18">
        <v>20231102</v>
      </c>
      <c r="I35" s="18"/>
      <c r="J35" s="18"/>
      <c r="K35" s="537"/>
      <c r="L35" s="27"/>
      <c r="M35" s="537">
        <v>20231108</v>
      </c>
      <c r="N35" s="537"/>
      <c r="O35" s="537"/>
      <c r="P35" s="537">
        <v>20240209</v>
      </c>
      <c r="Q35" s="537"/>
      <c r="R35" s="537"/>
      <c r="S35" s="537">
        <v>20231227</v>
      </c>
      <c r="T35" s="537">
        <v>20231102</v>
      </c>
      <c r="U35" s="428" t="s">
        <v>1012</v>
      </c>
      <c r="V35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Audio: 20231108, PHA: 20240209, Specs Verified: 20231227, Flu: 20231102, 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spans="1:33">
      <c r="A36" s="16" t="str">
        <f>_xlfn.XLOOKUP(HitlistTable[[#This Row],[Name]], RecallTable[NAME], RecallTable[SECTION])</f>
        <v>3PLT</v>
      </c>
      <c r="B36" s="47" t="str">
        <f>_xlfn.XLOOKUP(HitlistTable[[#This Row],[Name]],RecallTable[NAME],RecallTable[GRADE])</f>
        <v>E6</v>
      </c>
      <c r="C36" s="99" t="s">
        <v>1127</v>
      </c>
      <c r="D36" s="428">
        <f>_xlfn.XLOOKUP(HitlistTable[[#This Row],[Name]],RecallTable[NAME],RecallTable[EDIPI])</f>
        <v>1364104581</v>
      </c>
      <c r="E36" s="46" t="str">
        <f>IF(ISTEXT(_xlfn.XLOOKUP(HitlistTable[[#This Row],[Name]],DutyStatusTable[Name],DutyStatusTable[Duty Status])),_xlfn.XLOOKUP(HitlistTable[[#This Row],[Name]],DutyStatusTable[Name],DutyStatusTable[Duty Status]),"")</f>
        <v/>
      </c>
      <c r="F36" s="18"/>
      <c r="G36" s="537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36" s="18">
        <v>20240227</v>
      </c>
      <c r="I36" s="18">
        <v>20230727</v>
      </c>
      <c r="J36" s="18"/>
      <c r="K36" s="18"/>
      <c r="L36" s="16">
        <v>20240325</v>
      </c>
      <c r="M36" s="18">
        <v>20240209</v>
      </c>
      <c r="N36" s="18"/>
      <c r="O36" s="18"/>
      <c r="P36" s="18">
        <v>20230815</v>
      </c>
      <c r="Q36" s="18"/>
      <c r="R36" s="537"/>
      <c r="S36" s="537"/>
      <c r="T36" s="537">
        <v>20231114</v>
      </c>
      <c r="U36" s="428"/>
      <c r="V36" s="428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20240325, Audio: 20240209, PHA: 20230815, Flu: 20231114, 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spans="1:33" s="19" customFormat="1">
      <c r="A37" s="16" t="str">
        <f>_xlfn.XLOOKUP(HitlistTable[[#This Row],[Name]], RecallTable[NAME], RecallTable[SECTION])</f>
        <v>3PLT</v>
      </c>
      <c r="B37" s="47" t="str">
        <f>_xlfn.XLOOKUP(HitlistTable[[#This Row],[Name]],RecallTable[NAME],RecallTable[GRADE])</f>
        <v>E5</v>
      </c>
      <c r="C37" s="33" t="s">
        <v>1128</v>
      </c>
      <c r="D37" s="428">
        <f>_xlfn.XLOOKUP(HitlistTable[[#This Row],[Name]],RecallTable[NAME],RecallTable[EDIPI])</f>
        <v>1599673202</v>
      </c>
      <c r="E37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37" s="42"/>
      <c r="G37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37" s="28">
        <v>20231215</v>
      </c>
      <c r="I37" s="28">
        <v>20230725</v>
      </c>
      <c r="J37" s="28"/>
      <c r="K37" s="28"/>
      <c r="L37" s="41">
        <v>20231129</v>
      </c>
      <c r="M37" s="537">
        <v>20231018</v>
      </c>
      <c r="N37" s="42">
        <v>20231129</v>
      </c>
      <c r="O37" s="42"/>
      <c r="P37" s="42">
        <v>20230919</v>
      </c>
      <c r="Q37" s="42"/>
      <c r="R37" s="16"/>
      <c r="S37" s="16"/>
      <c r="T37" s="16">
        <v>20231106</v>
      </c>
      <c r="U37" s="30"/>
      <c r="V37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20231129, Audio: 20231018, Blood/HIV: 20231129, PHA: 20230919, Flu: 20231106, </v>
      </c>
    </row>
    <row r="38" spans="1:33" s="19" customFormat="1">
      <c r="A38" s="16" t="str">
        <f>_xlfn.XLOOKUP(HitlistTable[[#This Row],[Name]], RecallTable[NAME], RecallTable[SECTION])</f>
        <v>3PLT</v>
      </c>
      <c r="B38" s="47" t="str">
        <f>_xlfn.XLOOKUP(HitlistTable[[#This Row],[Name]],RecallTable[NAME],RecallTable[GRADE])</f>
        <v>E5</v>
      </c>
      <c r="C38" s="19" t="s">
        <v>1129</v>
      </c>
      <c r="D38" s="428">
        <f>_xlfn.XLOOKUP(HitlistTable[[#This Row],[Name]],RecallTable[NAME],RecallTable[EDIPI])</f>
        <v>1163508456</v>
      </c>
      <c r="E38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38" s="537">
        <v>20230911</v>
      </c>
      <c r="G38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38" s="18">
        <v>20240125</v>
      </c>
      <c r="I38" s="18"/>
      <c r="J38" s="18"/>
      <c r="K38" s="537"/>
      <c r="L38" s="27">
        <v>20240130</v>
      </c>
      <c r="M38" s="537">
        <v>20230922</v>
      </c>
      <c r="N38" s="16">
        <v>20230926</v>
      </c>
      <c r="O38" s="537"/>
      <c r="P38" s="537">
        <v>20230918</v>
      </c>
      <c r="Q38" s="537"/>
      <c r="R38" s="537">
        <v>20240321</v>
      </c>
      <c r="S38" s="537"/>
      <c r="T38" s="537">
        <v>20231120</v>
      </c>
      <c r="U38" s="228"/>
      <c r="V38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20240130, Audio: 20230922, Blood/HIV: 20230926, PHA: 20230918, Flu: 20231120, </v>
      </c>
    </row>
    <row r="39" spans="1:33">
      <c r="A39" s="16" t="str">
        <f>_xlfn.XLOOKUP(HitlistTable[[#This Row],[Name]], RecallTable[NAME], RecallTable[SECTION])</f>
        <v>3PLT</v>
      </c>
      <c r="B39" s="47" t="str">
        <f>_xlfn.XLOOKUP(HitlistTable[[#This Row],[Name]],RecallTable[NAME],RecallTable[GRADE])</f>
        <v>E5</v>
      </c>
      <c r="C39" s="25" t="s">
        <v>1130</v>
      </c>
      <c r="D39" s="428">
        <f>_xlfn.XLOOKUP(HitlistTable[[#This Row],[Name]],RecallTable[NAME],RecallTable[EDIPI])</f>
        <v>1093026721</v>
      </c>
      <c r="E39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39" s="42"/>
      <c r="G39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39" s="28">
        <v>20230606</v>
      </c>
      <c r="I39" s="28">
        <v>20230725</v>
      </c>
      <c r="J39" s="28"/>
      <c r="K39" s="28"/>
      <c r="L39" s="44">
        <v>20230726</v>
      </c>
      <c r="M39" s="28">
        <v>20230727</v>
      </c>
      <c r="N39" s="42">
        <v>20230105</v>
      </c>
      <c r="O39" s="28"/>
      <c r="P39" s="28">
        <v>20230601</v>
      </c>
      <c r="Q39" s="28"/>
      <c r="R39" s="16"/>
      <c r="S39" s="16"/>
      <c r="T39" s="16">
        <v>20231115</v>
      </c>
      <c r="U39" s="30"/>
      <c r="V39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20230726, Audio: 20230727, Blood/HIV: 20230105, PHA: 20230601, Flu: 20231115, 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spans="1:33" s="19" customFormat="1">
      <c r="A40" s="537" t="str">
        <f>_xlfn.XLOOKUP(HitlistTable[[#This Row],[Name]], RecallTable[NAME], RecallTable[SECTION])</f>
        <v>3PLT</v>
      </c>
      <c r="B40" s="47" t="str">
        <f>_xlfn.XLOOKUP(HitlistTable[[#This Row],[Name]],RecallTable[NAME],RecallTable[GRADE])</f>
        <v>E4</v>
      </c>
      <c r="C40" s="19" t="s">
        <v>1131</v>
      </c>
      <c r="D40" s="428">
        <f>_xlfn.XLOOKUP(HitlistTable[[#This Row],[Name]],RecallTable[NAME],RecallTable[EDIPI])</f>
        <v>1523342542</v>
      </c>
      <c r="E40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40" s="537"/>
      <c r="G40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40" s="18"/>
      <c r="I40" s="18"/>
      <c r="J40" s="18"/>
      <c r="K40" s="537"/>
      <c r="L40" s="16">
        <v>20240322</v>
      </c>
      <c r="M40" s="16">
        <v>20240321</v>
      </c>
      <c r="N40" s="537"/>
      <c r="O40" s="537"/>
      <c r="P40" s="537">
        <v>20240209</v>
      </c>
      <c r="Q40" s="537"/>
      <c r="R40" s="537"/>
      <c r="S40" s="537"/>
      <c r="T40" s="537">
        <v>20231102</v>
      </c>
      <c r="U40" s="428"/>
      <c r="V40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20240322, Audio: 20240321, PHA: 20240209, Flu: 20231102, </v>
      </c>
    </row>
    <row r="41" spans="1:33" s="19" customFormat="1">
      <c r="A41" s="16" t="str">
        <f>_xlfn.XLOOKUP(HitlistTable[[#This Row],[Name]], RecallTable[NAME], RecallTable[SECTION])</f>
        <v>3PLT</v>
      </c>
      <c r="B41" s="47" t="str">
        <f>_xlfn.XLOOKUP(HitlistTable[[#This Row],[Name]],RecallTable[NAME],RecallTable[GRADE])</f>
        <v>E4</v>
      </c>
      <c r="C41" s="33" t="s">
        <v>1132</v>
      </c>
      <c r="D41" s="428">
        <f>_xlfn.XLOOKUP(HitlistTable[[#This Row],[Name]],RecallTable[NAME],RecallTable[EDIPI])</f>
        <v>1128365853</v>
      </c>
      <c r="E41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41" s="42"/>
      <c r="G41" s="16">
        <v>20241020</v>
      </c>
      <c r="H41" s="42">
        <v>20220418</v>
      </c>
      <c r="I41" s="28" t="s">
        <v>939</v>
      </c>
      <c r="J41" s="42"/>
      <c r="K41" s="28"/>
      <c r="L41" s="41">
        <v>20230814</v>
      </c>
      <c r="M41" s="42">
        <v>20231025</v>
      </c>
      <c r="N41" s="42">
        <v>20240116</v>
      </c>
      <c r="O41" s="28"/>
      <c r="P41" s="28">
        <v>20240209</v>
      </c>
      <c r="Q41" s="28"/>
      <c r="R41" s="16"/>
      <c r="S41" s="16"/>
      <c r="T41" s="16">
        <v>20231117</v>
      </c>
      <c r="U41" s="30"/>
      <c r="V41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20230814, Audio: 20231025, Blood/HIV: 20240116, PHA: 20240209, Flu: 20231117, </v>
      </c>
    </row>
    <row r="42" spans="1:33">
      <c r="A42" s="537" t="str">
        <f>_xlfn.XLOOKUP(HitlistTable[[#This Row],[Name]], RecallTable[NAME], RecallTable[SECTION])</f>
        <v>3PLT</v>
      </c>
      <c r="B42" s="47" t="str">
        <f>_xlfn.XLOOKUP(HitlistTable[[#This Row],[Name]],RecallTable[NAME],RecallTable[GRADE])</f>
        <v>E4</v>
      </c>
      <c r="C42" s="19" t="s">
        <v>1133</v>
      </c>
      <c r="D42" s="428">
        <f>_xlfn.XLOOKUP(HitlistTable[[#This Row],[Name]],RecallTable[NAME],RecallTable[EDIPI])</f>
        <v>1164109197</v>
      </c>
      <c r="E42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42" s="537"/>
      <c r="G42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42" s="18"/>
      <c r="I42" s="18"/>
      <c r="J42" s="18"/>
      <c r="K42" s="537"/>
      <c r="L42" s="27"/>
      <c r="M42" s="537">
        <v>20231116</v>
      </c>
      <c r="N42" s="537">
        <v>20240229</v>
      </c>
      <c r="O42" s="537"/>
      <c r="P42" s="537">
        <v>20231218</v>
      </c>
      <c r="Q42" s="537"/>
      <c r="R42" s="537"/>
      <c r="S42" s="537"/>
      <c r="T42" s="537">
        <v>20231102</v>
      </c>
      <c r="U42" s="428"/>
      <c r="V42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Audio: 20231116, Blood/HIV: 20240229, PHA: 20231218, Flu: 20231102, 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33" s="19" customFormat="1">
      <c r="A43" s="16" t="str">
        <f>_xlfn.XLOOKUP(HitlistTable[[#This Row],[Name]], RecallTable[NAME], RecallTable[SECTION])</f>
        <v>3PLT</v>
      </c>
      <c r="B43" s="47" t="str">
        <f>_xlfn.XLOOKUP(HitlistTable[[#This Row],[Name]],RecallTable[NAME],RecallTable[GRADE])</f>
        <v>E4</v>
      </c>
      <c r="C43" s="13" t="s">
        <v>1134</v>
      </c>
      <c r="D43" s="428">
        <f>_xlfn.XLOOKUP(HitlistTable[[#This Row],[Name]],RecallTable[NAME],RecallTable[EDIPI])</f>
        <v>1397980725</v>
      </c>
      <c r="E43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43" s="537"/>
      <c r="G43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43" s="18">
        <v>20240125</v>
      </c>
      <c r="I43" s="28">
        <v>20230727</v>
      </c>
      <c r="J43" s="18"/>
      <c r="K43" s="537"/>
      <c r="L43" s="27">
        <v>20240320</v>
      </c>
      <c r="M43" s="537">
        <v>20230726</v>
      </c>
      <c r="N43" s="537">
        <v>20230718</v>
      </c>
      <c r="O43" s="537"/>
      <c r="P43" s="537">
        <v>20230717</v>
      </c>
      <c r="Q43" s="537"/>
      <c r="R43" s="537"/>
      <c r="S43" s="537"/>
      <c r="T43" s="537">
        <v>20231120</v>
      </c>
      <c r="U43" s="52" t="s">
        <v>1012</v>
      </c>
      <c r="V43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20240320, Audio: 20230726, Blood/HIV: 20230718, PHA: 20230717, Flu: 20231120, </v>
      </c>
    </row>
    <row r="44" spans="1:33" s="19" customFormat="1">
      <c r="A44" s="16" t="str">
        <f>_xlfn.XLOOKUP(HitlistTable[[#This Row],[Name]], RecallTable[NAME], RecallTable[SECTION])</f>
        <v>3PLT</v>
      </c>
      <c r="B44" s="47" t="str">
        <f>_xlfn.XLOOKUP(HitlistTable[[#This Row],[Name]],RecallTable[NAME],RecallTable[GRADE])</f>
        <v>E4</v>
      </c>
      <c r="C44" s="192" t="s">
        <v>1135</v>
      </c>
      <c r="D44" s="428">
        <f>_xlfn.XLOOKUP(HitlistTable[[#This Row],[Name]],RecallTable[NAME],RecallTable[EDIPI])</f>
        <v>1135673321</v>
      </c>
      <c r="E44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44" s="537"/>
      <c r="G44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44" s="18"/>
      <c r="I44" s="18"/>
      <c r="J44" s="18"/>
      <c r="K44" s="537"/>
      <c r="L44" s="27"/>
      <c r="M44" s="537">
        <v>20231019</v>
      </c>
      <c r="N44" s="537"/>
      <c r="O44" s="537"/>
      <c r="P44" s="537">
        <v>20231003</v>
      </c>
      <c r="Q44" s="537"/>
      <c r="R44" s="537"/>
      <c r="S44" s="537"/>
      <c r="T44" s="16">
        <v>20231022</v>
      </c>
      <c r="U44" s="428" t="s">
        <v>1012</v>
      </c>
      <c r="V44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Audio: 20231019, PHA: 20231003, Flu: 20231022, </v>
      </c>
    </row>
    <row r="45" spans="1:33">
      <c r="A45" s="16" t="str">
        <f>_xlfn.XLOOKUP(HitlistTable[[#This Row],[Name]], RecallTable[NAME], RecallTable[SECTION])</f>
        <v>3PLT</v>
      </c>
      <c r="B45" s="47" t="str">
        <f>_xlfn.XLOOKUP(HitlistTable[[#This Row],[Name]],RecallTable[NAME],RecallTable[GRADE])</f>
        <v>E4</v>
      </c>
      <c r="C45" s="13" t="s">
        <v>1136</v>
      </c>
      <c r="D45" s="428">
        <f>_xlfn.XLOOKUP(HitlistTable[[#This Row],[Name]],RecallTable[NAME],RecallTable[EDIPI])</f>
        <v>1502371969</v>
      </c>
      <c r="E45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45" s="537">
        <v>20230911</v>
      </c>
      <c r="G45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45" s="18">
        <v>20231102</v>
      </c>
      <c r="I45" s="18"/>
      <c r="J45" s="18"/>
      <c r="K45" s="537"/>
      <c r="L45" s="27">
        <v>20231129</v>
      </c>
      <c r="M45" s="537">
        <v>20231018</v>
      </c>
      <c r="N45" s="537">
        <v>20230921</v>
      </c>
      <c r="O45" s="537"/>
      <c r="P45" s="537">
        <v>20230912</v>
      </c>
      <c r="Q45" s="537"/>
      <c r="R45" s="537"/>
      <c r="S45" s="537"/>
      <c r="T45" s="537">
        <v>20231122</v>
      </c>
      <c r="U45" s="99"/>
      <c r="V45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20231129, Audio: 20231018, Blood/HIV: 20230921, PHA: 20230912, Flu: 20231122, 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spans="1:33">
      <c r="A46" s="16" t="str">
        <f>_xlfn.XLOOKUP(HitlistTable[[#This Row],[Name]], RecallTable[NAME], RecallTable[SECTION])</f>
        <v>3PLT</v>
      </c>
      <c r="B46" s="47" t="str">
        <f>_xlfn.XLOOKUP(HitlistTable[[#This Row],[Name]],RecallTable[NAME],RecallTable[GRADE])</f>
        <v>E4</v>
      </c>
      <c r="C46" s="19" t="s">
        <v>1137</v>
      </c>
      <c r="D46" s="428">
        <f>_xlfn.XLOOKUP(HitlistTable[[#This Row],[Name]],RecallTable[NAME],RecallTable[EDIPI])</f>
        <v>1397447603</v>
      </c>
      <c r="E46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46" s="537"/>
      <c r="G46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46" s="18"/>
      <c r="I46" s="18"/>
      <c r="J46" s="18"/>
      <c r="K46" s="537"/>
      <c r="L46" s="27"/>
      <c r="M46" s="537">
        <v>20231211</v>
      </c>
      <c r="N46" s="537"/>
      <c r="O46" s="537"/>
      <c r="P46" s="537"/>
      <c r="Q46" s="537"/>
      <c r="R46" s="537"/>
      <c r="S46" s="537"/>
      <c r="T46" s="537">
        <v>20231208</v>
      </c>
      <c r="U46" s="428"/>
      <c r="V46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Audio: 20231211, Flu: 20231208, 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spans="1:33">
      <c r="A47" s="16" t="str">
        <f>_xlfn.XLOOKUP(HitlistTable[[#This Row],[Name]], RecallTable[NAME], RecallTable[SECTION])</f>
        <v>3PLT</v>
      </c>
      <c r="B47" s="47" t="str">
        <f>_xlfn.XLOOKUP(HitlistTable[[#This Row],[Name]],RecallTable[NAME],RecallTable[GRADE])</f>
        <v>E3</v>
      </c>
      <c r="C47" s="19" t="s">
        <v>1138</v>
      </c>
      <c r="D47" s="428">
        <f>_xlfn.XLOOKUP(HitlistTable[[#This Row],[Name]],RecallTable[NAME],RecallTable[EDIPI])</f>
        <v>1207085014</v>
      </c>
      <c r="E47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47" s="537"/>
      <c r="G47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47" s="18"/>
      <c r="I47" s="18"/>
      <c r="J47" s="18"/>
      <c r="K47" s="537"/>
      <c r="L47" s="27">
        <v>20230907</v>
      </c>
      <c r="M47" s="537">
        <v>20231108</v>
      </c>
      <c r="N47" s="16">
        <v>20240321</v>
      </c>
      <c r="O47" s="537"/>
      <c r="P47" s="537">
        <v>20240209</v>
      </c>
      <c r="Q47" s="537"/>
      <c r="R47" s="537"/>
      <c r="S47" s="537"/>
      <c r="T47" s="537">
        <v>20231116</v>
      </c>
      <c r="U47" s="428" t="s">
        <v>866</v>
      </c>
      <c r="V47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20230907, Audio: 20231108, Blood/HIV: 20240321, PHA: 20240209, Flu: 20231116, 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spans="1:33">
      <c r="A48" s="537" t="str">
        <f>_xlfn.XLOOKUP(HitlistTable[[#This Row],[Name]], RecallTable[NAME], RecallTable[SECTION])</f>
        <v>3PLT</v>
      </c>
      <c r="B48" s="47" t="s">
        <v>179</v>
      </c>
      <c r="C48" s="19" t="s">
        <v>1139</v>
      </c>
      <c r="D48" s="428">
        <f>_xlfn.XLOOKUP(HitlistTable[[#This Row],[Name]],RecallTable[NAME],RecallTable[EDIPI])</f>
        <v>1045261897</v>
      </c>
      <c r="E48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48" s="537"/>
      <c r="G48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48" s="18">
        <v>20240125</v>
      </c>
      <c r="I48" s="18"/>
      <c r="J48" s="18"/>
      <c r="K48" s="537"/>
      <c r="L48" s="27"/>
      <c r="M48" s="537">
        <v>20231116</v>
      </c>
      <c r="N48" s="537">
        <v>20231128</v>
      </c>
      <c r="O48" s="537"/>
      <c r="P48" s="537">
        <v>20231130</v>
      </c>
      <c r="Q48" s="537"/>
      <c r="R48" s="537"/>
      <c r="S48" s="537"/>
      <c r="T48" s="537">
        <v>20231102</v>
      </c>
      <c r="U48" s="428" t="s">
        <v>1012</v>
      </c>
      <c r="V48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Audio: 20231116, Blood/HIV: 20231128, PHA: 20231130, Flu: 20231102, 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spans="1:33" s="19" customFormat="1">
      <c r="A49" s="537" t="str">
        <f>_xlfn.XLOOKUP(HitlistTable[[#This Row],[Name]], RecallTable[NAME], RecallTable[SECTION])</f>
        <v>3PLT</v>
      </c>
      <c r="B49" s="47" t="str">
        <f>_xlfn.XLOOKUP(HitlistTable[[#This Row],[Name]],RecallTable[NAME],RecallTable[GRADE])</f>
        <v>E3</v>
      </c>
      <c r="C49" s="19" t="s">
        <v>1140</v>
      </c>
      <c r="D49" s="428">
        <f>_xlfn.XLOOKUP(HitlistTable[[#This Row],[Name]],RecallTable[NAME],RecallTable[EDIPI])</f>
        <v>1043584855</v>
      </c>
      <c r="E49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49" s="537"/>
      <c r="G49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49" s="18">
        <v>20240111</v>
      </c>
      <c r="I49" s="18"/>
      <c r="J49" s="18"/>
      <c r="K49" s="537"/>
      <c r="L49" s="27"/>
      <c r="M49" s="537"/>
      <c r="N49" s="537"/>
      <c r="O49" s="537"/>
      <c r="P49" s="537">
        <v>20240209</v>
      </c>
      <c r="Q49" s="537"/>
      <c r="R49" s="537"/>
      <c r="S49" s="537"/>
      <c r="T49" s="537">
        <v>20231102</v>
      </c>
      <c r="U49" s="428"/>
      <c r="V49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PHA: 20240209, Flu: 20231102, </v>
      </c>
    </row>
    <row r="50" spans="1:33" s="19" customFormat="1">
      <c r="A50" s="16" t="str">
        <f>_xlfn.XLOOKUP(HitlistTable[[#This Row],[Name]], RecallTable[NAME], RecallTable[SECTION])</f>
        <v>4PLT</v>
      </c>
      <c r="B50" s="47" t="str">
        <f>_xlfn.XLOOKUP(HitlistTable[[#This Row],[Name]],RecallTable[NAME],RecallTable[GRADE])</f>
        <v>O2</v>
      </c>
      <c r="C50" s="97" t="s">
        <v>1141</v>
      </c>
      <c r="D50" s="428">
        <f>_xlfn.XLOOKUP(HitlistTable[[#This Row],[Name]],RecallTable[NAME],RecallTable[EDIPI])</f>
        <v>1466955974</v>
      </c>
      <c r="E50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50" s="26"/>
      <c r="G50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50" s="28">
        <v>20230104</v>
      </c>
      <c r="I50" s="28">
        <v>20230725</v>
      </c>
      <c r="J50" s="28"/>
      <c r="K50" s="16"/>
      <c r="L50" s="29">
        <v>20240119</v>
      </c>
      <c r="M50" s="16">
        <v>20240228</v>
      </c>
      <c r="N50" s="16"/>
      <c r="O50" s="26">
        <v>20230223</v>
      </c>
      <c r="P50" s="16">
        <v>20240308</v>
      </c>
      <c r="Q50" s="16"/>
      <c r="R50" s="16"/>
      <c r="S50" s="16"/>
      <c r="T50" s="16">
        <v>20231120</v>
      </c>
      <c r="U50" s="52" t="s">
        <v>1012</v>
      </c>
      <c r="V50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20240119, Audio: 20240228, PDHRA: 20230223, PHA: 20240308, Flu: 20231120, </v>
      </c>
    </row>
    <row r="51" spans="1:33" s="19" customFormat="1">
      <c r="A51" s="16" t="str">
        <f>_xlfn.XLOOKUP(HitlistTable[[#This Row],[Name]], RecallTable[NAME], RecallTable[SECTION])</f>
        <v>4PLT</v>
      </c>
      <c r="B51" s="47" t="str">
        <f>_xlfn.XLOOKUP(HitlistTable[[#This Row],[Name]],RecallTable[NAME],RecallTable[GRADE])</f>
        <v>E7</v>
      </c>
      <c r="C51" s="19" t="s">
        <v>1142</v>
      </c>
      <c r="D51" s="428">
        <f>_xlfn.XLOOKUP(HitlistTable[[#This Row],[Name]],RecallTable[NAME],RecallTable[EDIPI])</f>
        <v>1086482908</v>
      </c>
      <c r="E51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51" s="537"/>
      <c r="G51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51" s="18"/>
      <c r="I51" s="18"/>
      <c r="J51" s="18"/>
      <c r="K51" s="537"/>
      <c r="L51" s="27"/>
      <c r="M51" s="537">
        <v>20231017</v>
      </c>
      <c r="N51" s="537"/>
      <c r="O51" s="537"/>
      <c r="P51" s="537">
        <v>20230929</v>
      </c>
      <c r="Q51" s="537"/>
      <c r="R51" s="537"/>
      <c r="S51" s="537"/>
      <c r="T51" s="537">
        <v>20231102</v>
      </c>
      <c r="U51" s="428" t="s">
        <v>1012</v>
      </c>
      <c r="V51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Audio: 20231017, PHA: 20230929, Flu: 20231102, </v>
      </c>
    </row>
    <row r="52" spans="1:33" s="19" customFormat="1">
      <c r="A52" s="16" t="str">
        <f>_xlfn.XLOOKUP(HitlistTable[[#This Row],[Name]], RecallTable[NAME], RecallTable[SECTION])</f>
        <v>4PLT</v>
      </c>
      <c r="B52" s="47" t="str">
        <f>_xlfn.XLOOKUP(HitlistTable[[#This Row],[Name]],RecallTable[NAME],RecallTable[GRADE])</f>
        <v>E6</v>
      </c>
      <c r="C52" s="33" t="s">
        <v>1143</v>
      </c>
      <c r="D52" s="428">
        <f>_xlfn.XLOOKUP(HitlistTable[[#This Row],[Name]],RecallTable[NAME],RecallTable[EDIPI])</f>
        <v>1378280647</v>
      </c>
      <c r="E52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52" s="42"/>
      <c r="G52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52" s="28"/>
      <c r="I52" s="28">
        <v>20230725</v>
      </c>
      <c r="J52" s="28"/>
      <c r="K52" s="537">
        <v>20240118</v>
      </c>
      <c r="L52" s="16">
        <v>20240328</v>
      </c>
      <c r="M52" s="16">
        <v>20240321</v>
      </c>
      <c r="N52" s="16">
        <v>20240320</v>
      </c>
      <c r="O52" s="28"/>
      <c r="P52" s="28">
        <v>20240318</v>
      </c>
      <c r="Q52" s="28"/>
      <c r="R52" s="16"/>
      <c r="S52" s="16"/>
      <c r="T52" s="537">
        <v>20231102</v>
      </c>
      <c r="U52" s="30"/>
      <c r="V52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20240328, Audio: 20240321, Blood/HIV: 20240320, PHA: 20240318, Flu: 20231102, </v>
      </c>
    </row>
    <row r="53" spans="1:33">
      <c r="A53" s="16" t="str">
        <f>_xlfn.XLOOKUP(HitlistTable[[#This Row],[Name]], RecallTable[NAME], RecallTable[SECTION])</f>
        <v>4PLT</v>
      </c>
      <c r="B53" s="47" t="str">
        <f>_xlfn.XLOOKUP(HitlistTable[[#This Row],[Name]],RecallTable[NAME],RecallTable[GRADE])</f>
        <v>E6</v>
      </c>
      <c r="C53" s="22" t="s">
        <v>1144</v>
      </c>
      <c r="D53" s="428">
        <f>_xlfn.XLOOKUP(HitlistTable[[#This Row],[Name]],RecallTable[NAME],RecallTable[EDIPI])</f>
        <v>1376933246</v>
      </c>
      <c r="E53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53" s="16"/>
      <c r="G53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53" s="28">
        <v>20230315</v>
      </c>
      <c r="I53" s="28" t="s">
        <v>939</v>
      </c>
      <c r="J53" s="28"/>
      <c r="K53" s="16"/>
      <c r="L53" s="38">
        <v>20231031</v>
      </c>
      <c r="M53" s="16">
        <v>20240320</v>
      </c>
      <c r="N53" s="28"/>
      <c r="O53" s="26"/>
      <c r="P53" s="16">
        <v>20240320</v>
      </c>
      <c r="Q53" s="26"/>
      <c r="R53" s="16"/>
      <c r="S53" s="16"/>
      <c r="T53" s="16">
        <v>20231022</v>
      </c>
      <c r="U53" s="30"/>
      <c r="V53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20231031, Audio: 20240320, PHA: 20240320, Flu: 20231022, 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spans="1:33">
      <c r="A54" s="16" t="str">
        <f>_xlfn.XLOOKUP(HitlistTable[[#This Row],[Name]], RecallTable[NAME], RecallTable[SECTION])</f>
        <v>4PLT</v>
      </c>
      <c r="B54" s="47" t="str">
        <f>_xlfn.XLOOKUP(HitlistTable[[#This Row],[Name]],RecallTable[NAME],RecallTable[GRADE])</f>
        <v>E5</v>
      </c>
      <c r="C54" s="58" t="s">
        <v>1145</v>
      </c>
      <c r="D54" s="428">
        <f>_xlfn.XLOOKUP(HitlistTable[[#This Row],[Name]],RecallTable[NAME],RecallTable[EDIPI])</f>
        <v>1480655370</v>
      </c>
      <c r="E54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54" s="537"/>
      <c r="G54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54" s="18"/>
      <c r="I54" s="18"/>
      <c r="J54" s="18"/>
      <c r="K54" s="537"/>
      <c r="L54" s="27"/>
      <c r="M54" s="537">
        <v>20231017</v>
      </c>
      <c r="N54" s="537">
        <v>20230908</v>
      </c>
      <c r="O54" s="537"/>
      <c r="P54" s="537">
        <v>20230908</v>
      </c>
      <c r="Q54" s="537"/>
      <c r="R54" s="537"/>
      <c r="S54" s="537"/>
      <c r="T54" s="16">
        <v>20231023</v>
      </c>
      <c r="U54" s="428"/>
      <c r="V54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Audio: 20231017, Blood/HIV: 20230908, PHA: 20230908, Flu: 20231023, 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spans="1:33">
      <c r="A55" s="16" t="str">
        <f>_xlfn.XLOOKUP(HitlistTable[[#This Row],[Name]], RecallTable[NAME], RecallTable[SECTION])</f>
        <v>4PLT</v>
      </c>
      <c r="B55" s="47" t="str">
        <f>_xlfn.XLOOKUP(HitlistTable[[#This Row],[Name]],RecallTable[NAME],RecallTable[GRADE])</f>
        <v>E5</v>
      </c>
      <c r="C55" s="21" t="s">
        <v>1146</v>
      </c>
      <c r="D55" s="428">
        <f>_xlfn.XLOOKUP(HitlistTable[[#This Row],[Name]],RecallTable[NAME],RecallTable[EDIPI])</f>
        <v>1328891644</v>
      </c>
      <c r="E55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55" s="16"/>
      <c r="G55" s="16">
        <v>20240410</v>
      </c>
      <c r="H55" s="28"/>
      <c r="I55" s="28" t="s">
        <v>939</v>
      </c>
      <c r="J55" s="28"/>
      <c r="K55" s="16">
        <v>20240319</v>
      </c>
      <c r="L55" s="16">
        <v>20240321</v>
      </c>
      <c r="M55" s="16">
        <v>20240320</v>
      </c>
      <c r="N55" s="16">
        <v>20240320</v>
      </c>
      <c r="O55" s="16"/>
      <c r="P55" s="16">
        <v>20240319</v>
      </c>
      <c r="Q55" s="16"/>
      <c r="R55" s="16"/>
      <c r="S55" s="16"/>
      <c r="T55" s="16">
        <v>20231102</v>
      </c>
      <c r="U55" s="30" t="s">
        <v>1015</v>
      </c>
      <c r="V55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20240321, Audio: 20240320, Blood/HIV: 20240320, PHA: 20240319, Flu: 20231102, 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spans="1:33">
      <c r="A56" s="16" t="str">
        <f>_xlfn.XLOOKUP(HitlistTable[[#This Row],[Name]], RecallTable[NAME], RecallTable[SECTION])</f>
        <v>4PLT</v>
      </c>
      <c r="B56" s="47" t="str">
        <f>_xlfn.XLOOKUP(HitlistTable[[#This Row],[Name]],RecallTable[NAME],RecallTable[GRADE])</f>
        <v>E5</v>
      </c>
      <c r="C56" s="31" t="s">
        <v>1147</v>
      </c>
      <c r="D56" s="428">
        <f>_xlfn.XLOOKUP(HitlistTable[[#This Row],[Name]],RecallTable[NAME],RecallTable[EDIPI])</f>
        <v>1583347169</v>
      </c>
      <c r="E56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56" s="537"/>
      <c r="G56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56" s="18"/>
      <c r="I56" s="18"/>
      <c r="J56" s="18"/>
      <c r="K56" s="537"/>
      <c r="L56" s="27"/>
      <c r="M56" s="537">
        <v>20231017</v>
      </c>
      <c r="N56" s="16">
        <v>20240108</v>
      </c>
      <c r="O56" s="537"/>
      <c r="P56" s="537">
        <v>20230913</v>
      </c>
      <c r="Q56" s="537"/>
      <c r="R56" s="537"/>
      <c r="S56" s="537"/>
      <c r="T56" s="16">
        <v>20231102</v>
      </c>
      <c r="U56" s="428"/>
      <c r="V56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Audio: 20231017, Blood/HIV: 20240108, PHA: 20230913, Flu: 20231102, 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spans="1:33" s="19" customFormat="1">
      <c r="A57" s="16" t="str">
        <f>_xlfn.XLOOKUP(HitlistTable[[#This Row],[Name]], RecallTable[NAME], RecallTable[SECTION])</f>
        <v>4PLT</v>
      </c>
      <c r="B57" s="47" t="str">
        <f>_xlfn.XLOOKUP(HitlistTable[[#This Row],[Name]],RecallTable[NAME],RecallTable[GRADE])</f>
        <v>E4</v>
      </c>
      <c r="C57" s="275" t="s">
        <v>1148</v>
      </c>
      <c r="D57" s="287">
        <v>1161621605</v>
      </c>
      <c r="E57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57" s="16"/>
      <c r="G57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57" s="104">
        <v>20230518</v>
      </c>
      <c r="I57" s="28">
        <v>20230727</v>
      </c>
      <c r="J57" s="28"/>
      <c r="K57" s="16"/>
      <c r="L57" s="38"/>
      <c r="M57" s="26"/>
      <c r="N57" s="26">
        <v>20230517</v>
      </c>
      <c r="O57" s="26"/>
      <c r="P57" s="26">
        <v>20230913</v>
      </c>
      <c r="Q57" s="26"/>
      <c r="R57" s="16"/>
      <c r="S57" s="16"/>
      <c r="T57" s="16"/>
      <c r="U57" s="30" t="s">
        <v>866</v>
      </c>
      <c r="V57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Blood/HIV: 20230517, PHA: 20230913, </v>
      </c>
    </row>
    <row r="58" spans="1:33">
      <c r="A58" s="537" t="str">
        <f>_xlfn.XLOOKUP(HitlistTable[[#This Row],[Name]], RecallTable[NAME], RecallTable[SECTION])</f>
        <v>4PLT</v>
      </c>
      <c r="B58" s="47" t="str">
        <f>_xlfn.XLOOKUP(HitlistTable[[#This Row],[Name]],RecallTable[NAME],RecallTable[GRADE])</f>
        <v>E4</v>
      </c>
      <c r="C58" s="46" t="s">
        <v>1149</v>
      </c>
      <c r="D58" s="428">
        <f>_xlfn.XLOOKUP(HitlistTable[[#This Row],[Name]],RecallTable[NAME],RecallTable[EDIPI])</f>
        <v>1288365821</v>
      </c>
      <c r="E58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58" s="537"/>
      <c r="G58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58" s="18"/>
      <c r="I58" s="18"/>
      <c r="J58" s="18"/>
      <c r="K58" s="537"/>
      <c r="L58" s="27">
        <v>20240305</v>
      </c>
      <c r="M58" s="537"/>
      <c r="N58" s="537">
        <v>20231031</v>
      </c>
      <c r="O58" s="537"/>
      <c r="P58" s="537"/>
      <c r="Q58" s="537"/>
      <c r="R58" s="537"/>
      <c r="S58" s="537"/>
      <c r="T58" s="537">
        <v>20231102</v>
      </c>
      <c r="U58" s="428"/>
      <c r="V58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20240305, Blood/HIV: 20231031, Flu: 20231102, 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spans="1:33">
      <c r="A59" s="16" t="str">
        <f>_xlfn.XLOOKUP(HitlistTable[[#This Row],[Name]], RecallTable[NAME], RecallTable[SECTION])</f>
        <v>4PLT</v>
      </c>
      <c r="B59" s="47" t="str">
        <f>_xlfn.XLOOKUP(HitlistTable[[#This Row],[Name]],RecallTable[NAME],RecallTable[GRADE])</f>
        <v>E4</v>
      </c>
      <c r="C59" s="19" t="s">
        <v>1150</v>
      </c>
      <c r="D59" s="428">
        <f>_xlfn.XLOOKUP(HitlistTable[[#This Row],[Name]],RecallTable[NAME],RecallTable[EDIPI])</f>
        <v>1236623846</v>
      </c>
      <c r="E59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59" s="537"/>
      <c r="G59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59" s="18"/>
      <c r="I59" s="18"/>
      <c r="J59" s="18"/>
      <c r="K59" s="537">
        <v>20240116</v>
      </c>
      <c r="L59" s="27"/>
      <c r="M59" s="537">
        <v>20231019</v>
      </c>
      <c r="N59" s="537"/>
      <c r="O59" s="16"/>
      <c r="P59" s="537"/>
      <c r="Q59" s="537"/>
      <c r="R59" s="537"/>
      <c r="S59" s="537"/>
      <c r="T59" s="16">
        <v>20231102</v>
      </c>
      <c r="U59" s="428"/>
      <c r="V59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Audio: 20231019, Flu: 20231102, 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spans="1:33">
      <c r="A60" s="537" t="s">
        <v>79</v>
      </c>
      <c r="B60" s="47" t="str">
        <f>_xlfn.XLOOKUP(HitlistTable[[#This Row],[Name]],RecallTable[NAME],RecallTable[GRADE])</f>
        <v>E4</v>
      </c>
      <c r="C60" s="46" t="s">
        <v>1151</v>
      </c>
      <c r="D60" s="428">
        <f>_xlfn.XLOOKUP(HitlistTable[[#This Row],[Name]],RecallTable[NAME],RecallTable[EDIPI])</f>
        <v>1565683368</v>
      </c>
      <c r="E60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60" s="537"/>
      <c r="G60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60" s="18"/>
      <c r="I60" s="18"/>
      <c r="J60" s="18"/>
      <c r="K60" s="537"/>
      <c r="L60" s="27"/>
      <c r="M60" s="537"/>
      <c r="N60" s="537"/>
      <c r="O60" s="537"/>
      <c r="P60" s="16">
        <v>20240313</v>
      </c>
      <c r="Q60" s="537"/>
      <c r="R60" s="537"/>
      <c r="S60" s="537"/>
      <c r="T60" s="537"/>
      <c r="U60" s="428"/>
      <c r="V60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PHA: 20240313, 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spans="1:33" s="19" customFormat="1">
      <c r="A61" s="16" t="str">
        <f>_xlfn.XLOOKUP(HitlistTable[[#This Row],[Name]], RecallTable[NAME], RecallTable[SECTION])</f>
        <v>4PLT</v>
      </c>
      <c r="B61" s="47" t="str">
        <f>_xlfn.XLOOKUP(HitlistTable[[#This Row],[Name]],RecallTable[NAME],RecallTable[GRADE])</f>
        <v>E4</v>
      </c>
      <c r="C61" s="19" t="s">
        <v>1152</v>
      </c>
      <c r="D61" s="428">
        <f>_xlfn.XLOOKUP(HitlistTable[[#This Row],[Name]],RecallTable[NAME],RecallTable[EDIPI])</f>
        <v>1064194807</v>
      </c>
      <c r="E61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61" s="537"/>
      <c r="G61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61" s="18"/>
      <c r="I61" s="18"/>
      <c r="J61" s="18"/>
      <c r="K61" s="537"/>
      <c r="L61" s="27"/>
      <c r="M61" s="16">
        <v>20240325</v>
      </c>
      <c r="N61" s="16">
        <v>20240322</v>
      </c>
      <c r="O61" s="537"/>
      <c r="P61" s="16">
        <v>20240320</v>
      </c>
      <c r="Q61" s="537"/>
      <c r="R61" s="537"/>
      <c r="S61" s="537"/>
      <c r="T61" s="16">
        <v>20240322</v>
      </c>
      <c r="U61" s="428"/>
      <c r="V61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Audio: 20240325, Blood/HIV: 20240322, PHA: 20240320, Flu: 20240322, </v>
      </c>
    </row>
    <row r="62" spans="1:33">
      <c r="A62" s="537" t="s">
        <v>79</v>
      </c>
      <c r="B62" s="47" t="str">
        <f>_xlfn.XLOOKUP(HitlistTable[[#This Row],[Name]],RecallTable[NAME],RecallTable[GRADE])</f>
        <v>E4</v>
      </c>
      <c r="C62" s="19" t="s">
        <v>1153</v>
      </c>
      <c r="D62" s="428">
        <f>_xlfn.XLOOKUP(HitlistTable[[#This Row],[Name]],RecallTable[NAME],RecallTable[EDIPI])</f>
        <v>1288033004</v>
      </c>
      <c r="E62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62" s="537"/>
      <c r="G62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62" s="18"/>
      <c r="I62" s="18"/>
      <c r="J62" s="18"/>
      <c r="K62" s="537"/>
      <c r="L62" s="27"/>
      <c r="M62" s="537"/>
      <c r="N62" s="537"/>
      <c r="O62" s="537"/>
      <c r="P62" s="537"/>
      <c r="Q62" s="537"/>
      <c r="R62" s="537"/>
      <c r="S62" s="537"/>
      <c r="T62" s="537"/>
      <c r="U62" s="428"/>
      <c r="V62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/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spans="1:33">
      <c r="A63" s="537" t="str">
        <f>_xlfn.XLOOKUP(HitlistTable[[#This Row],[Name]], RecallTable[NAME], RecallTable[SECTION])</f>
        <v>OPS</v>
      </c>
      <c r="B63" s="47" t="str">
        <f>_xlfn.XLOOKUP(HitlistTable[[#This Row],[Name]],RecallTable[NAME],RecallTable[GRADE])</f>
        <v>O3</v>
      </c>
      <c r="C63" s="77" t="s">
        <v>1154</v>
      </c>
      <c r="D63" s="77">
        <v>1545493779</v>
      </c>
      <c r="E63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63" s="537">
        <v>20231227</v>
      </c>
      <c r="G63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63" s="18"/>
      <c r="I63" s="18"/>
      <c r="J63" s="18"/>
      <c r="K63" s="537"/>
      <c r="L63" s="27">
        <v>20230501</v>
      </c>
      <c r="M63" s="16">
        <v>20240328</v>
      </c>
      <c r="N63" s="537">
        <v>20240229</v>
      </c>
      <c r="O63" s="537">
        <v>20240109</v>
      </c>
      <c r="P63" s="16">
        <v>20240304</v>
      </c>
      <c r="Q63" s="537">
        <v>20240105</v>
      </c>
      <c r="R63" s="537"/>
      <c r="S63" s="537"/>
      <c r="T63" s="537">
        <v>20240103</v>
      </c>
      <c r="U63" s="428"/>
      <c r="V63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20230501, Audio: 20240328, Blood/HIV: 20240229, PDHRA: 20240109, PHA: 20240304, Flu: 20240103, 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spans="1:33" s="19" customFormat="1">
      <c r="A64" s="16" t="str">
        <f>_xlfn.XLOOKUP(HitlistTable[[#This Row],[Name]], RecallTable[NAME], RecallTable[SECTION])</f>
        <v>OPS</v>
      </c>
      <c r="B64" s="47" t="str">
        <f>_xlfn.XLOOKUP(HitlistTable[[#This Row],[Name]],RecallTable[NAME],RecallTable[GRADE])</f>
        <v>O2</v>
      </c>
      <c r="C64" s="21" t="s">
        <v>1155</v>
      </c>
      <c r="D64" s="428">
        <f>_xlfn.XLOOKUP(HitlistTable[[#This Row],[Name]],RecallTable[NAME],RecallTable[EDIPI])</f>
        <v>1218608114</v>
      </c>
      <c r="E64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64" s="16"/>
      <c r="G64" s="16">
        <v>20240410</v>
      </c>
      <c r="H64" s="28">
        <v>20230105</v>
      </c>
      <c r="I64" s="28">
        <v>20230727</v>
      </c>
      <c r="J64" s="28"/>
      <c r="K64" s="16"/>
      <c r="L64" s="29">
        <v>20230718</v>
      </c>
      <c r="M64" s="26">
        <v>20231019</v>
      </c>
      <c r="N64" s="26">
        <v>20240213</v>
      </c>
      <c r="O64" s="26"/>
      <c r="P64" s="26">
        <v>20240125</v>
      </c>
      <c r="Q64" s="26"/>
      <c r="R64" s="16"/>
      <c r="S64" s="16"/>
      <c r="T64" s="16">
        <v>20231016</v>
      </c>
      <c r="U64" s="30"/>
      <c r="V64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20230718, Audio: 20231019, Blood/HIV: 20240213, PHA: 20240125, Flu: 20231016, </v>
      </c>
    </row>
    <row r="65" spans="1:33">
      <c r="A65" s="16" t="str">
        <f>_xlfn.XLOOKUP(HitlistTable[[#This Row],[Name]], RecallTable[NAME], RecallTable[SECTION])</f>
        <v>OPS</v>
      </c>
      <c r="B65" s="47" t="str">
        <f>_xlfn.XLOOKUP(HitlistTable[[#This Row],[Name]],RecallTable[NAME],RecallTable[GRADE])</f>
        <v>E8</v>
      </c>
      <c r="C65" s="21" t="s">
        <v>1156</v>
      </c>
      <c r="D65" s="428">
        <f>_xlfn.XLOOKUP(HitlistTable[[#This Row],[Name]],RecallTable[NAME],RecallTable[EDIPI])</f>
        <v>1337008006</v>
      </c>
      <c r="E65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65" s="16"/>
      <c r="G65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65" s="28">
        <v>20230817</v>
      </c>
      <c r="I65" s="28" t="s">
        <v>939</v>
      </c>
      <c r="J65" s="28"/>
      <c r="K65" s="16"/>
      <c r="L65" s="38"/>
      <c r="M65" s="26">
        <v>20230809</v>
      </c>
      <c r="N65" s="26"/>
      <c r="O65" s="26"/>
      <c r="P65" s="26">
        <v>20230803</v>
      </c>
      <c r="Q65" s="26"/>
      <c r="R65" s="16"/>
      <c r="S65" s="16"/>
      <c r="T65" s="16">
        <v>20231026</v>
      </c>
      <c r="U65" s="30"/>
      <c r="V65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Audio: 20230809, PHA: 20230803, Flu: 20231026, 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spans="1:33">
      <c r="A66" s="16" t="str">
        <f>_xlfn.XLOOKUP(HitlistTable[[#This Row],[Name]], RecallTable[NAME], RecallTable[SECTION])</f>
        <v>OPS</v>
      </c>
      <c r="B66" s="47" t="str">
        <f>_xlfn.XLOOKUP(HitlistTable[[#This Row],[Name]],RecallTable[NAME],RecallTable[GRADE])</f>
        <v>E7</v>
      </c>
      <c r="C66" s="19" t="s">
        <v>1157</v>
      </c>
      <c r="D66" s="428">
        <f>_xlfn.XLOOKUP(HitlistTable[[#This Row],[Name]],RecallTable[NAME],RecallTable[EDIPI])</f>
        <v>1492116113</v>
      </c>
      <c r="E66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66" s="537"/>
      <c r="G66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66" s="18"/>
      <c r="I66" s="18"/>
      <c r="J66" s="18"/>
      <c r="K66" s="537"/>
      <c r="L66" s="27"/>
      <c r="M66" s="537">
        <v>20231017</v>
      </c>
      <c r="N66" s="537">
        <v>20230920</v>
      </c>
      <c r="O66" s="537"/>
      <c r="P66" s="537">
        <v>20230910</v>
      </c>
      <c r="Q66" s="537"/>
      <c r="R66" s="537">
        <v>20240108</v>
      </c>
      <c r="S66" s="537"/>
      <c r="T66" s="537">
        <v>20231102</v>
      </c>
      <c r="U66" s="428" t="s">
        <v>1012</v>
      </c>
      <c r="V66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Audio: 20231017, Blood/HIV: 20230920, PHA: 20230910, Flu: 20231102, 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spans="1:33">
      <c r="A67" s="16" t="str">
        <f>_xlfn.XLOOKUP(HitlistTable[[#This Row],[Name]], RecallTable[NAME], RecallTable[SECTION])</f>
        <v>OPS</v>
      </c>
      <c r="B67" s="47" t="str">
        <f>_xlfn.XLOOKUP(HitlistTable[[#This Row],[Name]],RecallTable[NAME],RecallTable[GRADE])</f>
        <v>E6</v>
      </c>
      <c r="C67" s="19" t="s">
        <v>1158</v>
      </c>
      <c r="D67" s="428">
        <f>_xlfn.XLOOKUP(HitlistTable[[#This Row],[Name]],RecallTable[NAME],RecallTable[EDIPI])</f>
        <v>1362430276</v>
      </c>
      <c r="E67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67" s="537"/>
      <c r="G67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67" s="18">
        <v>20231102</v>
      </c>
      <c r="I67" s="18"/>
      <c r="J67" s="18"/>
      <c r="K67" s="537"/>
      <c r="L67" s="27">
        <v>20231103</v>
      </c>
      <c r="M67" s="537">
        <v>20231017</v>
      </c>
      <c r="N67" s="537">
        <v>20231030</v>
      </c>
      <c r="O67" s="537"/>
      <c r="P67" s="537">
        <v>20231101</v>
      </c>
      <c r="Q67" s="537"/>
      <c r="R67" s="537"/>
      <c r="S67" s="537"/>
      <c r="T67" s="537">
        <v>20231030</v>
      </c>
      <c r="U67" s="428"/>
      <c r="V67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20231103, Audio: 20231017, Blood/HIV: 20231030, PHA: 20231101, Flu: 20231030, 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spans="1:33">
      <c r="A68" s="16" t="str">
        <f>_xlfn.XLOOKUP(HitlistTable[[#This Row],[Name]], RecallTable[NAME], RecallTable[SECTION])</f>
        <v>OPS</v>
      </c>
      <c r="B68" s="47" t="str">
        <f>_xlfn.XLOOKUP(HitlistTable[[#This Row],[Name]],RecallTable[NAME],RecallTable[GRADE])</f>
        <v>E6</v>
      </c>
      <c r="C68" s="191" t="s">
        <v>1159</v>
      </c>
      <c r="D68" s="428">
        <f>_xlfn.XLOOKUP(HitlistTable[[#This Row],[Name]],RecallTable[NAME],RecallTable[EDIPI])</f>
        <v>1505173816</v>
      </c>
      <c r="E68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68" s="16"/>
      <c r="G68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>X</v>
      </c>
      <c r="H68" s="28"/>
      <c r="I68" s="28"/>
      <c r="J68" s="28"/>
      <c r="K68" s="16"/>
      <c r="L68" s="29">
        <v>20230811</v>
      </c>
      <c r="M68" s="26"/>
      <c r="N68" s="16"/>
      <c r="O68" s="16"/>
      <c r="P68" s="16">
        <v>20230907</v>
      </c>
      <c r="Q68" s="16"/>
      <c r="R68" s="16"/>
      <c r="S68" s="16">
        <v>20231127</v>
      </c>
      <c r="T68" s="16">
        <v>20231105</v>
      </c>
      <c r="U68" s="276"/>
      <c r="V68" s="19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20230811, PHA: 20230907, Specs Verified: 20231127, Flu: 20231105, 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spans="1:33" s="19" customFormat="1">
      <c r="A69" s="16" t="str">
        <f>_xlfn.XLOOKUP(HitlistTable[[#This Row],[Name]], RecallTable[NAME], RecallTable[SECTION])</f>
        <v>OPS</v>
      </c>
      <c r="B69" s="47" t="s">
        <v>179</v>
      </c>
      <c r="C69" s="19" t="s">
        <v>1160</v>
      </c>
      <c r="D69" s="428">
        <f>_xlfn.XLOOKUP(HitlistTable[[#This Row],[Name]],RecallTable[NAME],RecallTable[EDIPI])</f>
        <v>1224436146</v>
      </c>
      <c r="E69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69" s="537"/>
      <c r="G69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69" s="18">
        <v>20240215</v>
      </c>
      <c r="I69" s="18"/>
      <c r="J69" s="18"/>
      <c r="K69" s="537"/>
      <c r="L69" s="27"/>
      <c r="M69" s="537"/>
      <c r="N69" s="537"/>
      <c r="O69" s="537"/>
      <c r="P69" s="537"/>
      <c r="Q69" s="537"/>
      <c r="R69" s="537"/>
      <c r="S69" s="537"/>
      <c r="T69" s="537"/>
      <c r="U69" s="428"/>
      <c r="V69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/>
      </c>
    </row>
    <row r="70" spans="1:33">
      <c r="A70" s="537" t="s">
        <v>79</v>
      </c>
      <c r="B70" s="319" t="str">
        <f>_xlfn.XLOOKUP(HitlistTable[[#This Row],[Name]],RecallTable[NAME],RecallTable[GRADE])</f>
        <v>E5</v>
      </c>
      <c r="C70" s="320" t="s">
        <v>1161</v>
      </c>
      <c r="D70" s="428">
        <f>_xlfn.XLOOKUP(HitlistTable[[#This Row],[Name]],RecallTable[NAME],RecallTable[EDIPI])</f>
        <v>1273180803</v>
      </c>
      <c r="E70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70" s="537"/>
      <c r="G70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70" s="18"/>
      <c r="I70" s="18"/>
      <c r="J70" s="18"/>
      <c r="K70" s="537"/>
      <c r="L70" s="16">
        <v>20240321</v>
      </c>
      <c r="M70" s="16">
        <v>20240321</v>
      </c>
      <c r="N70" s="537"/>
      <c r="O70" s="537"/>
      <c r="P70" s="537">
        <v>20240109</v>
      </c>
      <c r="Q70" s="537"/>
      <c r="R70" s="537"/>
      <c r="S70" s="537"/>
      <c r="T70" s="537">
        <v>20231114</v>
      </c>
      <c r="U70" s="428"/>
      <c r="V70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20240321, Audio: 20240321, PHA: 20240109, Flu: 20231114, 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spans="1:33">
      <c r="A71" s="16" t="str">
        <f>_xlfn.XLOOKUP(HitlistTable[[#This Row],[Name]], RecallTable[NAME], RecallTable[SECTION])</f>
        <v>SOC</v>
      </c>
      <c r="B71" s="47" t="str">
        <f>_xlfn.XLOOKUP(HitlistTable[[#This Row],[Name]],RecallTable[NAME],RecallTable[GRADE])</f>
        <v>O2</v>
      </c>
      <c r="C71" s="95" t="s">
        <v>1162</v>
      </c>
      <c r="D71" s="428">
        <f>_xlfn.XLOOKUP(HitlistTable[[#This Row],[Name]],RecallTable[NAME],RecallTable[EDIPI])</f>
        <v>1144600478</v>
      </c>
      <c r="E71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71" s="26"/>
      <c r="G71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71" s="28"/>
      <c r="I71" s="28">
        <v>20230725</v>
      </c>
      <c r="J71" s="28"/>
      <c r="K71" s="16"/>
      <c r="L71" s="29"/>
      <c r="M71" s="16" t="s">
        <v>939</v>
      </c>
      <c r="N71" s="16"/>
      <c r="O71" s="16">
        <v>20230206</v>
      </c>
      <c r="P71" s="16">
        <v>20240304</v>
      </c>
      <c r="Q71" s="16"/>
      <c r="R71" s="16"/>
      <c r="S71" s="16">
        <v>20231208</v>
      </c>
      <c r="T71" s="16">
        <v>20231102</v>
      </c>
      <c r="U71" s="30"/>
      <c r="V71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PDHRA: 20230206, PHA: 20240304, Specs Verified: 20231208, Flu: 20231102, 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spans="1:33">
      <c r="A72" s="16" t="str">
        <f>_xlfn.XLOOKUP(HitlistTable[[#This Row],[Name]], RecallTable[NAME], RecallTable[SECTION])</f>
        <v>SOC</v>
      </c>
      <c r="B72" s="47" t="str">
        <f>_xlfn.XLOOKUP(HitlistTable[[#This Row],[Name]],RecallTable[NAME],RecallTable[GRADE])</f>
        <v>E7</v>
      </c>
      <c r="C72" s="67" t="s">
        <v>1163</v>
      </c>
      <c r="D72" s="428">
        <f>_xlfn.XLOOKUP(HitlistTable[[#This Row],[Name]],RecallTable[NAME],RecallTable[EDIPI])</f>
        <v>1208649546</v>
      </c>
      <c r="E72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72" s="537"/>
      <c r="G72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72" s="28">
        <v>20230810</v>
      </c>
      <c r="I72" s="28">
        <v>20230725</v>
      </c>
      <c r="J72" s="18"/>
      <c r="K72" s="537"/>
      <c r="L72" s="27">
        <v>20240318</v>
      </c>
      <c r="M72" s="537">
        <v>20240320</v>
      </c>
      <c r="N72" s="537"/>
      <c r="O72" s="537"/>
      <c r="P72" s="15">
        <v>20230724</v>
      </c>
      <c r="Q72" s="537"/>
      <c r="R72" s="537"/>
      <c r="S72" s="537"/>
      <c r="T72" s="537">
        <v>20231108</v>
      </c>
      <c r="U72" s="428" t="s">
        <v>1012</v>
      </c>
      <c r="V72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20240318, Audio: 20240320, PHA: 20230724, Flu: 20231108, 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spans="1:33">
      <c r="A73" s="16" t="str">
        <f>_xlfn.XLOOKUP(HitlistTable[[#This Row],[Name]], RecallTable[NAME], RecallTable[SECTION])</f>
        <v>SOC</v>
      </c>
      <c r="B73" s="47" t="str">
        <f>_xlfn.XLOOKUP(HitlistTable[[#This Row],[Name]],RecallTable[NAME],RecallTable[GRADE])</f>
        <v>E5</v>
      </c>
      <c r="C73" s="19" t="s">
        <v>1164</v>
      </c>
      <c r="D73" s="428">
        <f>_xlfn.XLOOKUP(HitlistTable[[#This Row],[Name]],RecallTable[NAME],RecallTable[EDIPI])</f>
        <v>1433270027</v>
      </c>
      <c r="E73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73" s="537"/>
      <c r="G73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73" s="18"/>
      <c r="I73" s="18"/>
      <c r="J73" s="18"/>
      <c r="K73" s="537"/>
      <c r="L73" s="27">
        <v>20240305</v>
      </c>
      <c r="M73" s="537">
        <v>20240307</v>
      </c>
      <c r="N73" s="537"/>
      <c r="O73" s="537"/>
      <c r="P73" s="537"/>
      <c r="Q73" s="537"/>
      <c r="R73" s="537"/>
      <c r="S73" s="537"/>
      <c r="T73" s="537">
        <v>20231102</v>
      </c>
      <c r="U73" s="428"/>
      <c r="V73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20240305, Audio: 20240307, Flu: 20231102, 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spans="1:33">
      <c r="A74" s="16" t="str">
        <f>_xlfn.XLOOKUP(HitlistTable[[#This Row],[Name]], RecallTable[NAME], RecallTable[SECTION])</f>
        <v>SOC</v>
      </c>
      <c r="B74" s="47" t="str">
        <f>_xlfn.XLOOKUP(HitlistTable[[#This Row],[Name]],RecallTable[NAME],RecallTable[GRADE])</f>
        <v>E4</v>
      </c>
      <c r="C74" s="19" t="s">
        <v>1165</v>
      </c>
      <c r="D74" s="428">
        <f>_xlfn.XLOOKUP(HitlistTable[[#This Row],[Name]],RecallTable[NAME],RecallTable[EDIPI])</f>
        <v>1517276328</v>
      </c>
      <c r="E74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74" s="537"/>
      <c r="G74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74" s="18"/>
      <c r="I74" s="18"/>
      <c r="J74" s="18"/>
      <c r="K74" s="537"/>
      <c r="L74" s="27"/>
      <c r="M74" s="537"/>
      <c r="N74" s="537"/>
      <c r="O74" s="537"/>
      <c r="P74" s="537"/>
      <c r="Q74" s="537"/>
      <c r="R74" s="537"/>
      <c r="S74" s="537"/>
      <c r="T74" s="537"/>
      <c r="U74" s="428"/>
      <c r="V74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/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spans="1:33">
      <c r="A75" s="16" t="str">
        <f>_xlfn.XLOOKUP(HitlistTable[[#This Row],[Name]], RecallTable[NAME], RecallTable[SECTION])</f>
        <v>SOC</v>
      </c>
      <c r="B75" s="47" t="str">
        <f>_xlfn.XLOOKUP(HitlistTable[[#This Row],[Name]],RecallTable[NAME],RecallTable[GRADE])</f>
        <v>E3</v>
      </c>
      <c r="C75" s="67" t="s">
        <v>1166</v>
      </c>
      <c r="D75" s="428">
        <f>_xlfn.XLOOKUP(HitlistTable[[#This Row],[Name]],RecallTable[NAME],RecallTable[EDIPI])</f>
        <v>1312308399</v>
      </c>
      <c r="E75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75" s="537"/>
      <c r="G75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>X</v>
      </c>
      <c r="H75" s="18">
        <v>20230720</v>
      </c>
      <c r="I75" s="28">
        <v>20230725</v>
      </c>
      <c r="J75" s="18"/>
      <c r="K75" s="537"/>
      <c r="L75" s="27"/>
      <c r="M75" s="537">
        <v>20240306</v>
      </c>
      <c r="N75" s="537">
        <v>20230908</v>
      </c>
      <c r="O75" s="537"/>
      <c r="P75" s="15">
        <v>20230721</v>
      </c>
      <c r="Q75" s="537"/>
      <c r="R75" s="537"/>
      <c r="S75" s="537"/>
      <c r="T75" s="16">
        <v>20231022</v>
      </c>
      <c r="U75" s="428"/>
      <c r="V75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Audio: 20240306, Blood/HIV: 20230908, PHA: 20230721, Flu: 20231022, 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spans="1:33">
      <c r="A76" s="16" t="str">
        <f>_xlfn.XLOOKUP(HitlistTable[[#This Row],[Name]], RecallTable[NAME], RecallTable[SECTION])</f>
        <v>SOC</v>
      </c>
      <c r="B76" s="47" t="str">
        <f>_xlfn.XLOOKUP(HitlistTable[[#This Row],[Name]],RecallTable[NAME],RecallTable[GRADE])</f>
        <v>E3</v>
      </c>
      <c r="C76" s="21" t="s">
        <v>1167</v>
      </c>
      <c r="D76" s="428">
        <f>_xlfn.XLOOKUP(HitlistTable[[#This Row],[Name]],RecallTable[NAME],RecallTable[EDIPI])</f>
        <v>1025451492</v>
      </c>
      <c r="E76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76" s="26"/>
      <c r="G76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76" s="28">
        <v>20231116</v>
      </c>
      <c r="I76" s="28" t="s">
        <v>939</v>
      </c>
      <c r="J76" s="28"/>
      <c r="K76" s="16"/>
      <c r="L76" s="29">
        <v>20231129</v>
      </c>
      <c r="M76" s="16">
        <v>20240320</v>
      </c>
      <c r="N76" s="16"/>
      <c r="O76" s="16"/>
      <c r="P76" s="16">
        <v>20240322</v>
      </c>
      <c r="Q76" s="16"/>
      <c r="R76" s="16"/>
      <c r="S76" s="16"/>
      <c r="T76" s="16">
        <v>20231102</v>
      </c>
      <c r="U76" s="30" t="s">
        <v>1012</v>
      </c>
      <c r="V76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20231129, Audio: 20240320, PHA: 20240322, Flu: 20231102, 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spans="1:33">
      <c r="A77" s="537" t="str">
        <f>_xlfn.XLOOKUP(HitlistTable[[#This Row],[Name]], RecallTable[NAME], RecallTable[SECTION])</f>
        <v>HQ</v>
      </c>
      <c r="B77" s="47" t="str">
        <f>_xlfn.XLOOKUP(HitlistTable[[#This Row],[Name]],RecallTable[NAME],RecallTable[GRADE])</f>
        <v>O4</v>
      </c>
      <c r="C77" s="19" t="s">
        <v>1168</v>
      </c>
      <c r="D77" s="428">
        <f>_xlfn.XLOOKUP(HitlistTable[[#This Row],[Name]],RecallTable[NAME],RecallTable[EDIPI])</f>
        <v>1041964509</v>
      </c>
      <c r="E77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77" s="537"/>
      <c r="G77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77" s="18"/>
      <c r="I77" s="18"/>
      <c r="J77" s="18"/>
      <c r="K77" s="537"/>
      <c r="L77" s="27"/>
      <c r="M77" s="537"/>
      <c r="N77" s="537"/>
      <c r="O77" s="537"/>
      <c r="P77" s="537">
        <v>20240119</v>
      </c>
      <c r="Q77" s="537"/>
      <c r="R77" s="537"/>
      <c r="S77" s="537"/>
      <c r="T77" s="537"/>
      <c r="U77" s="428"/>
      <c r="V77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PHA: 20240119, 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spans="1:33">
      <c r="A78" s="16" t="str">
        <f>_xlfn.XLOOKUP(HitlistTable[[#This Row],[Name]], RecallTable[NAME], RecallTable[SECTION])</f>
        <v>HQ</v>
      </c>
      <c r="B78" s="47" t="str">
        <f>_xlfn.XLOOKUP(HitlistTable[[#This Row],[Name]],RecallTable[NAME],RecallTable[GRADE])</f>
        <v>O2</v>
      </c>
      <c r="C78" s="21" t="s">
        <v>1169</v>
      </c>
      <c r="D78" s="428">
        <f>_xlfn.XLOOKUP(HitlistTable[[#This Row],[Name]],RecallTable[NAME],RecallTable[EDIPI])</f>
        <v>1366872660</v>
      </c>
      <c r="E78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78" s="26"/>
      <c r="G78" s="16"/>
      <c r="H78" s="42">
        <v>20211118</v>
      </c>
      <c r="I78" s="28" t="s">
        <v>939</v>
      </c>
      <c r="J78" s="28"/>
      <c r="K78" s="26"/>
      <c r="L78" s="29">
        <v>20231128</v>
      </c>
      <c r="M78" s="16">
        <v>20231017</v>
      </c>
      <c r="N78" s="16">
        <v>20240319</v>
      </c>
      <c r="O78" s="16"/>
      <c r="P78" s="16">
        <v>20240105</v>
      </c>
      <c r="Q78" s="16"/>
      <c r="R78" s="16"/>
      <c r="S78" s="16"/>
      <c r="T78" s="537">
        <v>20231102</v>
      </c>
      <c r="U78" s="30"/>
      <c r="V78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20231128, Audio: 20231017, Blood/HIV: 20240319, PHA: 20240105, Flu: 20231102, 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spans="1:33">
      <c r="A79" s="537" t="str">
        <f>_xlfn.XLOOKUP(HitlistTable[[#This Row],[Name]], RecallTable[NAME], RecallTable[SECTION])</f>
        <v>HQ</v>
      </c>
      <c r="B79" s="47" t="str">
        <f>_xlfn.XLOOKUP(HitlistTable[[#This Row],[Name]],RecallTable[NAME],RecallTable[GRADE])</f>
        <v>E8</v>
      </c>
      <c r="C79" s="19" t="s">
        <v>1170</v>
      </c>
      <c r="D79" s="428">
        <f>_xlfn.XLOOKUP(HitlistTable[[#This Row],[Name]],RecallTable[NAME],RecallTable[EDIPI])</f>
        <v>1163650418</v>
      </c>
      <c r="E79" s="56" t="str">
        <f>IF(ISTEXT(_xlfn.XLOOKUP(HitlistTable[[#This Row],[Name]],DutyStatusTable[Name],DutyStatusTable[Duty Status])),_xlfn.XLOOKUP(HitlistTable[[#This Row],[Name]],DutyStatusTable[Name],DutyStatusTable[Duty Status]),"")</f>
        <v/>
      </c>
      <c r="F79" s="537"/>
      <c r="G79" s="27" t="str">
        <f ca="1">IF(_xlfn.XLOOKUP(HitlistTable[[#This Row],[Name]],RecallTable[NAME],RecallTable[EAS]), IF(_xlfn.DAYS(_xlfn.XLOOKUP(HitlistTable[[#This Row],[Name]],RecallTable[NAME],RecallTable[EAS]),TODAY())&lt;365, "X", ""),"")</f>
        <v/>
      </c>
      <c r="H79" s="18"/>
      <c r="I79" s="18"/>
      <c r="J79" s="18"/>
      <c r="K79" s="537"/>
      <c r="L79" s="27"/>
      <c r="M79" s="537"/>
      <c r="N79" s="537"/>
      <c r="O79" s="537"/>
      <c r="P79" s="537"/>
      <c r="Q79" s="537"/>
      <c r="R79" s="537"/>
      <c r="S79" s="537"/>
      <c r="T79" s="537"/>
      <c r="U79" s="428"/>
      <c r="V79" s="55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/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spans="1:33">
      <c r="A80" s="16" t="str">
        <f>_xlfn.XLOOKUP(HitlistTable[[#This Row],[Name]], RecallTable[NAME], RecallTable[SECTION])</f>
        <v>HQ</v>
      </c>
      <c r="B80" s="47" t="s">
        <v>188</v>
      </c>
      <c r="C80" s="140" t="s">
        <v>1171</v>
      </c>
      <c r="D80" s="274">
        <v>1590434201</v>
      </c>
      <c r="E80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80" s="537"/>
      <c r="G80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80" s="18">
        <v>20230606</v>
      </c>
      <c r="I80" s="28" t="s">
        <v>939</v>
      </c>
      <c r="J80" s="18">
        <v>20230228</v>
      </c>
      <c r="K80" s="537"/>
      <c r="L80" s="27">
        <v>20230807</v>
      </c>
      <c r="M80" s="537">
        <v>20230816</v>
      </c>
      <c r="N80" s="537">
        <v>20220613</v>
      </c>
      <c r="O80" s="537">
        <v>20231018</v>
      </c>
      <c r="P80" s="360">
        <v>20240207</v>
      </c>
      <c r="Q80" s="537"/>
      <c r="R80" s="537"/>
      <c r="S80" s="537"/>
      <c r="T80" s="360">
        <v>20231023</v>
      </c>
      <c r="U80" s="428" t="s">
        <v>866</v>
      </c>
      <c r="V80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Dental: 20230807, Audio: 20230816, Blood/HIV: 20220613, PDHRA: 20231018, PHA: 20240207, Flu: 20231023, 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spans="1:33" s="19" customFormat="1">
      <c r="A81" s="16" t="str">
        <f>_xlfn.XLOOKUP(HitlistTable[[#This Row],[Name]], RecallTable[NAME], RecallTable[SECTION])</f>
        <v>HQ</v>
      </c>
      <c r="B81" s="70" t="str">
        <f>_xlfn.XLOOKUP(HitlistTable[[#This Row],[Name]],RecallTable[NAME],RecallTable[GRADE])</f>
        <v>E4</v>
      </c>
      <c r="C81" s="24" t="s">
        <v>1172</v>
      </c>
      <c r="D81" s="428">
        <f>_xlfn.XLOOKUP(HitlistTable[[#This Row],[Name]],RecallTable[NAME],RecallTable[EDIPI])</f>
        <v>1410597200</v>
      </c>
      <c r="E81" s="40" t="str">
        <f>IF(ISTEXT(_xlfn.XLOOKUP(HitlistTable[[#This Row],[Name]],DutyStatusTable[Name],DutyStatusTable[Duty Status])),_xlfn.XLOOKUP(HitlistTable[[#This Row],[Name]],DutyStatusTable[Name],DutyStatusTable[Duty Status]),"")</f>
        <v/>
      </c>
      <c r="F81" s="16"/>
      <c r="G81" s="16" t="str">
        <f ca="1">IF(_xlfn.XLOOKUP(HitlistTable[[#This Row],[Name]],RecallTable[NAME],RecallTable[EAS])="N/A","",IF(_xlfn.XLOOKUP(HitlistTable[[#This Row],[Name]],RecallTable[NAME],RecallTable[EAS]), IF(_xlfn.DAYS(_xlfn.XLOOKUP(HitlistTable[[#This Row],[Name]],RecallTable[NAME],RecallTable[EAS]),TODAY())&lt;365, "X", ""),""))</f>
        <v/>
      </c>
      <c r="H81" s="28"/>
      <c r="I81" s="28" t="s">
        <v>939</v>
      </c>
      <c r="J81" s="28"/>
      <c r="K81" s="16" t="s">
        <v>939</v>
      </c>
      <c r="L81" s="16" t="s">
        <v>939</v>
      </c>
      <c r="M81" s="16" t="s">
        <v>939</v>
      </c>
      <c r="N81" s="16">
        <v>20230518</v>
      </c>
      <c r="O81" s="16"/>
      <c r="P81" s="537">
        <v>20240209</v>
      </c>
      <c r="Q81" s="16"/>
      <c r="R81" s="16"/>
      <c r="S81" s="16"/>
      <c r="T81" s="16">
        <v>20231211</v>
      </c>
      <c r="U81" s="30"/>
      <c r="V81" s="30" t="str">
        <f>_xlfn.CONCAT(IF(ISNUMBER(HitlistTable[[#This Row],[Dental]]), _xlfn.CONCAT("Dental: ", HitlistTable[[#This Row],[Dental]], ", "),""), IF(ISNUMBER(HitlistTable[[#This Row],[Audio]]), _xlfn.CONCAT("Audio: ", HitlistTable[[#This Row],[Audio]],", "),""), IF(ISNUMBER(HitlistTable[[#This Row],[Blood]]),_xlfn.CONCAT("Blood/HIV: ",HitlistTable[[#This Row],[Blood]],", "),""), IF(ISNUMBER(HitlistTable[[#This Row],[PDHRA]]),_xlfn.CONCAT("PDHRA: ", HitlistTable[[#This Row],[PDHRA]],", "),""), IF(ISNUMBER(HitlistTable[[#This Row],[PHA]]),_xlfn.CONCAT("PHA: ", HitlistTable[[#This Row],[PHA]],", "),""), IF(ISNUMBER(HitlistTable[[#This Row],[Specs]]),_xlfn.CONCAT("Specs Verified: ", HitlistTable[[#This Row],[Specs]],", "),""), IF(ISNUMBER(HitlistTable[[#This Row],[Flu]]),_xlfn.CONCAT("Flu: ", HitlistTable[[#This Row],[Flu]],", "),""))</f>
        <v xml:space="preserve">Blood/HIV: 20230518, PHA: 20240209, Flu: 20231211, </v>
      </c>
    </row>
    <row r="82" spans="1:33">
      <c r="C82" s="19"/>
      <c r="D82" s="19"/>
      <c r="E82" s="19"/>
      <c r="F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428"/>
      <c r="S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spans="1:33">
      <c r="C83" s="19"/>
      <c r="D83" s="19"/>
      <c r="E83" s="19"/>
      <c r="F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428"/>
      <c r="S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spans="1:33">
      <c r="C84" s="19"/>
      <c r="D84" s="19"/>
      <c r="E84" s="19"/>
      <c r="F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428"/>
      <c r="S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spans="1:33">
      <c r="C85" s="19"/>
      <c r="D85" s="19"/>
      <c r="E85" s="19"/>
      <c r="F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428"/>
      <c r="S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spans="1:33">
      <c r="C86" s="19"/>
      <c r="D86" s="19"/>
      <c r="E86" s="19"/>
      <c r="F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428"/>
      <c r="S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spans="1:33">
      <c r="C87" s="19"/>
      <c r="D87" s="19"/>
      <c r="E87" s="19"/>
      <c r="F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428"/>
      <c r="S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spans="1:33">
      <c r="C88" s="19"/>
      <c r="D88" s="19"/>
      <c r="E88" s="19"/>
      <c r="F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428"/>
      <c r="S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spans="1:33">
      <c r="C89" s="19"/>
      <c r="D89" s="19"/>
      <c r="E89" s="19"/>
      <c r="F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428"/>
      <c r="S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spans="1:33">
      <c r="C90" s="19"/>
      <c r="D90" s="19"/>
      <c r="E90" s="19"/>
      <c r="F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428"/>
      <c r="S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spans="1:33">
      <c r="C91" s="19"/>
      <c r="D91" s="19"/>
      <c r="E91" s="19"/>
      <c r="F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428"/>
      <c r="S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spans="1:33">
      <c r="C92" s="19"/>
      <c r="D92" s="19"/>
      <c r="E92" s="19"/>
      <c r="F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428"/>
      <c r="S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spans="1:33">
      <c r="C93" s="19"/>
      <c r="D93" s="19"/>
      <c r="E93" s="19"/>
      <c r="F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428"/>
      <c r="S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spans="1:33">
      <c r="C94" s="19"/>
      <c r="D94" s="19"/>
      <c r="E94" s="19"/>
      <c r="F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428"/>
      <c r="S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spans="1:33">
      <c r="C95" s="19"/>
      <c r="D95" s="19"/>
      <c r="E95" s="19"/>
      <c r="F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428"/>
      <c r="S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spans="1:33">
      <c r="C96" s="19"/>
      <c r="D96" s="19"/>
      <c r="E96" s="19"/>
      <c r="F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428"/>
      <c r="S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spans="3:33" ht="15.75" customHeight="1">
      <c r="C97" s="19"/>
      <c r="D97" s="19"/>
      <c r="E97" s="19"/>
      <c r="F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428"/>
      <c r="S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spans="3:33">
      <c r="C98" s="19"/>
      <c r="D98" s="19"/>
      <c r="E98" s="19"/>
      <c r="F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428"/>
      <c r="S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spans="3:33">
      <c r="C99" s="19"/>
      <c r="D99" s="19"/>
      <c r="E99" s="19"/>
      <c r="F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428"/>
      <c r="S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spans="3:33">
      <c r="C100" s="19"/>
      <c r="D100" s="19"/>
      <c r="E100" s="19"/>
      <c r="F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428"/>
      <c r="S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spans="3:33">
      <c r="C101" s="19"/>
      <c r="D101" s="19"/>
      <c r="E101" s="19"/>
      <c r="F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428"/>
      <c r="S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spans="3:33">
      <c r="C102" s="19"/>
      <c r="D102" s="19"/>
      <c r="E102" s="19"/>
      <c r="F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428"/>
      <c r="S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spans="3:33">
      <c r="C103" s="19"/>
      <c r="D103" s="19"/>
      <c r="E103" s="19"/>
      <c r="F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428"/>
      <c r="S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spans="3:33">
      <c r="C104" s="19"/>
      <c r="D104" s="19"/>
      <c r="E104" s="19"/>
      <c r="F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428"/>
      <c r="S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spans="3:33">
      <c r="C105" s="19"/>
      <c r="D105" s="19"/>
      <c r="E105" s="19"/>
      <c r="F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428"/>
      <c r="S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spans="3:33">
      <c r="C106" s="19"/>
      <c r="D106" s="19"/>
      <c r="E106" s="19"/>
      <c r="F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428"/>
      <c r="S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spans="3:33">
      <c r="C107" s="19"/>
      <c r="D107" s="19"/>
      <c r="E107" s="19"/>
      <c r="F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428"/>
      <c r="S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spans="3:33">
      <c r="C108" s="19"/>
      <c r="D108" s="19"/>
      <c r="E108" s="19"/>
      <c r="F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428"/>
      <c r="S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spans="3:33">
      <c r="C109" s="19"/>
      <c r="D109" s="19"/>
      <c r="E109" s="19"/>
      <c r="F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428"/>
      <c r="S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spans="3:33">
      <c r="C110" s="19"/>
      <c r="D110" s="19"/>
      <c r="E110" s="19"/>
      <c r="F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428"/>
      <c r="S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spans="3:33">
      <c r="C111" s="19"/>
      <c r="D111" s="19"/>
      <c r="E111" s="19"/>
      <c r="F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428"/>
      <c r="S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spans="3:33">
      <c r="C112" s="19"/>
      <c r="D112" s="19"/>
      <c r="E112" s="19"/>
      <c r="F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428"/>
      <c r="S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spans="1:33">
      <c r="C113" s="19"/>
      <c r="D113" s="19"/>
      <c r="E113" s="19"/>
      <c r="F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428"/>
      <c r="S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spans="1:33">
      <c r="C114" s="19"/>
      <c r="D114" s="19"/>
      <c r="E114" s="19"/>
      <c r="F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428"/>
      <c r="S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spans="1:33">
      <c r="C115" s="19"/>
      <c r="D115" s="19"/>
      <c r="E115" s="19"/>
      <c r="F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428"/>
      <c r="S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spans="1:33">
      <c r="C116" s="19"/>
      <c r="D116" s="19"/>
      <c r="E116" s="19"/>
      <c r="F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428"/>
      <c r="S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spans="1:33">
      <c r="C117" s="19"/>
      <c r="D117" s="19"/>
      <c r="E117" s="19"/>
      <c r="F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428"/>
      <c r="S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spans="1:33">
      <c r="C118" s="19"/>
      <c r="D118" s="19"/>
      <c r="E118" s="19"/>
      <c r="F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428"/>
      <c r="S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spans="1:33">
      <c r="C119" s="19"/>
      <c r="D119" s="19"/>
      <c r="E119" s="19"/>
      <c r="F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428"/>
      <c r="S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spans="1:33" s="528" customFormat="1">
      <c r="A120" s="19"/>
      <c r="B120" s="31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428"/>
      <c r="S120" s="19"/>
      <c r="T120" s="19"/>
      <c r="U120" s="19"/>
      <c r="V120" s="19"/>
    </row>
    <row r="121" spans="1:33" s="528" customFormat="1">
      <c r="A121" s="19"/>
      <c r="B121" s="31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428"/>
      <c r="S121" s="19"/>
      <c r="T121" s="19"/>
      <c r="U121" s="19"/>
      <c r="V121" s="19"/>
    </row>
    <row r="122" spans="1:33">
      <c r="C122" s="19"/>
      <c r="D122" s="19"/>
      <c r="E122" s="19"/>
      <c r="F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428"/>
      <c r="S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spans="1:33">
      <c r="C123" s="19"/>
      <c r="D123" s="19"/>
      <c r="E123" s="19"/>
      <c r="F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428"/>
      <c r="S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spans="1:33">
      <c r="C124" s="19"/>
      <c r="D124" s="19"/>
      <c r="E124" s="19"/>
      <c r="F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428"/>
      <c r="S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spans="1:33">
      <c r="C125" s="19"/>
      <c r="D125" s="19"/>
      <c r="E125" s="19"/>
      <c r="F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428"/>
      <c r="S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spans="1:33">
      <c r="C126" s="19"/>
      <c r="D126" s="19"/>
      <c r="E126" s="19"/>
      <c r="F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428"/>
      <c r="S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spans="1:33">
      <c r="C127" s="19"/>
      <c r="D127" s="19"/>
      <c r="E127" s="19"/>
      <c r="F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428"/>
      <c r="S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spans="1:33">
      <c r="C128" s="19"/>
      <c r="D128" s="19"/>
      <c r="E128" s="19"/>
      <c r="F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428"/>
      <c r="S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spans="3:33">
      <c r="C129" s="19"/>
      <c r="D129" s="19"/>
      <c r="E129" s="19"/>
      <c r="F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428"/>
      <c r="S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spans="3:33">
      <c r="C130" s="19"/>
      <c r="D130" s="19"/>
      <c r="E130" s="19"/>
      <c r="F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428"/>
      <c r="S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spans="3:33">
      <c r="C131" s="19"/>
      <c r="D131" s="19"/>
      <c r="E131" s="19"/>
      <c r="F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428"/>
      <c r="S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spans="3:33">
      <c r="C132" s="19"/>
      <c r="D132" s="19"/>
      <c r="E132" s="19"/>
      <c r="F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428"/>
      <c r="S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spans="3:33">
      <c r="C133" s="19"/>
      <c r="D133" s="19"/>
      <c r="E133" s="19"/>
      <c r="F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428"/>
      <c r="S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spans="3:33">
      <c r="C134" s="19"/>
      <c r="D134" s="19"/>
      <c r="E134" s="19"/>
      <c r="F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428"/>
      <c r="S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spans="3:33">
      <c r="C135" s="19"/>
      <c r="D135" s="19"/>
      <c r="E135" s="19"/>
      <c r="F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428"/>
      <c r="S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spans="3:33">
      <c r="C136" s="19"/>
      <c r="D136" s="19"/>
      <c r="E136" s="19"/>
      <c r="F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428"/>
      <c r="S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spans="3:33">
      <c r="C137" s="19"/>
      <c r="D137" s="19"/>
      <c r="E137" s="19"/>
      <c r="F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428"/>
      <c r="S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spans="3:33">
      <c r="C138" s="19"/>
      <c r="D138" s="19"/>
      <c r="E138" s="19"/>
      <c r="F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428"/>
      <c r="S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spans="3:33">
      <c r="C139" s="19"/>
      <c r="D139" s="19"/>
      <c r="E139" s="19"/>
      <c r="F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428"/>
      <c r="S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spans="3:33">
      <c r="C140" s="19"/>
      <c r="D140" s="19"/>
      <c r="E140" s="19"/>
      <c r="F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428"/>
      <c r="S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spans="3:33">
      <c r="C141" s="19"/>
      <c r="D141" s="19"/>
      <c r="E141" s="19"/>
      <c r="F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428"/>
      <c r="S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spans="3:33">
      <c r="C142" s="19"/>
      <c r="D142" s="19"/>
      <c r="E142" s="19"/>
      <c r="F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428"/>
      <c r="S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spans="3:33">
      <c r="C143" s="19"/>
      <c r="D143" s="19"/>
      <c r="E143" s="19"/>
      <c r="F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428"/>
      <c r="S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spans="3:33">
      <c r="C144" s="19"/>
      <c r="D144" s="19"/>
      <c r="E144" s="19"/>
      <c r="F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428"/>
      <c r="S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spans="3:33">
      <c r="C145" s="19"/>
      <c r="D145" s="19"/>
      <c r="E145" s="19"/>
      <c r="F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428"/>
      <c r="S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spans="3:33">
      <c r="C146" s="19"/>
      <c r="D146" s="19"/>
      <c r="E146" s="19"/>
      <c r="F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428"/>
      <c r="S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spans="3:33">
      <c r="C147" s="19"/>
      <c r="D147" s="19"/>
      <c r="E147" s="19"/>
      <c r="F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428"/>
      <c r="S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spans="3:33">
      <c r="C148" s="19"/>
      <c r="D148" s="19"/>
      <c r="E148" s="19"/>
      <c r="F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428"/>
      <c r="S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spans="3:33">
      <c r="C149" s="19"/>
      <c r="D149" s="19"/>
      <c r="E149" s="19"/>
      <c r="F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428"/>
      <c r="S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spans="3:33">
      <c r="C150" s="19"/>
      <c r="D150" s="19"/>
      <c r="E150" s="19"/>
      <c r="F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428"/>
      <c r="S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spans="3:33">
      <c r="C151" s="19"/>
      <c r="D151" s="19"/>
      <c r="E151" s="19"/>
      <c r="F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428"/>
      <c r="S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spans="3:33">
      <c r="C152" s="19"/>
      <c r="D152" s="19"/>
      <c r="E152" s="19"/>
      <c r="F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428"/>
      <c r="S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spans="3:33">
      <c r="C153" s="19"/>
      <c r="D153" s="19"/>
      <c r="E153" s="19"/>
      <c r="F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428"/>
      <c r="S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spans="3:33">
      <c r="C154" s="19"/>
      <c r="D154" s="19"/>
      <c r="E154" s="19"/>
      <c r="F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428"/>
      <c r="S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spans="3:33">
      <c r="C155" s="19"/>
      <c r="D155" s="19"/>
      <c r="E155" s="19"/>
      <c r="F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428"/>
      <c r="S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spans="3:33">
      <c r="C156" s="19"/>
      <c r="D156" s="19"/>
      <c r="E156" s="19"/>
      <c r="F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428"/>
      <c r="S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spans="3:33">
      <c r="C157" s="19"/>
      <c r="D157" s="19"/>
      <c r="E157" s="19"/>
      <c r="F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428"/>
      <c r="S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spans="3:33">
      <c r="C158" s="19"/>
      <c r="D158" s="19"/>
      <c r="E158" s="19"/>
      <c r="F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428"/>
      <c r="S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spans="3:33">
      <c r="C159" s="19"/>
      <c r="D159" s="19"/>
      <c r="E159" s="19"/>
      <c r="F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428"/>
      <c r="S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spans="3:33">
      <c r="C160" s="19"/>
      <c r="D160" s="19"/>
      <c r="E160" s="19"/>
      <c r="F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428"/>
      <c r="S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spans="3:33">
      <c r="C161" s="19"/>
      <c r="D161" s="19"/>
      <c r="E161" s="19"/>
      <c r="F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428"/>
      <c r="S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spans="3:33">
      <c r="C162" s="19"/>
      <c r="D162" s="19"/>
      <c r="E162" s="19"/>
      <c r="F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428"/>
      <c r="S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spans="3:33">
      <c r="C163" s="19"/>
      <c r="D163" s="19"/>
      <c r="E163" s="19"/>
      <c r="F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428"/>
      <c r="S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spans="3:33">
      <c r="C164" s="19"/>
      <c r="D164" s="19"/>
      <c r="E164" s="19"/>
      <c r="F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428"/>
      <c r="S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spans="3:33">
      <c r="C165" s="19"/>
      <c r="D165" s="19"/>
      <c r="E165" s="19"/>
      <c r="F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428"/>
      <c r="S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spans="3:33">
      <c r="C166" s="19"/>
      <c r="D166" s="19"/>
      <c r="E166" s="19"/>
      <c r="F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428"/>
      <c r="S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spans="3:33">
      <c r="C167" s="19"/>
      <c r="D167" s="19"/>
      <c r="E167" s="19"/>
      <c r="F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428"/>
      <c r="S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spans="3:33">
      <c r="C168" s="19"/>
      <c r="D168" s="19"/>
      <c r="E168" s="19"/>
      <c r="F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428"/>
      <c r="S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spans="3:33">
      <c r="C169" s="19"/>
      <c r="D169" s="19"/>
      <c r="E169" s="19"/>
      <c r="F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428"/>
      <c r="S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spans="3:33">
      <c r="C170" s="19"/>
      <c r="D170" s="19"/>
      <c r="E170" s="19"/>
      <c r="F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428"/>
      <c r="S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spans="3:33">
      <c r="C171" s="19"/>
      <c r="D171" s="19"/>
      <c r="E171" s="19"/>
      <c r="F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428"/>
      <c r="S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spans="3:33">
      <c r="C172" s="19"/>
      <c r="D172" s="19"/>
      <c r="E172" s="19"/>
      <c r="F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428"/>
      <c r="S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spans="3:33">
      <c r="C173" s="19"/>
      <c r="D173" s="19"/>
      <c r="E173" s="19"/>
      <c r="F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428"/>
      <c r="S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spans="3:33">
      <c r="C174" s="19"/>
      <c r="D174" s="19"/>
      <c r="E174" s="19"/>
      <c r="F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428"/>
      <c r="S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spans="3:33">
      <c r="C175" s="19"/>
      <c r="D175" s="19"/>
      <c r="E175" s="19"/>
      <c r="F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428"/>
      <c r="S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spans="3:33">
      <c r="C176" s="19"/>
      <c r="D176" s="19"/>
      <c r="E176" s="19"/>
      <c r="F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428"/>
      <c r="S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spans="3:33">
      <c r="C177" s="19"/>
      <c r="D177" s="19"/>
      <c r="E177" s="19"/>
      <c r="F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428"/>
      <c r="S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spans="3:33">
      <c r="C178" s="19"/>
      <c r="D178" s="19"/>
      <c r="E178" s="19"/>
      <c r="F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428"/>
      <c r="S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spans="3:33">
      <c r="C179" s="19"/>
      <c r="D179" s="19"/>
      <c r="E179" s="19"/>
      <c r="F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428"/>
      <c r="S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spans="3:33">
      <c r="C180" s="19"/>
      <c r="D180" s="19"/>
      <c r="E180" s="19"/>
      <c r="F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428"/>
      <c r="S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spans="3:33">
      <c r="C181" s="19"/>
      <c r="D181" s="19"/>
      <c r="E181" s="19"/>
      <c r="F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428"/>
      <c r="S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spans="3:33">
      <c r="C182" s="19"/>
      <c r="D182" s="19"/>
      <c r="E182" s="19"/>
      <c r="F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428"/>
      <c r="S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spans="3:33">
      <c r="C183" s="19"/>
      <c r="D183" s="19"/>
      <c r="E183" s="19"/>
      <c r="F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428"/>
      <c r="S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spans="3:33">
      <c r="C184" s="19"/>
      <c r="D184" s="19"/>
      <c r="E184" s="19"/>
      <c r="F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428"/>
      <c r="S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spans="3:33">
      <c r="C185" s="19"/>
      <c r="D185" s="19"/>
      <c r="E185" s="19"/>
      <c r="F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428"/>
      <c r="S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spans="3:33">
      <c r="C186" s="19"/>
      <c r="D186" s="19"/>
      <c r="E186" s="19"/>
      <c r="F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428"/>
      <c r="S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spans="3:33">
      <c r="C187" s="19"/>
      <c r="D187" s="19"/>
      <c r="E187" s="19"/>
      <c r="F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428"/>
      <c r="S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spans="3:33">
      <c r="C188" s="19"/>
      <c r="D188" s="19"/>
      <c r="E188" s="19"/>
      <c r="F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428"/>
      <c r="S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spans="3:33">
      <c r="C189" s="19"/>
      <c r="D189" s="19"/>
      <c r="E189" s="19"/>
      <c r="F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428"/>
      <c r="S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spans="3:33">
      <c r="C190" s="19"/>
      <c r="D190" s="19"/>
      <c r="E190" s="19"/>
      <c r="F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428"/>
      <c r="S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spans="3:33">
      <c r="C191" s="19"/>
      <c r="D191" s="19"/>
      <c r="E191" s="19"/>
      <c r="F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428"/>
      <c r="S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spans="3:33">
      <c r="C192" s="19"/>
      <c r="D192" s="19"/>
      <c r="E192" s="19"/>
      <c r="F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428"/>
      <c r="S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spans="3:33"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spans="3:33"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spans="3:33"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spans="3:33"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spans="3:33"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spans="3:33"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spans="3:33"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spans="3:33"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spans="3:33"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spans="3:33">
      <c r="C202" s="19"/>
      <c r="D202" s="19"/>
      <c r="E202" s="19"/>
      <c r="F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428"/>
      <c r="S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spans="3:33"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spans="3:33"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spans="3:33"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spans="3:33"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spans="3:33"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spans="3:33"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spans="23:33"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spans="23:33"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spans="23:33"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spans="23:33"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spans="23:33"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spans="23:33"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spans="23:33"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spans="23:33"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spans="23:33"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spans="23:33"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spans="23:33"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spans="23:33"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spans="23:33"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spans="23:33"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spans="23:33"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spans="23:33"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spans="23:33"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spans="23:33"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spans="23:33"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spans="23:33"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spans="23:33"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spans="23:33"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40" spans="23:33"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1048522" spans="1:22">
      <c r="C1048522" s="19"/>
      <c r="D1048522" s="19"/>
      <c r="E1048522" s="19"/>
      <c r="F1048522" s="19"/>
      <c r="H1048522" s="19"/>
      <c r="I1048522" s="19"/>
      <c r="J1048522" s="19"/>
      <c r="K1048522" s="19"/>
      <c r="L1048522" s="19"/>
      <c r="M1048522" s="19"/>
      <c r="N1048522" s="19"/>
      <c r="O1048522" s="19"/>
      <c r="P1048522" s="19"/>
      <c r="Q1048522" s="19"/>
      <c r="R1048522" s="428"/>
      <c r="S1048522" s="19"/>
      <c r="U1048522" s="19"/>
      <c r="V1048522" s="19"/>
    </row>
    <row r="1048524" spans="1:22">
      <c r="C1048524" s="19"/>
      <c r="D1048524" s="19"/>
      <c r="E1048524" s="19"/>
      <c r="F1048524" s="19"/>
      <c r="H1048524" s="19"/>
      <c r="I1048524" s="19"/>
      <c r="J1048524" s="19"/>
      <c r="K1048524" s="19"/>
      <c r="L1048524" s="19"/>
      <c r="M1048524" s="19"/>
      <c r="N1048524" s="19"/>
      <c r="O1048524" s="19"/>
      <c r="P1048524" s="19"/>
      <c r="Q1048524" s="19"/>
      <c r="R1048524" s="428"/>
      <c r="S1048524" s="19"/>
      <c r="U1048524" s="19"/>
      <c r="V1048524" s="19"/>
    </row>
    <row r="1048525" spans="1:22">
      <c r="C1048525" s="19"/>
      <c r="D1048525" s="19"/>
      <c r="E1048525" s="19"/>
      <c r="F1048525" s="19"/>
      <c r="H1048525" s="19"/>
      <c r="I1048525" s="19"/>
      <c r="J1048525" s="19"/>
      <c r="K1048525" s="19"/>
      <c r="L1048525" s="19"/>
      <c r="M1048525" s="19"/>
      <c r="N1048525" s="19"/>
      <c r="O1048525" s="19"/>
      <c r="P1048525" s="19"/>
      <c r="Q1048525" s="19"/>
      <c r="R1048525" s="428"/>
      <c r="S1048525" s="19"/>
      <c r="U1048525" s="19"/>
      <c r="V1048525" s="19"/>
    </row>
    <row r="1048526" spans="1:22">
      <c r="A1048526" s="19" t="s">
        <v>659</v>
      </c>
      <c r="C1048526" s="19"/>
      <c r="D1048526" s="19"/>
      <c r="E1048526" s="19"/>
      <c r="F1048526" s="19"/>
      <c r="H1048526" s="19"/>
      <c r="I1048526" s="19"/>
      <c r="J1048526" s="19"/>
      <c r="K1048526" s="19"/>
      <c r="L1048526" s="19"/>
      <c r="M1048526" s="19"/>
      <c r="N1048526" s="19"/>
      <c r="O1048526" s="19"/>
      <c r="P1048526" s="19"/>
      <c r="Q1048526" s="19"/>
      <c r="R1048526" s="428"/>
      <c r="S1048526" s="19"/>
      <c r="U1048526" s="19"/>
      <c r="V1048526" s="19"/>
    </row>
    <row r="1048527" spans="1:22">
      <c r="C1048527" s="19"/>
      <c r="D1048527" s="19"/>
      <c r="E1048527" s="19"/>
      <c r="F1048527" s="19"/>
      <c r="H1048527" s="19"/>
      <c r="I1048527" s="19"/>
      <c r="J1048527" s="19"/>
      <c r="K1048527" s="19"/>
      <c r="L1048527" s="19"/>
      <c r="M1048527" s="19"/>
      <c r="N1048527" s="19"/>
      <c r="O1048527" s="19"/>
      <c r="P1048527" s="19"/>
      <c r="Q1048527" s="19"/>
      <c r="R1048527" s="428"/>
      <c r="S1048527" s="19"/>
      <c r="U1048527" s="19"/>
      <c r="V1048527" s="19"/>
    </row>
    <row r="1048528" spans="1:22">
      <c r="C1048528" s="19"/>
      <c r="D1048528" s="19"/>
      <c r="E1048528" s="19"/>
      <c r="F1048528" s="19"/>
      <c r="H1048528" s="19"/>
      <c r="I1048528" s="19"/>
      <c r="J1048528" s="19"/>
      <c r="K1048528" s="19"/>
      <c r="L1048528" s="19"/>
      <c r="M1048528" s="19"/>
      <c r="N1048528" s="19"/>
      <c r="O1048528" s="19"/>
      <c r="P1048528" s="19"/>
      <c r="Q1048528" s="19"/>
      <c r="R1048528" s="428"/>
      <c r="S1048528" s="19"/>
      <c r="U1048528" s="19"/>
      <c r="V1048528" s="19"/>
    </row>
    <row r="1048529" spans="3:22">
      <c r="C1048529" s="19"/>
      <c r="D1048529" s="19"/>
      <c r="E1048529" s="19"/>
      <c r="F1048529" s="19"/>
      <c r="H1048529" s="19"/>
      <c r="I1048529" s="19"/>
      <c r="J1048529" s="19"/>
      <c r="K1048529" s="19"/>
      <c r="L1048529" s="19"/>
      <c r="M1048529" s="19"/>
      <c r="N1048529" s="19"/>
      <c r="O1048529" s="19"/>
      <c r="P1048529" s="19"/>
      <c r="Q1048529" s="19"/>
      <c r="R1048529" s="428"/>
      <c r="S1048529" s="19"/>
      <c r="U1048529" s="19"/>
      <c r="V1048529" s="19"/>
    </row>
    <row r="1048530" spans="3:22">
      <c r="C1048530" s="19"/>
      <c r="D1048530" s="19"/>
      <c r="E1048530" s="19"/>
      <c r="F1048530" s="19"/>
      <c r="H1048530" s="19"/>
      <c r="I1048530" s="19"/>
      <c r="J1048530" s="19"/>
      <c r="K1048530" s="19"/>
      <c r="L1048530" s="19"/>
      <c r="M1048530" s="19"/>
      <c r="N1048530" s="19"/>
      <c r="O1048530" s="19"/>
      <c r="P1048530" s="19"/>
      <c r="Q1048530" s="19"/>
      <c r="R1048530" s="428"/>
      <c r="S1048530" s="19"/>
      <c r="U1048530" s="19"/>
      <c r="V1048530" s="19"/>
    </row>
    <row r="1048531" spans="3:22">
      <c r="C1048531" s="19"/>
      <c r="D1048531" s="19"/>
      <c r="E1048531" s="19"/>
      <c r="F1048531" s="19"/>
      <c r="H1048531" s="19"/>
      <c r="I1048531" s="19"/>
      <c r="J1048531" s="19"/>
      <c r="K1048531" s="19"/>
      <c r="L1048531" s="19"/>
      <c r="M1048531" s="19"/>
      <c r="N1048531" s="19"/>
      <c r="O1048531" s="19"/>
      <c r="P1048531" s="19"/>
      <c r="Q1048531" s="19"/>
      <c r="R1048531" s="428"/>
      <c r="S1048531" s="19"/>
      <c r="U1048531" s="19"/>
      <c r="V1048531" s="19"/>
    </row>
    <row r="1048532" spans="3:22">
      <c r="C1048532" s="19"/>
      <c r="D1048532" s="19"/>
      <c r="E1048532" s="19"/>
      <c r="F1048532" s="19"/>
      <c r="H1048532" s="19"/>
      <c r="I1048532" s="19"/>
      <c r="J1048532" s="19"/>
      <c r="K1048532" s="19"/>
      <c r="L1048532" s="19"/>
      <c r="M1048532" s="19"/>
      <c r="N1048532" s="19"/>
      <c r="O1048532" s="19"/>
      <c r="P1048532" s="19"/>
      <c r="Q1048532" s="19"/>
      <c r="R1048532" s="428"/>
      <c r="S1048532" s="19"/>
      <c r="U1048532" s="19"/>
      <c r="V1048532" s="19"/>
    </row>
    <row r="1048533" spans="3:22">
      <c r="C1048533" s="19"/>
      <c r="D1048533" s="19"/>
      <c r="E1048533" s="19"/>
      <c r="F1048533" s="19"/>
      <c r="H1048533" s="19"/>
      <c r="I1048533" s="19"/>
      <c r="J1048533" s="19"/>
      <c r="K1048533" s="19"/>
      <c r="L1048533" s="19"/>
      <c r="M1048533" s="19"/>
      <c r="N1048533" s="19"/>
      <c r="O1048533" s="19"/>
      <c r="P1048533" s="19"/>
      <c r="Q1048533" s="19"/>
      <c r="R1048533" s="428"/>
      <c r="S1048533" s="19"/>
      <c r="U1048533" s="19"/>
      <c r="V1048533" s="19"/>
    </row>
    <row r="1048534" spans="3:22">
      <c r="C1048534" s="19"/>
      <c r="D1048534" s="19"/>
      <c r="E1048534" s="19"/>
      <c r="F1048534" s="19"/>
      <c r="H1048534" s="19"/>
      <c r="I1048534" s="19"/>
      <c r="J1048534" s="19"/>
      <c r="K1048534" s="19"/>
      <c r="L1048534" s="19"/>
      <c r="M1048534" s="19"/>
      <c r="N1048534" s="19"/>
      <c r="O1048534" s="19"/>
      <c r="P1048534" s="19"/>
      <c r="Q1048534" s="19"/>
      <c r="R1048534" s="428"/>
      <c r="S1048534" s="19"/>
      <c r="U1048534" s="19"/>
      <c r="V1048534" s="19"/>
    </row>
    <row r="1048535" spans="3:22">
      <c r="C1048535" s="19"/>
      <c r="D1048535" s="19"/>
      <c r="E1048535" s="19"/>
      <c r="F1048535" s="19"/>
      <c r="H1048535" s="19"/>
      <c r="I1048535" s="19"/>
      <c r="J1048535" s="19"/>
      <c r="K1048535" s="19"/>
      <c r="L1048535" s="19"/>
      <c r="M1048535" s="19"/>
      <c r="N1048535" s="19"/>
      <c r="O1048535" s="19"/>
      <c r="P1048535" s="19"/>
      <c r="Q1048535" s="19"/>
      <c r="R1048535" s="428"/>
      <c r="S1048535" s="19"/>
      <c r="U1048535" s="19"/>
      <c r="V1048535" s="19"/>
    </row>
    <row r="1048536" spans="3:22">
      <c r="C1048536" s="19"/>
      <c r="D1048536" s="19"/>
      <c r="E1048536" s="19"/>
      <c r="F1048536" s="19"/>
      <c r="H1048536" s="19"/>
      <c r="I1048536" s="19"/>
      <c r="J1048536" s="19"/>
      <c r="K1048536" s="19"/>
      <c r="L1048536" s="19"/>
      <c r="M1048536" s="19"/>
      <c r="N1048536" s="19"/>
      <c r="O1048536" s="19"/>
      <c r="P1048536" s="19"/>
      <c r="Q1048536" s="19"/>
      <c r="R1048536" s="428"/>
      <c r="S1048536" s="19"/>
      <c r="U1048536" s="19"/>
      <c r="V1048536" s="19"/>
    </row>
    <row r="1048537" spans="3:22">
      <c r="C1048537" s="19"/>
      <c r="D1048537" s="19"/>
      <c r="E1048537" s="19"/>
      <c r="F1048537" s="19"/>
      <c r="H1048537" s="19"/>
      <c r="I1048537" s="19"/>
      <c r="J1048537" s="19"/>
      <c r="K1048537" s="19"/>
      <c r="L1048537" s="19"/>
      <c r="M1048537" s="19"/>
      <c r="N1048537" s="19"/>
      <c r="O1048537" s="19"/>
      <c r="P1048537" s="19"/>
      <c r="Q1048537" s="19"/>
      <c r="R1048537" s="428"/>
      <c r="S1048537" s="19"/>
      <c r="U1048537" s="19"/>
      <c r="V1048537" s="19"/>
    </row>
    <row r="1048538" spans="3:22">
      <c r="C1048538" s="19"/>
      <c r="D1048538" s="19"/>
      <c r="E1048538" s="19"/>
      <c r="F1048538" s="19"/>
      <c r="H1048538" s="19"/>
      <c r="I1048538" s="19"/>
      <c r="J1048538" s="19"/>
      <c r="K1048538" s="19"/>
      <c r="L1048538" s="19"/>
      <c r="M1048538" s="19"/>
      <c r="N1048538" s="19"/>
      <c r="O1048538" s="19"/>
      <c r="P1048538" s="19"/>
      <c r="Q1048538" s="19"/>
      <c r="R1048538" s="428"/>
      <c r="S1048538" s="19"/>
      <c r="U1048538" s="19"/>
      <c r="V1048538" s="19"/>
    </row>
    <row r="1048560" spans="23:33">
      <c r="W1048560" s="19"/>
      <c r="X1048560" s="19"/>
      <c r="Y1048560" s="19"/>
      <c r="Z1048560" s="19"/>
      <c r="AA1048560" s="19"/>
      <c r="AB1048560" s="19"/>
      <c r="AC1048560" s="19"/>
      <c r="AD1048560" s="19"/>
      <c r="AE1048560" s="19"/>
      <c r="AF1048560" s="19"/>
      <c r="AG1048560" s="19"/>
    </row>
    <row r="1048562" spans="23:33">
      <c r="W1048562" s="19"/>
      <c r="X1048562" s="19"/>
      <c r="Y1048562" s="19"/>
      <c r="Z1048562" s="19"/>
      <c r="AA1048562" s="19"/>
      <c r="AB1048562" s="19"/>
      <c r="AC1048562" s="19"/>
      <c r="AD1048562" s="19"/>
      <c r="AE1048562" s="19"/>
      <c r="AF1048562" s="19"/>
      <c r="AG1048562" s="19"/>
    </row>
    <row r="1048563" spans="23:33">
      <c r="W1048563" s="19"/>
      <c r="X1048563" s="19"/>
      <c r="Y1048563" s="19"/>
      <c r="Z1048563" s="19"/>
      <c r="AA1048563" s="19"/>
      <c r="AB1048563" s="19"/>
      <c r="AC1048563" s="19"/>
      <c r="AD1048563" s="19"/>
      <c r="AE1048563" s="19"/>
      <c r="AF1048563" s="19"/>
      <c r="AG1048563" s="19"/>
    </row>
    <row r="1048564" spans="23:33">
      <c r="W1048564" s="19"/>
      <c r="X1048564" s="19"/>
      <c r="Y1048564" s="19"/>
      <c r="Z1048564" s="19"/>
      <c r="AA1048564" s="19"/>
      <c r="AB1048564" s="19"/>
      <c r="AC1048564" s="19"/>
      <c r="AD1048564" s="19"/>
      <c r="AE1048564" s="19"/>
      <c r="AF1048564" s="19"/>
      <c r="AG1048564" s="19"/>
    </row>
    <row r="1048565" spans="23:33">
      <c r="W1048565" s="19"/>
      <c r="X1048565" s="19"/>
      <c r="Y1048565" s="19"/>
      <c r="Z1048565" s="19"/>
      <c r="AA1048565" s="19"/>
      <c r="AB1048565" s="19"/>
      <c r="AC1048565" s="19"/>
      <c r="AD1048565" s="19"/>
      <c r="AE1048565" s="19"/>
      <c r="AF1048565" s="19"/>
      <c r="AG1048565" s="19"/>
    </row>
    <row r="1048566" spans="23:33">
      <c r="W1048566" s="19"/>
      <c r="X1048566" s="19"/>
      <c r="Y1048566" s="19"/>
      <c r="Z1048566" s="19"/>
      <c r="AA1048566" s="19"/>
      <c r="AB1048566" s="19"/>
      <c r="AC1048566" s="19"/>
      <c r="AD1048566" s="19"/>
      <c r="AE1048566" s="19"/>
      <c r="AF1048566" s="19"/>
      <c r="AG1048566" s="19"/>
    </row>
    <row r="1048567" spans="23:33">
      <c r="W1048567" s="19"/>
      <c r="X1048567" s="19"/>
      <c r="Y1048567" s="19"/>
      <c r="Z1048567" s="19"/>
      <c r="AA1048567" s="19"/>
      <c r="AB1048567" s="19"/>
      <c r="AC1048567" s="19"/>
      <c r="AD1048567" s="19"/>
      <c r="AE1048567" s="19"/>
      <c r="AF1048567" s="19"/>
      <c r="AG1048567" s="19"/>
    </row>
    <row r="1048568" spans="23:33">
      <c r="W1048568" s="19"/>
      <c r="X1048568" s="19"/>
      <c r="Y1048568" s="19"/>
      <c r="Z1048568" s="19"/>
      <c r="AA1048568" s="19"/>
      <c r="AB1048568" s="19"/>
      <c r="AC1048568" s="19"/>
      <c r="AD1048568" s="19"/>
      <c r="AE1048568" s="19"/>
      <c r="AF1048568" s="19"/>
      <c r="AG1048568" s="19"/>
    </row>
    <row r="1048569" spans="23:33">
      <c r="W1048569" s="19"/>
      <c r="X1048569" s="19"/>
      <c r="Y1048569" s="19"/>
      <c r="Z1048569" s="19"/>
      <c r="AA1048569" s="19"/>
      <c r="AB1048569" s="19"/>
      <c r="AC1048569" s="19"/>
      <c r="AD1048569" s="19"/>
      <c r="AE1048569" s="19"/>
      <c r="AF1048569" s="19"/>
      <c r="AG1048569" s="19"/>
    </row>
    <row r="1048570" spans="23:33">
      <c r="W1048570" s="19"/>
      <c r="X1048570" s="19"/>
      <c r="Y1048570" s="19"/>
      <c r="Z1048570" s="19"/>
      <c r="AA1048570" s="19"/>
      <c r="AB1048570" s="19"/>
      <c r="AC1048570" s="19"/>
      <c r="AD1048570" s="19"/>
      <c r="AE1048570" s="19"/>
      <c r="AF1048570" s="19"/>
      <c r="AG1048570" s="19"/>
    </row>
    <row r="1048571" spans="23:33">
      <c r="W1048571" s="19"/>
      <c r="X1048571" s="19"/>
      <c r="Y1048571" s="19"/>
      <c r="Z1048571" s="19"/>
      <c r="AA1048571" s="19"/>
      <c r="AB1048571" s="19"/>
      <c r="AC1048571" s="19"/>
      <c r="AD1048571" s="19"/>
      <c r="AE1048571" s="19"/>
      <c r="AF1048571" s="19"/>
      <c r="AG1048571" s="19"/>
    </row>
    <row r="1048572" spans="23:33">
      <c r="W1048572" s="19"/>
      <c r="X1048572" s="19"/>
      <c r="Y1048572" s="19"/>
      <c r="Z1048572" s="19"/>
      <c r="AA1048572" s="19"/>
      <c r="AB1048572" s="19"/>
      <c r="AC1048572" s="19"/>
      <c r="AD1048572" s="19"/>
      <c r="AE1048572" s="19"/>
      <c r="AF1048572" s="19"/>
      <c r="AG1048572" s="19"/>
    </row>
    <row r="1048573" spans="23:33">
      <c r="W1048573" s="19"/>
      <c r="X1048573" s="19"/>
      <c r="Y1048573" s="19"/>
      <c r="Z1048573" s="19"/>
      <c r="AA1048573" s="19"/>
      <c r="AB1048573" s="19"/>
      <c r="AC1048573" s="19"/>
      <c r="AD1048573" s="19"/>
      <c r="AE1048573" s="19"/>
      <c r="AF1048573" s="19"/>
      <c r="AG1048573" s="19"/>
    </row>
    <row r="1048574" spans="23:33">
      <c r="W1048574" s="19"/>
      <c r="X1048574" s="19"/>
      <c r="Y1048574" s="19"/>
      <c r="Z1048574" s="19"/>
      <c r="AA1048574" s="19"/>
      <c r="AB1048574" s="19"/>
      <c r="AC1048574" s="19"/>
      <c r="AD1048574" s="19"/>
      <c r="AE1048574" s="19"/>
      <c r="AF1048574" s="19"/>
      <c r="AG1048574" s="19"/>
    </row>
    <row r="1048575" spans="23:33">
      <c r="W1048575" s="19"/>
      <c r="X1048575" s="19"/>
      <c r="Y1048575" s="19"/>
      <c r="Z1048575" s="19"/>
      <c r="AA1048575" s="19"/>
      <c r="AB1048575" s="19"/>
      <c r="AC1048575" s="19"/>
      <c r="AD1048575" s="19"/>
      <c r="AE1048575" s="19"/>
      <c r="AF1048575" s="19"/>
      <c r="AG1048575" s="19"/>
    </row>
    <row r="1048576" spans="23:33">
      <c r="W1048576" s="19"/>
      <c r="X1048576" s="19"/>
      <c r="Y1048576" s="19"/>
      <c r="Z1048576" s="19"/>
      <c r="AA1048576" s="19"/>
      <c r="AB1048576" s="19"/>
      <c r="AC1048576" s="19"/>
      <c r="AD1048576" s="19"/>
      <c r="AE1048576" s="19"/>
      <c r="AF1048576" s="19"/>
      <c r="AG1048576" s="19"/>
    </row>
  </sheetData>
  <mergeCells count="1">
    <mergeCell ref="A1:Q1"/>
  </mergeCells>
  <conditionalFormatting sqref="L77:T81 F76:K81 F3:T75 L76:S76">
    <cfRule type="cellIs" dxfId="52" priority="51" operator="equal">
      <formula>"&lt;30"</formula>
    </cfRule>
  </conditionalFormatting>
  <conditionalFormatting sqref="L77:T81 F76:K81 F3:T75 L76:S76">
    <cfRule type="cellIs" dxfId="51" priority="48" operator="equal">
      <formula>"X"</formula>
    </cfRule>
  </conditionalFormatting>
  <conditionalFormatting sqref="L77:T81 F76:K81 F3:T75 L76:S76">
    <cfRule type="containsText" dxfId="50" priority="33" operator="containsText" text="[a-z]">
      <formula>NOT(ISERROR(SEARCH("[a-z]",F3)))</formula>
    </cfRule>
  </conditionalFormatting>
  <dataValidations count="1">
    <dataValidation type="whole" errorStyle="warning" allowBlank="1" showInputMessage="1" showErrorMessage="1" errorTitle="Wrong Format Nerd!" error="Mark completion dates with the date in the formate YYYYMMDD, put comments for when they complete the ePHA." sqref="S81:T81 F3:S35 T77:T80 Q36:S80 P36:P75 T75 P78:P80 F37:J80 F36:N36 K37:K81 T3:T6 L37:O80 T8:T73" xr:uid="{F6FEA4E5-D38C-4376-AE2D-AFB96880E16D}">
      <formula1>20000101</formula1>
      <formula2>20300101</formula2>
    </dataValidation>
  </dataValidations>
  <pageMargins left="0.7" right="0.7" top="0.75" bottom="0.75" header="0.3" footer="0.3"/>
  <pageSetup fitToHeight="0" orientation="landscape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9F3E-3A39-407B-8959-0DA3BEE18001}">
  <sheetPr>
    <tabColor theme="9" tint="0.59999389629810485"/>
  </sheetPr>
  <dimension ref="A1:P116"/>
  <sheetViews>
    <sheetView topLeftCell="A45" workbookViewId="0">
      <selection activeCell="H90" sqref="H90"/>
    </sheetView>
  </sheetViews>
  <sheetFormatPr defaultColWidth="10.140625" defaultRowHeight="15" customHeight="1"/>
  <cols>
    <col min="1" max="1" width="10" style="19" bestFit="1" customWidth="1"/>
    <col min="2" max="2" width="7.85546875" style="19" bestFit="1" customWidth="1"/>
    <col min="3" max="3" width="26.5703125" style="19" bestFit="1" customWidth="1"/>
    <col min="4" max="4" width="12.5703125" style="19" bestFit="1" customWidth="1"/>
    <col min="5" max="5" width="17" style="19" bestFit="1" customWidth="1"/>
    <col min="6" max="6" width="13.140625" style="19" bestFit="1" customWidth="1"/>
    <col min="7" max="7" width="14.85546875" style="19" bestFit="1" customWidth="1"/>
    <col min="8" max="8" width="29.42578125" style="19" bestFit="1" customWidth="1"/>
    <col min="9" max="9" width="10.140625" style="19"/>
    <col min="10" max="10" width="5.28515625" style="19" bestFit="1" customWidth="1"/>
    <col min="11" max="12" width="6.7109375" style="19" bestFit="1" customWidth="1"/>
    <col min="13" max="13" width="9.140625" style="19" customWidth="1"/>
    <col min="14" max="15" width="23.42578125" style="19" bestFit="1" customWidth="1"/>
    <col min="16" max="16" width="11.42578125" style="19" bestFit="1" customWidth="1"/>
    <col min="17" max="16384" width="10.140625" style="19"/>
  </cols>
  <sheetData>
    <row r="1" spans="1:16">
      <c r="A1" s="52"/>
      <c r="B1" s="52"/>
      <c r="C1" s="649" t="str">
        <f>_xlfn.CONCAT(COUNTIF(BnPT22Mar[Go/No-Go],"Go"), " going with
"," and ", COUNTIF(BnPT22Mar[Go/No-Go],"No-Go")," not going (", COUNTIF(BnPT22Mar[Go/No-Go],"")," blanks)")</f>
        <v>36 going with
 and 43 not going (0 blanks)</v>
      </c>
      <c r="D1" s="35" t="s">
        <v>1016</v>
      </c>
      <c r="E1" s="34" t="s">
        <v>1017</v>
      </c>
      <c r="F1" s="431"/>
      <c r="G1" s="431"/>
      <c r="H1" s="431"/>
      <c r="K1" s="13"/>
      <c r="L1" s="13"/>
      <c r="M1" s="13"/>
      <c r="N1" s="13"/>
      <c r="O1" s="13"/>
      <c r="P1" s="13"/>
    </row>
    <row r="2" spans="1:16" ht="15.75" thickBot="1">
      <c r="A2" s="52"/>
      <c r="B2" s="52"/>
      <c r="C2" s="650"/>
      <c r="D2" s="36" t="s">
        <v>1018</v>
      </c>
      <c r="E2" s="492">
        <v>45373</v>
      </c>
      <c r="F2" s="432"/>
      <c r="G2" s="432"/>
      <c r="H2" s="432"/>
      <c r="K2" s="16" t="s">
        <v>1019</v>
      </c>
      <c r="L2" s="16" t="s">
        <v>1020</v>
      </c>
      <c r="P2" s="13"/>
    </row>
    <row r="3" spans="1:16" ht="15.75" thickBot="1">
      <c r="A3" s="53" t="s">
        <v>195</v>
      </c>
      <c r="B3" s="53" t="s">
        <v>787</v>
      </c>
      <c r="C3" s="53" t="s">
        <v>155</v>
      </c>
      <c r="D3" s="53" t="s">
        <v>1021</v>
      </c>
      <c r="E3" s="53" t="s">
        <v>1022</v>
      </c>
      <c r="F3" s="53" t="s">
        <v>1023</v>
      </c>
      <c r="G3" s="53" t="s">
        <v>1024</v>
      </c>
      <c r="H3" s="53" t="s">
        <v>899</v>
      </c>
      <c r="I3" s="13"/>
      <c r="J3" s="16" t="s">
        <v>108</v>
      </c>
      <c r="K3" s="16">
        <f>COUNTIFS(BnPT22Mar[Section],J3,BnPT22Mar[Go/No-Go],"")</f>
        <v>0</v>
      </c>
      <c r="L3" s="16">
        <f>COUNTIFS(BnPT22Mar[Section],J3,BnPT22Mar[Go/No-Go],"Go")</f>
        <v>9</v>
      </c>
      <c r="M3" s="13"/>
      <c r="N3" s="13" t="s">
        <v>1025</v>
      </c>
      <c r="O3" s="19" t="s">
        <v>1026</v>
      </c>
      <c r="P3" s="19" t="s">
        <v>1027</v>
      </c>
    </row>
    <row r="4" spans="1:16">
      <c r="A4" s="79" t="str">
        <f>_xlfn.XLOOKUP(BnPT22Mar[[#This Row],[Name]],RecallTable[NAME],RecallTable[SECTION])</f>
        <v>1PLT</v>
      </c>
      <c r="B4" s="79" t="s">
        <v>188</v>
      </c>
      <c r="C4" s="79" t="s">
        <v>1094</v>
      </c>
      <c r="D4" s="19" t="s">
        <v>1028</v>
      </c>
      <c r="E4" s="78"/>
      <c r="F4" s="78"/>
      <c r="G4" s="78"/>
      <c r="I4" s="13"/>
      <c r="J4" s="16" t="s">
        <v>209</v>
      </c>
      <c r="K4" s="16">
        <f>COUNTIFS(BnPT22Mar[Section],J4,BnPT22Mar[Go/No-Go],"")</f>
        <v>0</v>
      </c>
      <c r="L4" s="16">
        <f>COUNTIFS(BnPT22Mar[Section],J4,BnPT22Mar[Go/No-Go],"Go")</f>
        <v>8</v>
      </c>
      <c r="M4" s="13"/>
      <c r="N4" s="13" t="str" cm="1">
        <f t="array" ref="N4:N10">_xlfn._xlws.FILTER(BnPT22Mar[Name], BnPT22Mar[Planks (10)]="X")</f>
        <v>CARSON, BROOKS A.</v>
      </c>
      <c r="O4" s="13" t="str" cm="1">
        <f t="array" ref="O4:O9">_xlfn._xlws.FILTER(BnPT22Mar[Name], BnPT22Mar[Pull-Ups (10)]="X")</f>
        <v>HAAS, VALERY A.</v>
      </c>
      <c r="P4" s="19" t="str" cm="1">
        <f t="array" ref="P4:P7">_xlfn._xlws.FILTER(BnPT22Mar[Name], BnPT22Mar[Road Gaurd (4)]="X")</f>
        <v>FRANK, DAVIN A.</v>
      </c>
    </row>
    <row r="5" spans="1:16">
      <c r="A5" s="79" t="str">
        <f>_xlfn.XLOOKUP(BnPT22Mar[[#This Row],[Name]],RecallTable[NAME],RecallTable[SECTION])</f>
        <v>1PLT</v>
      </c>
      <c r="B5" s="79" t="s">
        <v>183</v>
      </c>
      <c r="C5" s="79" t="s">
        <v>1095</v>
      </c>
      <c r="D5" s="19" t="s">
        <v>1028</v>
      </c>
      <c r="E5" s="78"/>
      <c r="F5" s="78"/>
      <c r="G5" s="78"/>
      <c r="I5" s="13"/>
      <c r="J5" s="16" t="s">
        <v>79</v>
      </c>
      <c r="K5" s="16">
        <f>COUNTIFS(BnPT22Mar[Section],J5,BnPT22Mar[Go/No-Go],"")</f>
        <v>0</v>
      </c>
      <c r="L5" s="16">
        <f>COUNTIFS(BnPT22Mar[Section],J5,BnPT22Mar[Go/No-Go],"Go")</f>
        <v>5</v>
      </c>
      <c r="M5" s="13"/>
      <c r="N5" s="13" t="str">
        <v>HODGES, ROSELYN A.</v>
      </c>
      <c r="O5" s="19" t="str">
        <v>GROSS, SHERLYN A.</v>
      </c>
      <c r="P5" s="19" t="str">
        <v>MCBRIDE, ZION A.</v>
      </c>
    </row>
    <row r="6" spans="1:16">
      <c r="A6" s="79" t="str">
        <f>_xlfn.XLOOKUP(BnPT22Mar[[#This Row],[Name]],RecallTable[NAME],RecallTable[SECTION])</f>
        <v>1PLT</v>
      </c>
      <c r="B6" s="79" t="s">
        <v>182</v>
      </c>
      <c r="C6" s="79" t="s">
        <v>1096</v>
      </c>
      <c r="D6" s="19" t="s">
        <v>1029</v>
      </c>
      <c r="E6" s="78"/>
      <c r="F6" s="78" t="s">
        <v>939</v>
      </c>
      <c r="G6" s="78"/>
      <c r="H6" s="19" t="s">
        <v>277</v>
      </c>
      <c r="I6" s="13"/>
      <c r="J6" s="16" t="s">
        <v>213</v>
      </c>
      <c r="K6" s="16">
        <f>COUNTIFS(BnPT22Mar[Section],J6,BnPT22Mar[Go/No-Go],"")</f>
        <v>0</v>
      </c>
      <c r="L6" s="16">
        <f>COUNTIFS(BnPT22Mar[Section],J6,BnPT22Mar[Go/No-Go],"Go")</f>
        <v>2</v>
      </c>
      <c r="M6" s="13"/>
      <c r="N6" s="13" t="str">
        <v>HARTMAN, DANE A.</v>
      </c>
      <c r="O6" s="19" t="str">
        <v>NASH, LEONARDO A.</v>
      </c>
      <c r="P6" s="19" t="str">
        <v>MALONE, DAMARION A.</v>
      </c>
    </row>
    <row r="7" spans="1:16">
      <c r="A7" s="79" t="str">
        <f>_xlfn.XLOOKUP(BnPT22Mar[[#This Row],[Name]],RecallTable[NAME],RecallTable[SECTION])</f>
        <v>1PLT</v>
      </c>
      <c r="B7" s="79" t="s">
        <v>182</v>
      </c>
      <c r="C7" s="79" t="s">
        <v>1097</v>
      </c>
      <c r="D7" s="19" t="s">
        <v>1029</v>
      </c>
      <c r="E7" s="78"/>
      <c r="F7" s="78"/>
      <c r="G7" s="78"/>
      <c r="H7" s="19" t="s">
        <v>1030</v>
      </c>
      <c r="I7" s="13"/>
      <c r="J7" s="16" t="s">
        <v>215</v>
      </c>
      <c r="K7" s="16">
        <f>COUNTIFS(BnPT22Mar[Section],J7,BnPT22Mar[Go/No-Go],"")</f>
        <v>0</v>
      </c>
      <c r="L7" s="16">
        <f>COUNTIFS(BnPT22Mar[Section],J7,BnPT22Mar[Go/No-Go],"Go")</f>
        <v>2</v>
      </c>
      <c r="M7" s="13"/>
      <c r="N7" s="13" t="str">
        <v>MCBRIDE, ZION A.</v>
      </c>
      <c r="O7" s="19" t="str">
        <v>MCGEE, MAYRA A.</v>
      </c>
      <c r="P7" s="19" t="str">
        <v>SCHAEFER, JAYLA A.</v>
      </c>
    </row>
    <row r="8" spans="1:16">
      <c r="A8" s="79" t="str">
        <f>_xlfn.XLOOKUP(BnPT22Mar[[#This Row],[Name]],RecallTable[NAME],RecallTable[SECTION])</f>
        <v>1PLT</v>
      </c>
      <c r="B8" s="79" t="s">
        <v>181</v>
      </c>
      <c r="C8" s="79" t="s">
        <v>1098</v>
      </c>
      <c r="D8" s="19" t="s">
        <v>1029</v>
      </c>
      <c r="E8" s="78"/>
      <c r="F8" s="78"/>
      <c r="G8" s="78"/>
      <c r="H8" s="19" t="s">
        <v>1031</v>
      </c>
      <c r="I8" s="13"/>
      <c r="J8" s="16" t="s">
        <v>60</v>
      </c>
      <c r="K8" s="16">
        <f>COUNTIFS(BnPT22Mar[Section],J8,BnPT22Mar[Go/No-Go],"")</f>
        <v>0</v>
      </c>
      <c r="L8" s="16">
        <f>COUNTIFS(BnPT22Mar[Section],J8,BnPT22Mar[Go/No-Go],"Go")</f>
        <v>2</v>
      </c>
      <c r="M8" s="13"/>
      <c r="N8" s="13" t="str">
        <v>CORDOVA, GRADY A.</v>
      </c>
      <c r="O8" s="19" t="str">
        <v>STAFFORD, ALLYSON A.</v>
      </c>
    </row>
    <row r="9" spans="1:16" ht="15.75" thickBot="1">
      <c r="A9" s="79" t="str">
        <f>_xlfn.XLOOKUP(BnPT22Mar[[#This Row],[Name]],RecallTable[NAME],RecallTable[SECTION])</f>
        <v>1PLT</v>
      </c>
      <c r="B9" s="79" t="s">
        <v>181</v>
      </c>
      <c r="C9" s="79" t="s">
        <v>1099</v>
      </c>
      <c r="D9" s="19" t="s">
        <v>1028</v>
      </c>
      <c r="E9" s="78"/>
      <c r="F9" s="78"/>
      <c r="G9" s="78"/>
      <c r="I9" s="13"/>
      <c r="J9" s="16" t="s">
        <v>935</v>
      </c>
      <c r="K9" s="16">
        <f>COUNTIFS(BnPT22Mar[Section],J9,BnPT22Mar[Go/No-Go],"")</f>
        <v>0</v>
      </c>
      <c r="L9" s="526">
        <f>COUNTIFS(BnPT22Mar[Section],J9,BnPT22Mar[Go/No-Go],"Go")</f>
        <v>0</v>
      </c>
      <c r="M9" s="13"/>
      <c r="N9" s="13" t="str">
        <v>MCCOY, EILEEN A.</v>
      </c>
      <c r="O9" s="19" t="str">
        <v>POWERS, BLAKE A.</v>
      </c>
    </row>
    <row r="10" spans="1:16" ht="15.75" thickTop="1">
      <c r="A10" s="79" t="str">
        <f>_xlfn.XLOOKUP(BnPT22Mar[[#This Row],[Name]],RecallTable[NAME],RecallTable[SECTION])</f>
        <v>1PLT</v>
      </c>
      <c r="B10" s="79" t="s">
        <v>181</v>
      </c>
      <c r="C10" s="79" t="s">
        <v>1100</v>
      </c>
      <c r="D10" s="19" t="s">
        <v>1029</v>
      </c>
      <c r="E10" s="78"/>
      <c r="F10" s="78"/>
      <c r="G10" s="78"/>
      <c r="H10" s="19" t="s">
        <v>795</v>
      </c>
      <c r="L10" s="16">
        <f>SUM(L3:L9)</f>
        <v>28</v>
      </c>
      <c r="N10" s="19" t="str">
        <v>DAVID, HEATHER A.</v>
      </c>
    </row>
    <row r="11" spans="1:16">
      <c r="A11" s="79" t="str">
        <f>_xlfn.XLOOKUP(BnPT22Mar[[#This Row],[Name]],RecallTable[NAME],RecallTable[SECTION])</f>
        <v>1PLT</v>
      </c>
      <c r="B11" s="79" t="s">
        <v>180</v>
      </c>
      <c r="C11" s="79" t="s">
        <v>1101</v>
      </c>
      <c r="D11" s="19" t="s">
        <v>1028</v>
      </c>
      <c r="E11" s="78"/>
      <c r="F11" s="78"/>
      <c r="G11" s="78"/>
    </row>
    <row r="12" spans="1:16">
      <c r="A12" s="79" t="str">
        <f>_xlfn.XLOOKUP(BnPT22Mar[[#This Row],[Name]],RecallTable[NAME],RecallTable[SECTION])</f>
        <v>1PLT</v>
      </c>
      <c r="B12" s="79" t="s">
        <v>180</v>
      </c>
      <c r="C12" s="79" t="s">
        <v>1102</v>
      </c>
      <c r="D12" s="19" t="s">
        <v>1029</v>
      </c>
      <c r="E12" s="78"/>
      <c r="F12" s="78"/>
      <c r="G12" s="78"/>
      <c r="H12" s="19" t="s">
        <v>868</v>
      </c>
    </row>
    <row r="13" spans="1:16">
      <c r="A13" s="79" t="str">
        <f>_xlfn.XLOOKUP(BnPT22Mar[[#This Row],[Name]],RecallTable[NAME],RecallTable[SECTION])</f>
        <v>1PLT</v>
      </c>
      <c r="B13" s="79" t="s">
        <v>180</v>
      </c>
      <c r="C13" s="79" t="s">
        <v>1103</v>
      </c>
      <c r="D13" s="19" t="s">
        <v>1028</v>
      </c>
      <c r="E13" s="78"/>
      <c r="F13" s="78"/>
      <c r="G13" s="78"/>
    </row>
    <row r="14" spans="1:16">
      <c r="A14" s="79" t="str">
        <f>_xlfn.XLOOKUP(BnPT22Mar[[#This Row],[Name]],RecallTable[NAME],RecallTable[SECTION])</f>
        <v>1PLT</v>
      </c>
      <c r="B14" s="79" t="s">
        <v>180</v>
      </c>
      <c r="C14" s="79" t="s">
        <v>1104</v>
      </c>
      <c r="D14" s="19" t="s">
        <v>1028</v>
      </c>
      <c r="E14" s="78"/>
      <c r="F14" s="78"/>
      <c r="G14" s="78"/>
    </row>
    <row r="15" spans="1:16">
      <c r="A15" s="79" t="str">
        <f>_xlfn.XLOOKUP(BnPT22Mar[[#This Row],[Name]],RecallTable[NAME],RecallTable[SECTION])</f>
        <v>1PLT</v>
      </c>
      <c r="B15" s="79" t="s">
        <v>180</v>
      </c>
      <c r="C15" s="79" t="s">
        <v>1105</v>
      </c>
      <c r="D15" s="19" t="s">
        <v>1028</v>
      </c>
      <c r="E15" s="78"/>
      <c r="F15" s="78"/>
      <c r="G15" s="78"/>
    </row>
    <row r="16" spans="1:16">
      <c r="A16" s="79" t="str">
        <f>_xlfn.XLOOKUP(BnPT22Mar[[#This Row],[Name]],RecallTable[NAME],RecallTable[SECTION])</f>
        <v>1PLT</v>
      </c>
      <c r="B16" s="79" t="s">
        <v>180</v>
      </c>
      <c r="C16" s="79" t="s">
        <v>1106</v>
      </c>
      <c r="D16" s="19" t="s">
        <v>1028</v>
      </c>
      <c r="E16" s="78"/>
      <c r="F16" s="78" t="s">
        <v>939</v>
      </c>
      <c r="G16" s="78"/>
    </row>
    <row r="17" spans="1:8">
      <c r="A17" s="79" t="str">
        <f>_xlfn.XLOOKUP(BnPT22Mar[[#This Row],[Name]],RecallTable[NAME],RecallTable[SECTION])</f>
        <v>1PLT</v>
      </c>
      <c r="B17" s="79" t="s">
        <v>180</v>
      </c>
      <c r="C17" s="79" t="s">
        <v>1107</v>
      </c>
      <c r="D17" s="19" t="s">
        <v>1028</v>
      </c>
      <c r="E17" s="78"/>
      <c r="F17" s="78"/>
      <c r="G17" s="78"/>
    </row>
    <row r="18" spans="1:8">
      <c r="A18" s="79" t="str">
        <f>_xlfn.XLOOKUP(BnPT22Mar[[#This Row],[Name]],RecallTable[NAME],RecallTable[SECTION])</f>
        <v>1PLT</v>
      </c>
      <c r="B18" s="79" t="s">
        <v>179</v>
      </c>
      <c r="C18" s="79" t="s">
        <v>1108</v>
      </c>
      <c r="D18" s="19" t="s">
        <v>1029</v>
      </c>
      <c r="E18" s="78"/>
      <c r="F18" s="78"/>
      <c r="G18" s="78"/>
      <c r="H18" s="19" t="s">
        <v>277</v>
      </c>
    </row>
    <row r="19" spans="1:8">
      <c r="A19" s="79" t="str">
        <f>_xlfn.XLOOKUP(BnPT22Mar[[#This Row],[Name]],RecallTable[NAME],RecallTable[SECTION])</f>
        <v>2PLT</v>
      </c>
      <c r="B19" s="79" t="s">
        <v>188</v>
      </c>
      <c r="C19" s="79" t="s">
        <v>1109</v>
      </c>
      <c r="D19" s="19" t="s">
        <v>1028</v>
      </c>
      <c r="E19" s="78"/>
      <c r="F19" s="78"/>
      <c r="G19" s="78"/>
    </row>
    <row r="20" spans="1:8">
      <c r="A20" s="79" t="str">
        <f>_xlfn.XLOOKUP(BnPT22Mar[[#This Row],[Name]],RecallTable[NAME],RecallTable[SECTION])</f>
        <v>2PLT</v>
      </c>
      <c r="B20" s="79" t="s">
        <v>183</v>
      </c>
      <c r="C20" s="79" t="s">
        <v>1110</v>
      </c>
      <c r="D20" s="19" t="s">
        <v>1028</v>
      </c>
      <c r="E20" s="78"/>
      <c r="F20" s="78"/>
      <c r="G20" s="78"/>
    </row>
    <row r="21" spans="1:8">
      <c r="A21" s="79" t="str">
        <f>_xlfn.XLOOKUP(BnPT22Mar[[#This Row],[Name]],RecallTable[NAME],RecallTable[SECTION])</f>
        <v>2PLT</v>
      </c>
      <c r="B21" s="79" t="s">
        <v>182</v>
      </c>
      <c r="C21" s="79" t="s">
        <v>1111</v>
      </c>
      <c r="D21" s="19" t="s">
        <v>1029</v>
      </c>
      <c r="E21" s="78"/>
      <c r="F21" s="78"/>
      <c r="G21" s="78"/>
      <c r="H21" s="19" t="s">
        <v>866</v>
      </c>
    </row>
    <row r="22" spans="1:8">
      <c r="A22" s="79" t="str">
        <f>_xlfn.XLOOKUP(BnPT22Mar[[#This Row],[Name]],RecallTable[NAME],RecallTable[SECTION])</f>
        <v>2PLT</v>
      </c>
      <c r="B22" s="79" t="s">
        <v>182</v>
      </c>
      <c r="C22" s="79" t="s">
        <v>1112</v>
      </c>
      <c r="D22" s="19" t="s">
        <v>1028</v>
      </c>
      <c r="E22" s="78"/>
      <c r="F22" s="78"/>
      <c r="G22" s="78"/>
    </row>
    <row r="23" spans="1:8">
      <c r="A23" s="79" t="str">
        <f>_xlfn.XLOOKUP(BnPT22Mar[[#This Row],[Name]],RecallTable[NAME],RecallTable[SECTION])</f>
        <v>2PLT</v>
      </c>
      <c r="B23" s="79" t="s">
        <v>181</v>
      </c>
      <c r="C23" s="79" t="s">
        <v>1113</v>
      </c>
      <c r="D23" s="19" t="s">
        <v>1029</v>
      </c>
      <c r="E23" s="78"/>
      <c r="F23" s="78"/>
      <c r="G23" s="78"/>
      <c r="H23" s="19" t="s">
        <v>866</v>
      </c>
    </row>
    <row r="24" spans="1:8">
      <c r="A24" s="79" t="str">
        <f>_xlfn.XLOOKUP(BnPT22Mar[[#This Row],[Name]],RecallTable[NAME],RecallTable[SECTION])</f>
        <v>2PLT</v>
      </c>
      <c r="B24" s="79" t="s">
        <v>181</v>
      </c>
      <c r="C24" s="79" t="s">
        <v>1114</v>
      </c>
      <c r="D24" s="19" t="s">
        <v>1028</v>
      </c>
      <c r="E24" s="78" t="s">
        <v>939</v>
      </c>
      <c r="F24" s="78"/>
      <c r="G24" s="78"/>
    </row>
    <row r="25" spans="1:8">
      <c r="A25" s="79" t="str">
        <f>_xlfn.XLOOKUP(BnPT22Mar[[#This Row],[Name]],RecallTable[NAME],RecallTable[SECTION])</f>
        <v>2PLT</v>
      </c>
      <c r="B25" s="79" t="s">
        <v>181</v>
      </c>
      <c r="C25" s="79" t="s">
        <v>1115</v>
      </c>
      <c r="D25" s="19" t="s">
        <v>1028</v>
      </c>
      <c r="E25" s="78"/>
      <c r="F25" s="78"/>
      <c r="G25" s="78"/>
    </row>
    <row r="26" spans="1:8">
      <c r="A26" s="79" t="str">
        <f>_xlfn.XLOOKUP(BnPT22Mar[[#This Row],[Name]],RecallTable[NAME],RecallTable[SECTION])</f>
        <v>2PLT</v>
      </c>
      <c r="B26" s="79" t="s">
        <v>180</v>
      </c>
      <c r="C26" s="79" t="s">
        <v>1116</v>
      </c>
      <c r="D26" s="19" t="s">
        <v>1028</v>
      </c>
      <c r="E26" s="78"/>
      <c r="F26" s="78"/>
      <c r="G26" s="78"/>
    </row>
    <row r="27" spans="1:8">
      <c r="A27" s="79" t="str">
        <f>_xlfn.XLOOKUP(BnPT22Mar[[#This Row],[Name]],RecallTable[NAME],RecallTable[SECTION])</f>
        <v>2PLT</v>
      </c>
      <c r="B27" s="79" t="s">
        <v>180</v>
      </c>
      <c r="C27" s="79" t="s">
        <v>1117</v>
      </c>
      <c r="D27" s="19" t="s">
        <v>1028</v>
      </c>
      <c r="E27" s="78"/>
      <c r="F27" s="78"/>
      <c r="G27" s="78"/>
    </row>
    <row r="28" spans="1:8">
      <c r="A28" s="79" t="str">
        <f>_xlfn.XLOOKUP(BnPT22Mar[[#This Row],[Name]],RecallTable[NAME],RecallTable[SECTION])</f>
        <v>2PLT</v>
      </c>
      <c r="B28" s="79" t="s">
        <v>180</v>
      </c>
      <c r="C28" s="79" t="s">
        <v>1118</v>
      </c>
      <c r="D28" s="19" t="s">
        <v>1029</v>
      </c>
      <c r="E28" s="78"/>
      <c r="F28" s="78"/>
      <c r="G28" s="78"/>
      <c r="H28" s="19" t="s">
        <v>247</v>
      </c>
    </row>
    <row r="29" spans="1:8">
      <c r="A29" s="79" t="str">
        <f>_xlfn.XLOOKUP(BnPT22Mar[[#This Row],[Name]],RecallTable[NAME],RecallTable[SECTION])</f>
        <v>2PLT</v>
      </c>
      <c r="B29" s="79" t="s">
        <v>180</v>
      </c>
      <c r="C29" s="79" t="s">
        <v>1119</v>
      </c>
      <c r="D29" s="19" t="s">
        <v>1029</v>
      </c>
      <c r="E29" s="78"/>
      <c r="F29" s="78"/>
      <c r="G29" s="78"/>
      <c r="H29" s="19" t="s">
        <v>866</v>
      </c>
    </row>
    <row r="30" spans="1:8">
      <c r="A30" s="79" t="str">
        <f>_xlfn.XLOOKUP(BnPT22Mar[[#This Row],[Name]],RecallTable[NAME],RecallTable[SECTION])</f>
        <v>2PLT</v>
      </c>
      <c r="B30" s="79" t="s">
        <v>180</v>
      </c>
      <c r="C30" s="79" t="s">
        <v>1120</v>
      </c>
      <c r="D30" s="19" t="s">
        <v>1029</v>
      </c>
      <c r="E30" s="78"/>
      <c r="F30" s="78"/>
      <c r="G30" s="78"/>
      <c r="H30" s="19" t="s">
        <v>1030</v>
      </c>
    </row>
    <row r="31" spans="1:8">
      <c r="A31" s="79" t="str">
        <f>_xlfn.XLOOKUP(BnPT22Mar[[#This Row],[Name]],RecallTable[NAME],RecallTable[SECTION])</f>
        <v>2PLT</v>
      </c>
      <c r="B31" s="79" t="s">
        <v>180</v>
      </c>
      <c r="C31" s="79" t="s">
        <v>1121</v>
      </c>
      <c r="D31" s="19" t="s">
        <v>1028</v>
      </c>
      <c r="E31" s="78"/>
      <c r="F31" s="78" t="s">
        <v>939</v>
      </c>
      <c r="G31" s="78"/>
    </row>
    <row r="32" spans="1:8">
      <c r="A32" s="79" t="str">
        <f>_xlfn.XLOOKUP(BnPT22Mar[[#This Row],[Name]],RecallTable[NAME],RecallTable[SECTION])</f>
        <v>2PLT</v>
      </c>
      <c r="B32" s="79" t="s">
        <v>180</v>
      </c>
      <c r="C32" s="79" t="s">
        <v>1122</v>
      </c>
      <c r="D32" s="19" t="s">
        <v>1029</v>
      </c>
      <c r="E32" s="78"/>
      <c r="F32" s="78"/>
      <c r="G32" s="78"/>
      <c r="H32" s="19" t="s">
        <v>277</v>
      </c>
    </row>
    <row r="33" spans="1:8">
      <c r="A33" s="79" t="str">
        <f>_xlfn.XLOOKUP(BnPT22Mar[[#This Row],[Name]],RecallTable[NAME],RecallTable[SECTION])</f>
        <v>2PLT</v>
      </c>
      <c r="B33" s="79" t="s">
        <v>179</v>
      </c>
      <c r="C33" s="79" t="s">
        <v>1123</v>
      </c>
      <c r="D33" s="19" t="s">
        <v>1029</v>
      </c>
      <c r="E33" s="78"/>
      <c r="F33" s="78"/>
      <c r="G33" s="78"/>
      <c r="H33" s="19" t="s">
        <v>1032</v>
      </c>
    </row>
    <row r="34" spans="1:8">
      <c r="A34" s="79" t="str">
        <f>_xlfn.XLOOKUP(BnPT22Mar[[#This Row],[Name]],RecallTable[NAME],RecallTable[SECTION])</f>
        <v>3PLT</v>
      </c>
      <c r="B34" s="79" t="s">
        <v>188</v>
      </c>
      <c r="C34" s="79" t="s">
        <v>1124</v>
      </c>
      <c r="D34" s="19" t="s">
        <v>1029</v>
      </c>
      <c r="E34" s="78"/>
      <c r="F34" s="78"/>
      <c r="G34" s="78"/>
      <c r="H34" s="19" t="s">
        <v>1032</v>
      </c>
    </row>
    <row r="35" spans="1:8">
      <c r="A35" s="79" t="str">
        <f>_xlfn.XLOOKUP(BnPT22Mar[[#This Row],[Name]],RecallTable[NAME],RecallTable[SECTION])</f>
        <v>3PLT</v>
      </c>
      <c r="B35" s="79" t="s">
        <v>183</v>
      </c>
      <c r="C35" s="79" t="s">
        <v>1125</v>
      </c>
      <c r="D35" s="19" t="s">
        <v>1028</v>
      </c>
      <c r="E35" s="78"/>
      <c r="F35" s="78"/>
      <c r="G35" s="78"/>
    </row>
    <row r="36" spans="1:8">
      <c r="A36" s="79" t="str">
        <f>_xlfn.XLOOKUP(BnPT22Mar[[#This Row],[Name]],RecallTable[NAME],RecallTable[SECTION])</f>
        <v>3PLT</v>
      </c>
      <c r="B36" s="79" t="s">
        <v>182</v>
      </c>
      <c r="C36" s="79" t="s">
        <v>1126</v>
      </c>
      <c r="D36" s="19" t="s">
        <v>1029</v>
      </c>
      <c r="E36" s="78"/>
      <c r="F36" s="78"/>
      <c r="G36" s="78"/>
      <c r="H36" s="19" t="s">
        <v>1030</v>
      </c>
    </row>
    <row r="37" spans="1:8">
      <c r="A37" s="79" t="str">
        <f>_xlfn.XLOOKUP(BnPT22Mar[[#This Row],[Name]],RecallTable[NAME],RecallTable[SECTION])</f>
        <v>3PLT</v>
      </c>
      <c r="B37" s="79" t="s">
        <v>182</v>
      </c>
      <c r="C37" s="79" t="s">
        <v>1127</v>
      </c>
      <c r="D37" s="19" t="s">
        <v>1029</v>
      </c>
      <c r="E37" s="78"/>
      <c r="F37" s="78"/>
      <c r="G37" s="78"/>
      <c r="H37" s="19" t="s">
        <v>1033</v>
      </c>
    </row>
    <row r="38" spans="1:8">
      <c r="A38" s="79" t="str">
        <f>_xlfn.XLOOKUP(BnPT22Mar[[#This Row],[Name]],RecallTable[NAME],RecallTable[SECTION])</f>
        <v>3PLT</v>
      </c>
      <c r="B38" s="79" t="s">
        <v>181</v>
      </c>
      <c r="C38" s="79" t="s">
        <v>1128</v>
      </c>
      <c r="D38" s="19" t="s">
        <v>1029</v>
      </c>
      <c r="E38" s="78"/>
      <c r="F38" s="78"/>
      <c r="G38" s="78"/>
      <c r="H38" s="19" t="s">
        <v>1032</v>
      </c>
    </row>
    <row r="39" spans="1:8">
      <c r="A39" s="79" t="str">
        <f>_xlfn.XLOOKUP(BnPT22Mar[[#This Row],[Name]],RecallTable[NAME],RecallTable[SECTION])</f>
        <v>3PLT</v>
      </c>
      <c r="B39" s="79" t="s">
        <v>181</v>
      </c>
      <c r="C39" s="79" t="s">
        <v>1129</v>
      </c>
      <c r="D39" s="19" t="s">
        <v>1029</v>
      </c>
      <c r="E39" s="78"/>
      <c r="F39" s="78"/>
      <c r="G39" s="78"/>
      <c r="H39" s="19" t="s">
        <v>860</v>
      </c>
    </row>
    <row r="40" spans="1:8">
      <c r="A40" s="79" t="str">
        <f>_xlfn.XLOOKUP(BnPT22Mar[[#This Row],[Name]],RecallTable[NAME],RecallTable[SECTION])</f>
        <v>3PLT</v>
      </c>
      <c r="B40" s="79" t="s">
        <v>181</v>
      </c>
      <c r="C40" s="79" t="s">
        <v>1130</v>
      </c>
      <c r="D40" s="19" t="s">
        <v>1029</v>
      </c>
      <c r="E40" s="78"/>
      <c r="F40" s="78"/>
      <c r="G40" s="78"/>
      <c r="H40" s="19" t="s">
        <v>1032</v>
      </c>
    </row>
    <row r="41" spans="1:8">
      <c r="A41" s="79" t="str">
        <f>_xlfn.XLOOKUP(BnPT22Mar[[#This Row],[Name]],RecallTable[NAME],RecallTable[SECTION])</f>
        <v>3PLT</v>
      </c>
      <c r="B41" s="79" t="s">
        <v>180</v>
      </c>
      <c r="C41" s="79" t="s">
        <v>1131</v>
      </c>
      <c r="D41" s="19" t="s">
        <v>1029</v>
      </c>
      <c r="E41" s="78"/>
      <c r="F41" s="78"/>
      <c r="G41" s="78"/>
      <c r="H41" s="19" t="s">
        <v>1034</v>
      </c>
    </row>
    <row r="42" spans="1:8">
      <c r="A42" s="79" t="str">
        <f>_xlfn.XLOOKUP(BnPT22Mar[[#This Row],[Name]],RecallTable[NAME],RecallTable[SECTION])</f>
        <v>3PLT</v>
      </c>
      <c r="B42" s="79" t="s">
        <v>180</v>
      </c>
      <c r="C42" s="79" t="s">
        <v>1132</v>
      </c>
      <c r="D42" s="19" t="s">
        <v>1029</v>
      </c>
      <c r="E42" s="78"/>
      <c r="F42" s="78"/>
      <c r="G42" s="78"/>
      <c r="H42" s="19" t="s">
        <v>1032</v>
      </c>
    </row>
    <row r="43" spans="1:8">
      <c r="A43" s="79" t="str">
        <f>_xlfn.XLOOKUP(BnPT22Mar[[#This Row],[Name]],RecallTable[NAME],RecallTable[SECTION])</f>
        <v>3PLT</v>
      </c>
      <c r="B43" s="79" t="s">
        <v>180</v>
      </c>
      <c r="C43" s="79" t="s">
        <v>1133</v>
      </c>
      <c r="D43" s="19" t="s">
        <v>1029</v>
      </c>
      <c r="E43" s="78"/>
      <c r="F43" s="78"/>
      <c r="G43" s="78"/>
      <c r="H43" s="19" t="s">
        <v>1035</v>
      </c>
    </row>
    <row r="44" spans="1:8">
      <c r="A44" s="79" t="str">
        <f>_xlfn.XLOOKUP(BnPT22Mar[[#This Row],[Name]],RecallTable[NAME],RecallTable[SECTION])</f>
        <v>3PLT</v>
      </c>
      <c r="B44" s="79" t="s">
        <v>180</v>
      </c>
      <c r="C44" s="79" t="s">
        <v>1134</v>
      </c>
      <c r="D44" s="19" t="s">
        <v>1028</v>
      </c>
      <c r="E44" s="78" t="s">
        <v>939</v>
      </c>
      <c r="F44" s="78" t="s">
        <v>939</v>
      </c>
      <c r="G44" s="78"/>
    </row>
    <row r="45" spans="1:8">
      <c r="A45" s="79" t="str">
        <f>_xlfn.XLOOKUP(BnPT22Mar[[#This Row],[Name]],RecallTable[NAME],RecallTable[SECTION])</f>
        <v>3PLT</v>
      </c>
      <c r="B45" s="79" t="s">
        <v>180</v>
      </c>
      <c r="C45" s="79" t="s">
        <v>1135</v>
      </c>
      <c r="D45" s="19" t="s">
        <v>1028</v>
      </c>
      <c r="E45" s="78"/>
      <c r="F45" s="78" t="s">
        <v>939</v>
      </c>
      <c r="G45" s="78"/>
    </row>
    <row r="46" spans="1:8">
      <c r="A46" s="79" t="str">
        <f>_xlfn.XLOOKUP(BnPT22Mar[[#This Row],[Name]],RecallTable[NAME],RecallTable[SECTION])</f>
        <v>3PLT</v>
      </c>
      <c r="B46" s="79" t="s">
        <v>180</v>
      </c>
      <c r="C46" s="79" t="s">
        <v>1136</v>
      </c>
      <c r="D46" s="19" t="s">
        <v>1029</v>
      </c>
      <c r="E46" s="78"/>
      <c r="F46" s="78"/>
      <c r="G46" s="78"/>
      <c r="H46" s="19" t="s">
        <v>866</v>
      </c>
    </row>
    <row r="47" spans="1:8">
      <c r="A47" s="79" t="str">
        <f>_xlfn.XLOOKUP(BnPT22Mar[[#This Row],[Name]],RecallTable[NAME],RecallTable[SECTION])</f>
        <v>3PLT</v>
      </c>
      <c r="B47" s="79" t="s">
        <v>180</v>
      </c>
      <c r="C47" s="79" t="s">
        <v>1137</v>
      </c>
      <c r="D47" s="19" t="s">
        <v>1028</v>
      </c>
      <c r="E47" s="78"/>
      <c r="F47" s="78"/>
      <c r="G47" s="78" t="s">
        <v>939</v>
      </c>
    </row>
    <row r="48" spans="1:8">
      <c r="A48" s="79" t="str">
        <f>_xlfn.XLOOKUP(BnPT22Mar[[#This Row],[Name]],RecallTable[NAME],RecallTable[SECTION])</f>
        <v>3PLT</v>
      </c>
      <c r="B48" s="79" t="s">
        <v>179</v>
      </c>
      <c r="C48" s="79" t="s">
        <v>1138</v>
      </c>
      <c r="D48" s="19" t="s">
        <v>1029</v>
      </c>
      <c r="E48" s="78"/>
      <c r="F48" s="78"/>
      <c r="G48" s="78"/>
      <c r="H48" s="19" t="s">
        <v>1036</v>
      </c>
    </row>
    <row r="49" spans="1:8">
      <c r="A49" s="79" t="str">
        <f>_xlfn.XLOOKUP(BnPT22Mar[[#This Row],[Name]],RecallTable[NAME],RecallTable[SECTION])</f>
        <v>3PLT</v>
      </c>
      <c r="B49" s="79" t="s">
        <v>181</v>
      </c>
      <c r="C49" s="79" t="s">
        <v>1139</v>
      </c>
      <c r="D49" s="19" t="s">
        <v>1029</v>
      </c>
      <c r="E49" s="78"/>
      <c r="F49" s="78"/>
      <c r="G49" s="78"/>
      <c r="H49" s="19" t="s">
        <v>866</v>
      </c>
    </row>
    <row r="50" spans="1:8">
      <c r="A50" s="79" t="str">
        <f>_xlfn.XLOOKUP(BnPT22Mar[[#This Row],[Name]],RecallTable[NAME],RecallTable[SECTION])</f>
        <v>3PLT</v>
      </c>
      <c r="B50" s="79" t="s">
        <v>179</v>
      </c>
      <c r="C50" s="79" t="s">
        <v>1140</v>
      </c>
      <c r="D50" s="19" t="s">
        <v>1028</v>
      </c>
      <c r="E50" s="78"/>
      <c r="F50" s="78" t="s">
        <v>939</v>
      </c>
      <c r="G50" s="78"/>
    </row>
    <row r="51" spans="1:8">
      <c r="A51" s="79" t="str">
        <f>_xlfn.XLOOKUP(BnPT22Mar[[#This Row],[Name]],RecallTable[NAME],RecallTable[SECTION])</f>
        <v>4PLT</v>
      </c>
      <c r="B51" s="79" t="s">
        <v>188</v>
      </c>
      <c r="C51" s="79" t="s">
        <v>1141</v>
      </c>
      <c r="D51" s="19" t="s">
        <v>1028</v>
      </c>
      <c r="E51" s="78" t="s">
        <v>939</v>
      </c>
      <c r="F51" s="78"/>
      <c r="G51" s="78"/>
    </row>
    <row r="52" spans="1:8">
      <c r="A52" s="79" t="str">
        <f>_xlfn.XLOOKUP(BnPT22Mar[[#This Row],[Name]],RecallTable[NAME],RecallTable[SECTION])</f>
        <v>4PLT</v>
      </c>
      <c r="B52" s="79" t="s">
        <v>183</v>
      </c>
      <c r="C52" s="79" t="s">
        <v>1142</v>
      </c>
      <c r="D52" s="19" t="s">
        <v>1028</v>
      </c>
      <c r="E52" s="78"/>
      <c r="F52" s="78"/>
      <c r="G52" s="78" t="s">
        <v>939</v>
      </c>
    </row>
    <row r="53" spans="1:8">
      <c r="A53" s="79" t="str">
        <f>_xlfn.XLOOKUP(BnPT22Mar[[#This Row],[Name]],RecallTable[NAME],RecallTable[SECTION])</f>
        <v>4PLT</v>
      </c>
      <c r="B53" s="79" t="s">
        <v>182</v>
      </c>
      <c r="C53" s="79" t="s">
        <v>1143</v>
      </c>
      <c r="D53" s="19" t="s">
        <v>1029</v>
      </c>
      <c r="E53" s="78"/>
      <c r="F53" s="78"/>
      <c r="G53" s="78"/>
      <c r="H53" s="19" t="s">
        <v>866</v>
      </c>
    </row>
    <row r="54" spans="1:8">
      <c r="A54" s="79" t="str">
        <f>_xlfn.XLOOKUP(BnPT22Mar[[#This Row],[Name]],RecallTable[NAME],RecallTable[SECTION])</f>
        <v>4PLT</v>
      </c>
      <c r="B54" s="79" t="s">
        <v>182</v>
      </c>
      <c r="C54" s="79" t="s">
        <v>1144</v>
      </c>
      <c r="D54" s="19" t="s">
        <v>1028</v>
      </c>
      <c r="E54" s="78"/>
      <c r="F54" s="78"/>
      <c r="G54" s="78"/>
    </row>
    <row r="55" spans="1:8">
      <c r="A55" s="79" t="str">
        <f>_xlfn.XLOOKUP(BnPT22Mar[[#This Row],[Name]],RecallTable[NAME],RecallTable[SECTION])</f>
        <v>4PLT</v>
      </c>
      <c r="B55" s="79" t="s">
        <v>181</v>
      </c>
      <c r="C55" s="79" t="s">
        <v>1145</v>
      </c>
      <c r="D55" s="19" t="s">
        <v>1028</v>
      </c>
      <c r="E55" s="78"/>
      <c r="F55" s="78"/>
      <c r="G55" s="78"/>
    </row>
    <row r="56" spans="1:8">
      <c r="A56" s="79" t="str">
        <f>_xlfn.XLOOKUP(BnPT22Mar[[#This Row],[Name]],RecallTable[NAME],RecallTable[SECTION])</f>
        <v>4PLT</v>
      </c>
      <c r="B56" s="79" t="s">
        <v>181</v>
      </c>
      <c r="C56" s="79" t="s">
        <v>1146</v>
      </c>
      <c r="D56" s="19" t="s">
        <v>1028</v>
      </c>
      <c r="E56" s="78"/>
      <c r="F56" s="78"/>
      <c r="G56" s="78"/>
    </row>
    <row r="57" spans="1:8">
      <c r="A57" s="79" t="str">
        <f>_xlfn.XLOOKUP(BnPT22Mar[[#This Row],[Name]],RecallTable[NAME],RecallTable[SECTION])</f>
        <v>4PLT</v>
      </c>
      <c r="B57" s="79" t="s">
        <v>181</v>
      </c>
      <c r="C57" s="79" t="s">
        <v>1147</v>
      </c>
      <c r="D57" s="19" t="s">
        <v>1029</v>
      </c>
      <c r="E57" s="78"/>
      <c r="F57" s="78"/>
      <c r="G57" s="78" t="s">
        <v>939</v>
      </c>
    </row>
    <row r="58" spans="1:8">
      <c r="A58" s="79" t="str">
        <f>_xlfn.XLOOKUP(BnPT22Mar[[#This Row],[Name]],RecallTable[NAME],RecallTable[SECTION])</f>
        <v>4PLT</v>
      </c>
      <c r="B58" s="79" t="s">
        <v>180</v>
      </c>
      <c r="C58" s="79" t="s">
        <v>1148</v>
      </c>
      <c r="D58" s="19" t="s">
        <v>1028</v>
      </c>
      <c r="E58" s="78"/>
      <c r="F58" s="78"/>
      <c r="G58" s="78"/>
    </row>
    <row r="59" spans="1:8">
      <c r="A59" s="79" t="str">
        <f>_xlfn.XLOOKUP(BnPT22Mar[[#This Row],[Name]],RecallTable[NAME],RecallTable[SECTION])</f>
        <v>4PLT</v>
      </c>
      <c r="B59" s="79" t="s">
        <v>180</v>
      </c>
      <c r="C59" s="79" t="s">
        <v>1149</v>
      </c>
      <c r="D59" s="19" t="s">
        <v>1029</v>
      </c>
      <c r="E59" s="78"/>
      <c r="F59" s="78"/>
      <c r="G59" s="78"/>
      <c r="H59" s="19" t="s">
        <v>1037</v>
      </c>
    </row>
    <row r="60" spans="1:8">
      <c r="A60" s="79" t="str">
        <f>_xlfn.XLOOKUP(BnPT22Mar[[#This Row],[Name]],RecallTable[NAME],RecallTable[SECTION])</f>
        <v>4PLT</v>
      </c>
      <c r="B60" s="79" t="s">
        <v>180</v>
      </c>
      <c r="C60" s="79" t="s">
        <v>1150</v>
      </c>
      <c r="D60" s="19" t="s">
        <v>1029</v>
      </c>
      <c r="E60" s="78"/>
      <c r="F60" s="78"/>
      <c r="G60" s="78"/>
      <c r="H60" s="19" t="s">
        <v>873</v>
      </c>
    </row>
    <row r="61" spans="1:8">
      <c r="A61" s="79" t="str">
        <f>_xlfn.XLOOKUP(BnPT22Mar[[#This Row],[Name]],RecallTable[NAME],RecallTable[SECTION])</f>
        <v>4PLT</v>
      </c>
      <c r="B61" s="79" t="s">
        <v>180</v>
      </c>
      <c r="C61" s="79" t="s">
        <v>1151</v>
      </c>
      <c r="D61" s="19" t="s">
        <v>1028</v>
      </c>
      <c r="E61" s="78"/>
      <c r="F61" s="78"/>
      <c r="G61" s="78" t="s">
        <v>939</v>
      </c>
    </row>
    <row r="62" spans="1:8">
      <c r="A62" s="79" t="str">
        <f>_xlfn.XLOOKUP(BnPT22Mar[[#This Row],[Name]],RecallTable[NAME],RecallTable[SECTION])</f>
        <v>4PLT</v>
      </c>
      <c r="B62" s="79" t="s">
        <v>180</v>
      </c>
      <c r="C62" s="79" t="s">
        <v>1152</v>
      </c>
      <c r="D62" s="19" t="s">
        <v>1028</v>
      </c>
      <c r="E62" s="78" t="s">
        <v>939</v>
      </c>
      <c r="F62" s="78"/>
      <c r="G62" s="78"/>
    </row>
    <row r="63" spans="1:8">
      <c r="A63" s="79" t="str">
        <f>_xlfn.XLOOKUP(BnPT22Mar[[#This Row],[Name]],RecallTable[NAME],RecallTable[SECTION])</f>
        <v>4PLT</v>
      </c>
      <c r="B63" s="79" t="s">
        <v>180</v>
      </c>
      <c r="C63" s="79" t="s">
        <v>1153</v>
      </c>
      <c r="D63" s="19" t="s">
        <v>1029</v>
      </c>
      <c r="E63" s="78"/>
      <c r="F63" s="78"/>
      <c r="G63" s="78"/>
      <c r="H63" s="19" t="s">
        <v>1030</v>
      </c>
    </row>
    <row r="64" spans="1:8">
      <c r="A64" s="79" t="str">
        <f>_xlfn.XLOOKUP(BnPT22Mar[[#This Row],[Name]],RecallTable[NAME],RecallTable[SECTION])</f>
        <v>OPS</v>
      </c>
      <c r="B64" s="79" t="s">
        <v>185</v>
      </c>
      <c r="C64" s="79" t="s">
        <v>1154</v>
      </c>
      <c r="D64" s="19" t="s">
        <v>1029</v>
      </c>
      <c r="E64" s="78"/>
      <c r="F64" s="78" t="s">
        <v>939</v>
      </c>
      <c r="G64" s="78"/>
      <c r="H64" s="19" t="s">
        <v>265</v>
      </c>
    </row>
    <row r="65" spans="1:8">
      <c r="A65" s="79" t="str">
        <f>_xlfn.XLOOKUP(BnPT22Mar[[#This Row],[Name]],RecallTable[NAME],RecallTable[SECTION])</f>
        <v>OPS</v>
      </c>
      <c r="B65" s="79" t="s">
        <v>188</v>
      </c>
      <c r="C65" s="79" t="s">
        <v>1155</v>
      </c>
      <c r="D65" s="19" t="s">
        <v>1029</v>
      </c>
      <c r="E65" s="78"/>
      <c r="F65" s="78"/>
      <c r="G65" s="78"/>
      <c r="H65" s="19" t="s">
        <v>1038</v>
      </c>
    </row>
    <row r="66" spans="1:8">
      <c r="A66" s="79" t="str">
        <f>_xlfn.XLOOKUP(BnPT22Mar[[#This Row],[Name]],RecallTable[NAME],RecallTable[SECTION])</f>
        <v>OPS</v>
      </c>
      <c r="B66" s="79" t="s">
        <v>184</v>
      </c>
      <c r="C66" s="79" t="s">
        <v>1156</v>
      </c>
      <c r="D66" s="19" t="s">
        <v>1029</v>
      </c>
      <c r="E66" s="78"/>
      <c r="F66" s="78"/>
      <c r="G66" s="78"/>
      <c r="H66" s="19" t="s">
        <v>860</v>
      </c>
    </row>
    <row r="67" spans="1:8">
      <c r="A67" s="79" t="str">
        <f>_xlfn.XLOOKUP(BnPT22Mar[[#This Row],[Name]],RecallTable[NAME],RecallTable[SECTION])</f>
        <v>OPS</v>
      </c>
      <c r="B67" s="79" t="s">
        <v>183</v>
      </c>
      <c r="C67" s="79" t="s">
        <v>1157</v>
      </c>
      <c r="D67" s="19" t="s">
        <v>1028</v>
      </c>
      <c r="E67" s="78"/>
      <c r="F67" s="78"/>
      <c r="G67" s="78"/>
    </row>
    <row r="68" spans="1:8">
      <c r="A68" s="79" t="str">
        <f>_xlfn.XLOOKUP(BnPT22Mar[[#This Row],[Name]],RecallTable[NAME],RecallTable[SECTION])</f>
        <v>OPS</v>
      </c>
      <c r="B68" s="79" t="s">
        <v>182</v>
      </c>
      <c r="C68" s="79" t="s">
        <v>1158</v>
      </c>
      <c r="D68" s="19" t="s">
        <v>1029</v>
      </c>
      <c r="E68" s="78"/>
      <c r="F68" s="78"/>
      <c r="G68" s="78"/>
      <c r="H68" s="19" t="s">
        <v>873</v>
      </c>
    </row>
    <row r="69" spans="1:8">
      <c r="A69" s="79" t="str">
        <f>_xlfn.XLOOKUP(BnPT22Mar[[#This Row],[Name]],RecallTable[NAME],RecallTable[SECTION])</f>
        <v>OPS</v>
      </c>
      <c r="B69" s="79" t="s">
        <v>182</v>
      </c>
      <c r="C69" s="79" t="s">
        <v>1159</v>
      </c>
      <c r="D69" s="19" t="s">
        <v>1029</v>
      </c>
      <c r="E69" s="78"/>
      <c r="F69" s="78"/>
      <c r="G69" s="78"/>
      <c r="H69" s="19" t="s">
        <v>955</v>
      </c>
    </row>
    <row r="70" spans="1:8">
      <c r="A70" s="79" t="str">
        <f>_xlfn.XLOOKUP(BnPT22Mar[[#This Row],[Name]],RecallTable[NAME],RecallTable[SECTION])</f>
        <v>OPS</v>
      </c>
      <c r="B70" s="79" t="s">
        <v>181</v>
      </c>
      <c r="C70" s="79" t="s">
        <v>1160</v>
      </c>
      <c r="D70" s="19" t="s">
        <v>1028</v>
      </c>
      <c r="E70" s="78"/>
      <c r="F70" s="78"/>
      <c r="G70" s="78"/>
    </row>
    <row r="71" spans="1:8">
      <c r="A71" s="79" t="str">
        <f>_xlfn.XLOOKUP(BnPT22Mar[[#This Row],[Name]],RecallTable[NAME],RecallTable[SECTION])</f>
        <v>OPS</v>
      </c>
      <c r="B71" s="79" t="s">
        <v>181</v>
      </c>
      <c r="C71" s="79" t="s">
        <v>1161</v>
      </c>
      <c r="D71" s="19" t="s">
        <v>1029</v>
      </c>
      <c r="E71" s="78"/>
      <c r="F71" s="78"/>
      <c r="G71" s="78"/>
      <c r="H71" s="19" t="s">
        <v>265</v>
      </c>
    </row>
    <row r="72" spans="1:8">
      <c r="A72" s="79" t="str">
        <f>_xlfn.XLOOKUP(BnPT22Mar[[#This Row],[Name]],RecallTable[NAME],RecallTable[SECTION])</f>
        <v>SOC</v>
      </c>
      <c r="B72" s="79" t="s">
        <v>188</v>
      </c>
      <c r="C72" s="79" t="s">
        <v>1162</v>
      </c>
      <c r="D72" s="19" t="s">
        <v>1029</v>
      </c>
      <c r="E72" s="78"/>
      <c r="F72" s="78"/>
      <c r="G72" s="78"/>
      <c r="H72" s="19" t="s">
        <v>1039</v>
      </c>
    </row>
    <row r="73" spans="1:8">
      <c r="A73" s="79" t="str">
        <f>_xlfn.XLOOKUP(BnPT22Mar[[#This Row],[Name]],RecallTable[NAME],RecallTable[SECTION])</f>
        <v>SOC</v>
      </c>
      <c r="B73" s="79" t="s">
        <v>183</v>
      </c>
      <c r="C73" s="79" t="s">
        <v>1163</v>
      </c>
      <c r="D73" s="106" t="s">
        <v>1029</v>
      </c>
      <c r="E73" s="78"/>
      <c r="F73" s="78"/>
      <c r="G73" s="78"/>
      <c r="H73" s="106" t="s">
        <v>1040</v>
      </c>
    </row>
    <row r="74" spans="1:8">
      <c r="A74" s="79" t="str">
        <f>_xlfn.XLOOKUP(BnPT22Mar[[#This Row],[Name]],RecallTable[NAME],RecallTable[SECTION])</f>
        <v>SOC</v>
      </c>
      <c r="B74" s="79" t="s">
        <v>181</v>
      </c>
      <c r="C74" s="79" t="s">
        <v>1164</v>
      </c>
      <c r="D74" s="19" t="s">
        <v>1029</v>
      </c>
      <c r="E74" s="78"/>
      <c r="F74" s="78"/>
      <c r="G74" s="78"/>
      <c r="H74" s="19" t="s">
        <v>868</v>
      </c>
    </row>
    <row r="75" spans="1:8">
      <c r="A75" s="79" t="str">
        <f>_xlfn.XLOOKUP(BnPT22Mar[[#This Row],[Name]],RecallTable[NAME],RecallTable[SECTION])</f>
        <v>SOC</v>
      </c>
      <c r="B75" s="79" t="s">
        <v>180</v>
      </c>
      <c r="C75" s="79" t="s">
        <v>1165</v>
      </c>
      <c r="D75" s="19" t="s">
        <v>1029</v>
      </c>
      <c r="E75" s="78"/>
      <c r="F75" s="78"/>
      <c r="G75" s="78"/>
      <c r="H75" s="19" t="s">
        <v>868</v>
      </c>
    </row>
    <row r="76" spans="1:8">
      <c r="A76" s="79" t="str">
        <f>_xlfn.XLOOKUP(BnPT22Mar[[#This Row],[Name]],RecallTable[NAME],RecallTable[SECTION])</f>
        <v>SOC</v>
      </c>
      <c r="B76" s="79" t="s">
        <v>179</v>
      </c>
      <c r="C76" s="79" t="s">
        <v>1166</v>
      </c>
      <c r="D76" s="19" t="s">
        <v>1028</v>
      </c>
      <c r="E76" s="78"/>
      <c r="F76" s="78"/>
      <c r="G76" s="78"/>
    </row>
    <row r="77" spans="1:8">
      <c r="A77" s="79" t="str">
        <f>_xlfn.XLOOKUP(BnPT22Mar[[#This Row],[Name]],RecallTable[NAME],RecallTable[SECTION])</f>
        <v>SOC</v>
      </c>
      <c r="B77" s="79" t="s">
        <v>179</v>
      </c>
      <c r="C77" s="79" t="s">
        <v>1167</v>
      </c>
      <c r="D77" s="19" t="s">
        <v>1028</v>
      </c>
      <c r="E77" s="78"/>
      <c r="F77" s="78"/>
      <c r="G77" s="78"/>
    </row>
    <row r="78" spans="1:8">
      <c r="A78" s="79" t="str">
        <f>_xlfn.XLOOKUP(BnPT22Mar[[#This Row],[Name]],RecallTable[NAME],RecallTable[SECTION])</f>
        <v>HQ</v>
      </c>
      <c r="B78" s="79" t="s">
        <v>206</v>
      </c>
      <c r="C78" s="79" t="s">
        <v>1168</v>
      </c>
      <c r="D78" s="19" t="s">
        <v>1029</v>
      </c>
      <c r="E78" s="78"/>
      <c r="F78" s="78"/>
      <c r="G78" s="78"/>
      <c r="H78" s="19" t="s">
        <v>265</v>
      </c>
    </row>
    <row r="79" spans="1:8">
      <c r="A79" s="79" t="str">
        <f>_xlfn.XLOOKUP(BnPT22Mar[[#This Row],[Name]],RecallTable[NAME],RecallTable[SECTION])</f>
        <v>HQ</v>
      </c>
      <c r="B79" s="79" t="s">
        <v>188</v>
      </c>
      <c r="C79" s="79" t="s">
        <v>1169</v>
      </c>
      <c r="D79" s="19" t="s">
        <v>1029</v>
      </c>
      <c r="E79" s="78"/>
      <c r="F79" s="78"/>
      <c r="G79" s="78"/>
      <c r="H79" s="19" t="s">
        <v>880</v>
      </c>
    </row>
    <row r="80" spans="1:8">
      <c r="A80" s="79" t="str">
        <f>_xlfn.XLOOKUP(BnPT22Mar[[#This Row],[Name]],RecallTable[NAME],RecallTable[SECTION])</f>
        <v>HQ</v>
      </c>
      <c r="B80" s="79" t="s">
        <v>184</v>
      </c>
      <c r="C80" s="79" t="s">
        <v>1170</v>
      </c>
      <c r="D80" s="19" t="s">
        <v>1028</v>
      </c>
      <c r="E80" s="78"/>
      <c r="F80" s="78"/>
      <c r="G80" s="78" t="s">
        <v>939</v>
      </c>
    </row>
    <row r="81" spans="1:8">
      <c r="A81" s="79" t="str">
        <f>_xlfn.XLOOKUP(BnPT22Mar[[#This Row],[Name]],RecallTable[NAME],RecallTable[SECTION])</f>
        <v>HQ</v>
      </c>
      <c r="B81" s="79" t="s">
        <v>182</v>
      </c>
      <c r="C81" s="79" t="s">
        <v>1171</v>
      </c>
      <c r="D81" s="19" t="s">
        <v>1029</v>
      </c>
      <c r="E81" s="78"/>
      <c r="F81" s="78"/>
      <c r="G81" s="78"/>
      <c r="H81" s="19" t="s">
        <v>795</v>
      </c>
    </row>
    <row r="82" spans="1:8">
      <c r="A82" s="79" t="str">
        <f>_xlfn.XLOOKUP(BnPT22Mar[[#This Row],[Name]],RecallTable[NAME],RecallTable[SECTION])</f>
        <v>HQ</v>
      </c>
      <c r="B82" s="79" t="s">
        <v>180</v>
      </c>
      <c r="C82" s="79" t="s">
        <v>1172</v>
      </c>
      <c r="D82" s="19" t="s">
        <v>1028</v>
      </c>
      <c r="E82" s="78"/>
      <c r="F82" s="78"/>
      <c r="G82" s="78" t="s">
        <v>939</v>
      </c>
    </row>
    <row r="83" spans="1:8"/>
    <row r="84" spans="1:8"/>
    <row r="85" spans="1:8"/>
    <row r="86" spans="1:8"/>
    <row r="87" spans="1:8"/>
    <row r="88" spans="1:8"/>
    <row r="89" spans="1:8"/>
    <row r="90" spans="1:8"/>
    <row r="91" spans="1:8"/>
    <row r="92" spans="1:8"/>
    <row r="93" spans="1:8"/>
    <row r="94" spans="1:8"/>
    <row r="95" spans="1:8"/>
    <row r="96" spans="1:8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</sheetData>
  <mergeCells count="1">
    <mergeCell ref="C1:C2"/>
  </mergeCell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0A37-A6E9-4DD1-B064-18D649E2F6A8}">
  <sheetPr>
    <tabColor theme="7" tint="0.59999389629810485"/>
  </sheetPr>
  <dimension ref="A1:P130"/>
  <sheetViews>
    <sheetView zoomScaleNormal="100" workbookViewId="0">
      <selection activeCell="D3" sqref="D3"/>
    </sheetView>
  </sheetViews>
  <sheetFormatPr defaultColWidth="9.140625" defaultRowHeight="15" customHeight="1"/>
  <cols>
    <col min="1" max="1" width="10" style="237" bestFit="1" customWidth="1"/>
    <col min="2" max="2" width="7.85546875" style="233" bestFit="1" customWidth="1"/>
    <col min="3" max="3" width="26.5703125" style="233" bestFit="1" customWidth="1"/>
    <col min="4" max="4" width="18" style="112" bestFit="1" customWidth="1"/>
    <col min="5" max="5" width="12.28515625" style="112" bestFit="1" customWidth="1"/>
    <col min="6" max="6" width="18" style="112" customWidth="1"/>
    <col min="7" max="7" width="13.28515625" style="233" bestFit="1" customWidth="1"/>
    <col min="8" max="8" width="15" style="266" bestFit="1" customWidth="1"/>
    <col min="9" max="9" width="15.85546875" style="233" bestFit="1" customWidth="1"/>
    <col min="10" max="10" width="29.5703125" style="233" customWidth="1"/>
    <col min="11" max="11" width="28.7109375" style="233" customWidth="1"/>
    <col min="12" max="12" width="10.42578125" style="233" bestFit="1" customWidth="1"/>
    <col min="13" max="13" width="10.42578125" style="233" customWidth="1"/>
    <col min="14" max="16" width="9.140625" style="233" customWidth="1"/>
    <col min="17" max="18" width="9.140625" style="233" bestFit="1" customWidth="1"/>
    <col min="19" max="19" width="9.140625" style="233" customWidth="1"/>
    <col min="20" max="16384" width="9.140625" style="233"/>
  </cols>
  <sheetData>
    <row r="1" spans="1:16">
      <c r="A1" s="651" t="s">
        <v>170</v>
      </c>
      <c r="B1" s="651"/>
      <c r="C1" s="651"/>
      <c r="D1" s="651"/>
      <c r="E1" s="651"/>
      <c r="F1" s="651"/>
      <c r="G1" s="651"/>
      <c r="H1" s="652"/>
      <c r="I1" s="651"/>
      <c r="J1" s="651"/>
      <c r="K1" s="653"/>
      <c r="L1" s="98"/>
      <c r="M1" s="242" t="s">
        <v>1041</v>
      </c>
      <c r="N1" s="243"/>
      <c r="O1" s="79"/>
      <c r="P1" s="79"/>
    </row>
    <row r="2" spans="1:16" ht="30.75" thickBot="1">
      <c r="A2" s="472" t="s">
        <v>195</v>
      </c>
      <c r="B2" s="472" t="s">
        <v>787</v>
      </c>
      <c r="C2" s="472" t="s">
        <v>155</v>
      </c>
      <c r="D2" s="472" t="s">
        <v>1042</v>
      </c>
      <c r="E2" s="472" t="s">
        <v>1043</v>
      </c>
      <c r="F2" s="472" t="s">
        <v>1044</v>
      </c>
      <c r="G2" s="473" t="s">
        <v>1045</v>
      </c>
      <c r="H2" s="473" t="s">
        <v>1046</v>
      </c>
      <c r="I2" s="473" t="s">
        <v>1047</v>
      </c>
      <c r="J2" s="473" t="s">
        <v>1048</v>
      </c>
      <c r="K2" s="473" t="s">
        <v>1049</v>
      </c>
      <c r="M2" s="45"/>
      <c r="N2" s="45"/>
    </row>
    <row r="3" spans="1:16" ht="15" customHeight="1">
      <c r="A3" s="238" t="str">
        <f>_xlfn.XLOOKUP(ResPMETable[[#This Row],[Name]],RecallTable[NAME],RecallTable[SECTION])</f>
        <v>1PLT</v>
      </c>
      <c r="B3" s="96" t="str">
        <f>_xlfn.XLOOKUP(ResPMETable[[#This Row],[Name]],MOLTable[Name],MOLTable[Rank])</f>
        <v>1STLT</v>
      </c>
      <c r="C3" s="96" t="s">
        <v>1094</v>
      </c>
      <c r="D3" s="263" t="str">
        <f>SUBSTITUTE(SUBSTITUTE(SUBSTITUTE(_xlfn.XLOOKUP(_xlfn.XLOOKUP(ResPMETable[[#This Row],[Rank]],RankTable[Abbr],RankTable[Code]),PMEMatrix[Grade],PMEMatrix[Res]), "Res", ""), "Crs", "Course"), "Sch", "School")</f>
        <v/>
      </c>
      <c r="E3" s="558">
        <f>_xlfn.XLOOKUP(ResPMETable[[#This Row],[Name]],RecallTable[NAME], RecallTable[DOR],"NF")</f>
        <v>45259</v>
      </c>
      <c r="F3" s="263" t="str" cm="1">
        <f t="array" ref="F3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3" s="264" t="str" cm="1">
        <f t="array" ref="G3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/>
      </c>
      <c r="H3" s="234"/>
      <c r="I3" s="234"/>
      <c r="J3" s="286" t="str" cm="1">
        <f t="array" ref="J3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/>
      </c>
      <c r="K3" s="80"/>
      <c r="M3" s="470"/>
      <c r="N3" s="470"/>
    </row>
    <row r="4" spans="1:16" ht="15" customHeight="1">
      <c r="A4" s="238" t="str">
        <f>_xlfn.XLOOKUP(ResPMETable[[#This Row],[Name]],RecallTable[NAME],RecallTable[SECTION])</f>
        <v>1PLT</v>
      </c>
      <c r="B4" s="96" t="str">
        <f>_xlfn.XLOOKUP(ResPMETable[[#This Row],[Name]],MOLTable[Name],MOLTable[Rank])</f>
        <v>GYSGT</v>
      </c>
      <c r="C4" s="96" t="s">
        <v>1095</v>
      </c>
      <c r="D4" s="263" t="str">
        <f>SUBSTITUTE(SUBSTITUTE(SUBSTITUTE(_xlfn.XLOOKUP(_xlfn.XLOOKUP(ResPMETable[[#This Row],[Rank]],RankTable[Abbr],RankTable[Code]),PMEMatrix[Grade],PMEMatrix[Res]), "Res", ""), "Crs", "Course"), "Sch", "School")</f>
        <v xml:space="preserve">Advanced Course </v>
      </c>
      <c r="E4" s="558">
        <f>_xlfn.XLOOKUP(ResPMETable[[#This Row],[Name]],RecallTable[NAME], RecallTable[DOR],"NF")</f>
        <v>44572</v>
      </c>
      <c r="F4" s="263" t="str" cm="1">
        <f t="array" ref="F4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4" s="264" t="str" cm="1">
        <f t="array" ref="G4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4" s="234"/>
      <c r="I4" s="234"/>
      <c r="J4" s="286" t="str" cm="1">
        <f t="array" ref="J4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4" s="80"/>
      <c r="M4" s="470"/>
      <c r="N4" s="470"/>
    </row>
    <row r="5" spans="1:16" ht="15" customHeight="1">
      <c r="A5" s="238" t="str">
        <f>_xlfn.XLOOKUP(ResPMETable[[#This Row],[Name]],RecallTable[NAME],RecallTable[SECTION])</f>
        <v>1PLT</v>
      </c>
      <c r="B5" s="96" t="str">
        <f>_xlfn.XLOOKUP(ResPMETable[[#This Row],[Name]],MOLTable[Name],MOLTable[Rank])</f>
        <v>SSGT</v>
      </c>
      <c r="C5" s="96" t="s">
        <v>1096</v>
      </c>
      <c r="D5" s="263" t="str">
        <f>SUBSTITUTE(SUBSTITUTE(SUBSTITUTE(_xlfn.XLOOKUP(_xlfn.XLOOKUP(ResPMETable[[#This Row],[Rank]],RankTable[Abbr],RankTable[Code]),PMEMatrix[Grade],PMEMatrix[Res]), "Res", ""), "Crs", "Course"), "Sch", "School")</f>
        <v xml:space="preserve">Career Course </v>
      </c>
      <c r="E5" s="558">
        <f>_xlfn.XLOOKUP(ResPMETable[[#This Row],[Name]],RecallTable[NAME], RecallTable[DOR],"NF")</f>
        <v>44684</v>
      </c>
      <c r="F5" s="263" t="str" cm="1">
        <f t="array" ref="F5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5" s="264" t="str" cm="1">
        <f t="array" ref="G5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5" s="234"/>
      <c r="I5" s="234"/>
      <c r="J5" s="286" t="str" cm="1">
        <f t="array" ref="J5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5" s="80"/>
      <c r="M5" s="471"/>
      <c r="N5" s="471"/>
    </row>
    <row r="6" spans="1:16">
      <c r="A6" s="238" t="str">
        <f>_xlfn.XLOOKUP(ResPMETable[[#This Row],[Name]],RecallTable[NAME],RecallTable[SECTION])</f>
        <v>1PLT</v>
      </c>
      <c r="B6" s="96" t="str">
        <f>_xlfn.XLOOKUP(ResPMETable[[#This Row],[Name]],MOLTable[Name],MOLTable[Rank])</f>
        <v>SSGT</v>
      </c>
      <c r="C6" s="96" t="s">
        <v>1097</v>
      </c>
      <c r="D6" s="263" t="str">
        <f>SUBSTITUTE(SUBSTITUTE(SUBSTITUTE(_xlfn.XLOOKUP(_xlfn.XLOOKUP(ResPMETable[[#This Row],[Rank]],RankTable[Abbr],RankTable[Code]),PMEMatrix[Grade],PMEMatrix[Res]), "Res", ""), "Crs", "Course"), "Sch", "School")</f>
        <v xml:space="preserve">Career Course </v>
      </c>
      <c r="E6" s="558">
        <f>_xlfn.XLOOKUP(ResPMETable[[#This Row],[Name]],RecallTable[NAME], RecallTable[DOR],"NF")</f>
        <v>44054</v>
      </c>
      <c r="F6" s="263" t="str" cm="1">
        <f t="array" ref="F6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6" s="264" t="str" cm="1">
        <f t="array" ref="G6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6" s="483">
        <v>45366</v>
      </c>
      <c r="I6" s="234" t="s">
        <v>799</v>
      </c>
      <c r="J6" s="286" t="str" cm="1">
        <f t="array" ref="J6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6" s="80"/>
      <c r="M6" s="477"/>
      <c r="N6" s="45"/>
    </row>
    <row r="7" spans="1:16" ht="15" customHeight="1">
      <c r="A7" s="238" t="str">
        <f>_xlfn.XLOOKUP(ResPMETable[[#This Row],[Name]],RecallTable[NAME],RecallTable[SECTION])</f>
        <v>1PLT</v>
      </c>
      <c r="B7" s="96" t="str">
        <f>_xlfn.XLOOKUP(ResPMETable[[#This Row],[Name]],MOLTable[Name],MOLTable[Rank])</f>
        <v>SGT</v>
      </c>
      <c r="C7" s="96" t="s">
        <v>1098</v>
      </c>
      <c r="D7" s="263" t="str">
        <f>SUBSTITUTE(SUBSTITUTE(SUBSTITUTE(_xlfn.XLOOKUP(_xlfn.XLOOKUP(ResPMETable[[#This Row],[Rank]],RankTable[Abbr],RankTable[Code]),PMEMatrix[Grade],PMEMatrix[Res]), "Res", ""), "Crs", "Course"), "Sch", "School")</f>
        <v xml:space="preserve">Sgt School </v>
      </c>
      <c r="E7" s="558">
        <f>_xlfn.XLOOKUP(ResPMETable[[#This Row],[Name]],RecallTable[NAME], RecallTable[DOR],"NF")</f>
        <v>43510</v>
      </c>
      <c r="F7" s="263" t="str" cm="1">
        <f t="array" ref="F7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7" s="264" t="str" cm="1">
        <f t="array" ref="G7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7" s="234"/>
      <c r="I7" s="234"/>
      <c r="J7" s="286" t="str" cm="1">
        <f t="array" ref="J7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7" s="80"/>
      <c r="M7" s="470"/>
      <c r="N7" s="470"/>
    </row>
    <row r="8" spans="1:16" ht="15" customHeight="1">
      <c r="A8" s="238" t="str">
        <f>_xlfn.XLOOKUP(ResPMETable[[#This Row],[Name]],RecallTable[NAME],RecallTable[SECTION])</f>
        <v>1PLT</v>
      </c>
      <c r="B8" s="96" t="str">
        <f>_xlfn.XLOOKUP(ResPMETable[[#This Row],[Name]],MOLTable[Name],MOLTable[Rank])</f>
        <v>SGT</v>
      </c>
      <c r="C8" s="96" t="s">
        <v>1099</v>
      </c>
      <c r="D8" s="263" t="str">
        <f>SUBSTITUTE(SUBSTITUTE(SUBSTITUTE(_xlfn.XLOOKUP(_xlfn.XLOOKUP(ResPMETable[[#This Row],[Rank]],RankTable[Abbr],RankTable[Code]),PMEMatrix[Grade],PMEMatrix[Res]), "Res", ""), "Crs", "Course"), "Sch", "School")</f>
        <v xml:space="preserve">Sgt School </v>
      </c>
      <c r="E8" s="558">
        <f>_xlfn.XLOOKUP(ResPMETable[[#This Row],[Name]],RecallTable[NAME], RecallTable[DOR],"NF")</f>
        <v>43740</v>
      </c>
      <c r="F8" s="263" t="str" cm="1">
        <f t="array" ref="F8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8" s="264" t="str" cm="1">
        <f t="array" ref="G8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8" s="234"/>
      <c r="I8" s="234"/>
      <c r="J8" s="286" t="str" cm="1">
        <f t="array" ref="J8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8" s="80"/>
      <c r="M8" s="471"/>
      <c r="N8" s="471"/>
    </row>
    <row r="9" spans="1:16" ht="15" customHeight="1">
      <c r="A9" s="238" t="str">
        <f>_xlfn.XLOOKUP(ResPMETable[[#This Row],[Name]],RecallTable[NAME],RecallTable[SECTION])</f>
        <v>1PLT</v>
      </c>
      <c r="B9" s="96" t="str">
        <f>_xlfn.XLOOKUP(ResPMETable[[#This Row],[Name]],MOLTable[Name],MOLTable[Rank])</f>
        <v>SGT</v>
      </c>
      <c r="C9" s="96" t="s">
        <v>1100</v>
      </c>
      <c r="D9" s="263" t="str">
        <f>SUBSTITUTE(SUBSTITUTE(SUBSTITUTE(_xlfn.XLOOKUP(_xlfn.XLOOKUP(ResPMETable[[#This Row],[Rank]],RankTable[Abbr],RankTable[Code]),PMEMatrix[Grade],PMEMatrix[Res]), "Res", ""), "Crs", "Course"), "Sch", "School")</f>
        <v xml:space="preserve">Sgt School </v>
      </c>
      <c r="E9" s="558">
        <f>_xlfn.XLOOKUP(ResPMETable[[#This Row],[Name]],RecallTable[NAME], RecallTable[DOR],"NF")</f>
        <v>45275</v>
      </c>
      <c r="F9" s="263" t="str" cm="1">
        <f t="array" ref="F9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9" s="264" t="str" cm="1">
        <f t="array" ref="G9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9" s="234" t="s">
        <v>1050</v>
      </c>
      <c r="I9" s="234"/>
      <c r="J9" s="286" t="str" cm="1">
        <f t="array" ref="J9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9" s="80"/>
      <c r="M9" s="477"/>
      <c r="N9" s="476"/>
    </row>
    <row r="10" spans="1:16" s="106" customFormat="1">
      <c r="A10" s="238" t="str">
        <f>_xlfn.XLOOKUP(ResPMETable[[#This Row],[Name]],RecallTable[NAME],RecallTable[SECTION])</f>
        <v>1PLT</v>
      </c>
      <c r="B10" s="96" t="str">
        <f>_xlfn.XLOOKUP(ResPMETable[[#This Row],[Name]],MOLTable[Name],MOLTable[Rank])</f>
        <v>CPL</v>
      </c>
      <c r="C10" s="96" t="s">
        <v>1101</v>
      </c>
      <c r="D10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10" s="558">
        <f>_xlfn.XLOOKUP(ResPMETable[[#This Row],[Name]],RecallTable[NAME], RecallTable[DOR],"NF")</f>
        <v>44428</v>
      </c>
      <c r="F10" s="263" t="str" cm="1">
        <f t="array" ref="F10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10" s="264" t="str" cm="1">
        <f t="array" ref="G10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10" s="234"/>
      <c r="I10" s="234"/>
      <c r="J10" s="286" t="str" cm="1">
        <f t="array" ref="J10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10" s="80"/>
    </row>
    <row r="11" spans="1:16" s="106" customFormat="1">
      <c r="A11" s="238" t="str">
        <f>_xlfn.XLOOKUP(ResPMETable[[#This Row],[Name]],RecallTable[NAME],RecallTable[SECTION])</f>
        <v>1PLT</v>
      </c>
      <c r="B11" s="96" t="str">
        <f>_xlfn.XLOOKUP(ResPMETable[[#This Row],[Name]],MOLTable[Name],MOLTable[Rank])</f>
        <v>CPL</v>
      </c>
      <c r="C11" s="96" t="s">
        <v>1102</v>
      </c>
      <c r="D11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11" s="558">
        <f>_xlfn.XLOOKUP(ResPMETable[[#This Row],[Name]],RecallTable[NAME], RecallTable[DOR],"NF")</f>
        <v>44019</v>
      </c>
      <c r="F11" s="263" t="str" cm="1">
        <f t="array" ref="F11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11" s="264" t="str" cm="1">
        <f t="array" ref="G11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11" s="234"/>
      <c r="I11" s="234"/>
      <c r="J11" s="286" t="str" cm="1">
        <f t="array" ref="J11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11" s="80"/>
    </row>
    <row r="12" spans="1:16">
      <c r="A12" s="238" t="str">
        <f>_xlfn.XLOOKUP(ResPMETable[[#This Row],[Name]],RecallTable[NAME],RecallTable[SECTION])</f>
        <v>1PLT</v>
      </c>
      <c r="B12" s="96" t="str">
        <f>_xlfn.XLOOKUP(ResPMETable[[#This Row],[Name]],MOLTable[Name],MOLTable[Rank])</f>
        <v>CPL</v>
      </c>
      <c r="C12" s="96" t="s">
        <v>1103</v>
      </c>
      <c r="D12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12" s="558">
        <f>_xlfn.XLOOKUP(ResPMETable[[#This Row],[Name]],RecallTable[NAME], RecallTable[DOR],"NF")</f>
        <v>43840</v>
      </c>
      <c r="F12" s="263" t="str" cm="1">
        <f t="array" ref="F12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12" s="264" t="str" cm="1">
        <f t="array" ref="G12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12" s="234"/>
      <c r="I12" s="234"/>
      <c r="J12" s="286" t="str" cm="1">
        <f t="array" ref="J12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12" s="80"/>
      <c r="M12" s="477" t="str">
        <f>_xlfn.XLOOKUP(ResPMETable[[#This Row],[Name]], OutboundRoster[Name],OutboundRoster[Est Dep Date],"")</f>
        <v/>
      </c>
    </row>
    <row r="13" spans="1:16">
      <c r="A13" s="238" t="str">
        <f>_xlfn.XLOOKUP(ResPMETable[[#This Row],[Name]],RecallTable[NAME],RecallTable[SECTION])</f>
        <v>1PLT</v>
      </c>
      <c r="B13" s="96" t="str">
        <f>_xlfn.XLOOKUP(ResPMETable[[#This Row],[Name]],MOLTable[Name],MOLTable[Rank])</f>
        <v>CPL</v>
      </c>
      <c r="C13" s="96" t="s">
        <v>1104</v>
      </c>
      <c r="D13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13" s="558">
        <f>_xlfn.XLOOKUP(ResPMETable[[#This Row],[Name]],RecallTable[NAME], RecallTable[DOR],"NF")</f>
        <v>45280</v>
      </c>
      <c r="F13" s="263" t="str" cm="1">
        <f t="array" ref="F13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13" s="264" t="str" cm="1">
        <f t="array" ref="G13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13" s="234"/>
      <c r="I13" s="234"/>
      <c r="J13" s="286" t="str" cm="1">
        <f t="array" ref="J13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13" s="80"/>
    </row>
    <row r="14" spans="1:16">
      <c r="A14" s="238" t="str">
        <f>_xlfn.XLOOKUP(ResPMETable[[#This Row],[Name]],RecallTable[NAME],RecallTable[SECTION])</f>
        <v>1PLT</v>
      </c>
      <c r="B14" s="96" t="str">
        <f>_xlfn.XLOOKUP(ResPMETable[[#This Row],[Name]],MOLTable[Name],MOLTable[Rank])</f>
        <v>CPL</v>
      </c>
      <c r="C14" s="96" t="s">
        <v>1105</v>
      </c>
      <c r="D14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14" s="558">
        <f>_xlfn.XLOOKUP(ResPMETable[[#This Row],[Name]],RecallTable[NAME], RecallTable[DOR],"NF")</f>
        <v>44175</v>
      </c>
      <c r="F14" s="263" t="str" cm="1">
        <f t="array" ref="F14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14" s="264" t="str" cm="1">
        <f t="array" ref="G14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14" s="483">
        <v>45432</v>
      </c>
      <c r="I14" s="234"/>
      <c r="J14" s="286" t="str" cm="1">
        <f t="array" ref="J14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14" s="80"/>
    </row>
    <row r="15" spans="1:16">
      <c r="A15" s="238" t="str">
        <f>_xlfn.XLOOKUP(ResPMETable[[#This Row],[Name]],RecallTable[NAME],RecallTable[SECTION])</f>
        <v>1PLT</v>
      </c>
      <c r="B15" s="96" t="str">
        <f>_xlfn.XLOOKUP(ResPMETable[[#This Row],[Name]],MOLTable[Name],MOLTable[Rank])</f>
        <v>CPL</v>
      </c>
      <c r="C15" s="96" t="s">
        <v>1106</v>
      </c>
      <c r="D15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15" s="558">
        <f>_xlfn.XLOOKUP(ResPMETable[[#This Row],[Name]],RecallTable[NAME], RecallTable[DOR],"NF")</f>
        <v>44368</v>
      </c>
      <c r="F15" s="263" t="str" cm="1">
        <f t="array" ref="F15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15" s="264" t="str" cm="1">
        <f t="array" ref="G15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15" s="234"/>
      <c r="I15" s="234" t="s">
        <v>16</v>
      </c>
      <c r="J15" s="286" t="str" cm="1">
        <f t="array" ref="J15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15" s="80" t="s">
        <v>1051</v>
      </c>
      <c r="M15" s="477" t="str">
        <f>_xlfn.XLOOKUP(ResPMETable[[#This Row],[Name]], OutboundRoster[Name],OutboundRoster[Est Dep Date],"")</f>
        <v/>
      </c>
    </row>
    <row r="16" spans="1:16">
      <c r="A16" s="238" t="str">
        <f>_xlfn.XLOOKUP(ResPMETable[[#This Row],[Name]],RecallTable[NAME],RecallTable[SECTION])</f>
        <v>1PLT</v>
      </c>
      <c r="B16" s="96" t="str">
        <f>_xlfn.XLOOKUP(ResPMETable[[#This Row],[Name]],MOLTable[Name],MOLTable[Rank])</f>
        <v>CPL</v>
      </c>
      <c r="C16" s="96" t="s">
        <v>1107</v>
      </c>
      <c r="D16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16" s="558">
        <f>_xlfn.XLOOKUP(ResPMETable[[#This Row],[Name]],RecallTable[NAME], RecallTable[DOR],"NF")</f>
        <v>44128</v>
      </c>
      <c r="F16" s="263" t="str" cm="1">
        <f t="array" ref="F16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16" s="264" t="str" cm="1">
        <f t="array" ref="G16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16" s="483">
        <v>45342</v>
      </c>
      <c r="I16" s="234"/>
      <c r="J16" s="286" t="str" cm="1">
        <f t="array" ref="J16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16" s="80"/>
    </row>
    <row r="17" spans="1:13">
      <c r="A17" s="238" t="str">
        <f>_xlfn.XLOOKUP(ResPMETable[[#This Row],[Name]],RecallTable[NAME],RecallTable[SECTION])</f>
        <v>1PLT</v>
      </c>
      <c r="B17" s="96" t="str">
        <f>_xlfn.XLOOKUP(ResPMETable[[#This Row],[Name]],MOLTable[Name],MOLTable[Rank])</f>
        <v>LCPL</v>
      </c>
      <c r="C17" s="96" t="s">
        <v>1108</v>
      </c>
      <c r="D17" s="263" t="str">
        <f>SUBSTITUTE(SUBSTITUTE(SUBSTITUTE(_xlfn.XLOOKUP(_xlfn.XLOOKUP(ResPMETable[[#This Row],[Rank]],RankTable[Abbr],RankTable[Code]),PMEMatrix[Grade],PMEMatrix[Res]), "Res", ""), "Crs", "Course"), "Sch", "School")</f>
        <v>LCpl Seminar</v>
      </c>
      <c r="E17" s="558">
        <f>_xlfn.XLOOKUP(ResPMETable[[#This Row],[Name]],RecallTable[NAME], RecallTable[DOR],"NF")</f>
        <v>44857</v>
      </c>
      <c r="F17" s="263" t="str" cm="1">
        <f t="array" ref="F17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17" s="264" t="str" cm="1">
        <f t="array" ref="G17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17" s="483">
        <v>45432</v>
      </c>
      <c r="I17" s="234"/>
      <c r="J17" s="286" t="str" cm="1">
        <f t="array" ref="J17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17" s="80" t="s">
        <v>1052</v>
      </c>
      <c r="M17" s="477"/>
    </row>
    <row r="18" spans="1:13">
      <c r="A18" s="238" t="str">
        <f>_xlfn.XLOOKUP(ResPMETable[[#This Row],[Name]],RecallTable[NAME],RecallTable[SECTION])</f>
        <v>2PLT</v>
      </c>
      <c r="B18" s="96" t="str">
        <f>_xlfn.XLOOKUP(ResPMETable[[#This Row],[Name]],MOLTable[Name],MOLTable[Rank])</f>
        <v>1STLT</v>
      </c>
      <c r="C18" s="96" t="s">
        <v>1109</v>
      </c>
      <c r="D18" s="263" t="str">
        <f>SUBSTITUTE(SUBSTITUTE(SUBSTITUTE(_xlfn.XLOOKUP(_xlfn.XLOOKUP(ResPMETable[[#This Row],[Rank]],RankTable[Abbr],RankTable[Code]),PMEMatrix[Grade],PMEMatrix[Res]), "Res", ""), "Crs", "Course"), "Sch", "School")</f>
        <v/>
      </c>
      <c r="E18" s="558">
        <f>_xlfn.XLOOKUP(ResPMETable[[#This Row],[Name]],RecallTable[NAME], RecallTable[DOR],"NF")</f>
        <v>44864</v>
      </c>
      <c r="F18" s="263" t="str" cm="1">
        <f t="array" ref="F18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18" s="264" t="str" cm="1">
        <f t="array" ref="G18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/>
      </c>
      <c r="H18" s="483">
        <v>45432</v>
      </c>
      <c r="I18" s="234"/>
      <c r="J18" s="286" t="str" cm="1">
        <f t="array" ref="J18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/>
      </c>
      <c r="K18" s="80" t="s">
        <v>1052</v>
      </c>
      <c r="M18" s="477"/>
    </row>
    <row r="19" spans="1:13">
      <c r="A19" s="238" t="str">
        <f>_xlfn.XLOOKUP(ResPMETable[[#This Row],[Name]],RecallTable[NAME],RecallTable[SECTION])</f>
        <v>2PLT</v>
      </c>
      <c r="B19" s="96" t="str">
        <f>_xlfn.XLOOKUP(ResPMETable[[#This Row],[Name]],MOLTable[Name],MOLTable[Rank])</f>
        <v>GYSGT</v>
      </c>
      <c r="C19" s="96" t="s">
        <v>1110</v>
      </c>
      <c r="D19" s="263" t="str">
        <f>SUBSTITUTE(SUBSTITUTE(SUBSTITUTE(_xlfn.XLOOKUP(_xlfn.XLOOKUP(ResPMETable[[#This Row],[Rank]],RankTable[Abbr],RankTable[Code]),PMEMatrix[Grade],PMEMatrix[Res]), "Res", ""), "Crs", "Course"), "Sch", "School")</f>
        <v xml:space="preserve">Advanced Course </v>
      </c>
      <c r="E19" s="558">
        <f>_xlfn.XLOOKUP(ResPMETable[[#This Row],[Name]],RecallTable[NAME], RecallTable[DOR],"NF")</f>
        <v>43652</v>
      </c>
      <c r="F19" s="263" t="str" cm="1">
        <f t="array" ref="F19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19" s="264" t="str" cm="1">
        <f t="array" ref="G19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19" s="483">
        <v>45432</v>
      </c>
      <c r="I19" s="234"/>
      <c r="J19" s="286" t="str" cm="1">
        <f t="array" ref="J19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19" s="80"/>
      <c r="M19" s="477"/>
    </row>
    <row r="20" spans="1:13">
      <c r="A20" s="238" t="str">
        <f>_xlfn.XLOOKUP(ResPMETable[[#This Row],[Name]],RecallTable[NAME],RecallTable[SECTION])</f>
        <v>2PLT</v>
      </c>
      <c r="B20" s="96" t="str">
        <f>_xlfn.XLOOKUP(ResPMETable[[#This Row],[Name]],MOLTable[Name],MOLTable[Rank])</f>
        <v>SSGT</v>
      </c>
      <c r="C20" s="96" t="s">
        <v>1111</v>
      </c>
      <c r="D20" s="263" t="str">
        <f>SUBSTITUTE(SUBSTITUTE(SUBSTITUTE(_xlfn.XLOOKUP(_xlfn.XLOOKUP(ResPMETable[[#This Row],[Rank]],RankTable[Abbr],RankTable[Code]),PMEMatrix[Grade],PMEMatrix[Res]), "Res", ""), "Crs", "Course"), "Sch", "School")</f>
        <v xml:space="preserve">Career Course </v>
      </c>
      <c r="E20" s="558">
        <f>_xlfn.XLOOKUP(ResPMETable[[#This Row],[Name]],RecallTable[NAME], RecallTable[DOR],"NF")</f>
        <v>44253</v>
      </c>
      <c r="F20" s="263" t="str" cm="1">
        <f t="array" ref="F20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20" s="264" t="str" cm="1">
        <f t="array" ref="G20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20" s="234"/>
      <c r="I20" s="234"/>
      <c r="J20" s="286" t="str" cm="1">
        <f t="array" ref="J20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20" s="80" t="s">
        <v>1052</v>
      </c>
      <c r="M20" s="477"/>
    </row>
    <row r="21" spans="1:13">
      <c r="A21" s="238" t="str">
        <f>_xlfn.XLOOKUP(ResPMETable[[#This Row],[Name]],RecallTable[NAME],RecallTable[SECTION])</f>
        <v>2PLT</v>
      </c>
      <c r="B21" s="96" t="str">
        <f>_xlfn.XLOOKUP(ResPMETable[[#This Row],[Name]],MOLTable[Name],MOLTable[Rank])</f>
        <v>SSGT</v>
      </c>
      <c r="C21" s="96" t="s">
        <v>1112</v>
      </c>
      <c r="D21" s="263" t="str">
        <f>SUBSTITUTE(SUBSTITUTE(SUBSTITUTE(_xlfn.XLOOKUP(_xlfn.XLOOKUP(ResPMETable[[#This Row],[Rank]],RankTable[Abbr],RankTable[Code]),PMEMatrix[Grade],PMEMatrix[Res]), "Res", ""), "Crs", "Course"), "Sch", "School")</f>
        <v xml:space="preserve">Career Course </v>
      </c>
      <c r="E21" s="558">
        <f>_xlfn.XLOOKUP(ResPMETable[[#This Row],[Name]],RecallTable[NAME], RecallTable[DOR],"NF")</f>
        <v>43861</v>
      </c>
      <c r="F21" s="263" t="str" cm="1">
        <f t="array" ref="F21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21" s="264" t="str" cm="1">
        <f t="array" ref="G21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21" s="234" t="s">
        <v>247</v>
      </c>
      <c r="I21" s="234"/>
      <c r="J21" s="286" t="str" cm="1">
        <f t="array" ref="J21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21" s="80"/>
    </row>
    <row r="22" spans="1:13">
      <c r="A22" s="238" t="str">
        <f>_xlfn.XLOOKUP(ResPMETable[[#This Row],[Name]],RecallTable[NAME],RecallTable[SECTION])</f>
        <v>2PLT</v>
      </c>
      <c r="B22" s="96" t="str">
        <f>_xlfn.XLOOKUP(ResPMETable[[#This Row],[Name]],MOLTable[Name],MOLTable[Rank])</f>
        <v>SGT</v>
      </c>
      <c r="C22" s="96" t="s">
        <v>1113</v>
      </c>
      <c r="D22" s="263" t="str">
        <f>SUBSTITUTE(SUBSTITUTE(SUBSTITUTE(_xlfn.XLOOKUP(_xlfn.XLOOKUP(ResPMETable[[#This Row],[Rank]],RankTable[Abbr],RankTable[Code]),PMEMatrix[Grade],PMEMatrix[Res]), "Res", ""), "Crs", "Course"), "Sch", "School")</f>
        <v xml:space="preserve">Sgt School </v>
      </c>
      <c r="E22" s="558">
        <f>_xlfn.XLOOKUP(ResPMETable[[#This Row],[Name]],RecallTable[NAME], RecallTable[DOR],"NF")</f>
        <v>44558</v>
      </c>
      <c r="F22" s="263" t="str" cm="1">
        <f t="array" ref="F22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22" s="264" t="str" cm="1">
        <f t="array" ref="G22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22" s="234"/>
      <c r="I22" s="234" t="s">
        <v>16</v>
      </c>
      <c r="J22" s="286" t="str" cm="1">
        <f t="array" ref="J22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Required</v>
      </c>
      <c r="K22" s="80" t="s">
        <v>1051</v>
      </c>
      <c r="M22" s="477" t="str">
        <f>_xlfn.XLOOKUP(ResPMETable[[#This Row],[Name]], OutboundRoster[Name],OutboundRoster[Est Dep Date],"")</f>
        <v/>
      </c>
    </row>
    <row r="23" spans="1:13">
      <c r="A23" s="238" t="str">
        <f>_xlfn.XLOOKUP(ResPMETable[[#This Row],[Name]],RecallTable[NAME],RecallTable[SECTION])</f>
        <v>2PLT</v>
      </c>
      <c r="B23" s="96" t="str">
        <f>_xlfn.XLOOKUP(ResPMETable[[#This Row],[Name]],MOLTable[Name],MOLTable[Rank])</f>
        <v>SGT</v>
      </c>
      <c r="C23" s="96" t="s">
        <v>1114</v>
      </c>
      <c r="D23" s="263" t="str">
        <f>SUBSTITUTE(SUBSTITUTE(SUBSTITUTE(_xlfn.XLOOKUP(_xlfn.XLOOKUP(ResPMETable[[#This Row],[Rank]],RankTable[Abbr],RankTable[Code]),PMEMatrix[Grade],PMEMatrix[Res]), "Res", ""), "Crs", "Course"), "Sch", "School")</f>
        <v xml:space="preserve">Sgt School </v>
      </c>
      <c r="E23" s="558">
        <f>_xlfn.XLOOKUP(ResPMETable[[#This Row],[Name]],RecallTable[NAME], RecallTable[DOR],"NF")</f>
        <v>43487</v>
      </c>
      <c r="F23" s="263" t="str" cm="1">
        <f t="array" ref="F23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23" s="264" t="str" cm="1">
        <f t="array" ref="G23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23" s="234"/>
      <c r="I23" s="234" t="s">
        <v>16</v>
      </c>
      <c r="J23" s="286" t="str" cm="1">
        <f t="array" ref="J23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23" s="80" t="s">
        <v>1051</v>
      </c>
    </row>
    <row r="24" spans="1:13">
      <c r="A24" s="238" t="str">
        <f>_xlfn.XLOOKUP(ResPMETable[[#This Row],[Name]],RecallTable[NAME],RecallTable[SECTION])</f>
        <v>2PLT</v>
      </c>
      <c r="B24" s="96" t="str">
        <f>_xlfn.XLOOKUP(ResPMETable[[#This Row],[Name]],MOLTable[Name],MOLTable[Rank])</f>
        <v>SGT</v>
      </c>
      <c r="C24" s="96" t="s">
        <v>1115</v>
      </c>
      <c r="D24" s="263" t="str">
        <f>SUBSTITUTE(SUBSTITUTE(SUBSTITUTE(_xlfn.XLOOKUP(_xlfn.XLOOKUP(ResPMETable[[#This Row],[Rank]],RankTable[Abbr],RankTable[Code]),PMEMatrix[Grade],PMEMatrix[Res]), "Res", ""), "Crs", "Course"), "Sch", "School")</f>
        <v xml:space="preserve">Sgt School </v>
      </c>
      <c r="E24" s="558">
        <f>_xlfn.XLOOKUP(ResPMETable[[#This Row],[Name]],RecallTable[NAME], RecallTable[DOR],"NF")</f>
        <v>44155</v>
      </c>
      <c r="F24" s="263" t="str" cm="1">
        <f t="array" ref="F24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24" s="264" t="str" cm="1">
        <f t="array" ref="G24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24" s="483">
        <v>45412</v>
      </c>
      <c r="I24" s="234"/>
      <c r="J24" s="286" t="str" cm="1">
        <f t="array" ref="J24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24" s="80" t="s">
        <v>1053</v>
      </c>
    </row>
    <row r="25" spans="1:13">
      <c r="A25" s="238" t="str">
        <f>_xlfn.XLOOKUP(ResPMETable[[#This Row],[Name]],RecallTable[NAME],RecallTable[SECTION])</f>
        <v>2PLT</v>
      </c>
      <c r="B25" s="96" t="str">
        <f>_xlfn.XLOOKUP(ResPMETable[[#This Row],[Name]],MOLTable[Name],MOLTable[Rank])</f>
        <v>CPL</v>
      </c>
      <c r="C25" s="96" t="s">
        <v>1116</v>
      </c>
      <c r="D25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25" s="558">
        <f>_xlfn.XLOOKUP(ResPMETable[[#This Row],[Name]],RecallTable[NAME], RecallTable[DOR],"NF")</f>
        <v>44119</v>
      </c>
      <c r="F25" s="263" t="str" cm="1">
        <f t="array" ref="F25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25" s="264" t="str" cm="1">
        <f t="array" ref="G25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25" s="483">
        <v>45412</v>
      </c>
      <c r="I25" s="234"/>
      <c r="J25" s="286" t="str" cm="1">
        <f t="array" ref="J25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25" s="80" t="s">
        <v>1052</v>
      </c>
      <c r="M25" s="477"/>
    </row>
    <row r="26" spans="1:13">
      <c r="A26" s="238" t="str">
        <f>_xlfn.XLOOKUP(ResPMETable[[#This Row],[Name]],RecallTable[NAME],RecallTable[SECTION])</f>
        <v>2PLT</v>
      </c>
      <c r="B26" s="96" t="str">
        <f>_xlfn.XLOOKUP(ResPMETable[[#This Row],[Name]],MOLTable[Name],MOLTable[Rank])</f>
        <v>CPL</v>
      </c>
      <c r="C26" s="96" t="s">
        <v>1117</v>
      </c>
      <c r="D26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26" s="558">
        <f>_xlfn.XLOOKUP(ResPMETable[[#This Row],[Name]],RecallTable[NAME], RecallTable[DOR],"NF")</f>
        <v>44578</v>
      </c>
      <c r="F26" s="263" t="str" cm="1">
        <f t="array" ref="F26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26" s="264" t="str" cm="1">
        <f t="array" ref="G26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26" s="234"/>
      <c r="I26" s="234"/>
      <c r="J26" s="286" t="str" cm="1">
        <f t="array" ref="J26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26" s="80"/>
      <c r="M26" s="477"/>
    </row>
    <row r="27" spans="1:13">
      <c r="A27" s="238" t="str">
        <f>_xlfn.XLOOKUP(ResPMETable[[#This Row],[Name]],RecallTable[NAME],RecallTable[SECTION])</f>
        <v>2PLT</v>
      </c>
      <c r="B27" s="96" t="str">
        <f>_xlfn.XLOOKUP(ResPMETable[[#This Row],[Name]],MOLTable[Name],MOLTable[Rank])</f>
        <v>CPL</v>
      </c>
      <c r="C27" s="96" t="s">
        <v>1118</v>
      </c>
      <c r="D27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27" s="558">
        <f>_xlfn.XLOOKUP(ResPMETable[[#This Row],[Name]],RecallTable[NAME], RecallTable[DOR],"NF")</f>
        <v>45231</v>
      </c>
      <c r="F27" s="263" t="str" cm="1">
        <f t="array" ref="F27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27" s="264" t="str" cm="1">
        <f t="array" ref="G27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27" s="234"/>
      <c r="I27" s="234"/>
      <c r="J27" s="286" t="str" cm="1">
        <f t="array" ref="J27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27" s="80"/>
      <c r="M27" s="477" t="str">
        <f>_xlfn.XLOOKUP(ResPMETable[[#This Row],[Name]], OutboundRoster[Name],OutboundRoster[Est Dep Date],"")</f>
        <v/>
      </c>
    </row>
    <row r="28" spans="1:13">
      <c r="A28" s="238" t="str">
        <f>_xlfn.XLOOKUP(ResPMETable[[#This Row],[Name]],RecallTable[NAME],RecallTable[SECTION])</f>
        <v>2PLT</v>
      </c>
      <c r="B28" s="96" t="str">
        <f>_xlfn.XLOOKUP(ResPMETable[[#This Row],[Name]],MOLTable[Name],MOLTable[Rank])</f>
        <v>CPL</v>
      </c>
      <c r="C28" s="96" t="s">
        <v>1119</v>
      </c>
      <c r="D28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28" s="558">
        <f>_xlfn.XLOOKUP(ResPMETable[[#This Row],[Name]],RecallTable[NAME], RecallTable[DOR],"NF")</f>
        <v>44609</v>
      </c>
      <c r="F28" s="263" t="str" cm="1">
        <f t="array" ref="F28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28" s="264" t="str" cm="1">
        <f t="array" ref="G28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28" s="234"/>
      <c r="I28" s="234"/>
      <c r="J28" s="286" t="str" cm="1">
        <f t="array" ref="J28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28" s="80"/>
    </row>
    <row r="29" spans="1:13">
      <c r="A29" s="238" t="str">
        <f>_xlfn.XLOOKUP(ResPMETable[[#This Row],[Name]],RecallTable[NAME],RecallTable[SECTION])</f>
        <v>2PLT</v>
      </c>
      <c r="B29" s="96" t="str">
        <f>_xlfn.XLOOKUP(ResPMETable[[#This Row],[Name]],MOLTable[Name],MOLTable[Rank])</f>
        <v>CPL</v>
      </c>
      <c r="C29" s="96" t="s">
        <v>1120</v>
      </c>
      <c r="D29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29" s="558">
        <f>_xlfn.XLOOKUP(ResPMETable[[#This Row],[Name]],RecallTable[NAME], RecallTable[DOR],"NF")</f>
        <v>44355</v>
      </c>
      <c r="F29" s="263" t="str" cm="1">
        <f t="array" ref="F29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29" s="264" t="str" cm="1">
        <f t="array" ref="G29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29" s="483">
        <v>45443</v>
      </c>
      <c r="I29" s="234"/>
      <c r="J29" s="286" t="str" cm="1">
        <f t="array" ref="J29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29" s="80"/>
    </row>
    <row r="30" spans="1:13">
      <c r="A30" s="238" t="str">
        <f>_xlfn.XLOOKUP(ResPMETable[[#This Row],[Name]],RecallTable[NAME],RecallTable[SECTION])</f>
        <v>2PLT</v>
      </c>
      <c r="B30" s="96" t="str">
        <f>_xlfn.XLOOKUP(ResPMETable[[#This Row],[Name]],MOLTable[Name],MOLTable[Rank])</f>
        <v>CPL</v>
      </c>
      <c r="C30" s="96" t="s">
        <v>1121</v>
      </c>
      <c r="D30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30" s="558">
        <f>_xlfn.XLOOKUP(ResPMETable[[#This Row],[Name]],RecallTable[NAME], RecallTable[DOR],"NF")</f>
        <v>44548</v>
      </c>
      <c r="F30" s="263" t="str" cm="1">
        <f t="array" ref="F30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30" s="264" t="str" cm="1">
        <f t="array" ref="G30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30" s="234"/>
      <c r="I30" s="234"/>
      <c r="J30" s="286" t="str" cm="1">
        <f t="array" ref="J30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30" s="80"/>
      <c r="M30" s="477" t="str">
        <f>_xlfn.XLOOKUP(ResPMETable[[#This Row],[Name]], OutboundRoster[Name],OutboundRoster[Est Dep Date],"")</f>
        <v/>
      </c>
    </row>
    <row r="31" spans="1:13">
      <c r="A31" s="238" t="str">
        <f>_xlfn.XLOOKUP(ResPMETable[[#This Row],[Name]],RecallTable[NAME],RecallTable[SECTION])</f>
        <v>2PLT</v>
      </c>
      <c r="B31" s="96" t="str">
        <f>_xlfn.XLOOKUP(ResPMETable[[#This Row],[Name]],MOLTable[Name],MOLTable[Rank])</f>
        <v>CPL</v>
      </c>
      <c r="C31" s="96" t="s">
        <v>1122</v>
      </c>
      <c r="D31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31" s="558">
        <f>_xlfn.XLOOKUP(ResPMETable[[#This Row],[Name]],RecallTable[NAME], RecallTable[DOR],"NF")</f>
        <v>43995</v>
      </c>
      <c r="F31" s="263" t="str" cm="1">
        <f t="array" ref="F31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31" s="264" t="str" cm="1">
        <f t="array" ref="G31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31" s="483">
        <v>45443</v>
      </c>
      <c r="I31" s="234"/>
      <c r="J31" s="286" t="str" cm="1">
        <f t="array" ref="J31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31" s="80" t="s">
        <v>1054</v>
      </c>
    </row>
    <row r="32" spans="1:13">
      <c r="A32" s="238" t="str">
        <f>_xlfn.XLOOKUP(ResPMETable[[#This Row],[Name]],RecallTable[NAME],RecallTable[SECTION])</f>
        <v>2PLT</v>
      </c>
      <c r="B32" s="96" t="str">
        <f>_xlfn.XLOOKUP(ResPMETable[[#This Row],[Name]],MOLTable[Name],MOLTable[Rank])</f>
        <v>LCPL</v>
      </c>
      <c r="C32" s="96" t="s">
        <v>1123</v>
      </c>
      <c r="D32" s="263" t="str">
        <f>SUBSTITUTE(SUBSTITUTE(SUBSTITUTE(_xlfn.XLOOKUP(_xlfn.XLOOKUP(ResPMETable[[#This Row],[Rank]],RankTable[Abbr],RankTable[Code]),PMEMatrix[Grade],PMEMatrix[Res]), "Res", ""), "Crs", "Course"), "Sch", "School")</f>
        <v>LCpl Seminar</v>
      </c>
      <c r="E32" s="558">
        <f>_xlfn.XLOOKUP(ResPMETable[[#This Row],[Name]],RecallTable[NAME], RecallTable[DOR],"NF")</f>
        <v>44961</v>
      </c>
      <c r="F32" s="263" t="str" cm="1">
        <f t="array" ref="F32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32" s="264" t="str" cm="1">
        <f t="array" ref="G32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32" s="234"/>
      <c r="I32" s="234"/>
      <c r="J32" s="286" t="str" cm="1">
        <f t="array" ref="J32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32" s="80"/>
      <c r="M32" s="477" t="str">
        <f>_xlfn.XLOOKUP(ResPMETable[[#This Row],[Name]], OutboundRoster[Name],OutboundRoster[Est Dep Date],"")</f>
        <v/>
      </c>
    </row>
    <row r="33" spans="1:13">
      <c r="A33" s="238" t="str">
        <f>_xlfn.XLOOKUP(ResPMETable[[#This Row],[Name]],RecallTable[NAME],RecallTable[SECTION])</f>
        <v>3PLT</v>
      </c>
      <c r="B33" s="96" t="str">
        <f>_xlfn.XLOOKUP(ResPMETable[[#This Row],[Name]],MOLTable[Name],MOLTable[Rank])</f>
        <v>1STLT</v>
      </c>
      <c r="C33" s="96" t="s">
        <v>1124</v>
      </c>
      <c r="D33" s="263" t="str">
        <f>SUBSTITUTE(SUBSTITUTE(SUBSTITUTE(_xlfn.XLOOKUP(_xlfn.XLOOKUP(ResPMETable[[#This Row],[Rank]],RankTable[Abbr],RankTable[Code]),PMEMatrix[Grade],PMEMatrix[Res]), "Res", ""), "Crs", "Course"), "Sch", "School")</f>
        <v/>
      </c>
      <c r="E33" s="558">
        <f>_xlfn.XLOOKUP(ResPMETable[[#This Row],[Name]],RecallTable[NAME], RecallTable[DOR],"NF")</f>
        <v>45051</v>
      </c>
      <c r="F33" s="263" t="str" cm="1">
        <f t="array" ref="F33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33" s="264" t="str" cm="1">
        <f t="array" ref="G33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/>
      </c>
      <c r="H33" s="483">
        <v>45432</v>
      </c>
      <c r="I33" s="234"/>
      <c r="J33" s="286" t="str" cm="1">
        <f t="array" ref="J33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/>
      </c>
      <c r="K33" s="80"/>
    </row>
    <row r="34" spans="1:13">
      <c r="A34" s="238" t="str">
        <f>_xlfn.XLOOKUP(ResPMETable[[#This Row],[Name]],RecallTable[NAME],RecallTable[SECTION])</f>
        <v>3PLT</v>
      </c>
      <c r="B34" s="96" t="str">
        <f>_xlfn.XLOOKUP(ResPMETable[[#This Row],[Name]],MOLTable[Name],MOLTable[Rank])</f>
        <v>GYSGT</v>
      </c>
      <c r="C34" s="96" t="s">
        <v>1125</v>
      </c>
      <c r="D34" s="263" t="str">
        <f>SUBSTITUTE(SUBSTITUTE(SUBSTITUTE(_xlfn.XLOOKUP(_xlfn.XLOOKUP(ResPMETable[[#This Row],[Rank]],RankTable[Abbr],RankTable[Code]),PMEMatrix[Grade],PMEMatrix[Res]), "Res", ""), "Crs", "Course"), "Sch", "School")</f>
        <v xml:space="preserve">Advanced Course </v>
      </c>
      <c r="E34" s="558">
        <f>_xlfn.XLOOKUP(ResPMETable[[#This Row],[Name]],RecallTable[NAME], RecallTable[DOR],"NF")</f>
        <v>44762</v>
      </c>
      <c r="F34" s="263" t="str" cm="1">
        <f t="array" ref="F34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34" s="264" t="str" cm="1">
        <f t="array" ref="G34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34" s="234"/>
      <c r="I34" s="234"/>
      <c r="J34" s="286" t="str" cm="1">
        <f t="array" ref="J34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34" s="80"/>
      <c r="M34" s="477" t="str">
        <f>_xlfn.XLOOKUP(ResPMETable[[#This Row],[Name]], OutboundRoster[Name],OutboundRoster[Est Dep Date],"")</f>
        <v/>
      </c>
    </row>
    <row r="35" spans="1:13">
      <c r="A35" s="238" t="str">
        <f>_xlfn.XLOOKUP(ResPMETable[[#This Row],[Name]],RecallTable[NAME],RecallTable[SECTION])</f>
        <v>3PLT</v>
      </c>
      <c r="B35" s="96" t="str">
        <f>_xlfn.XLOOKUP(ResPMETable[[#This Row],[Name]],MOLTable[Name],MOLTable[Rank])</f>
        <v>SSGT</v>
      </c>
      <c r="C35" s="96" t="s">
        <v>1126</v>
      </c>
      <c r="D35" s="263" t="str">
        <f>SUBSTITUTE(SUBSTITUTE(SUBSTITUTE(_xlfn.XLOOKUP(_xlfn.XLOOKUP(ResPMETable[[#This Row],[Rank]],RankTable[Abbr],RankTable[Code]),PMEMatrix[Grade],PMEMatrix[Res]), "Res", ""), "Crs", "Course"), "Sch", "School")</f>
        <v xml:space="preserve">Career Course </v>
      </c>
      <c r="E35" s="558">
        <f>_xlfn.XLOOKUP(ResPMETable[[#This Row],[Name]],RecallTable[NAME], RecallTable[DOR],"NF")</f>
        <v>43870</v>
      </c>
      <c r="F35" s="263" t="str" cm="1">
        <f t="array" ref="F35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35" s="264" t="str" cm="1">
        <f t="array" ref="G35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35" s="234"/>
      <c r="I35" s="234"/>
      <c r="J35" s="286" t="str" cm="1">
        <f t="array" ref="J35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35" s="80"/>
    </row>
    <row r="36" spans="1:13">
      <c r="A36" s="238" t="str">
        <f>_xlfn.XLOOKUP(ResPMETable[[#This Row],[Name]],RecallTable[NAME],RecallTable[SECTION])</f>
        <v>3PLT</v>
      </c>
      <c r="B36" s="96" t="str">
        <f>_xlfn.XLOOKUP(ResPMETable[[#This Row],[Name]],MOLTable[Name],MOLTable[Rank])</f>
        <v>SSGT</v>
      </c>
      <c r="C36" s="96" t="s">
        <v>1127</v>
      </c>
      <c r="D36" s="263" t="str">
        <f>SUBSTITUTE(SUBSTITUTE(SUBSTITUTE(_xlfn.XLOOKUP(_xlfn.XLOOKUP(ResPMETable[[#This Row],[Rank]],RankTable[Abbr],RankTable[Code]),PMEMatrix[Grade],PMEMatrix[Res]), "Res", ""), "Crs", "Course"), "Sch", "School")</f>
        <v xml:space="preserve">Career Course </v>
      </c>
      <c r="E36" s="558">
        <f>_xlfn.XLOOKUP(ResPMETable[[#This Row],[Name]],RecallTable[NAME], RecallTable[DOR],"NF")</f>
        <v>43900</v>
      </c>
      <c r="F36" s="263" t="str" cm="1">
        <f t="array" ref="F36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36" s="264" t="str" cm="1">
        <f t="array" ref="G36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36" s="483">
        <v>45352</v>
      </c>
      <c r="I36" s="234" t="s">
        <v>799</v>
      </c>
      <c r="J36" s="286" t="str" cm="1">
        <f t="array" ref="J36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36" s="80"/>
    </row>
    <row r="37" spans="1:13">
      <c r="A37" s="238" t="str">
        <f>_xlfn.XLOOKUP(ResPMETable[[#This Row],[Name]],RecallTable[NAME],RecallTable[SECTION])</f>
        <v>3PLT</v>
      </c>
      <c r="B37" s="96" t="str">
        <f>_xlfn.XLOOKUP(ResPMETable[[#This Row],[Name]],MOLTable[Name],MOLTable[Rank])</f>
        <v>SGT</v>
      </c>
      <c r="C37" s="96" t="s">
        <v>1128</v>
      </c>
      <c r="D37" s="263" t="str">
        <f>SUBSTITUTE(SUBSTITUTE(SUBSTITUTE(_xlfn.XLOOKUP(_xlfn.XLOOKUP(ResPMETable[[#This Row],[Rank]],RankTable[Abbr],RankTable[Code]),PMEMatrix[Grade],PMEMatrix[Res]), "Res", ""), "Crs", "Course"), "Sch", "School")</f>
        <v xml:space="preserve">Sgt School </v>
      </c>
      <c r="E37" s="558">
        <f>_xlfn.XLOOKUP(ResPMETable[[#This Row],[Name]],RecallTable[NAME], RecallTable[DOR],"NF")</f>
        <v>43589</v>
      </c>
      <c r="F37" s="263" t="str" cm="1">
        <f t="array" ref="F37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37" s="264" t="str" cm="1">
        <f t="array" ref="G37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37" s="234"/>
      <c r="I37" s="234"/>
      <c r="J37" s="286" t="str" cm="1">
        <f t="array" ref="J37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37" s="80"/>
      <c r="M37" s="477" t="str">
        <f>_xlfn.XLOOKUP(ResPMETable[[#This Row],[Name]], OutboundRoster[Name],OutboundRoster[Est Dep Date],"")</f>
        <v/>
      </c>
    </row>
    <row r="38" spans="1:13">
      <c r="A38" s="238" t="str">
        <f>_xlfn.XLOOKUP(ResPMETable[[#This Row],[Name]],RecallTable[NAME],RecallTable[SECTION])</f>
        <v>3PLT</v>
      </c>
      <c r="B38" s="96" t="str">
        <f>_xlfn.XLOOKUP(ResPMETable[[#This Row],[Name]],MOLTable[Name],MOLTable[Rank])</f>
        <v>SGT</v>
      </c>
      <c r="C38" s="96" t="s">
        <v>1129</v>
      </c>
      <c r="D38" s="263" t="str">
        <f>SUBSTITUTE(SUBSTITUTE(SUBSTITUTE(_xlfn.XLOOKUP(_xlfn.XLOOKUP(ResPMETable[[#This Row],[Rank]],RankTable[Abbr],RankTable[Code]),PMEMatrix[Grade],PMEMatrix[Res]), "Res", ""), "Crs", "Course"), "Sch", "School")</f>
        <v xml:space="preserve">Sgt School </v>
      </c>
      <c r="E38" s="558">
        <f>_xlfn.XLOOKUP(ResPMETable[[#This Row],[Name]],RecallTable[NAME], RecallTable[DOR],"NF")</f>
        <v>43570</v>
      </c>
      <c r="F38" s="263" t="str" cm="1">
        <f t="array" ref="F38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38" s="264" t="str" cm="1">
        <f t="array" ref="G38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38" s="234"/>
      <c r="I38" s="234"/>
      <c r="J38" s="286" t="str" cm="1">
        <f t="array" ref="J38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38" s="80" t="s">
        <v>1055</v>
      </c>
    </row>
    <row r="39" spans="1:13">
      <c r="A39" s="238" t="str">
        <f>_xlfn.XLOOKUP(ResPMETable[[#This Row],[Name]],RecallTable[NAME],RecallTable[SECTION])</f>
        <v>3PLT</v>
      </c>
      <c r="B39" s="96" t="str">
        <f>_xlfn.XLOOKUP(ResPMETable[[#This Row],[Name]],MOLTable[Name],MOLTable[Rank])</f>
        <v>SGT</v>
      </c>
      <c r="C39" s="96" t="s">
        <v>1130</v>
      </c>
      <c r="D39" s="263" t="str">
        <f>SUBSTITUTE(SUBSTITUTE(SUBSTITUTE(_xlfn.XLOOKUP(_xlfn.XLOOKUP(ResPMETable[[#This Row],[Rank]],RankTable[Abbr],RankTable[Code]),PMEMatrix[Grade],PMEMatrix[Res]), "Res", ""), "Crs", "Course"), "Sch", "School")</f>
        <v xml:space="preserve">Sgt School </v>
      </c>
      <c r="E39" s="558">
        <f>_xlfn.XLOOKUP(ResPMETable[[#This Row],[Name]],RecallTable[NAME], RecallTable[DOR],"NF")</f>
        <v>44885</v>
      </c>
      <c r="F39" s="263" t="str" cm="1">
        <f t="array" ref="F39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39" s="264" t="str" cm="1">
        <f t="array" ref="G39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39" s="483">
        <v>45443</v>
      </c>
      <c r="I39" s="234"/>
      <c r="J39" s="286" t="str" cm="1">
        <f t="array" ref="J39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39" s="80" t="s">
        <v>1056</v>
      </c>
      <c r="M39" s="45"/>
    </row>
    <row r="40" spans="1:13">
      <c r="A40" s="238" t="str">
        <f>_xlfn.XLOOKUP(ResPMETable[[#This Row],[Name]],RecallTable[NAME],RecallTable[SECTION])</f>
        <v>3PLT</v>
      </c>
      <c r="B40" s="96" t="str">
        <f>_xlfn.XLOOKUP(ResPMETable[[#This Row],[Name]],MOLTable[Name],MOLTable[Rank])</f>
        <v>CPL</v>
      </c>
      <c r="C40" s="96" t="s">
        <v>1131</v>
      </c>
      <c r="D40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40" s="558">
        <f>_xlfn.XLOOKUP(ResPMETable[[#This Row],[Name]],RecallTable[NAME], RecallTable[DOR],"NF")</f>
        <v>43551</v>
      </c>
      <c r="F40" s="263" t="str" cm="1">
        <f t="array" ref="F40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40" s="264" t="str" cm="1">
        <f t="array" ref="G40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40" s="234"/>
      <c r="I40" s="234"/>
      <c r="J40" s="286" t="str" cm="1">
        <f t="array" ref="J40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Required</v>
      </c>
      <c r="K40" s="80" t="s">
        <v>1057</v>
      </c>
      <c r="M40" s="45"/>
    </row>
    <row r="41" spans="1:13">
      <c r="A41" s="238" t="str">
        <f>_xlfn.XLOOKUP(ResPMETable[[#This Row],[Name]],RecallTable[NAME],RecallTable[SECTION])</f>
        <v>3PLT</v>
      </c>
      <c r="B41" s="96" t="str">
        <f>_xlfn.XLOOKUP(ResPMETable[[#This Row],[Name]],MOLTable[Name],MOLTable[Rank])</f>
        <v>CPL</v>
      </c>
      <c r="C41" s="96" t="s">
        <v>1132</v>
      </c>
      <c r="D41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41" s="558">
        <f>_xlfn.XLOOKUP(ResPMETable[[#This Row],[Name]],RecallTable[NAME], RecallTable[DOR],"NF")</f>
        <v>43926</v>
      </c>
      <c r="F41" s="263" t="str" cm="1">
        <f t="array" ref="F41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41" s="264" t="str" cm="1">
        <f t="array" ref="G41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41" s="234"/>
      <c r="I41" s="234" t="s">
        <v>799</v>
      </c>
      <c r="J41" s="286" t="str" cm="1">
        <f t="array" ref="J41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41" s="80" t="s">
        <v>1052</v>
      </c>
      <c r="M41" s="45"/>
    </row>
    <row r="42" spans="1:13">
      <c r="A42" s="238" t="str">
        <f>_xlfn.XLOOKUP(ResPMETable[[#This Row],[Name]],RecallTable[NAME],RecallTable[SECTION])</f>
        <v>3PLT</v>
      </c>
      <c r="B42" s="96" t="str">
        <f>_xlfn.XLOOKUP(ResPMETable[[#This Row],[Name]],MOLTable[Name],MOLTable[Rank])</f>
        <v>CPL</v>
      </c>
      <c r="C42" s="96" t="s">
        <v>1133</v>
      </c>
      <c r="D42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42" s="558">
        <f>_xlfn.XLOOKUP(ResPMETable[[#This Row],[Name]],RecallTable[NAME], RecallTable[DOR],"NF")</f>
        <v>45154</v>
      </c>
      <c r="F42" s="263" t="str" cm="1">
        <f t="array" ref="F42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42" s="264" t="str" cm="1">
        <f t="array" ref="G42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42" s="234"/>
      <c r="I42" s="234"/>
      <c r="J42" s="286" t="str" cm="1">
        <f t="array" ref="J42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42" s="80"/>
      <c r="M42" s="477" t="str">
        <f>_xlfn.XLOOKUP(ResPMETable[[#This Row],[Name]], OutboundRoster[Name],OutboundRoster[Est Dep Date],"")</f>
        <v/>
      </c>
    </row>
    <row r="43" spans="1:13">
      <c r="A43" s="238" t="str">
        <f>_xlfn.XLOOKUP(ResPMETable[[#This Row],[Name]],RecallTable[NAME],RecallTable[SECTION])</f>
        <v>3PLT</v>
      </c>
      <c r="B43" s="96" t="str">
        <f>_xlfn.XLOOKUP(ResPMETable[[#This Row],[Name]],MOLTable[Name],MOLTable[Rank])</f>
        <v>CPL</v>
      </c>
      <c r="C43" s="96" t="s">
        <v>1134</v>
      </c>
      <c r="D43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43" s="558">
        <f>_xlfn.XLOOKUP(ResPMETable[[#This Row],[Name]],RecallTable[NAME], RecallTable[DOR],"NF")</f>
        <v>43778</v>
      </c>
      <c r="F43" s="263" t="str" cm="1">
        <f t="array" ref="F43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43" s="264" t="str" cm="1">
        <f t="array" ref="G43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43" s="234"/>
      <c r="I43" s="234"/>
      <c r="J43" s="286" t="str" cm="1">
        <f t="array" ref="J43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43" s="80"/>
    </row>
    <row r="44" spans="1:13">
      <c r="A44" s="238" t="str">
        <f>_xlfn.XLOOKUP(ResPMETable[[#This Row],[Name]],RecallTable[NAME],RecallTable[SECTION])</f>
        <v>3PLT</v>
      </c>
      <c r="B44" s="96" t="str">
        <f>_xlfn.XLOOKUP(ResPMETable[[#This Row],[Name]],MOLTable[Name],MOLTable[Rank])</f>
        <v>CPL</v>
      </c>
      <c r="C44" s="96" t="s">
        <v>1135</v>
      </c>
      <c r="D44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44" s="558">
        <f>_xlfn.XLOOKUP(ResPMETable[[#This Row],[Name]],RecallTable[NAME], RecallTable[DOR],"NF")</f>
        <v>45106</v>
      </c>
      <c r="F44" s="263" t="str" cm="1">
        <f t="array" ref="F44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44" s="264" t="s">
        <v>799</v>
      </c>
      <c r="H44" s="234"/>
      <c r="I44" s="234"/>
      <c r="J44" s="286" t="str" cm="1">
        <f t="array" ref="J44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44" s="80"/>
      <c r="M44" s="45"/>
    </row>
    <row r="45" spans="1:13">
      <c r="A45" s="238" t="str">
        <f>_xlfn.XLOOKUP(ResPMETable[[#This Row],[Name]],RecallTable[NAME],RecallTable[SECTION])</f>
        <v>3PLT</v>
      </c>
      <c r="B45" s="96" t="str">
        <f>_xlfn.XLOOKUP(ResPMETable[[#This Row],[Name]],MOLTable[Name],MOLTable[Rank])</f>
        <v>CPL</v>
      </c>
      <c r="C45" s="96" t="s">
        <v>1136</v>
      </c>
      <c r="D45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45" s="558">
        <f>_xlfn.XLOOKUP(ResPMETable[[#This Row],[Name]],RecallTable[NAME], RecallTable[DOR],"NF")</f>
        <v>43790</v>
      </c>
      <c r="F45" s="263" t="str" cm="1">
        <f t="array" ref="F45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45" s="264" t="str" cm="1">
        <f t="array" ref="G45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45" s="234"/>
      <c r="I45" s="234"/>
      <c r="J45" s="286" t="str" cm="1">
        <f t="array" ref="J45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45" s="80" t="s">
        <v>1058</v>
      </c>
      <c r="M45" s="477" t="str">
        <f>_xlfn.XLOOKUP(ResPMETable[[#This Row],[Name]], OutboundRoster[Name],OutboundRoster[Est Dep Date],"")</f>
        <v/>
      </c>
    </row>
    <row r="46" spans="1:13">
      <c r="A46" s="238" t="str">
        <f>_xlfn.XLOOKUP(ResPMETable[[#This Row],[Name]],RecallTable[NAME],RecallTable[SECTION])</f>
        <v>3PLT</v>
      </c>
      <c r="B46" s="96" t="str">
        <f>_xlfn.XLOOKUP(ResPMETable[[#This Row],[Name]],MOLTable[Name],MOLTable[Rank])</f>
        <v>CPL</v>
      </c>
      <c r="C46" s="96" t="s">
        <v>1137</v>
      </c>
      <c r="D46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46" s="558">
        <f>_xlfn.XLOOKUP(ResPMETable[[#This Row],[Name]],RecallTable[NAME], RecallTable[DOR],"NF")</f>
        <v>44852</v>
      </c>
      <c r="F46" s="263" t="str" cm="1">
        <f t="array" ref="F46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46" s="264" t="str" cm="1">
        <f t="array" ref="G46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46" s="483">
        <v>45366</v>
      </c>
      <c r="I46" s="234"/>
      <c r="J46" s="286" t="str" cm="1">
        <f t="array" ref="J46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46" s="80"/>
      <c r="M46" s="45"/>
    </row>
    <row r="47" spans="1:13">
      <c r="A47" s="238" t="str">
        <f>_xlfn.XLOOKUP(ResPMETable[[#This Row],[Name]],RecallTable[NAME],RecallTable[SECTION])</f>
        <v>3PLT</v>
      </c>
      <c r="B47" s="96" t="str">
        <f>_xlfn.XLOOKUP(ResPMETable[[#This Row],[Name]],MOLTable[Name],MOLTable[Rank])</f>
        <v>LCPL</v>
      </c>
      <c r="C47" s="96" t="s">
        <v>1138</v>
      </c>
      <c r="D47" s="263" t="str">
        <f>SUBSTITUTE(SUBSTITUTE(SUBSTITUTE(_xlfn.XLOOKUP(_xlfn.XLOOKUP(ResPMETable[[#This Row],[Rank]],RankTable[Abbr],RankTable[Code]),PMEMatrix[Grade],PMEMatrix[Res]), "Res", ""), "Crs", "Course"), "Sch", "School")</f>
        <v>LCpl Seminar</v>
      </c>
      <c r="E47" s="558">
        <f>_xlfn.XLOOKUP(ResPMETable[[#This Row],[Name]],RecallTable[NAME], RecallTable[DOR],"NF")</f>
        <v>44404</v>
      </c>
      <c r="F47" s="263" t="str" cm="1">
        <f t="array" ref="F47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47" s="264" t="str" cm="1">
        <f t="array" ref="G47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47" s="234"/>
      <c r="I47" s="234"/>
      <c r="J47" s="286" t="str" cm="1">
        <f t="array" ref="J47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47" s="80"/>
      <c r="M47" s="45"/>
    </row>
    <row r="48" spans="1:13">
      <c r="A48" s="238" t="str">
        <f>_xlfn.XLOOKUP(ResPMETable[[#This Row],[Name]],RecallTable[NAME],RecallTable[SECTION])</f>
        <v>3PLT</v>
      </c>
      <c r="B48" s="96" t="str">
        <f>_xlfn.XLOOKUP(ResPMETable[[#This Row],[Name]],MOLTable[Name],MOLTable[Rank])</f>
        <v>SGT</v>
      </c>
      <c r="C48" s="96" t="s">
        <v>1139</v>
      </c>
      <c r="D48" s="263" t="str">
        <f>SUBSTITUTE(SUBSTITUTE(SUBSTITUTE(_xlfn.XLOOKUP(_xlfn.XLOOKUP(ResPMETable[[#This Row],[Rank]],RankTable[Abbr],RankTable[Code]),PMEMatrix[Grade],PMEMatrix[Res]), "Res", ""), "Crs", "Course"), "Sch", "School")</f>
        <v xml:space="preserve">Sgt School </v>
      </c>
      <c r="E48" s="558">
        <f>_xlfn.XLOOKUP(ResPMETable[[#This Row],[Name]],RecallTable[NAME], RecallTable[DOR],"NF")</f>
        <v>44624</v>
      </c>
      <c r="F48" s="263" t="str" cm="1">
        <f t="array" ref="F48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48" s="264" t="str" cm="1">
        <f t="array" ref="G48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48" s="234"/>
      <c r="I48" s="234"/>
      <c r="J48" s="286" t="str" cm="1">
        <f t="array" ref="J48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48" s="80"/>
      <c r="M48" s="477" t="str">
        <f>_xlfn.XLOOKUP(ResPMETable[[#This Row],[Name]], OutboundRoster[Name],OutboundRoster[Est Dep Date],"")</f>
        <v/>
      </c>
    </row>
    <row r="49" spans="1:13">
      <c r="A49" s="238" t="str">
        <f>_xlfn.XLOOKUP(ResPMETable[[#This Row],[Name]],RecallTable[NAME],RecallTable[SECTION])</f>
        <v>3PLT</v>
      </c>
      <c r="B49" s="96" t="str">
        <f>_xlfn.XLOOKUP(ResPMETable[[#This Row],[Name]],MOLTable[Name],MOLTable[Rank])</f>
        <v>LCPL</v>
      </c>
      <c r="C49" s="96" t="s">
        <v>1140</v>
      </c>
      <c r="D49" s="263" t="str">
        <f>SUBSTITUTE(SUBSTITUTE(SUBSTITUTE(_xlfn.XLOOKUP(_xlfn.XLOOKUP(ResPMETable[[#This Row],[Rank]],RankTable[Abbr],RankTable[Code]),PMEMatrix[Grade],PMEMatrix[Res]), "Res", ""), "Crs", "Course"), "Sch", "School")</f>
        <v>LCpl Seminar</v>
      </c>
      <c r="E49" s="558">
        <f>_xlfn.XLOOKUP(ResPMETable[[#This Row],[Name]],RecallTable[NAME], RecallTable[DOR],"NF")</f>
        <v>44685</v>
      </c>
      <c r="F49" s="263" t="str" cm="1">
        <f t="array" ref="F49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49" s="264" t="str" cm="1">
        <f t="array" ref="G49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49" s="234"/>
      <c r="I49" s="234"/>
      <c r="J49" s="286" t="str" cm="1">
        <f t="array" ref="J49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49" s="80"/>
    </row>
    <row r="50" spans="1:13">
      <c r="A50" s="238" t="str">
        <f>_xlfn.XLOOKUP(ResPMETable[[#This Row],[Name]],RecallTable[NAME],RecallTable[SECTION])</f>
        <v>4PLT</v>
      </c>
      <c r="B50" s="96" t="str">
        <f>_xlfn.XLOOKUP(ResPMETable[[#This Row],[Name]],MOLTable[Name],MOLTable[Rank])</f>
        <v>1STLT</v>
      </c>
      <c r="C50" s="96" t="s">
        <v>1141</v>
      </c>
      <c r="D50" s="263" t="str">
        <f>SUBSTITUTE(SUBSTITUTE(SUBSTITUTE(_xlfn.XLOOKUP(_xlfn.XLOOKUP(ResPMETable[[#This Row],[Rank]],RankTable[Abbr],RankTable[Code]),PMEMatrix[Grade],PMEMatrix[Res]), "Res", ""), "Crs", "Course"), "Sch", "School")</f>
        <v/>
      </c>
      <c r="E50" s="558">
        <f>_xlfn.XLOOKUP(ResPMETable[[#This Row],[Name]],RecallTable[NAME], RecallTable[DOR],"NF")</f>
        <v>43944</v>
      </c>
      <c r="F50" s="263" t="str" cm="1">
        <f t="array" ref="F50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50" s="264" t="str" cm="1">
        <f t="array" ref="G50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/>
      </c>
      <c r="H50" s="234"/>
      <c r="I50" s="234"/>
      <c r="J50" s="286" t="str" cm="1">
        <f t="array" ref="J50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/>
      </c>
      <c r="K50" s="80"/>
    </row>
    <row r="51" spans="1:13">
      <c r="A51" s="238" t="str">
        <f>_xlfn.XLOOKUP(ResPMETable[[#This Row],[Name]],RecallTable[NAME],RecallTable[SECTION])</f>
        <v>4PLT</v>
      </c>
      <c r="B51" s="96" t="str">
        <f>_xlfn.XLOOKUP(ResPMETable[[#This Row],[Name]],MOLTable[Name],MOLTable[Rank])</f>
        <v>GYSGT</v>
      </c>
      <c r="C51" s="96" t="s">
        <v>1142</v>
      </c>
      <c r="D51" s="263" t="str">
        <f>SUBSTITUTE(SUBSTITUTE(SUBSTITUTE(_xlfn.XLOOKUP(_xlfn.XLOOKUP(ResPMETable[[#This Row],[Rank]],RankTable[Abbr],RankTable[Code]),PMEMatrix[Grade],PMEMatrix[Res]), "Res", ""), "Crs", "Course"), "Sch", "School")</f>
        <v xml:space="preserve">Advanced Course </v>
      </c>
      <c r="E51" s="558">
        <f>_xlfn.XLOOKUP(ResPMETable[[#This Row],[Name]],RecallTable[NAME], RecallTable[DOR],"NF")</f>
        <v>44049</v>
      </c>
      <c r="F51" s="263" t="str" cm="1">
        <f t="array" ref="F51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51" s="264" t="str" cm="1">
        <f t="array" ref="G51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51" s="234"/>
      <c r="I51" s="234"/>
      <c r="J51" s="286" t="str" cm="1">
        <f t="array" ref="J51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51" s="80"/>
    </row>
    <row r="52" spans="1:13">
      <c r="A52" s="238" t="str">
        <f>_xlfn.XLOOKUP(ResPMETable[[#This Row],[Name]],RecallTable[NAME],RecallTable[SECTION])</f>
        <v>4PLT</v>
      </c>
      <c r="B52" s="96" t="str">
        <f>_xlfn.XLOOKUP(ResPMETable[[#This Row],[Name]],MOLTable[Name],MOLTable[Rank])</f>
        <v>SSGT</v>
      </c>
      <c r="C52" s="96" t="s">
        <v>1143</v>
      </c>
      <c r="D52" s="263" t="str">
        <f>SUBSTITUTE(SUBSTITUTE(SUBSTITUTE(_xlfn.XLOOKUP(_xlfn.XLOOKUP(ResPMETable[[#This Row],[Rank]],RankTable[Abbr],RankTable[Code]),PMEMatrix[Grade],PMEMatrix[Res]), "Res", ""), "Crs", "Course"), "Sch", "School")</f>
        <v xml:space="preserve">Career Course </v>
      </c>
      <c r="E52" s="558">
        <f>_xlfn.XLOOKUP(ResPMETable[[#This Row],[Name]],RecallTable[NAME], RecallTable[DOR],"NF")</f>
        <v>45057</v>
      </c>
      <c r="F52" s="263" t="str" cm="1">
        <f t="array" ref="F52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52" s="264" t="str" cm="1">
        <f t="array" ref="G52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52" s="234"/>
      <c r="I52" s="234"/>
      <c r="J52" s="286" t="str" cm="1">
        <f t="array" ref="J52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52" s="80"/>
      <c r="M52" s="45"/>
    </row>
    <row r="53" spans="1:13">
      <c r="A53" s="238" t="str">
        <f>_xlfn.XLOOKUP(ResPMETable[[#This Row],[Name]],RecallTable[NAME],RecallTable[SECTION])</f>
        <v>4PLT</v>
      </c>
      <c r="B53" s="96" t="str">
        <f>_xlfn.XLOOKUP(ResPMETable[[#This Row],[Name]],MOLTable[Name],MOLTable[Rank])</f>
        <v>SSGT</v>
      </c>
      <c r="C53" s="96" t="s">
        <v>1144</v>
      </c>
      <c r="D53" s="263" t="str">
        <f>SUBSTITUTE(SUBSTITUTE(SUBSTITUTE(_xlfn.XLOOKUP(_xlfn.XLOOKUP(ResPMETable[[#This Row],[Rank]],RankTable[Abbr],RankTable[Code]),PMEMatrix[Grade],PMEMatrix[Res]), "Res", ""), "Crs", "Course"), "Sch", "School")</f>
        <v xml:space="preserve">Career Course </v>
      </c>
      <c r="E53" s="558">
        <f>_xlfn.XLOOKUP(ResPMETable[[#This Row],[Name]],RecallTable[NAME], RecallTable[DOR],"NF")</f>
        <v>43902</v>
      </c>
      <c r="F53" s="263" t="str" cm="1">
        <f t="array" ref="F53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53" s="264" t="str" cm="1">
        <f t="array" ref="G53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53" s="234"/>
      <c r="I53" s="234"/>
      <c r="J53" s="286" t="str" cm="1">
        <f t="array" ref="J53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53" s="80"/>
      <c r="M53" s="477" t="str">
        <f>_xlfn.XLOOKUP(ResPMETable[[#This Row],[Name]], OutboundRoster[Name],OutboundRoster[Est Dep Date],"")</f>
        <v/>
      </c>
    </row>
    <row r="54" spans="1:13">
      <c r="A54" s="238" t="str">
        <f>_xlfn.XLOOKUP(ResPMETable[[#This Row],[Name]],RecallTable[NAME],RecallTable[SECTION])</f>
        <v>4PLT</v>
      </c>
      <c r="B54" s="96" t="str">
        <f>_xlfn.XLOOKUP(ResPMETable[[#This Row],[Name]],MOLTable[Name],MOLTable[Rank])</f>
        <v>SGT</v>
      </c>
      <c r="C54" s="96" t="s">
        <v>1145</v>
      </c>
      <c r="D54" s="263" t="str">
        <f>SUBSTITUTE(SUBSTITUTE(SUBSTITUTE(_xlfn.XLOOKUP(_xlfn.XLOOKUP(ResPMETable[[#This Row],[Rank]],RankTable[Abbr],RankTable[Code]),PMEMatrix[Grade],PMEMatrix[Res]), "Res", ""), "Crs", "Course"), "Sch", "School")</f>
        <v xml:space="preserve">Sgt School </v>
      </c>
      <c r="E54" s="558">
        <f>_xlfn.XLOOKUP(ResPMETable[[#This Row],[Name]],RecallTable[NAME], RecallTable[DOR],"NF")</f>
        <v>45025</v>
      </c>
      <c r="F54" s="263" t="str" cm="1">
        <f t="array" ref="F54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54" s="264" t="str" cm="1">
        <f t="array" ref="G54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54" s="234"/>
      <c r="I54" s="234" t="s">
        <v>799</v>
      </c>
      <c r="J54" s="286" t="str" cm="1">
        <f t="array" ref="J54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54" s="80"/>
      <c r="M54" s="45"/>
    </row>
    <row r="55" spans="1:13">
      <c r="A55" s="238" t="str">
        <f>_xlfn.XLOOKUP(ResPMETable[[#This Row],[Name]],RecallTable[NAME],RecallTable[SECTION])</f>
        <v>4PLT</v>
      </c>
      <c r="B55" s="96" t="str">
        <f>_xlfn.XLOOKUP(ResPMETable[[#This Row],[Name]],MOLTable[Name],MOLTable[Rank])</f>
        <v>SGT</v>
      </c>
      <c r="C55" s="96" t="s">
        <v>1146</v>
      </c>
      <c r="D55" s="263" t="str">
        <f>SUBSTITUTE(SUBSTITUTE(SUBSTITUTE(_xlfn.XLOOKUP(_xlfn.XLOOKUP(ResPMETable[[#This Row],[Rank]],RankTable[Abbr],RankTable[Code]),PMEMatrix[Grade],PMEMatrix[Res]), "Res", ""), "Crs", "Course"), "Sch", "School")</f>
        <v xml:space="preserve">Sgt School </v>
      </c>
      <c r="E55" s="558">
        <f>_xlfn.XLOOKUP(ResPMETable[[#This Row],[Name]],RecallTable[NAME], RecallTable[DOR],"NF")</f>
        <v>44724</v>
      </c>
      <c r="F55" s="263" t="str" cm="1">
        <f t="array" ref="F55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55" s="264" t="str" cm="1">
        <f t="array" ref="G55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55" s="483">
        <v>45366</v>
      </c>
      <c r="I55" s="234"/>
      <c r="J55" s="286" t="str" cm="1">
        <f t="array" ref="J55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55" s="80"/>
      <c r="M55" s="45"/>
    </row>
    <row r="56" spans="1:13">
      <c r="A56" s="238" t="str">
        <f>_xlfn.XLOOKUP(ResPMETable[[#This Row],[Name]],RecallTable[NAME],RecallTable[SECTION])</f>
        <v>4PLT</v>
      </c>
      <c r="B56" s="96" t="str">
        <f>_xlfn.XLOOKUP(ResPMETable[[#This Row],[Name]],MOLTable[Name],MOLTable[Rank])</f>
        <v>SGT</v>
      </c>
      <c r="C56" s="96" t="s">
        <v>1147</v>
      </c>
      <c r="D56" s="263" t="str">
        <f>SUBSTITUTE(SUBSTITUTE(SUBSTITUTE(_xlfn.XLOOKUP(_xlfn.XLOOKUP(ResPMETable[[#This Row],[Rank]],RankTable[Abbr],RankTable[Code]),PMEMatrix[Grade],PMEMatrix[Res]), "Res", ""), "Crs", "Course"), "Sch", "School")</f>
        <v xml:space="preserve">Sgt School </v>
      </c>
      <c r="E56" s="558">
        <f>_xlfn.XLOOKUP(ResPMETable[[#This Row],[Name]],RecallTable[NAME], RecallTable[DOR],"NF")</f>
        <v>44889</v>
      </c>
      <c r="F56" s="263" t="str" cm="1">
        <f t="array" ref="F56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56" s="264" t="str" cm="1">
        <f t="array" ref="G56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56" s="234"/>
      <c r="I56" s="234"/>
      <c r="J56" s="286" t="str" cm="1">
        <f t="array" ref="J56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56" s="80" t="s">
        <v>1054</v>
      </c>
      <c r="M56" s="45"/>
    </row>
    <row r="57" spans="1:13">
      <c r="A57" s="238" t="str">
        <f>_xlfn.XLOOKUP(ResPMETable[[#This Row],[Name]],RecallTable[NAME],RecallTable[SECTION])</f>
        <v>4PLT</v>
      </c>
      <c r="B57" s="96" t="str">
        <f>_xlfn.XLOOKUP(ResPMETable[[#This Row],[Name]],MOLTable[Name],MOLTable[Rank])</f>
        <v>CPL</v>
      </c>
      <c r="C57" s="96" t="s">
        <v>1148</v>
      </c>
      <c r="D57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57" s="558">
        <f>_xlfn.XLOOKUP(ResPMETable[[#This Row],[Name]],RecallTable[NAME], RecallTable[DOR],"NF")</f>
        <v>45259</v>
      </c>
      <c r="F57" s="263" t="str" cm="1">
        <f t="array" ref="F57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57" s="264" t="str" cm="1">
        <f t="array" ref="G57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57" s="234"/>
      <c r="I57" s="234"/>
      <c r="J57" s="286" t="str" cm="1">
        <f t="array" ref="J57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No</v>
      </c>
      <c r="K57" s="80" t="s">
        <v>1052</v>
      </c>
      <c r="M57" s="45"/>
    </row>
    <row r="58" spans="1:13">
      <c r="A58" s="238" t="str">
        <f>_xlfn.XLOOKUP(ResPMETable[[#This Row],[Name]],RecallTable[NAME],RecallTable[SECTION])</f>
        <v>4PLT</v>
      </c>
      <c r="B58" s="96" t="str">
        <f>_xlfn.XLOOKUP(ResPMETable[[#This Row],[Name]],MOLTable[Name],MOLTable[Rank])</f>
        <v>CPL</v>
      </c>
      <c r="C58" s="96" t="s">
        <v>1149</v>
      </c>
      <c r="D58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58" s="558">
        <f>_xlfn.XLOOKUP(ResPMETable[[#This Row],[Name]],RecallTable[NAME], RecallTable[DOR],"NF")</f>
        <v>44988</v>
      </c>
      <c r="F58" s="263" t="str" cm="1">
        <f t="array" ref="F58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58" s="264" t="str" cm="1">
        <f t="array" ref="G58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58" s="234"/>
      <c r="I58" s="234"/>
      <c r="J58" s="286" t="str" cm="1">
        <f t="array" ref="J58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58" s="80"/>
      <c r="M58" s="477" t="str">
        <f>_xlfn.XLOOKUP(ResPMETable[[#This Row],[Name]], OutboundRoster[Name],OutboundRoster[Est Dep Date],"")</f>
        <v/>
      </c>
    </row>
    <row r="59" spans="1:13">
      <c r="A59" s="238" t="str">
        <f>_xlfn.XLOOKUP(ResPMETable[[#This Row],[Name]],RecallTable[NAME],RecallTable[SECTION])</f>
        <v>4PLT</v>
      </c>
      <c r="B59" s="96" t="str">
        <f>_xlfn.XLOOKUP(ResPMETable[[#This Row],[Name]],MOLTable[Name],MOLTable[Rank])</f>
        <v>CPL</v>
      </c>
      <c r="C59" s="96" t="s">
        <v>1150</v>
      </c>
      <c r="D59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59" s="558">
        <f>_xlfn.XLOOKUP(ResPMETable[[#This Row],[Name]],RecallTable[NAME], RecallTable[DOR],"NF")</f>
        <v>44835</v>
      </c>
      <c r="F59" s="263" t="str" cm="1">
        <f t="array" ref="F59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59" s="264" t="str" cm="1">
        <f t="array" ref="G59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59" s="483">
        <v>45366</v>
      </c>
      <c r="I59" s="234"/>
      <c r="J59" s="286" t="str" cm="1">
        <f t="array" ref="J59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59" s="80"/>
      <c r="M59" s="45"/>
    </row>
    <row r="60" spans="1:13">
      <c r="A60" s="238" t="str">
        <f>_xlfn.XLOOKUP(ResPMETable[[#This Row],[Name]],RecallTable[NAME],RecallTable[SECTION])</f>
        <v>4PLT</v>
      </c>
      <c r="B60" s="96" t="str">
        <f>_xlfn.XLOOKUP(ResPMETable[[#This Row],[Name]],MOLTable[Name],MOLTable[Rank])</f>
        <v>CPL</v>
      </c>
      <c r="C60" s="96" t="s">
        <v>1151</v>
      </c>
      <c r="D60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60" s="558">
        <f>_xlfn.XLOOKUP(ResPMETable[[#This Row],[Name]],RecallTable[NAME], RecallTable[DOR],"NF")</f>
        <v>44522</v>
      </c>
      <c r="F60" s="263" t="str" cm="1">
        <f t="array" ref="F60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60" s="264" t="str" cm="1">
        <f t="array" ref="G60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60" s="234"/>
      <c r="I60" s="234"/>
      <c r="J60" s="286" t="str" cm="1">
        <f t="array" ref="J60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60" s="80"/>
      <c r="M60" s="477" t="str">
        <f>_xlfn.XLOOKUP(ResPMETable[[#This Row],[Name]], OutboundRoster[Name],OutboundRoster[Est Dep Date],"")</f>
        <v/>
      </c>
    </row>
    <row r="61" spans="1:13">
      <c r="A61" s="238" t="str">
        <f>_xlfn.XLOOKUP(ResPMETable[[#This Row],[Name]],RecallTable[NAME],RecallTable[SECTION])</f>
        <v>4PLT</v>
      </c>
      <c r="B61" s="96" t="str">
        <f>_xlfn.XLOOKUP(ResPMETable[[#This Row],[Name]],MOLTable[Name],MOLTable[Rank])</f>
        <v>CPL</v>
      </c>
      <c r="C61" s="96" t="s">
        <v>1152</v>
      </c>
      <c r="D61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61" s="558">
        <f>_xlfn.XLOOKUP(ResPMETable[[#This Row],[Name]],RecallTable[NAME], RecallTable[DOR],"NF")</f>
        <v>45009</v>
      </c>
      <c r="F61" s="263" t="str" cm="1">
        <f t="array" ref="F61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61" s="264" t="str" cm="1">
        <f t="array" ref="G61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61" s="234"/>
      <c r="I61" s="234"/>
      <c r="J61" s="286" t="str" cm="1">
        <f t="array" ref="J61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61" s="80"/>
    </row>
    <row r="62" spans="1:13">
      <c r="A62" s="238" t="str">
        <f>_xlfn.XLOOKUP(ResPMETable[[#This Row],[Name]],RecallTable[NAME],RecallTable[SECTION])</f>
        <v>4PLT</v>
      </c>
      <c r="B62" s="96" t="str">
        <f>_xlfn.XLOOKUP(ResPMETable[[#This Row],[Name]],MOLTable[Name],MOLTable[Rank])</f>
        <v>CPL</v>
      </c>
      <c r="C62" s="96" t="s">
        <v>1153</v>
      </c>
      <c r="D62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62" s="558">
        <f>_xlfn.XLOOKUP(ResPMETable[[#This Row],[Name]],RecallTable[NAME], RecallTable[DOR],"NF")</f>
        <v>43828</v>
      </c>
      <c r="F62" s="263" t="str" cm="1">
        <f t="array" ref="F62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62" s="264" t="str" cm="1">
        <f t="array" ref="G62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62" s="234"/>
      <c r="I62" s="234"/>
      <c r="J62" s="286" t="str" cm="1">
        <f t="array" ref="J62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Registered</v>
      </c>
      <c r="K62" s="80"/>
    </row>
    <row r="63" spans="1:13">
      <c r="A63" s="238" t="str">
        <f>_xlfn.XLOOKUP(ResPMETable[[#This Row],[Name]],RecallTable[NAME],RecallTable[SECTION])</f>
        <v>OPS</v>
      </c>
      <c r="B63" s="96" t="str">
        <f>_xlfn.XLOOKUP(ResPMETable[[#This Row],[Name]],MOLTable[Name],MOLTable[Rank])</f>
        <v>CAPT</v>
      </c>
      <c r="C63" s="96" t="s">
        <v>1154</v>
      </c>
      <c r="D63" s="263" t="str">
        <f>SUBSTITUTE(SUBSTITUTE(SUBSTITUTE(_xlfn.XLOOKUP(_xlfn.XLOOKUP(ResPMETable[[#This Row],[Rank]],RankTable[Abbr],RankTable[Code]),PMEMatrix[Grade],PMEMatrix[Res]), "Res", ""), "Crs", "Course"), "Sch", "School")</f>
        <v>EWS</v>
      </c>
      <c r="E63" s="558">
        <f>_xlfn.XLOOKUP(ResPMETable[[#This Row],[Name]],RecallTable[NAME], RecallTable[DOR],"NF")</f>
        <v>43608</v>
      </c>
      <c r="F63" s="263" t="str" cm="1">
        <f t="array" ref="F63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63" s="264" t="str" cm="1">
        <f t="array" ref="G63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/>
      </c>
      <c r="H63" s="234"/>
      <c r="I63" s="234"/>
      <c r="J63" s="286" t="str" cm="1">
        <f t="array" ref="J63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/>
      </c>
      <c r="K63" s="80"/>
    </row>
    <row r="64" spans="1:13">
      <c r="A64" s="238" t="str">
        <f>_xlfn.XLOOKUP(ResPMETable[[#This Row],[Name]],RecallTable[NAME],RecallTable[SECTION])</f>
        <v>OPS</v>
      </c>
      <c r="B64" s="96" t="str">
        <f>_xlfn.XLOOKUP(ResPMETable[[#This Row],[Name]],MOLTable[Name],MOLTable[Rank])</f>
        <v>1STLT</v>
      </c>
      <c r="C64" s="96" t="s">
        <v>1155</v>
      </c>
      <c r="D64" s="263" t="str">
        <f>SUBSTITUTE(SUBSTITUTE(SUBSTITUTE(_xlfn.XLOOKUP(_xlfn.XLOOKUP(ResPMETable[[#This Row],[Rank]],RankTable[Abbr],RankTable[Code]),PMEMatrix[Grade],PMEMatrix[Res]), "Res", ""), "Crs", "Course"), "Sch", "School")</f>
        <v/>
      </c>
      <c r="E64" s="558">
        <f>_xlfn.XLOOKUP(ResPMETable[[#This Row],[Name]],RecallTable[NAME], RecallTable[DOR],"NF")</f>
        <v>43630</v>
      </c>
      <c r="F64" s="263" t="str" cm="1">
        <f t="array" ref="F64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64" s="264" t="str" cm="1">
        <f t="array" ref="G64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/>
      </c>
      <c r="H64" s="234"/>
      <c r="I64" s="234"/>
      <c r="J64" s="286" t="str" cm="1">
        <f t="array" ref="J64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/>
      </c>
      <c r="K64" s="80"/>
    </row>
    <row r="65" spans="1:13">
      <c r="A65" s="238" t="str">
        <f>_xlfn.XLOOKUP(ResPMETable[[#This Row],[Name]],RecallTable[NAME],RecallTable[SECTION])</f>
        <v>OPS</v>
      </c>
      <c r="B65" s="96" t="str">
        <f>_xlfn.XLOOKUP(ResPMETable[[#This Row],[Name]],MOLTable[Name],MOLTable[Rank])</f>
        <v>1STSGT</v>
      </c>
      <c r="C65" s="96" t="s">
        <v>1156</v>
      </c>
      <c r="D65" s="263" t="str">
        <f>SUBSTITUTE(SUBSTITUTE(SUBSTITUTE(_xlfn.XLOOKUP(_xlfn.XLOOKUP(ResPMETable[[#This Row],[Rank]],RankTable[Abbr],RankTable[Code]),PMEMatrix[Grade],PMEMatrix[Res]), "Res", ""), "Crs", "Course"), "Sch", "School")</f>
        <v>E-8 Seminar</v>
      </c>
      <c r="E65" s="558">
        <f>_xlfn.XLOOKUP(ResPMETable[[#This Row],[Name]],RecallTable[NAME], RecallTable[DOR],"NF")</f>
        <v>43842</v>
      </c>
      <c r="F65" s="263" t="str" cm="1">
        <f t="array" ref="F65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65" s="264" t="str" cm="1">
        <f t="array" ref="G65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No</v>
      </c>
      <c r="H65" s="483">
        <v>45432</v>
      </c>
      <c r="I65" s="234"/>
      <c r="J65" s="286" t="str" cm="1">
        <f t="array" ref="J65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Required</v>
      </c>
      <c r="K65" s="80" t="s">
        <v>1059</v>
      </c>
      <c r="M65" s="45"/>
    </row>
    <row r="66" spans="1:13">
      <c r="A66" s="238" t="str">
        <f>_xlfn.XLOOKUP(ResPMETable[[#This Row],[Name]],RecallTable[NAME],RecallTable[SECTION])</f>
        <v>OPS</v>
      </c>
      <c r="B66" s="96" t="str">
        <f>_xlfn.XLOOKUP(ResPMETable[[#This Row],[Name]],MOLTable[Name],MOLTable[Rank])</f>
        <v>GYSGT</v>
      </c>
      <c r="C66" s="96" t="s">
        <v>1157</v>
      </c>
      <c r="D66" s="263" t="str">
        <f>SUBSTITUTE(SUBSTITUTE(SUBSTITUTE(_xlfn.XLOOKUP(_xlfn.XLOOKUP(ResPMETable[[#This Row],[Rank]],RankTable[Abbr],RankTable[Code]),PMEMatrix[Grade],PMEMatrix[Res]), "Res", ""), "Crs", "Course"), "Sch", "School")</f>
        <v xml:space="preserve">Advanced Course </v>
      </c>
      <c r="E66" s="558">
        <f>_xlfn.XLOOKUP(ResPMETable[[#This Row],[Name]],RecallTable[NAME], RecallTable[DOR],"NF")</f>
        <v>45251</v>
      </c>
      <c r="F66" s="263" t="str" cm="1">
        <f t="array" ref="F66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66" s="264" t="s">
        <v>799</v>
      </c>
      <c r="H66" s="234"/>
      <c r="I66" s="234"/>
      <c r="J66" s="286" t="s">
        <v>175</v>
      </c>
      <c r="K66" s="80" t="s">
        <v>1052</v>
      </c>
      <c r="M66" s="45"/>
    </row>
    <row r="67" spans="1:13">
      <c r="A67" s="238" t="str">
        <f>_xlfn.XLOOKUP(ResPMETable[[#This Row],[Name]],RecallTable[NAME],RecallTable[SECTION])</f>
        <v>OPS</v>
      </c>
      <c r="B67" s="96" t="str">
        <f>_xlfn.XLOOKUP(ResPMETable[[#This Row],[Name]],MOLTable[Name],MOLTable[Rank])</f>
        <v>SSGT</v>
      </c>
      <c r="C67" s="96" t="s">
        <v>1158</v>
      </c>
      <c r="D67" s="263" t="str">
        <f>SUBSTITUTE(SUBSTITUTE(SUBSTITUTE(_xlfn.XLOOKUP(_xlfn.XLOOKUP(ResPMETable[[#This Row],[Rank]],RankTable[Abbr],RankTable[Code]),PMEMatrix[Grade],PMEMatrix[Res]), "Res", ""), "Crs", "Course"), "Sch", "School")</f>
        <v xml:space="preserve">Career Course </v>
      </c>
      <c r="E67" s="558">
        <f>_xlfn.XLOOKUP(ResPMETable[[#This Row],[Name]],RecallTable[NAME], RecallTable[DOR],"NF")</f>
        <v>44118</v>
      </c>
      <c r="F67" s="263" t="str" cm="1">
        <f t="array" ref="F67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67" s="264" t="str" cm="1">
        <f t="array" ref="G67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67" s="234"/>
      <c r="I67" s="234" t="s">
        <v>16</v>
      </c>
      <c r="J67" s="286" t="str" cm="1">
        <f t="array" ref="J67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In Progress</v>
      </c>
      <c r="K67" s="80" t="s">
        <v>1060</v>
      </c>
      <c r="M67" s="477" t="str">
        <f>_xlfn.XLOOKUP(ResPMETable[[#This Row],[Name]], OutboundRoster[Name],OutboundRoster[Est Dep Date],"")</f>
        <v/>
      </c>
    </row>
    <row r="68" spans="1:13">
      <c r="A68" s="238" t="str">
        <f>_xlfn.XLOOKUP(ResPMETable[[#This Row],[Name]],RecallTable[NAME],RecallTable[SECTION])</f>
        <v>OPS</v>
      </c>
      <c r="B68" s="96" t="str">
        <f>_xlfn.XLOOKUP(ResPMETable[[#This Row],[Name]],MOLTable[Name],MOLTable[Rank])</f>
        <v>SSGT</v>
      </c>
      <c r="C68" s="96" t="s">
        <v>1159</v>
      </c>
      <c r="D68" s="263" t="str">
        <f>SUBSTITUTE(SUBSTITUTE(SUBSTITUTE(_xlfn.XLOOKUP(_xlfn.XLOOKUP(ResPMETable[[#This Row],[Rank]],RankTable[Abbr],RankTable[Code]),PMEMatrix[Grade],PMEMatrix[Res]), "Res", ""), "Crs", "Course"), "Sch", "School")</f>
        <v xml:space="preserve">Career Course </v>
      </c>
      <c r="E68" s="558">
        <f>_xlfn.XLOOKUP(ResPMETable[[#This Row],[Name]],RecallTable[NAME], RecallTable[DOR],"NF")</f>
        <v>44468</v>
      </c>
      <c r="F68" s="263" t="str" cm="1">
        <f t="array" ref="F68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68" s="264" t="str" cm="1">
        <f t="array" ref="G68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68" s="234"/>
      <c r="I68" s="234"/>
      <c r="J68" s="286" t="str" cm="1">
        <f t="array" ref="J68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In Progress</v>
      </c>
      <c r="K68" s="80"/>
      <c r="M68" s="477" t="str">
        <f>_xlfn.XLOOKUP(ResPMETable[[#This Row],[Name]], OutboundRoster[Name],OutboundRoster[Est Dep Date],"")</f>
        <v/>
      </c>
    </row>
    <row r="69" spans="1:13">
      <c r="A69" s="238" t="str">
        <f>_xlfn.XLOOKUP(ResPMETable[[#This Row],[Name]],RecallTable[NAME],RecallTable[SECTION])</f>
        <v>OPS</v>
      </c>
      <c r="B69" s="96" t="str">
        <f>_xlfn.XLOOKUP(ResPMETable[[#This Row],[Name]],MOLTable[Name],MOLTable[Rank])</f>
        <v>SGT</v>
      </c>
      <c r="C69" s="96" t="s">
        <v>1160</v>
      </c>
      <c r="D69" s="263" t="str">
        <f>SUBSTITUTE(SUBSTITUTE(SUBSTITUTE(_xlfn.XLOOKUP(_xlfn.XLOOKUP(ResPMETable[[#This Row],[Rank]],RankTable[Abbr],RankTable[Code]),PMEMatrix[Grade],PMEMatrix[Res]), "Res", ""), "Crs", "Course"), "Sch", "School")</f>
        <v xml:space="preserve">Sgt School </v>
      </c>
      <c r="E69" s="558">
        <f>_xlfn.XLOOKUP(ResPMETable[[#This Row],[Name]],RecallTable[NAME], RecallTable[DOR],"NF")</f>
        <v>43985</v>
      </c>
      <c r="F69" s="263" t="str" cm="1">
        <f t="array" ref="F69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69" s="264" t="str" cm="1">
        <f t="array" ref="G69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69" s="234"/>
      <c r="I69" s="234" t="s">
        <v>16</v>
      </c>
      <c r="J69" s="286" t="str" cm="1">
        <f t="array" ref="J69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Registered</v>
      </c>
      <c r="K69" s="80"/>
    </row>
    <row r="70" spans="1:13">
      <c r="A70" s="238" t="str">
        <f>_xlfn.XLOOKUP(ResPMETable[[#This Row],[Name]],RecallTable[NAME],RecallTable[SECTION])</f>
        <v>OPS</v>
      </c>
      <c r="B70" s="96" t="str">
        <f>_xlfn.XLOOKUP(ResPMETable[[#This Row],[Name]],MOLTable[Name],MOLTable[Rank])</f>
        <v>SGT</v>
      </c>
      <c r="C70" s="96" t="s">
        <v>1161</v>
      </c>
      <c r="D70" s="263" t="str">
        <f>SUBSTITUTE(SUBSTITUTE(SUBSTITUTE(_xlfn.XLOOKUP(_xlfn.XLOOKUP(ResPMETable[[#This Row],[Rank]],RankTable[Abbr],RankTable[Code]),PMEMatrix[Grade],PMEMatrix[Res]), "Res", ""), "Crs", "Course"), "Sch", "School")</f>
        <v xml:space="preserve">Sgt School </v>
      </c>
      <c r="E70" s="558">
        <f>_xlfn.XLOOKUP(ResPMETable[[#This Row],[Name]],RecallTable[NAME], RecallTable[DOR],"NF")</f>
        <v>44996</v>
      </c>
      <c r="F70" s="263" t="str" cm="1">
        <f t="array" ref="F70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70" s="264" t="str" cm="1">
        <f t="array" ref="G70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70" s="234"/>
      <c r="I70" s="234"/>
      <c r="J70" s="286" t="str" cm="1">
        <f t="array" ref="J70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In Progress</v>
      </c>
      <c r="K70" s="80"/>
      <c r="M70" s="477" t="str">
        <f>_xlfn.XLOOKUP(ResPMETable[[#This Row],[Name]], OutboundRoster[Name],OutboundRoster[Est Dep Date],"")</f>
        <v/>
      </c>
    </row>
    <row r="71" spans="1:13">
      <c r="A71" s="238" t="str">
        <f>_xlfn.XLOOKUP(ResPMETable[[#This Row],[Name]],RecallTable[NAME],RecallTable[SECTION])</f>
        <v>SOC</v>
      </c>
      <c r="B71" s="96" t="str">
        <f>_xlfn.XLOOKUP(ResPMETable[[#This Row],[Name]],MOLTable[Name],MOLTable[Rank])</f>
        <v>1STLT</v>
      </c>
      <c r="C71" s="96" t="s">
        <v>1162</v>
      </c>
      <c r="D71" s="263" t="str">
        <f>SUBSTITUTE(SUBSTITUTE(SUBSTITUTE(_xlfn.XLOOKUP(_xlfn.XLOOKUP(ResPMETable[[#This Row],[Rank]],RankTable[Abbr],RankTable[Code]),PMEMatrix[Grade],PMEMatrix[Res]), "Res", ""), "Crs", "Course"), "Sch", "School")</f>
        <v/>
      </c>
      <c r="E71" s="558">
        <f>_xlfn.XLOOKUP(ResPMETable[[#This Row],[Name]],RecallTable[NAME], RecallTable[DOR],"NF")</f>
        <v>44975</v>
      </c>
      <c r="F71" s="263" t="str" cm="1">
        <f t="array" ref="F71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71" s="264" t="str" cm="1">
        <f t="array" ref="G71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/>
      </c>
      <c r="H71" s="234"/>
      <c r="I71" s="234" t="s">
        <v>16</v>
      </c>
      <c r="J71" s="286" t="str" cm="1">
        <f t="array" ref="J71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/>
      </c>
      <c r="K71" s="80" t="s">
        <v>866</v>
      </c>
    </row>
    <row r="72" spans="1:13">
      <c r="A72" s="238" t="str">
        <f>_xlfn.XLOOKUP(ResPMETable[[#This Row],[Name]],RecallTable[NAME],RecallTable[SECTION])</f>
        <v>SOC</v>
      </c>
      <c r="B72" s="96" t="str">
        <f>_xlfn.XLOOKUP(ResPMETable[[#This Row],[Name]],MOLTable[Name],MOLTable[Rank])</f>
        <v>GYSGT</v>
      </c>
      <c r="C72" s="96" t="s">
        <v>1163</v>
      </c>
      <c r="D72" s="263" t="str">
        <f>SUBSTITUTE(SUBSTITUTE(SUBSTITUTE(_xlfn.XLOOKUP(_xlfn.XLOOKUP(ResPMETable[[#This Row],[Rank]],RankTable[Abbr],RankTable[Code]),PMEMatrix[Grade],PMEMatrix[Res]), "Res", ""), "Crs", "Course"), "Sch", "School")</f>
        <v xml:space="preserve">Advanced Course </v>
      </c>
      <c r="E72" s="558">
        <f>_xlfn.XLOOKUP(ResPMETable[[#This Row],[Name]],RecallTable[NAME], RecallTable[DOR],"NF")</f>
        <v>43467</v>
      </c>
      <c r="F72" s="263" t="str" cm="1">
        <f t="array" ref="F72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72" s="264" t="str" cm="1">
        <f t="array" ref="G72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72" s="234"/>
      <c r="I72" s="234" t="s">
        <v>16</v>
      </c>
      <c r="J72" s="286" t="str" cm="1">
        <f t="array" ref="J72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Required</v>
      </c>
      <c r="K72" s="80" t="s">
        <v>866</v>
      </c>
      <c r="M72" s="477" t="str">
        <f>_xlfn.XLOOKUP(ResPMETable[[#This Row],[Name]], OutboundRoster[Name],OutboundRoster[Est Dep Date],"")</f>
        <v/>
      </c>
    </row>
    <row r="73" spans="1:13">
      <c r="A73" s="238" t="str">
        <f>_xlfn.XLOOKUP(ResPMETable[[#This Row],[Name]],RecallTable[NAME],RecallTable[SECTION])</f>
        <v>SOC</v>
      </c>
      <c r="B73" s="96" t="str">
        <f>_xlfn.XLOOKUP(ResPMETable[[#This Row],[Name]],MOLTable[Name],MOLTable[Rank])</f>
        <v>SGT</v>
      </c>
      <c r="C73" s="96" t="s">
        <v>1164</v>
      </c>
      <c r="D73" s="263" t="str">
        <f>SUBSTITUTE(SUBSTITUTE(SUBSTITUTE(_xlfn.XLOOKUP(_xlfn.XLOOKUP(ResPMETable[[#This Row],[Rank]],RankTable[Abbr],RankTable[Code]),PMEMatrix[Grade],PMEMatrix[Res]), "Res", ""), "Crs", "Course"), "Sch", "School")</f>
        <v xml:space="preserve">Sgt School </v>
      </c>
      <c r="E73" s="558">
        <f>_xlfn.XLOOKUP(ResPMETable[[#This Row],[Name]],RecallTable[NAME], RecallTable[DOR],"NF")</f>
        <v>43502</v>
      </c>
      <c r="F73" s="263" t="str" cm="1">
        <f t="array" ref="F73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73" s="264" t="str" cm="1">
        <f t="array" ref="G73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73" s="234"/>
      <c r="I73" s="234"/>
      <c r="J73" s="286" t="str" cm="1">
        <f t="array" ref="J73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73" s="80"/>
      <c r="M73" s="477" t="str">
        <f>_xlfn.XLOOKUP(ResPMETable[[#This Row],[Name]], OutboundRoster[Name],OutboundRoster[Est Dep Date],"")</f>
        <v/>
      </c>
    </row>
    <row r="74" spans="1:13">
      <c r="A74" s="238" t="str">
        <f>_xlfn.XLOOKUP(ResPMETable[[#This Row],[Name]],RecallTable[NAME],RecallTable[SECTION])</f>
        <v>SOC</v>
      </c>
      <c r="B74" s="96" t="str">
        <f>_xlfn.XLOOKUP(ResPMETable[[#This Row],[Name]],MOLTable[Name],MOLTable[Rank])</f>
        <v>CPL</v>
      </c>
      <c r="C74" s="96" t="s">
        <v>1165</v>
      </c>
      <c r="D74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74" s="558">
        <f>_xlfn.XLOOKUP(ResPMETable[[#This Row],[Name]],RecallTable[NAME], RecallTable[DOR],"NF")</f>
        <v>45079</v>
      </c>
      <c r="F74" s="263" t="str" cm="1">
        <f t="array" ref="F74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74" s="264" t="str" cm="1">
        <f t="array" ref="G74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74" s="234"/>
      <c r="I74" s="234"/>
      <c r="J74" s="286" t="str" cm="1">
        <f t="array" ref="J74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74" s="80"/>
    </row>
    <row r="75" spans="1:13">
      <c r="A75" s="238" t="str">
        <f>_xlfn.XLOOKUP(ResPMETable[[#This Row],[Name]],RecallTable[NAME],RecallTable[SECTION])</f>
        <v>SOC</v>
      </c>
      <c r="B75" s="96" t="str">
        <f>_xlfn.XLOOKUP(ResPMETable[[#This Row],[Name]],MOLTable[Name],MOLTable[Rank])</f>
        <v>LCPL</v>
      </c>
      <c r="C75" s="96" t="s">
        <v>1166</v>
      </c>
      <c r="D75" s="263" t="str">
        <f>SUBSTITUTE(SUBSTITUTE(SUBSTITUTE(_xlfn.XLOOKUP(_xlfn.XLOOKUP(ResPMETable[[#This Row],[Rank]],RankTable[Abbr],RankTable[Code]),PMEMatrix[Grade],PMEMatrix[Res]), "Res", ""), "Crs", "Course"), "Sch", "School")</f>
        <v>LCpl Seminar</v>
      </c>
      <c r="E75" s="558">
        <f>_xlfn.XLOOKUP(ResPMETable[[#This Row],[Name]],RecallTable[NAME], RecallTable[DOR],"NF")</f>
        <v>44170</v>
      </c>
      <c r="F75" s="263" t="str" cm="1">
        <f t="array" ref="F75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75" s="264" t="str" cm="1">
        <f t="array" ref="G75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75" s="234"/>
      <c r="I75" s="234"/>
      <c r="J75" s="286" t="str" cm="1">
        <f t="array" ref="J75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75" s="80"/>
    </row>
    <row r="76" spans="1:13">
      <c r="A76" s="238" t="str">
        <f>_xlfn.XLOOKUP(ResPMETable[[#This Row],[Name]],RecallTable[NAME],RecallTable[SECTION])</f>
        <v>SOC</v>
      </c>
      <c r="B76" s="96" t="str">
        <f>_xlfn.XLOOKUP(ResPMETable[[#This Row],[Name]],MOLTable[Name],MOLTable[Rank])</f>
        <v>LCPL</v>
      </c>
      <c r="C76" s="96" t="s">
        <v>1167</v>
      </c>
      <c r="D76" s="263" t="str">
        <f>SUBSTITUTE(SUBSTITUTE(SUBSTITUTE(_xlfn.XLOOKUP(_xlfn.XLOOKUP(ResPMETable[[#This Row],[Rank]],RankTable[Abbr],RankTable[Code]),PMEMatrix[Grade],PMEMatrix[Res]), "Res", ""), "Crs", "Course"), "Sch", "School")</f>
        <v>LCpl Seminar</v>
      </c>
      <c r="E76" s="558">
        <f>_xlfn.XLOOKUP(ResPMETable[[#This Row],[Name]],RecallTable[NAME], RecallTable[DOR],"NF")</f>
        <v>43676</v>
      </c>
      <c r="F76" s="263" t="str" cm="1">
        <f t="array" ref="F76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76" s="264" t="str" cm="1">
        <f t="array" ref="G76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76" s="234"/>
      <c r="I76" s="234"/>
      <c r="J76" s="286" t="str" cm="1">
        <f t="array" ref="J76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76" s="80"/>
    </row>
    <row r="77" spans="1:13">
      <c r="A77" s="238" t="str">
        <f>_xlfn.XLOOKUP(ResPMETable[[#This Row],[Name]],RecallTable[NAME],RecallTable[SECTION])</f>
        <v>HQ</v>
      </c>
      <c r="B77" s="96" t="str">
        <f>_xlfn.XLOOKUP(ResPMETable[[#This Row],[Name]],MOLTable[Name],MOLTable[Rank])</f>
        <v>MAJ</v>
      </c>
      <c r="C77" s="96" t="s">
        <v>1168</v>
      </c>
      <c r="D77" s="263" t="str">
        <f>SUBSTITUTE(SUBSTITUTE(SUBSTITUTE(_xlfn.XLOOKUP(_xlfn.XLOOKUP(ResPMETable[[#This Row],[Rank]],RankTable[Abbr],RankTable[Code]),PMEMatrix[Grade],PMEMatrix[Res]), "Res", ""), "Crs", "Course"), "Sch", "School")</f>
        <v>CSC</v>
      </c>
      <c r="E77" s="558">
        <f>_xlfn.XLOOKUP(ResPMETable[[#This Row],[Name]],RecallTable[NAME], RecallTable[DOR],"NF")</f>
        <v>44607</v>
      </c>
      <c r="F77" s="263" t="str" cm="1">
        <f t="array" ref="F77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77" s="264" t="str" cm="1">
        <f t="array" ref="G77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/>
      </c>
      <c r="H77" s="234"/>
      <c r="I77" s="234"/>
      <c r="J77" s="286" t="str" cm="1">
        <f t="array" ref="J77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/>
      </c>
      <c r="K77" s="80"/>
    </row>
    <row r="78" spans="1:13">
      <c r="A78" s="238" t="str">
        <f>_xlfn.XLOOKUP(ResPMETable[[#This Row],[Name]],RecallTable[NAME],RecallTable[SECTION])</f>
        <v>HQ</v>
      </c>
      <c r="B78" s="96" t="str">
        <f>_xlfn.XLOOKUP(ResPMETable[[#This Row],[Name]],MOLTable[Name],MOLTable[Rank])</f>
        <v>1STLT</v>
      </c>
      <c r="C78" s="96" t="s">
        <v>1169</v>
      </c>
      <c r="D78" s="263" t="str">
        <f>SUBSTITUTE(SUBSTITUTE(SUBSTITUTE(_xlfn.XLOOKUP(_xlfn.XLOOKUP(ResPMETable[[#This Row],[Rank]],RankTable[Abbr],RankTable[Code]),PMEMatrix[Grade],PMEMatrix[Res]), "Res", ""), "Crs", "Course"), "Sch", "School")</f>
        <v/>
      </c>
      <c r="E78" s="558">
        <f>_xlfn.XLOOKUP(ResPMETable[[#This Row],[Name]],RecallTable[NAME], RecallTable[DOR],"NF")</f>
        <v>43643</v>
      </c>
      <c r="F78" s="263" t="str" cm="1">
        <f t="array" ref="F78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78" s="264" t="str" cm="1">
        <f t="array" ref="G78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/>
      </c>
      <c r="H78" s="234"/>
      <c r="I78" s="234"/>
      <c r="J78" s="286" t="str" cm="1">
        <f t="array" ref="J78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/>
      </c>
      <c r="K78" s="80" t="s">
        <v>1061</v>
      </c>
    </row>
    <row r="79" spans="1:13">
      <c r="A79" s="238" t="str">
        <f>_xlfn.XLOOKUP(ResPMETable[[#This Row],[Name]],RecallTable[NAME],RecallTable[SECTION])</f>
        <v>HQ</v>
      </c>
      <c r="B79" s="96" t="str">
        <f>_xlfn.XLOOKUP(ResPMETable[[#This Row],[Name]],MOLTable[Name],MOLTable[Rank])</f>
        <v>1STSGT</v>
      </c>
      <c r="C79" s="96" t="s">
        <v>1170</v>
      </c>
      <c r="D79" s="263" t="str">
        <f>SUBSTITUTE(SUBSTITUTE(SUBSTITUTE(_xlfn.XLOOKUP(_xlfn.XLOOKUP(ResPMETable[[#This Row],[Rank]],RankTable[Abbr],RankTable[Code]),PMEMatrix[Grade],PMEMatrix[Res]), "Res", ""), "Crs", "Course"), "Sch", "School")</f>
        <v>E-8 Seminar</v>
      </c>
      <c r="E79" s="558">
        <f>_xlfn.XLOOKUP(ResPMETable[[#This Row],[Name]],RecallTable[NAME], RecallTable[DOR],"NF")</f>
        <v>43846</v>
      </c>
      <c r="F79" s="263" t="s">
        <v>799</v>
      </c>
      <c r="G79" s="264" t="str" cm="1">
        <f t="array" ref="G79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79" s="234"/>
      <c r="I79" s="234" t="s">
        <v>16</v>
      </c>
      <c r="J79" s="286" t="str" cm="1">
        <f t="array" ref="J79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79" s="80"/>
    </row>
    <row r="80" spans="1:13">
      <c r="A80" s="238" t="str">
        <f>_xlfn.XLOOKUP(ResPMETable[[#This Row],[Name]],RecallTable[NAME],RecallTable[SECTION])</f>
        <v>HQ</v>
      </c>
      <c r="B80" s="96" t="str">
        <f>_xlfn.XLOOKUP(ResPMETable[[#This Row],[Name]],MOLTable[Name],MOLTable[Rank])</f>
        <v>SSGT</v>
      </c>
      <c r="C80" s="96" t="s">
        <v>1171</v>
      </c>
      <c r="D80" s="263" t="str">
        <f>SUBSTITUTE(SUBSTITUTE(SUBSTITUTE(_xlfn.XLOOKUP(_xlfn.XLOOKUP(ResPMETable[[#This Row],[Rank]],RankTable[Abbr],RankTable[Code]),PMEMatrix[Grade],PMEMatrix[Res]), "Res", ""), "Crs", "Course"), "Sch", "School")</f>
        <v xml:space="preserve">Career Course </v>
      </c>
      <c r="E80" s="558">
        <f>_xlfn.XLOOKUP(ResPMETable[[#This Row],[Name]],RecallTable[NAME], RecallTable[DOR],"NF")</f>
        <v>44987</v>
      </c>
      <c r="F80" s="263" t="str" cm="1">
        <f t="array" ref="F80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/>
      </c>
      <c r="G80" s="264" t="str" cm="1">
        <f t="array" ref="G80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80" s="234"/>
      <c r="I80" s="234"/>
      <c r="J80" s="286" t="str" cm="1">
        <f t="array" ref="J80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Registered</v>
      </c>
      <c r="K80" s="80" t="s">
        <v>1062</v>
      </c>
    </row>
    <row r="81" spans="1:13">
      <c r="A81" s="238" t="str">
        <f>_xlfn.XLOOKUP(ResPMETable[[#This Row],[Name]],RecallTable[NAME],RecallTable[SECTION])</f>
        <v>HQ</v>
      </c>
      <c r="B81" s="96" t="str">
        <f>_xlfn.XLOOKUP(ResPMETable[[#This Row],[Name]],MOLTable[Name],MOLTable[Rank])</f>
        <v>CPL</v>
      </c>
      <c r="C81" s="96" t="s">
        <v>1172</v>
      </c>
      <c r="D81" s="263" t="str">
        <f>SUBSTITUTE(SUBSTITUTE(SUBSTITUTE(_xlfn.XLOOKUP(_xlfn.XLOOKUP(ResPMETable[[#This Row],[Rank]],RankTable[Abbr],RankTable[Code]),PMEMatrix[Grade],PMEMatrix[Res]), "Res", ""), "Crs", "Course"), "Sch", "School")</f>
        <v xml:space="preserve">Cpls Course </v>
      </c>
      <c r="E81" s="558">
        <f>_xlfn.XLOOKUP(ResPMETable[[#This Row],[Name]],RecallTable[NAME], RecallTable[DOR],"NF")</f>
        <v>44822</v>
      </c>
      <c r="F81" s="263" t="str" cm="1">
        <f t="array" ref="F81">IF(OR(COUNTIF(ResPMETable[[#This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PMEMatrix[Grade],PMEMatrix[Res]),WholeMarineTrainingTable[#Headers],WholeMarineTrainingTable[#Data]))="Completed", "Yes", ""))</f>
        <v>Yes</v>
      </c>
      <c r="G81" s="264" t="str" cm="1">
        <f t="array" ref="G81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PMEMatrix[Grade],PMEMatrix[Dist]),WholeMarineTrainingTable[#Headers],WholeMarineTrainingTable[#Data]))="Completed", "Yes", "No"))</f>
        <v>Yes</v>
      </c>
      <c r="H81" s="234"/>
      <c r="I81" s="234" t="s">
        <v>16</v>
      </c>
      <c r="J81" s="286" t="str" cm="1">
        <f t="array" ref="J81">IF(OR(COUNTIF(ResPMETable[[#This Row],[Rank]],"*WO*"),COUNTIF(ResPMETable[[#This Row],[Rank]],"*LT*"),COUNTIF(ResPMETable[[#This Row],[Rank]],"*CAPT*"),COUNTIF(ResPMETable[[#This Row],[Rank]],"*MAJ")),"",IF(_xlfn.XLOOKUP(ResPMETable[[#This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PMEMatrix[Grade],PMEMatrix[Res]),WholeMarineTrainingTable[#Headers],WholeMarineTrainingTable[#Data]))="", "No", IF(_xlfn.XLOOKUP(ResPMETable[[#This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PMEMatrix[Grade],PMEMatrix[Res]),WholeMarineTrainingTable[#Headers],WholeMarineTrainingTable[#Data]))="Required", "Required",_xlfn.XLOOKUP(ResPMETable[[#This Row],[Name]],WholeMarineTrainingTable[Name], _xlfn.XLOOKUP(_xlfn.XLOOKUP(_xlfn.XLOOKUP(ResPMETable[[#This Row],[Rank]],RankTable[Abbr],RankTable[Code]), PMEMatrix[Grade],PMEMatrix[Res]),WholeMarineTrainingTable[#Headers],WholeMarineTrainingTable[#Data])))))</f>
        <v>Completed</v>
      </c>
      <c r="K81" s="80" t="s">
        <v>1051</v>
      </c>
      <c r="M81" s="477" t="str">
        <f>_xlfn.XLOOKUP(ResPMETable[[#This Row],[Name]], OutboundRoster[Name],OutboundRoster[Est Dep Date],"")</f>
        <v/>
      </c>
    </row>
    <row r="82" spans="1:13">
      <c r="A82" s="236"/>
      <c r="B82" s="106"/>
      <c r="C82" s="106"/>
      <c r="D82" s="235"/>
      <c r="E82" s="235"/>
      <c r="F82" s="235"/>
      <c r="G82" s="106"/>
      <c r="H82" s="233"/>
      <c r="I82" s="106"/>
      <c r="J82" s="106"/>
      <c r="K82" s="106"/>
    </row>
    <row r="83" spans="1:13">
      <c r="A83" s="236"/>
      <c r="B83" s="106"/>
      <c r="C83" s="106"/>
      <c r="D83" s="235"/>
      <c r="E83" s="235"/>
      <c r="F83" s="235"/>
      <c r="G83" s="106"/>
    </row>
    <row r="84" spans="1:13">
      <c r="A84" s="236"/>
      <c r="B84" s="106"/>
      <c r="C84" s="106"/>
      <c r="D84" s="235"/>
      <c r="E84" s="235"/>
      <c r="F84" s="235"/>
      <c r="G84" s="106"/>
    </row>
    <row r="85" spans="1:13">
      <c r="A85" s="236"/>
      <c r="B85" s="106"/>
      <c r="C85" s="106"/>
      <c r="D85" s="235"/>
      <c r="E85" s="235"/>
      <c r="F85" s="235"/>
      <c r="G85" s="106"/>
    </row>
    <row r="86" spans="1:13"/>
    <row r="87" spans="1:13"/>
    <row r="88" spans="1:13">
      <c r="H88" s="267" t="s">
        <v>1063</v>
      </c>
      <c r="I88" s="106"/>
      <c r="J88" s="106"/>
      <c r="K88" s="106"/>
    </row>
    <row r="89" spans="1:13">
      <c r="H89" s="267"/>
      <c r="I89" s="106"/>
      <c r="J89" s="106"/>
      <c r="K89" s="106"/>
    </row>
    <row r="90" spans="1:13">
      <c r="H90" s="267"/>
      <c r="I90" s="106"/>
      <c r="J90" s="106"/>
      <c r="K90" s="106"/>
    </row>
    <row r="91" spans="1:13">
      <c r="H91" s="267"/>
      <c r="I91" s="106"/>
      <c r="J91" s="106"/>
      <c r="K91" s="106"/>
    </row>
    <row r="92" spans="1:13">
      <c r="H92" s="267"/>
      <c r="I92" s="106"/>
      <c r="J92" s="106"/>
      <c r="K92" s="106"/>
    </row>
    <row r="93" spans="1:13">
      <c r="H93" s="267"/>
      <c r="I93" s="106"/>
      <c r="J93" s="106"/>
      <c r="K93" s="106"/>
    </row>
    <row r="94" spans="1:13">
      <c r="H94" s="267" t="s">
        <v>1064</v>
      </c>
      <c r="I94" s="106"/>
      <c r="J94" s="106"/>
      <c r="K94" s="106"/>
    </row>
    <row r="95" spans="1:13">
      <c r="H95" s="267"/>
      <c r="I95" s="106"/>
      <c r="J95" s="106"/>
      <c r="K95" s="106"/>
    </row>
    <row r="96" spans="1:13">
      <c r="H96" s="267"/>
      <c r="I96" s="106"/>
      <c r="J96" s="106"/>
      <c r="K96" s="106"/>
    </row>
    <row r="97" spans="8:8">
      <c r="H97" s="267"/>
    </row>
    <row r="98" spans="8:8">
      <c r="H98" s="267"/>
    </row>
    <row r="99" spans="8:8">
      <c r="H99" s="267"/>
    </row>
    <row r="100" spans="8:8">
      <c r="H100" s="267"/>
    </row>
    <row r="101" spans="8:8">
      <c r="H101" s="267" t="s">
        <v>1065</v>
      </c>
    </row>
    <row r="102" spans="8:8"/>
    <row r="103" spans="8:8"/>
    <row r="104" spans="8:8"/>
    <row r="105" spans="8:8"/>
    <row r="106" spans="8:8"/>
    <row r="107" spans="8:8"/>
    <row r="108" spans="8:8"/>
    <row r="109" spans="8:8"/>
    <row r="110" spans="8:8"/>
    <row r="111" spans="8:8"/>
    <row r="112" spans="8:8"/>
    <row r="113" spans="13:13"/>
    <row r="114" spans="13:13">
      <c r="M114" s="45"/>
    </row>
    <row r="115" spans="13:13">
      <c r="M115" s="45"/>
    </row>
    <row r="116" spans="13:13">
      <c r="M116" s="45"/>
    </row>
    <row r="117" spans="13:13"/>
    <row r="118" spans="13:13"/>
    <row r="119" spans="13:13"/>
    <row r="120" spans="13:13"/>
    <row r="121" spans="13:13"/>
    <row r="122" spans="13:13"/>
    <row r="123" spans="13:13"/>
    <row r="124" spans="13:13"/>
    <row r="125" spans="13:13"/>
    <row r="126" spans="13:13"/>
    <row r="127" spans="13:13"/>
    <row r="128" spans="13:13"/>
    <row r="129"/>
    <row r="130"/>
  </sheetData>
  <mergeCells count="1">
    <mergeCell ref="A1:K1"/>
  </mergeCells>
  <conditionalFormatting sqref="F3:J82">
    <cfRule type="cellIs" dxfId="21" priority="13" operator="equal">
      <formula>"Required"</formula>
    </cfRule>
  </conditionalFormatting>
  <conditionalFormatting sqref="I3:J81">
    <cfRule type="containsBlanks" dxfId="20" priority="5">
      <formula>LEN(TRIM(I3))=0</formula>
    </cfRule>
  </conditionalFormatting>
  <conditionalFormatting sqref="F3:J82">
    <cfRule type="cellIs" dxfId="19" priority="3" operator="equal">
      <formula>"Registered"</formula>
    </cfRule>
    <cfRule type="cellIs" dxfId="18" priority="4" operator="equal">
      <formula>"Completed"</formula>
    </cfRule>
    <cfRule type="cellIs" dxfId="17" priority="6" operator="equal">
      <formula>"In Progress"</formula>
    </cfRule>
  </conditionalFormatting>
  <conditionalFormatting sqref="G1:G1048576">
    <cfRule type="containsText" dxfId="16" priority="1" operator="containsText" text="Yes">
      <formula>NOT(ISERROR(SEARCH("Yes",G1)))</formula>
    </cfRule>
  </conditionalFormatting>
  <dataValidations count="2">
    <dataValidation type="list" allowBlank="1" showInputMessage="1" showErrorMessage="1" sqref="I3:I81" xr:uid="{A1214A7D-A15F-41A7-B529-943ED0DCDAE3}">
      <formula1>"Yes, No, N/A"</formula1>
    </dataValidation>
    <dataValidation allowBlank="1" showInputMessage="1" showErrorMessage="1" sqref="J3:J81 D3:G81" xr:uid="{017A511E-265C-410E-9C50-8149795B182B}"/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C6535F0D-E177-4E3E-94DA-5F1DA1C3091F}">
            <xm:f>NOT(ISERROR(SEARCH("No",G1)))</xm:f>
            <xm:f>"No"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G1:G1048576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5a32a7-7525-4804-a80b-e03a3c92b833">
      <Terms xmlns="http://schemas.microsoft.com/office/infopath/2007/PartnerControls"/>
    </lcf76f155ced4ddcb4097134ff3c332f>
    <TaxCatchAll xmlns="ff69894f-adc5-4c70-aac2-1480f523dbf9" xsi:nil="true"/>
    <_ip_UnifiedCompliancePolicyUIAction xmlns="http://schemas.microsoft.com/sharepoint/v3" xsi:nil="true"/>
    <_ip_UnifiedCompliancePolicyProperties xmlns="http://schemas.microsoft.com/sharepoint/v3" xsi:nil="true"/>
    <SharedWithUsers xmlns="ff69894f-adc5-4c70-aac2-1480f523dbf9">
      <UserInfo>
        <DisplayName>Geiselman 2ndLt Coby J</DisplayName>
        <AccountId>218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2241E7EA2A4BB2A61C2AB9F0DF94" ma:contentTypeVersion="18" ma:contentTypeDescription="Create a new document." ma:contentTypeScope="" ma:versionID="d9e3f6e4444d061f200984be34f30f12">
  <xsd:schema xmlns:xsd="http://www.w3.org/2001/XMLSchema" xmlns:xs="http://www.w3.org/2001/XMLSchema" xmlns:p="http://schemas.microsoft.com/office/2006/metadata/properties" xmlns:ns1="http://schemas.microsoft.com/sharepoint/v3" xmlns:ns2="355a32a7-7525-4804-a80b-e03a3c92b833" xmlns:ns3="ff69894f-adc5-4c70-aac2-1480f523dbf9" targetNamespace="http://schemas.microsoft.com/office/2006/metadata/properties" ma:root="true" ma:fieldsID="619f8c50d38700a7a2ce1a4176a01514" ns1:_="" ns2:_="" ns3:_="">
    <xsd:import namespace="http://schemas.microsoft.com/sharepoint/v3"/>
    <xsd:import namespace="355a32a7-7525-4804-a80b-e03a3c92b833"/>
    <xsd:import namespace="ff69894f-adc5-4c70-aac2-1480f523db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a32a7-7525-4804-a80b-e03a3c92b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c7be36e-9551-4638-a550-39ad874449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69894f-adc5-4c70-aac2-1480f523dbf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2cd7af0-1429-480c-8868-9b185414e0da}" ma:internalName="TaxCatchAll" ma:showField="CatchAllData" ma:web="ff69894f-adc5-4c70-aac2-1480f523db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C1344F0F-1704-4113-84ED-BB51C2CD900A}">
  <ds:schemaRefs>
    <ds:schemaRef ds:uri="http://schemas.microsoft.com/office/2006/metadata/properties"/>
    <ds:schemaRef ds:uri="http://schemas.microsoft.com/office/infopath/2007/PartnerControls"/>
    <ds:schemaRef ds:uri="355a32a7-7525-4804-a80b-e03a3c92b833"/>
    <ds:schemaRef ds:uri="ff69894f-adc5-4c70-aac2-1480f523dbf9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0664F0B-FA81-4EEE-9ADD-D8B3408B68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596EAE-5213-45CC-A467-B77F6B2E54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55a32a7-7525-4804-a80b-e03a3c92b833"/>
    <ds:schemaRef ds:uri="ff69894f-adc5-4c70-aac2-1480f523d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32EAF85-D689-430D-8EC1-81ED200D98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Change Tracker</vt:lpstr>
      <vt:lpstr>Billets</vt:lpstr>
      <vt:lpstr>Summaries</vt:lpstr>
      <vt:lpstr>Bn Level Brief Info</vt:lpstr>
      <vt:lpstr>Awards</vt:lpstr>
      <vt:lpstr>Inbound</vt:lpstr>
      <vt:lpstr>Outbound</vt:lpstr>
      <vt:lpstr>Med Appts</vt:lpstr>
      <vt:lpstr>PERSTAT</vt:lpstr>
      <vt:lpstr>Duty Status</vt:lpstr>
      <vt:lpstr>Recall Roster</vt:lpstr>
      <vt:lpstr>Whole Marine</vt:lpstr>
      <vt:lpstr>Hitlist</vt:lpstr>
      <vt:lpstr>Event_Roster_Example</vt:lpstr>
      <vt:lpstr>Resident PME</vt:lpstr>
    </vt:vector>
  </TitlesOfParts>
  <Manager/>
  <Company>USMC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Benson SSgt Daniel R</dc:creator>
  <cp:keywords/>
  <dc:description/>
  <cp:lastModifiedBy>Barton Capt Garrett T</cp:lastModifiedBy>
  <cp:revision/>
  <dcterms:created xsi:type="dcterms:W3CDTF">2019-07-17T13:20:48Z</dcterms:created>
  <dcterms:modified xsi:type="dcterms:W3CDTF">2024-04-16T14:37:34Z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0x01010012DD2241E7EA2A4BB2A61C2AB9F0DF94</vt:lpwstr>
  </property>
  <property fmtid="{D5CDD505-2E9C-101B-9397-08002B2CF9AE}" pid="3" name="MediaServiceImageTags">
    <vt:lpwstr/>
  </property>
</Properties>
</file>