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-my.sharepoint-mil.us/personal/garrett_t_barton_usmc_mil/Documents/Backups/XO/Master Tracker Bundle/Sanitized/"/>
    </mc:Choice>
  </mc:AlternateContent>
  <xr:revisionPtr revIDLastSave="62" documentId="8_{1DF7BB33-6F05-4EA4-ABA4-2DC77F5C3D99}" xr6:coauthVersionLast="47" xr6:coauthVersionMax="47" xr10:uidLastSave="{80B4CE3A-26D5-40F1-81B1-566695B7B626}"/>
  <bookViews>
    <workbookView xWindow="-120" yWindow="90" windowWidth="29040" windowHeight="15510" activeTab="1" xr2:uid="{00000000-000D-0000-FFFF-FFFF00000000}"/>
  </bookViews>
  <sheets>
    <sheet name="Summary" sheetId="4" r:id="rId1"/>
    <sheet name="HItlist" sheetId="2" r:id="rId2"/>
    <sheet name="MCTIMS Unit" sheetId="13" r:id="rId3"/>
    <sheet name="FY23 S3 Close Out" sheetId="9" state="hidden" r:id="rId4"/>
    <sheet name="PFT and HtWt" sheetId="17" r:id="rId5"/>
    <sheet name="CFT and HW" sheetId="14" state="hidden" r:id="rId6"/>
    <sheet name="CY MCTIMS Pull" sheetId="7" r:id="rId7"/>
    <sheet name="FY MCTIMS Pull" sheetId="8" r:id="rId8"/>
    <sheet name="Misc MCTIMS Pull" sheetId="12" r:id="rId9"/>
    <sheet name="CFT MCTIMS Pull" sheetId="6" r:id="rId10"/>
    <sheet name="PFT MCTIMS Pull" sheetId="3" r:id="rId11"/>
    <sheet name="Driver's Awareness" sheetId="11" r:id="rId12"/>
  </sheets>
  <externalReferences>
    <externalReference r:id="rId13"/>
  </externalReferences>
  <definedNames>
    <definedName name="_xlnm._FilterDatabase" localSheetId="1" hidden="1">HItlist!$A$2:$AB$81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E5" i="2"/>
  <c r="F5" i="2" a="1"/>
  <c r="F5" i="2" s="1"/>
  <c r="G5" i="2" a="1"/>
  <c r="G5" i="2" s="1"/>
  <c r="H5" i="2" a="1"/>
  <c r="H5" i="2"/>
  <c r="I5" i="2"/>
  <c r="J5" i="2" a="1"/>
  <c r="J5" i="2"/>
  <c r="K5" i="2"/>
  <c r="L5" i="2"/>
  <c r="M5" i="2" a="1"/>
  <c r="M5" i="2" s="1"/>
  <c r="N5" i="2" a="1"/>
  <c r="N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E68" i="2"/>
  <c r="F68" i="2" a="1"/>
  <c r="F68" i="2" s="1"/>
  <c r="G68" i="2" a="1"/>
  <c r="G68" i="2" s="1"/>
  <c r="H68" i="2" a="1"/>
  <c r="H68" i="2" s="1"/>
  <c r="I68" i="2"/>
  <c r="J68" i="2" a="1"/>
  <c r="J68" i="2" s="1"/>
  <c r="K68" i="2"/>
  <c r="L68" i="2"/>
  <c r="M68" i="2" a="1"/>
  <c r="M68" i="2" s="1"/>
  <c r="N68" i="2" a="1"/>
  <c r="N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U5" i="2" a="1"/>
  <c r="U5" i="2" s="1"/>
  <c r="V5" i="2" a="1"/>
  <c r="V5" i="2" s="1"/>
  <c r="X5" i="2" a="1"/>
  <c r="X5" i="2" s="1"/>
  <c r="Y5" i="2" a="1"/>
  <c r="Y5" i="2"/>
  <c r="Z5" i="2" a="1"/>
  <c r="Z5" i="2" s="1"/>
  <c r="AA5" i="2" a="1"/>
  <c r="AA5" i="2" s="1"/>
  <c r="U68" i="2" a="1"/>
  <c r="U68" i="2" s="1"/>
  <c r="V68" i="2" a="1"/>
  <c r="V68" i="2" s="1"/>
  <c r="X68" i="2" a="1"/>
  <c r="X68" i="2" s="1"/>
  <c r="Y68" i="2" a="1"/>
  <c r="Y68" i="2" s="1"/>
  <c r="Z68" i="2" a="1"/>
  <c r="Z68" i="2"/>
  <c r="AA68" i="2" a="1"/>
  <c r="AA68" i="2" s="1"/>
  <c r="Z78" i="2" a="1"/>
  <c r="Z78" i="2" s="1"/>
  <c r="Z81" i="2" a="1"/>
  <c r="Z81" i="2" s="1"/>
  <c r="B4" i="17"/>
  <c r="C4" i="17"/>
  <c r="D4" i="17"/>
  <c r="E4" i="17"/>
  <c r="B5" i="17"/>
  <c r="C5" i="17"/>
  <c r="D5" i="17"/>
  <c r="E5" i="17"/>
  <c r="B6" i="17"/>
  <c r="C6" i="17"/>
  <c r="D6" i="17"/>
  <c r="E6" i="17"/>
  <c r="B7" i="17"/>
  <c r="C7" i="17"/>
  <c r="D7" i="17"/>
  <c r="E7" i="17"/>
  <c r="B8" i="17"/>
  <c r="C8" i="17"/>
  <c r="D8" i="17"/>
  <c r="E8" i="17"/>
  <c r="B9" i="17"/>
  <c r="C9" i="17"/>
  <c r="D9" i="17"/>
  <c r="E9" i="17"/>
  <c r="B10" i="17"/>
  <c r="C10" i="17"/>
  <c r="D10" i="17"/>
  <c r="E10" i="17"/>
  <c r="B11" i="17"/>
  <c r="C11" i="17"/>
  <c r="D11" i="17"/>
  <c r="E11" i="17"/>
  <c r="B12" i="17"/>
  <c r="C12" i="17"/>
  <c r="D12" i="17"/>
  <c r="E12" i="17"/>
  <c r="B13" i="17"/>
  <c r="C13" i="17"/>
  <c r="D13" i="17"/>
  <c r="E13" i="17"/>
  <c r="B14" i="17"/>
  <c r="C14" i="17"/>
  <c r="D14" i="17"/>
  <c r="E14" i="17"/>
  <c r="B15" i="17"/>
  <c r="C15" i="17"/>
  <c r="D15" i="17"/>
  <c r="E15" i="17"/>
  <c r="B16" i="17"/>
  <c r="C16" i="17"/>
  <c r="D16" i="17"/>
  <c r="E16" i="17"/>
  <c r="B17" i="17"/>
  <c r="C17" i="17"/>
  <c r="D17" i="17"/>
  <c r="E17" i="17"/>
  <c r="B18" i="17"/>
  <c r="C18" i="17"/>
  <c r="D18" i="17"/>
  <c r="E18" i="17"/>
  <c r="B19" i="17"/>
  <c r="C19" i="17"/>
  <c r="D19" i="17"/>
  <c r="E19" i="17"/>
  <c r="B20" i="17"/>
  <c r="C20" i="17"/>
  <c r="D20" i="17"/>
  <c r="E20" i="17"/>
  <c r="B21" i="17"/>
  <c r="C21" i="17"/>
  <c r="D21" i="17"/>
  <c r="E21" i="17"/>
  <c r="B22" i="17"/>
  <c r="C22" i="17"/>
  <c r="D22" i="17"/>
  <c r="E22" i="17"/>
  <c r="B23" i="17"/>
  <c r="C23" i="17"/>
  <c r="D23" i="17"/>
  <c r="E23" i="17"/>
  <c r="B24" i="17"/>
  <c r="C24" i="17"/>
  <c r="D24" i="17"/>
  <c r="E24" i="17"/>
  <c r="B25" i="17"/>
  <c r="C25" i="17"/>
  <c r="D25" i="17"/>
  <c r="E25" i="17"/>
  <c r="B26" i="17"/>
  <c r="C26" i="17"/>
  <c r="D26" i="17"/>
  <c r="E26" i="17"/>
  <c r="B27" i="17"/>
  <c r="C27" i="17"/>
  <c r="D27" i="17"/>
  <c r="E27" i="17"/>
  <c r="B28" i="17"/>
  <c r="C28" i="17"/>
  <c r="D28" i="17"/>
  <c r="E28" i="17"/>
  <c r="B29" i="17"/>
  <c r="C29" i="17"/>
  <c r="D29" i="17"/>
  <c r="E29" i="17"/>
  <c r="B30" i="17"/>
  <c r="C30" i="17"/>
  <c r="D30" i="17"/>
  <c r="E30" i="17"/>
  <c r="B31" i="17"/>
  <c r="C31" i="17"/>
  <c r="D31" i="17"/>
  <c r="E31" i="17"/>
  <c r="B32" i="17"/>
  <c r="C32" i="17"/>
  <c r="D32" i="17"/>
  <c r="E32" i="17"/>
  <c r="B33" i="17"/>
  <c r="C33" i="17"/>
  <c r="D33" i="17"/>
  <c r="E33" i="17"/>
  <c r="B34" i="17"/>
  <c r="C34" i="17"/>
  <c r="D34" i="17"/>
  <c r="E34" i="17"/>
  <c r="B35" i="17"/>
  <c r="C35" i="17"/>
  <c r="D35" i="17"/>
  <c r="E35" i="17"/>
  <c r="B36" i="17"/>
  <c r="C36" i="17"/>
  <c r="D36" i="17"/>
  <c r="E36" i="17"/>
  <c r="B37" i="17"/>
  <c r="C37" i="17"/>
  <c r="D37" i="17"/>
  <c r="E37" i="17"/>
  <c r="B38" i="17"/>
  <c r="C38" i="17"/>
  <c r="D38" i="17"/>
  <c r="E38" i="17"/>
  <c r="B39" i="17"/>
  <c r="C39" i="17"/>
  <c r="D39" i="17"/>
  <c r="E39" i="17"/>
  <c r="B40" i="17"/>
  <c r="C40" i="17"/>
  <c r="D40" i="17"/>
  <c r="E40" i="17"/>
  <c r="B41" i="17"/>
  <c r="C41" i="17"/>
  <c r="D41" i="17"/>
  <c r="E41" i="17"/>
  <c r="B42" i="17"/>
  <c r="C42" i="17"/>
  <c r="D42" i="17"/>
  <c r="E42" i="17"/>
  <c r="B43" i="17"/>
  <c r="C43" i="17"/>
  <c r="D43" i="17"/>
  <c r="E43" i="17"/>
  <c r="B44" i="17"/>
  <c r="C44" i="17"/>
  <c r="D44" i="17"/>
  <c r="E44" i="17"/>
  <c r="B45" i="17"/>
  <c r="C45" i="17"/>
  <c r="D45" i="17"/>
  <c r="E45" i="17"/>
  <c r="B46" i="17"/>
  <c r="C46" i="17"/>
  <c r="D46" i="17"/>
  <c r="E46" i="17"/>
  <c r="B47" i="17"/>
  <c r="C47" i="17"/>
  <c r="D47" i="17"/>
  <c r="E47" i="17"/>
  <c r="B48" i="17"/>
  <c r="C48" i="17"/>
  <c r="D48" i="17"/>
  <c r="E48" i="17"/>
  <c r="B49" i="17"/>
  <c r="C49" i="17"/>
  <c r="D49" i="17"/>
  <c r="E49" i="17"/>
  <c r="B50" i="17"/>
  <c r="C50" i="17"/>
  <c r="D50" i="17"/>
  <c r="E50" i="17"/>
  <c r="B51" i="17"/>
  <c r="C51" i="17"/>
  <c r="D51" i="17"/>
  <c r="E51" i="17"/>
  <c r="B52" i="17"/>
  <c r="C52" i="17"/>
  <c r="D52" i="17"/>
  <c r="E52" i="17"/>
  <c r="B53" i="17"/>
  <c r="C53" i="17"/>
  <c r="D53" i="17"/>
  <c r="E53" i="17"/>
  <c r="B54" i="17"/>
  <c r="C54" i="17"/>
  <c r="D54" i="17"/>
  <c r="E54" i="17"/>
  <c r="B55" i="17"/>
  <c r="C55" i="17"/>
  <c r="D55" i="17"/>
  <c r="E55" i="17"/>
  <c r="B56" i="17"/>
  <c r="C56" i="17"/>
  <c r="D56" i="17"/>
  <c r="E56" i="17"/>
  <c r="B57" i="17"/>
  <c r="C57" i="17"/>
  <c r="D57" i="17"/>
  <c r="E57" i="17"/>
  <c r="B58" i="17"/>
  <c r="C58" i="17"/>
  <c r="D58" i="17"/>
  <c r="E58" i="17"/>
  <c r="B59" i="17"/>
  <c r="C59" i="17"/>
  <c r="D59" i="17"/>
  <c r="E59" i="17"/>
  <c r="B60" i="17"/>
  <c r="C60" i="17"/>
  <c r="D60" i="17"/>
  <c r="E60" i="17"/>
  <c r="B61" i="17"/>
  <c r="C61" i="17"/>
  <c r="D61" i="17"/>
  <c r="E61" i="17"/>
  <c r="B62" i="17"/>
  <c r="C62" i="17"/>
  <c r="D62" i="17"/>
  <c r="E62" i="17"/>
  <c r="B63" i="17"/>
  <c r="C63" i="17"/>
  <c r="D63" i="17"/>
  <c r="E63" i="17"/>
  <c r="B64" i="17"/>
  <c r="C64" i="17"/>
  <c r="D64" i="17"/>
  <c r="E64" i="17"/>
  <c r="B65" i="17"/>
  <c r="C65" i="17"/>
  <c r="D65" i="17"/>
  <c r="E65" i="17"/>
  <c r="B66" i="17"/>
  <c r="C66" i="17"/>
  <c r="D66" i="17"/>
  <c r="E66" i="17"/>
  <c r="B67" i="17"/>
  <c r="C67" i="17"/>
  <c r="D67" i="17"/>
  <c r="E67" i="17"/>
  <c r="B68" i="17"/>
  <c r="C68" i="17"/>
  <c r="D68" i="17"/>
  <c r="E68" i="17"/>
  <c r="B69" i="17"/>
  <c r="C69" i="17"/>
  <c r="D69" i="17"/>
  <c r="E69" i="17"/>
  <c r="B70" i="17"/>
  <c r="C70" i="17"/>
  <c r="D70" i="17"/>
  <c r="E70" i="17"/>
  <c r="B71" i="17"/>
  <c r="C71" i="17"/>
  <c r="D71" i="17"/>
  <c r="E71" i="17"/>
  <c r="B72" i="17"/>
  <c r="C72" i="17"/>
  <c r="D72" i="17"/>
  <c r="E72" i="17"/>
  <c r="B73" i="17"/>
  <c r="C73" i="17"/>
  <c r="D73" i="17"/>
  <c r="E73" i="17"/>
  <c r="B74" i="17"/>
  <c r="C74" i="17"/>
  <c r="D74" i="17"/>
  <c r="E74" i="17"/>
  <c r="B75" i="17"/>
  <c r="C75" i="17"/>
  <c r="D75" i="17"/>
  <c r="E75" i="17"/>
  <c r="B76" i="17"/>
  <c r="C76" i="17"/>
  <c r="D76" i="17"/>
  <c r="E76" i="17"/>
  <c r="B77" i="17"/>
  <c r="C77" i="17"/>
  <c r="D77" i="17"/>
  <c r="E77" i="17"/>
  <c r="B78" i="17"/>
  <c r="C78" i="17"/>
  <c r="D78" i="17"/>
  <c r="E78" i="17"/>
  <c r="B79" i="17"/>
  <c r="C79" i="17"/>
  <c r="D79" i="17"/>
  <c r="E79" i="17"/>
  <c r="B80" i="17"/>
  <c r="C80" i="17"/>
  <c r="D80" i="17"/>
  <c r="E80" i="17"/>
  <c r="B81" i="17"/>
  <c r="C81" i="17"/>
  <c r="D81" i="17"/>
  <c r="E81" i="17"/>
  <c r="E3" i="17"/>
  <c r="D3" i="17"/>
  <c r="C3" i="17"/>
  <c r="B3" i="17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3" i="2"/>
  <c r="J30" i="17" l="1"/>
  <c r="J81" i="17"/>
  <c r="A1" i="13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M4" i="17"/>
  <c r="O4" i="17" s="1"/>
  <c r="N4" i="17"/>
  <c r="P4" i="17" s="1"/>
  <c r="M5" i="17"/>
  <c r="O5" i="17" s="1"/>
  <c r="N5" i="17"/>
  <c r="P5" i="17" s="1"/>
  <c r="M6" i="17"/>
  <c r="O6" i="17" s="1"/>
  <c r="N6" i="17"/>
  <c r="P6" i="17" s="1"/>
  <c r="M7" i="17"/>
  <c r="O7" i="17" s="1"/>
  <c r="N7" i="17"/>
  <c r="P7" i="17" s="1"/>
  <c r="M8" i="17"/>
  <c r="O8" i="17" s="1"/>
  <c r="N8" i="17"/>
  <c r="P8" i="17" s="1"/>
  <c r="N3" i="17"/>
  <c r="P3" i="17" s="1"/>
  <c r="M3" i="17"/>
  <c r="O3" i="17" s="1"/>
  <c r="L2" i="14"/>
  <c r="M11" i="17"/>
  <c r="M14" i="17"/>
  <c r="M10" i="17"/>
  <c r="L9" i="14"/>
  <c r="M6" i="4"/>
  <c r="D9" i="4"/>
  <c r="D8" i="4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3" i="13"/>
  <c r="D12" i="4"/>
  <c r="Z49" i="2" a="1"/>
  <c r="Z49" i="2" s="1"/>
  <c r="Z80" i="2" a="1"/>
  <c r="Z80" i="2" s="1"/>
  <c r="Z25" i="2" a="1"/>
  <c r="Z25" i="2" s="1"/>
  <c r="Z50" i="2" a="1"/>
  <c r="Z50" i="2"/>
  <c r="Z51" i="2" a="1"/>
  <c r="Z51" i="2" s="1"/>
  <c r="Z3" i="2" a="1"/>
  <c r="Z3" i="2" s="1"/>
  <c r="Z4" i="2" a="1"/>
  <c r="Z4" i="2" s="1"/>
  <c r="Z52" i="2" a="1"/>
  <c r="Z52" i="2" s="1"/>
  <c r="Z53" i="2" a="1"/>
  <c r="Z53" i="2" s="1"/>
  <c r="Z54" i="2" a="1"/>
  <c r="Z54" i="2" s="1"/>
  <c r="Z71" i="2" a="1"/>
  <c r="Z71" i="2" s="1"/>
  <c r="Z63" i="2" a="1"/>
  <c r="Z63" i="2" s="1"/>
  <c r="Z26" i="2" a="1"/>
  <c r="Z26" i="2" s="1"/>
  <c r="Z55" i="2" a="1"/>
  <c r="Z55" i="2" s="1"/>
  <c r="Z56" i="2" a="1"/>
  <c r="Z56" i="2" s="1"/>
  <c r="Z27" i="2" a="1"/>
  <c r="Z27" i="2" s="1"/>
  <c r="Z28" i="2" a="1"/>
  <c r="Z28" i="2" s="1"/>
  <c r="Z29" i="2" a="1"/>
  <c r="Z29" i="2" s="1"/>
  <c r="Z6" i="2" a="1"/>
  <c r="Z6" i="2" s="1"/>
  <c r="Z30" i="2" a="1"/>
  <c r="Z30" i="2" s="1"/>
  <c r="Z31" i="2" a="1"/>
  <c r="Z31" i="2" s="1"/>
  <c r="Z72" i="2" a="1"/>
  <c r="Z72" i="2" s="1"/>
  <c r="Z32" i="2" a="1"/>
  <c r="Z32" i="2" s="1"/>
  <c r="Z73" i="2" a="1"/>
  <c r="Z73" i="2" s="1"/>
  <c r="Z74" i="2" a="1"/>
  <c r="Z74" i="2" s="1"/>
  <c r="Z7" i="2" a="1"/>
  <c r="Z7" i="2" s="1"/>
  <c r="Z75" i="2" a="1"/>
  <c r="Z75" i="2" s="1"/>
  <c r="Z57" i="2" a="1"/>
  <c r="Z57" i="2" s="1"/>
  <c r="Z8" i="2" a="1"/>
  <c r="Z8" i="2" s="1"/>
  <c r="Z9" i="2" a="1"/>
  <c r="Z9" i="2" s="1"/>
  <c r="Z58" i="2" a="1"/>
  <c r="Z58" i="2" s="1"/>
  <c r="Z59" i="2" a="1"/>
  <c r="Z59" i="2" s="1"/>
  <c r="Z33" i="2" a="1"/>
  <c r="Z33" i="2" s="1"/>
  <c r="Z34" i="2" a="1"/>
  <c r="Z34" i="2" s="1"/>
  <c r="Z10" i="2" a="1"/>
  <c r="Z10" i="2" s="1"/>
  <c r="Z60" i="2" a="1"/>
  <c r="Z60" i="2" s="1"/>
  <c r="Z11" i="2" a="1"/>
  <c r="Z11" i="2" s="1"/>
  <c r="Z76" i="2" a="1"/>
  <c r="Z76" i="2" s="1"/>
  <c r="Z35" i="2" a="1"/>
  <c r="Z35" i="2" s="1"/>
  <c r="Z12" i="2" a="1"/>
  <c r="Z12" i="2" s="1"/>
  <c r="Z13" i="2" a="1"/>
  <c r="Z13" i="2" s="1"/>
  <c r="Z61" i="2" a="1"/>
  <c r="Z61" i="2" s="1"/>
  <c r="Z14" i="2" a="1"/>
  <c r="Z14" i="2" s="1"/>
  <c r="Z36" i="2" a="1"/>
  <c r="Z36" i="2" s="1"/>
  <c r="Z62" i="2" a="1"/>
  <c r="Z62" i="2" s="1"/>
  <c r="Z77" i="2" a="1"/>
  <c r="Z77" i="2" s="1"/>
  <c r="Z37" i="2" a="1"/>
  <c r="Z37" i="2" s="1"/>
  <c r="Z38" i="2" a="1"/>
  <c r="Z38" i="2" s="1"/>
  <c r="Z16" i="2" a="1"/>
  <c r="Z16" i="2" s="1"/>
  <c r="Z17" i="2" a="1"/>
  <c r="Z17" i="2" s="1"/>
  <c r="Z64" i="2" a="1"/>
  <c r="Z64" i="2" s="1"/>
  <c r="Z18" i="2" a="1"/>
  <c r="Z18" i="2" s="1"/>
  <c r="Z39" i="2" a="1"/>
  <c r="Z39" i="2" s="1"/>
  <c r="Z40" i="2" a="1"/>
  <c r="Z40" i="2" s="1"/>
  <c r="Z41" i="2" a="1"/>
  <c r="Z41" i="2" s="1"/>
  <c r="Z19" i="2" a="1"/>
  <c r="Z19" i="2" s="1"/>
  <c r="Z42" i="2" a="1"/>
  <c r="Z42" i="2" s="1"/>
  <c r="Z65" i="2" a="1"/>
  <c r="Z65" i="2" s="1"/>
  <c r="Z66" i="2" a="1"/>
  <c r="Z66" i="2" s="1"/>
  <c r="Z20" i="2" a="1"/>
  <c r="Z20" i="2" s="1"/>
  <c r="Z67" i="2" a="1"/>
  <c r="Z67" i="2" s="1"/>
  <c r="Z79" i="2" a="1"/>
  <c r="Z79" i="2" s="1"/>
  <c r="Z43" i="2" a="1"/>
  <c r="Z43" i="2" s="1"/>
  <c r="Z44" i="2" a="1"/>
  <c r="Z44" i="2" s="1"/>
  <c r="Z21" i="2" a="1"/>
  <c r="Z21" i="2" s="1"/>
  <c r="Z45" i="2" a="1"/>
  <c r="Z45" i="2" s="1"/>
  <c r="Z46" i="2" a="1"/>
  <c r="Z46" i="2" s="1"/>
  <c r="Z47" i="2" a="1"/>
  <c r="Z47" i="2" s="1"/>
  <c r="Z48" i="2" a="1"/>
  <c r="Z48" i="2" s="1"/>
  <c r="Z69" i="2" a="1"/>
  <c r="Z69" i="2" s="1"/>
  <c r="Z15" i="2" a="1"/>
  <c r="Z15" i="2" s="1"/>
  <c r="Z70" i="2" a="1"/>
  <c r="Z70" i="2" s="1"/>
  <c r="Z22" i="2" a="1"/>
  <c r="Z22" i="2" s="1"/>
  <c r="Z23" i="2" a="1"/>
  <c r="Z23" i="2" s="1"/>
  <c r="Z24" i="2" a="1"/>
  <c r="Z24" i="2" s="1"/>
  <c r="G49" i="2" a="1"/>
  <c r="G49" i="2" s="1"/>
  <c r="G80" i="2" a="1"/>
  <c r="G80" i="2" s="1"/>
  <c r="G25" i="2" a="1"/>
  <c r="G25" i="2" s="1"/>
  <c r="G50" i="2" a="1"/>
  <c r="G50" i="2" s="1"/>
  <c r="G51" i="2" a="1"/>
  <c r="G51" i="2" s="1"/>
  <c r="G3" i="2" a="1"/>
  <c r="G3" i="2" s="1"/>
  <c r="G4" i="2" a="1"/>
  <c r="G4" i="2" s="1"/>
  <c r="G52" i="2" a="1"/>
  <c r="G52" i="2" s="1"/>
  <c r="G53" i="2" a="1"/>
  <c r="G53" i="2" s="1"/>
  <c r="G54" i="2" a="1"/>
  <c r="G54" i="2" s="1"/>
  <c r="G81" i="2" a="1"/>
  <c r="G81" i="2" s="1"/>
  <c r="G71" i="2" a="1"/>
  <c r="G71" i="2" s="1"/>
  <c r="G63" i="2" a="1"/>
  <c r="G63" i="2" s="1"/>
  <c r="G26" i="2" a="1"/>
  <c r="G26" i="2" s="1"/>
  <c r="G55" i="2" a="1"/>
  <c r="G55" i="2" s="1"/>
  <c r="G56" i="2" a="1"/>
  <c r="G56" i="2" s="1"/>
  <c r="G27" i="2" a="1"/>
  <c r="G27" i="2" s="1"/>
  <c r="G28" i="2" a="1"/>
  <c r="G28" i="2" s="1"/>
  <c r="G29" i="2" a="1"/>
  <c r="G29" i="2" s="1"/>
  <c r="G6" i="2" a="1"/>
  <c r="G6" i="2" s="1"/>
  <c r="G30" i="2" a="1"/>
  <c r="G30" i="2"/>
  <c r="G31" i="2" a="1"/>
  <c r="G31" i="2" s="1"/>
  <c r="G72" i="2" a="1"/>
  <c r="G72" i="2" s="1"/>
  <c r="G32" i="2" a="1"/>
  <c r="G32" i="2" s="1"/>
  <c r="G73" i="2" a="1"/>
  <c r="G73" i="2" s="1"/>
  <c r="G74" i="2" a="1"/>
  <c r="G74" i="2" s="1"/>
  <c r="G7" i="2" a="1"/>
  <c r="G7" i="2" s="1"/>
  <c r="G75" i="2" a="1"/>
  <c r="G75" i="2" s="1"/>
  <c r="G57" i="2" a="1"/>
  <c r="G57" i="2" s="1"/>
  <c r="G8" i="2" a="1"/>
  <c r="G8" i="2" s="1"/>
  <c r="G9" i="2" a="1"/>
  <c r="G9" i="2" s="1"/>
  <c r="G58" i="2" a="1"/>
  <c r="G58" i="2" s="1"/>
  <c r="G59" i="2" a="1"/>
  <c r="G59" i="2" s="1"/>
  <c r="G33" i="2" a="1"/>
  <c r="G33" i="2" s="1"/>
  <c r="G34" i="2" a="1"/>
  <c r="G34" i="2" s="1"/>
  <c r="G10" i="2" a="1"/>
  <c r="G10" i="2" s="1"/>
  <c r="G60" i="2" a="1"/>
  <c r="G60" i="2" s="1"/>
  <c r="G11" i="2" a="1"/>
  <c r="G11" i="2" s="1"/>
  <c r="G76" i="2" a="1"/>
  <c r="G76" i="2" s="1"/>
  <c r="G35" i="2" a="1"/>
  <c r="G35" i="2" s="1"/>
  <c r="G12" i="2" a="1"/>
  <c r="G12" i="2" s="1"/>
  <c r="G13" i="2" a="1"/>
  <c r="G13" i="2" s="1"/>
  <c r="G61" i="2" a="1"/>
  <c r="G61" i="2" s="1"/>
  <c r="G14" i="2" a="1"/>
  <c r="G14" i="2" s="1"/>
  <c r="G36" i="2" a="1"/>
  <c r="G36" i="2" s="1"/>
  <c r="G62" i="2" a="1"/>
  <c r="G62" i="2" s="1"/>
  <c r="G77" i="2" a="1"/>
  <c r="G77" i="2" s="1"/>
  <c r="G37" i="2" a="1"/>
  <c r="G37" i="2" s="1"/>
  <c r="G38" i="2" a="1"/>
  <c r="G38" i="2" s="1"/>
  <c r="G16" i="2" a="1"/>
  <c r="G16" i="2" s="1"/>
  <c r="G17" i="2" a="1"/>
  <c r="G17" i="2" s="1"/>
  <c r="G64" i="2" a="1"/>
  <c r="G64" i="2" s="1"/>
  <c r="G18" i="2" a="1"/>
  <c r="G18" i="2" s="1"/>
  <c r="G39" i="2" a="1"/>
  <c r="G39" i="2" s="1"/>
  <c r="G40" i="2" a="1"/>
  <c r="G40" i="2" s="1"/>
  <c r="G41" i="2" a="1"/>
  <c r="G41" i="2" s="1"/>
  <c r="G19" i="2" a="1"/>
  <c r="G19" i="2" s="1"/>
  <c r="G42" i="2" a="1"/>
  <c r="G42" i="2" s="1"/>
  <c r="G65" i="2" a="1"/>
  <c r="G65" i="2" s="1"/>
  <c r="G66" i="2" a="1"/>
  <c r="G66" i="2" s="1"/>
  <c r="G20" i="2" a="1"/>
  <c r="G20" i="2" s="1"/>
  <c r="G67" i="2" a="1"/>
  <c r="G67" i="2" s="1"/>
  <c r="G78" i="2" a="1"/>
  <c r="G78" i="2" s="1"/>
  <c r="G79" i="2" a="1"/>
  <c r="G79" i="2" s="1"/>
  <c r="G43" i="2" a="1"/>
  <c r="G43" i="2" s="1"/>
  <c r="G44" i="2" a="1"/>
  <c r="G44" i="2" s="1"/>
  <c r="G21" i="2" a="1"/>
  <c r="G21" i="2" s="1"/>
  <c r="G45" i="2" a="1"/>
  <c r="G45" i="2" s="1"/>
  <c r="G46" i="2" a="1"/>
  <c r="G46" i="2" s="1"/>
  <c r="G47" i="2" a="1"/>
  <c r="G47" i="2" s="1"/>
  <c r="G48" i="2" a="1"/>
  <c r="G48" i="2" s="1"/>
  <c r="G69" i="2" a="1"/>
  <c r="G69" i="2" s="1"/>
  <c r="G15" i="2" a="1"/>
  <c r="G15" i="2" s="1"/>
  <c r="G70" i="2" a="1"/>
  <c r="G70" i="2" s="1"/>
  <c r="G22" i="2" a="1"/>
  <c r="G22" i="2" s="1"/>
  <c r="G23" i="2" a="1"/>
  <c r="G23" i="2" s="1"/>
  <c r="G24" i="2" a="1"/>
  <c r="G24" i="2" s="1"/>
  <c r="E49" i="2"/>
  <c r="E80" i="2"/>
  <c r="E25" i="2"/>
  <c r="E50" i="2"/>
  <c r="E51" i="2"/>
  <c r="E3" i="2"/>
  <c r="E4" i="2"/>
  <c r="E52" i="2"/>
  <c r="E53" i="2"/>
  <c r="E54" i="2"/>
  <c r="E81" i="2"/>
  <c r="E71" i="2"/>
  <c r="E63" i="2"/>
  <c r="E26" i="2"/>
  <c r="E55" i="2"/>
  <c r="E56" i="2"/>
  <c r="E27" i="2"/>
  <c r="E28" i="2"/>
  <c r="E29" i="2"/>
  <c r="E6" i="2"/>
  <c r="E30" i="2"/>
  <c r="E31" i="2"/>
  <c r="E72" i="2"/>
  <c r="E32" i="2"/>
  <c r="E73" i="2"/>
  <c r="E74" i="2"/>
  <c r="E7" i="2"/>
  <c r="E75" i="2"/>
  <c r="E57" i="2"/>
  <c r="E8" i="2"/>
  <c r="E9" i="2"/>
  <c r="E58" i="2"/>
  <c r="E59" i="2"/>
  <c r="E33" i="2"/>
  <c r="E34" i="2"/>
  <c r="E10" i="2"/>
  <c r="E60" i="2"/>
  <c r="E11" i="2"/>
  <c r="E76" i="2"/>
  <c r="E35" i="2"/>
  <c r="E12" i="2"/>
  <c r="E13" i="2"/>
  <c r="E61" i="2"/>
  <c r="E14" i="2"/>
  <c r="E36" i="2"/>
  <c r="E62" i="2"/>
  <c r="E77" i="2"/>
  <c r="E37" i="2"/>
  <c r="E38" i="2"/>
  <c r="E16" i="2"/>
  <c r="E17" i="2"/>
  <c r="E64" i="2"/>
  <c r="E18" i="2"/>
  <c r="E39" i="2"/>
  <c r="E40" i="2"/>
  <c r="E41" i="2"/>
  <c r="E19" i="2"/>
  <c r="E42" i="2"/>
  <c r="E65" i="2"/>
  <c r="E66" i="2"/>
  <c r="E20" i="2"/>
  <c r="E67" i="2"/>
  <c r="E78" i="2"/>
  <c r="E79" i="2"/>
  <c r="E43" i="2"/>
  <c r="E44" i="2"/>
  <c r="E21" i="2"/>
  <c r="E45" i="2"/>
  <c r="E46" i="2"/>
  <c r="E47" i="2"/>
  <c r="E48" i="2"/>
  <c r="E69" i="2"/>
  <c r="E15" i="2"/>
  <c r="E70" i="2"/>
  <c r="E22" i="2"/>
  <c r="E23" i="2"/>
  <c r="E24" i="2"/>
  <c r="T49" i="2" a="1"/>
  <c r="T49" i="2" s="1"/>
  <c r="T80" i="2" a="1"/>
  <c r="T80" i="2" s="1"/>
  <c r="T25" i="2" a="1"/>
  <c r="T25" i="2" s="1"/>
  <c r="T50" i="2" a="1"/>
  <c r="T50" i="2" s="1"/>
  <c r="T51" i="2" a="1"/>
  <c r="T51" i="2" s="1"/>
  <c r="T3" i="2" a="1"/>
  <c r="T3" i="2" s="1"/>
  <c r="T4" i="2" a="1"/>
  <c r="T4" i="2" s="1"/>
  <c r="T52" i="2" a="1"/>
  <c r="T52" i="2"/>
  <c r="T53" i="2" a="1"/>
  <c r="T53" i="2" s="1"/>
  <c r="T54" i="2" a="1"/>
  <c r="T54" i="2" s="1"/>
  <c r="T81" i="2" a="1"/>
  <c r="T81" i="2" s="1"/>
  <c r="T71" i="2" a="1"/>
  <c r="T71" i="2" s="1"/>
  <c r="T63" i="2" a="1"/>
  <c r="T63" i="2" s="1"/>
  <c r="T26" i="2" a="1"/>
  <c r="T26" i="2" s="1"/>
  <c r="T55" i="2" a="1"/>
  <c r="T55" i="2" s="1"/>
  <c r="T56" i="2" a="1"/>
  <c r="T56" i="2" s="1"/>
  <c r="T27" i="2" a="1"/>
  <c r="T27" i="2" s="1"/>
  <c r="T28" i="2" a="1"/>
  <c r="T28" i="2" s="1"/>
  <c r="T29" i="2" a="1"/>
  <c r="T29" i="2" s="1"/>
  <c r="T6" i="2" a="1"/>
  <c r="T6" i="2" s="1"/>
  <c r="T30" i="2" a="1"/>
  <c r="T30" i="2" s="1"/>
  <c r="T31" i="2" a="1"/>
  <c r="T31" i="2" s="1"/>
  <c r="T72" i="2" a="1"/>
  <c r="T72" i="2" s="1"/>
  <c r="T32" i="2" a="1"/>
  <c r="T32" i="2" s="1"/>
  <c r="T73" i="2" a="1"/>
  <c r="T73" i="2" s="1"/>
  <c r="T74" i="2" a="1"/>
  <c r="T74" i="2" s="1"/>
  <c r="T7" i="2" a="1"/>
  <c r="T7" i="2" s="1"/>
  <c r="T75" i="2" a="1"/>
  <c r="T75" i="2" s="1"/>
  <c r="T57" i="2" a="1"/>
  <c r="T57" i="2" s="1"/>
  <c r="T8" i="2" a="1"/>
  <c r="T8" i="2" s="1"/>
  <c r="T9" i="2" a="1"/>
  <c r="T9" i="2" s="1"/>
  <c r="T58" i="2" a="1"/>
  <c r="T58" i="2" s="1"/>
  <c r="T59" i="2" a="1"/>
  <c r="T59" i="2" s="1"/>
  <c r="T33" i="2" a="1"/>
  <c r="T33" i="2" s="1"/>
  <c r="T34" i="2" a="1"/>
  <c r="T34" i="2" s="1"/>
  <c r="T10" i="2" a="1"/>
  <c r="T10" i="2" s="1"/>
  <c r="T60" i="2" a="1"/>
  <c r="T60" i="2" s="1"/>
  <c r="T11" i="2" a="1"/>
  <c r="T11" i="2" s="1"/>
  <c r="T76" i="2" a="1"/>
  <c r="T76" i="2" s="1"/>
  <c r="T35" i="2" a="1"/>
  <c r="T35" i="2" s="1"/>
  <c r="T12" i="2" a="1"/>
  <c r="T12" i="2" s="1"/>
  <c r="T13" i="2" a="1"/>
  <c r="T13" i="2" s="1"/>
  <c r="T61" i="2" a="1"/>
  <c r="T61" i="2" s="1"/>
  <c r="T14" i="2" a="1"/>
  <c r="T14" i="2" s="1"/>
  <c r="T36" i="2" a="1"/>
  <c r="T36" i="2" s="1"/>
  <c r="T62" i="2" a="1"/>
  <c r="T62" i="2" s="1"/>
  <c r="T77" i="2" a="1"/>
  <c r="T77" i="2" s="1"/>
  <c r="T37" i="2" a="1"/>
  <c r="T37" i="2" s="1"/>
  <c r="T38" i="2" a="1"/>
  <c r="T38" i="2" s="1"/>
  <c r="T16" i="2" a="1"/>
  <c r="T16" i="2" s="1"/>
  <c r="T17" i="2" a="1"/>
  <c r="T17" i="2" s="1"/>
  <c r="T64" i="2" a="1"/>
  <c r="T64" i="2" s="1"/>
  <c r="T18" i="2" a="1"/>
  <c r="T18" i="2" s="1"/>
  <c r="T39" i="2" a="1"/>
  <c r="T39" i="2" s="1"/>
  <c r="T40" i="2" a="1"/>
  <c r="T40" i="2" s="1"/>
  <c r="T41" i="2" a="1"/>
  <c r="T41" i="2" s="1"/>
  <c r="T19" i="2" a="1"/>
  <c r="T19" i="2" s="1"/>
  <c r="T42" i="2" a="1"/>
  <c r="T42" i="2" s="1"/>
  <c r="T65" i="2" a="1"/>
  <c r="T65" i="2" s="1"/>
  <c r="T66" i="2" a="1"/>
  <c r="T66" i="2" s="1"/>
  <c r="T20" i="2" a="1"/>
  <c r="T20" i="2" s="1"/>
  <c r="T67" i="2" a="1"/>
  <c r="T67" i="2" s="1"/>
  <c r="T78" i="2" a="1"/>
  <c r="T78" i="2" s="1"/>
  <c r="T79" i="2" a="1"/>
  <c r="T79" i="2" s="1"/>
  <c r="T43" i="2" a="1"/>
  <c r="T43" i="2" s="1"/>
  <c r="T44" i="2" a="1"/>
  <c r="T44" i="2" s="1"/>
  <c r="T21" i="2" a="1"/>
  <c r="T21" i="2" s="1"/>
  <c r="T45" i="2" a="1"/>
  <c r="T45" i="2" s="1"/>
  <c r="T46" i="2" a="1"/>
  <c r="T46" i="2" s="1"/>
  <c r="T47" i="2" a="1"/>
  <c r="T47" i="2" s="1"/>
  <c r="T48" i="2" a="1"/>
  <c r="T48" i="2" s="1"/>
  <c r="T69" i="2" a="1"/>
  <c r="T69" i="2" s="1"/>
  <c r="T15" i="2" a="1"/>
  <c r="T15" i="2" s="1"/>
  <c r="T70" i="2" a="1"/>
  <c r="T70" i="2" s="1"/>
  <c r="T22" i="2" a="1"/>
  <c r="T22" i="2" s="1"/>
  <c r="T23" i="2" a="1"/>
  <c r="T23" i="2" s="1"/>
  <c r="T24" i="2" a="1"/>
  <c r="T24" i="2" s="1"/>
  <c r="S49" i="2" a="1"/>
  <c r="S49" i="2" s="1"/>
  <c r="S80" i="2" a="1"/>
  <c r="S80" i="2" s="1"/>
  <c r="S25" i="2" a="1"/>
  <c r="S25" i="2" s="1"/>
  <c r="S50" i="2" a="1"/>
  <c r="S50" i="2" s="1"/>
  <c r="S51" i="2" a="1"/>
  <c r="S51" i="2" s="1"/>
  <c r="S3" i="2" a="1"/>
  <c r="S3" i="2" s="1"/>
  <c r="S4" i="2" a="1"/>
  <c r="S4" i="2" s="1"/>
  <c r="S52" i="2" a="1"/>
  <c r="S52" i="2" s="1"/>
  <c r="S53" i="2" a="1"/>
  <c r="S53" i="2" s="1"/>
  <c r="S54" i="2" a="1"/>
  <c r="S54" i="2" s="1"/>
  <c r="S81" i="2" a="1"/>
  <c r="S81" i="2" s="1"/>
  <c r="S71" i="2" a="1"/>
  <c r="S71" i="2" s="1"/>
  <c r="S63" i="2" a="1"/>
  <c r="S63" i="2" s="1"/>
  <c r="S26" i="2" a="1"/>
  <c r="S26" i="2" s="1"/>
  <c r="S55" i="2" a="1"/>
  <c r="S55" i="2" s="1"/>
  <c r="S56" i="2" a="1"/>
  <c r="S56" i="2" s="1"/>
  <c r="S27" i="2" a="1"/>
  <c r="S27" i="2" s="1"/>
  <c r="S28" i="2" a="1"/>
  <c r="S28" i="2" s="1"/>
  <c r="S29" i="2" a="1"/>
  <c r="S29" i="2" s="1"/>
  <c r="S6" i="2" a="1"/>
  <c r="S6" i="2" s="1"/>
  <c r="S30" i="2" a="1"/>
  <c r="S30" i="2" s="1"/>
  <c r="S31" i="2" a="1"/>
  <c r="S31" i="2" s="1"/>
  <c r="S72" i="2" a="1"/>
  <c r="S72" i="2" s="1"/>
  <c r="S32" i="2" a="1"/>
  <c r="S32" i="2" s="1"/>
  <c r="S73" i="2" a="1"/>
  <c r="S73" i="2" s="1"/>
  <c r="S74" i="2" a="1"/>
  <c r="S74" i="2" s="1"/>
  <c r="S7" i="2" a="1"/>
  <c r="S7" i="2" s="1"/>
  <c r="S75" i="2" a="1"/>
  <c r="S75" i="2" s="1"/>
  <c r="S57" i="2" a="1"/>
  <c r="S57" i="2" s="1"/>
  <c r="S8" i="2" a="1"/>
  <c r="S8" i="2" s="1"/>
  <c r="S9" i="2" a="1"/>
  <c r="S9" i="2" s="1"/>
  <c r="S58" i="2" a="1"/>
  <c r="S58" i="2" s="1"/>
  <c r="S59" i="2" a="1"/>
  <c r="S59" i="2" s="1"/>
  <c r="S33" i="2" a="1"/>
  <c r="S33" i="2" s="1"/>
  <c r="S34" i="2" a="1"/>
  <c r="S34" i="2"/>
  <c r="S10" i="2" a="1"/>
  <c r="S10" i="2" s="1"/>
  <c r="S60" i="2" a="1"/>
  <c r="S60" i="2" s="1"/>
  <c r="S11" i="2" a="1"/>
  <c r="S11" i="2" s="1"/>
  <c r="S76" i="2" a="1"/>
  <c r="S76" i="2" s="1"/>
  <c r="S35" i="2" a="1"/>
  <c r="S35" i="2" s="1"/>
  <c r="S12" i="2" a="1"/>
  <c r="S12" i="2" s="1"/>
  <c r="S13" i="2" a="1"/>
  <c r="S13" i="2" s="1"/>
  <c r="S61" i="2" a="1"/>
  <c r="S61" i="2" s="1"/>
  <c r="S14" i="2" a="1"/>
  <c r="S14" i="2" s="1"/>
  <c r="S36" i="2" a="1"/>
  <c r="S36" i="2" s="1"/>
  <c r="S62" i="2" a="1"/>
  <c r="S62" i="2" s="1"/>
  <c r="S77" i="2" a="1"/>
  <c r="S77" i="2" s="1"/>
  <c r="S37" i="2" a="1"/>
  <c r="S37" i="2" s="1"/>
  <c r="S38" i="2" a="1"/>
  <c r="S38" i="2" s="1"/>
  <c r="S16" i="2" a="1"/>
  <c r="S16" i="2" s="1"/>
  <c r="S17" i="2" a="1"/>
  <c r="S17" i="2" s="1"/>
  <c r="S64" i="2" a="1"/>
  <c r="S64" i="2" s="1"/>
  <c r="S18" i="2" a="1"/>
  <c r="S18" i="2" s="1"/>
  <c r="S39" i="2" a="1"/>
  <c r="S39" i="2" s="1"/>
  <c r="S40" i="2" a="1"/>
  <c r="S40" i="2" s="1"/>
  <c r="S41" i="2" a="1"/>
  <c r="S41" i="2" s="1"/>
  <c r="S19" i="2" a="1"/>
  <c r="S19" i="2" s="1"/>
  <c r="S42" i="2" a="1"/>
  <c r="S42" i="2" s="1"/>
  <c r="S65" i="2" a="1"/>
  <c r="S65" i="2" s="1"/>
  <c r="S66" i="2" a="1"/>
  <c r="S66" i="2" s="1"/>
  <c r="S20" i="2" a="1"/>
  <c r="S20" i="2" s="1"/>
  <c r="S67" i="2" a="1"/>
  <c r="S67" i="2" s="1"/>
  <c r="S78" i="2" a="1"/>
  <c r="S78" i="2" s="1"/>
  <c r="S79" i="2" a="1"/>
  <c r="S79" i="2" s="1"/>
  <c r="S43" i="2" a="1"/>
  <c r="S43" i="2" s="1"/>
  <c r="S44" i="2" a="1"/>
  <c r="S44" i="2" s="1"/>
  <c r="S21" i="2" a="1"/>
  <c r="S21" i="2" s="1"/>
  <c r="S45" i="2" a="1"/>
  <c r="S45" i="2" s="1"/>
  <c r="S46" i="2" a="1"/>
  <c r="S46" i="2" s="1"/>
  <c r="S47" i="2" a="1"/>
  <c r="S47" i="2"/>
  <c r="S48" i="2" a="1"/>
  <c r="S48" i="2" s="1"/>
  <c r="S69" i="2" a="1"/>
  <c r="S69" i="2" s="1"/>
  <c r="S15" i="2" a="1"/>
  <c r="S15" i="2" s="1"/>
  <c r="S70" i="2" a="1"/>
  <c r="S70" i="2" s="1"/>
  <c r="S22" i="2" a="1"/>
  <c r="S22" i="2" s="1"/>
  <c r="S23" i="2" a="1"/>
  <c r="S23" i="2" s="1"/>
  <c r="S24" i="2" a="1"/>
  <c r="S24" i="2" s="1"/>
  <c r="R49" i="2" a="1"/>
  <c r="R49" i="2" s="1"/>
  <c r="R80" i="2" a="1"/>
  <c r="R80" i="2" s="1"/>
  <c r="R25" i="2" a="1"/>
  <c r="R25" i="2" s="1"/>
  <c r="R50" i="2" a="1"/>
  <c r="R50" i="2" s="1"/>
  <c r="R51" i="2" a="1"/>
  <c r="R51" i="2" s="1"/>
  <c r="R3" i="2" a="1"/>
  <c r="R3" i="2" s="1"/>
  <c r="R4" i="2" a="1"/>
  <c r="R4" i="2" s="1"/>
  <c r="R52" i="2" a="1"/>
  <c r="R52" i="2" s="1"/>
  <c r="R53" i="2" a="1"/>
  <c r="R53" i="2" s="1"/>
  <c r="R54" i="2" a="1"/>
  <c r="R54" i="2" s="1"/>
  <c r="R81" i="2" a="1"/>
  <c r="R81" i="2" s="1"/>
  <c r="R71" i="2" a="1"/>
  <c r="R71" i="2" s="1"/>
  <c r="R63" i="2" a="1"/>
  <c r="R63" i="2" s="1"/>
  <c r="R26" i="2" a="1"/>
  <c r="R26" i="2" s="1"/>
  <c r="R55" i="2" a="1"/>
  <c r="R55" i="2" s="1"/>
  <c r="R56" i="2" a="1"/>
  <c r="R56" i="2" s="1"/>
  <c r="R27" i="2" a="1"/>
  <c r="R27" i="2" s="1"/>
  <c r="R28" i="2" a="1"/>
  <c r="R28" i="2" s="1"/>
  <c r="R29" i="2" a="1"/>
  <c r="R29" i="2" s="1"/>
  <c r="R6" i="2" a="1"/>
  <c r="R6" i="2" s="1"/>
  <c r="R30" i="2" a="1"/>
  <c r="R30" i="2" s="1"/>
  <c r="R31" i="2" a="1"/>
  <c r="R31" i="2" s="1"/>
  <c r="R72" i="2" a="1"/>
  <c r="R72" i="2" s="1"/>
  <c r="R32" i="2" a="1"/>
  <c r="R32" i="2" s="1"/>
  <c r="R73" i="2" a="1"/>
  <c r="R73" i="2" s="1"/>
  <c r="R74" i="2" a="1"/>
  <c r="R74" i="2" s="1"/>
  <c r="R7" i="2" a="1"/>
  <c r="R7" i="2" s="1"/>
  <c r="R75" i="2" a="1"/>
  <c r="R75" i="2" s="1"/>
  <c r="R57" i="2" a="1"/>
  <c r="R57" i="2" s="1"/>
  <c r="R8" i="2" a="1"/>
  <c r="R8" i="2" s="1"/>
  <c r="R9" i="2" a="1"/>
  <c r="R9" i="2" s="1"/>
  <c r="R58" i="2" a="1"/>
  <c r="R58" i="2" s="1"/>
  <c r="R59" i="2" a="1"/>
  <c r="R59" i="2" s="1"/>
  <c r="R33" i="2" a="1"/>
  <c r="R33" i="2" s="1"/>
  <c r="R34" i="2" a="1"/>
  <c r="R34" i="2" s="1"/>
  <c r="R10" i="2" a="1"/>
  <c r="R10" i="2" s="1"/>
  <c r="R60" i="2" a="1"/>
  <c r="R60" i="2" s="1"/>
  <c r="R11" i="2" a="1"/>
  <c r="R11" i="2" s="1"/>
  <c r="R76" i="2" a="1"/>
  <c r="R76" i="2" s="1"/>
  <c r="R35" i="2" a="1"/>
  <c r="R35" i="2" s="1"/>
  <c r="R12" i="2" a="1"/>
  <c r="R12" i="2" s="1"/>
  <c r="R13" i="2" a="1"/>
  <c r="R13" i="2" s="1"/>
  <c r="R61" i="2" a="1"/>
  <c r="R61" i="2" s="1"/>
  <c r="R14" i="2" a="1"/>
  <c r="R14" i="2" s="1"/>
  <c r="R36" i="2" a="1"/>
  <c r="R36" i="2" s="1"/>
  <c r="R62" i="2" a="1"/>
  <c r="R62" i="2" s="1"/>
  <c r="R77" i="2" a="1"/>
  <c r="R77" i="2" s="1"/>
  <c r="R37" i="2" a="1"/>
  <c r="R37" i="2" s="1"/>
  <c r="R38" i="2" a="1"/>
  <c r="R38" i="2" s="1"/>
  <c r="R16" i="2" a="1"/>
  <c r="R16" i="2" s="1"/>
  <c r="R17" i="2" a="1"/>
  <c r="R17" i="2" s="1"/>
  <c r="R64" i="2" a="1"/>
  <c r="R64" i="2" s="1"/>
  <c r="R18" i="2" a="1"/>
  <c r="R18" i="2" s="1"/>
  <c r="R39" i="2" a="1"/>
  <c r="R39" i="2" s="1"/>
  <c r="R40" i="2" a="1"/>
  <c r="R40" i="2" s="1"/>
  <c r="R41" i="2" a="1"/>
  <c r="R41" i="2" s="1"/>
  <c r="R19" i="2" a="1"/>
  <c r="R19" i="2" s="1"/>
  <c r="R42" i="2" a="1"/>
  <c r="R42" i="2" s="1"/>
  <c r="R65" i="2" a="1"/>
  <c r="R65" i="2" s="1"/>
  <c r="R66" i="2" a="1"/>
  <c r="R66" i="2" s="1"/>
  <c r="R20" i="2" a="1"/>
  <c r="R20" i="2" s="1"/>
  <c r="R67" i="2" a="1"/>
  <c r="R67" i="2" s="1"/>
  <c r="R78" i="2" a="1"/>
  <c r="R78" i="2" s="1"/>
  <c r="R79" i="2" a="1"/>
  <c r="R79" i="2" s="1"/>
  <c r="R43" i="2" a="1"/>
  <c r="R43" i="2" s="1"/>
  <c r="R44" i="2" a="1"/>
  <c r="R44" i="2" s="1"/>
  <c r="R21" i="2" a="1"/>
  <c r="R21" i="2" s="1"/>
  <c r="R45" i="2" a="1"/>
  <c r="R45" i="2" s="1"/>
  <c r="R46" i="2" a="1"/>
  <c r="R46" i="2" s="1"/>
  <c r="R47" i="2" a="1"/>
  <c r="R47" i="2" s="1"/>
  <c r="R48" i="2" a="1"/>
  <c r="R48" i="2" s="1"/>
  <c r="R69" i="2" a="1"/>
  <c r="R69" i="2" s="1"/>
  <c r="R15" i="2" a="1"/>
  <c r="R15" i="2" s="1"/>
  <c r="R70" i="2" a="1"/>
  <c r="R70" i="2" s="1"/>
  <c r="R22" i="2" a="1"/>
  <c r="R22" i="2" s="1"/>
  <c r="R23" i="2" a="1"/>
  <c r="R23" i="2" s="1"/>
  <c r="R24" i="2" a="1"/>
  <c r="R24" i="2" s="1"/>
  <c r="Q49" i="2" a="1"/>
  <c r="Q49" i="2" s="1"/>
  <c r="Q80" i="2" a="1"/>
  <c r="Q80" i="2" s="1"/>
  <c r="Q25" i="2" a="1"/>
  <c r="Q25" i="2" s="1"/>
  <c r="Q50" i="2" a="1"/>
  <c r="Q50" i="2" s="1"/>
  <c r="Q51" i="2" a="1"/>
  <c r="Q51" i="2" s="1"/>
  <c r="Q3" i="2" a="1"/>
  <c r="Q3" i="2" s="1"/>
  <c r="Q4" i="2" a="1"/>
  <c r="Q4" i="2" s="1"/>
  <c r="Q52" i="2" a="1"/>
  <c r="Q52" i="2" s="1"/>
  <c r="Q53" i="2" a="1"/>
  <c r="Q53" i="2" s="1"/>
  <c r="Q54" i="2" a="1"/>
  <c r="Q54" i="2" s="1"/>
  <c r="Q81" i="2" a="1"/>
  <c r="Q81" i="2" s="1"/>
  <c r="Q71" i="2" a="1"/>
  <c r="Q71" i="2" s="1"/>
  <c r="Q63" i="2" a="1"/>
  <c r="Q63" i="2" s="1"/>
  <c r="Q26" i="2" a="1"/>
  <c r="Q26" i="2" s="1"/>
  <c r="Q55" i="2" a="1"/>
  <c r="Q55" i="2" s="1"/>
  <c r="Q56" i="2" a="1"/>
  <c r="Q56" i="2" s="1"/>
  <c r="Q27" i="2" a="1"/>
  <c r="Q27" i="2" s="1"/>
  <c r="Q28" i="2" a="1"/>
  <c r="Q28" i="2" s="1"/>
  <c r="Q29" i="2" a="1"/>
  <c r="Q29" i="2" s="1"/>
  <c r="Q6" i="2" a="1"/>
  <c r="Q6" i="2" s="1"/>
  <c r="Q30" i="2" a="1"/>
  <c r="Q30" i="2" s="1"/>
  <c r="Q31" i="2" a="1"/>
  <c r="Q31" i="2" s="1"/>
  <c r="Q72" i="2" a="1"/>
  <c r="Q72" i="2" s="1"/>
  <c r="Q32" i="2" a="1"/>
  <c r="Q32" i="2" s="1"/>
  <c r="Q73" i="2" a="1"/>
  <c r="Q73" i="2" s="1"/>
  <c r="Q74" i="2" a="1"/>
  <c r="Q74" i="2" s="1"/>
  <c r="Q7" i="2" a="1"/>
  <c r="Q7" i="2" s="1"/>
  <c r="Q75" i="2" a="1"/>
  <c r="Q75" i="2" s="1"/>
  <c r="Q57" i="2" a="1"/>
  <c r="Q57" i="2" s="1"/>
  <c r="Q8" i="2" a="1"/>
  <c r="Q8" i="2" s="1"/>
  <c r="Q9" i="2" a="1"/>
  <c r="Q9" i="2"/>
  <c r="Q58" i="2" a="1"/>
  <c r="Q58" i="2" s="1"/>
  <c r="Q59" i="2" a="1"/>
  <c r="Q59" i="2" s="1"/>
  <c r="Q33" i="2" a="1"/>
  <c r="Q33" i="2" s="1"/>
  <c r="Q34" i="2" a="1"/>
  <c r="Q34" i="2" s="1"/>
  <c r="Q10" i="2" a="1"/>
  <c r="Q10" i="2" s="1"/>
  <c r="Q60" i="2" a="1"/>
  <c r="Q60" i="2" s="1"/>
  <c r="Q11" i="2" a="1"/>
  <c r="Q11" i="2" s="1"/>
  <c r="Q76" i="2" a="1"/>
  <c r="Q76" i="2" s="1"/>
  <c r="Q35" i="2" a="1"/>
  <c r="Q35" i="2" s="1"/>
  <c r="Q12" i="2" a="1"/>
  <c r="Q12" i="2" s="1"/>
  <c r="Q13" i="2" a="1"/>
  <c r="Q13" i="2" s="1"/>
  <c r="Q61" i="2" a="1"/>
  <c r="Q61" i="2" s="1"/>
  <c r="Q14" i="2" a="1"/>
  <c r="Q14" i="2"/>
  <c r="Q36" i="2" a="1"/>
  <c r="Q36" i="2" s="1"/>
  <c r="Q62" i="2" a="1"/>
  <c r="Q62" i="2" s="1"/>
  <c r="Q77" i="2" a="1"/>
  <c r="Q77" i="2" s="1"/>
  <c r="Q37" i="2" a="1"/>
  <c r="Q37" i="2" s="1"/>
  <c r="Q38" i="2" a="1"/>
  <c r="Q38" i="2" s="1"/>
  <c r="Q16" i="2" a="1"/>
  <c r="Q16" i="2" s="1"/>
  <c r="Q17" i="2" a="1"/>
  <c r="Q17" i="2" s="1"/>
  <c r="Q64" i="2" a="1"/>
  <c r="Q64" i="2" s="1"/>
  <c r="Q18" i="2" a="1"/>
  <c r="Q18" i="2" s="1"/>
  <c r="Q39" i="2" a="1"/>
  <c r="Q39" i="2" s="1"/>
  <c r="Q40" i="2" a="1"/>
  <c r="Q40" i="2" s="1"/>
  <c r="Q41" i="2" a="1"/>
  <c r="Q41" i="2" s="1"/>
  <c r="Q19" i="2" a="1"/>
  <c r="Q19" i="2" s="1"/>
  <c r="Q42" i="2" a="1"/>
  <c r="Q42" i="2" s="1"/>
  <c r="Q65" i="2" a="1"/>
  <c r="Q65" i="2" s="1"/>
  <c r="Q66" i="2" a="1"/>
  <c r="Q66" i="2" s="1"/>
  <c r="Q20" i="2" a="1"/>
  <c r="Q20" i="2" s="1"/>
  <c r="Q67" i="2" a="1"/>
  <c r="Q67" i="2" s="1"/>
  <c r="Q78" i="2" a="1"/>
  <c r="Q78" i="2" s="1"/>
  <c r="Q79" i="2" a="1"/>
  <c r="Q79" i="2" s="1"/>
  <c r="Q43" i="2" a="1"/>
  <c r="Q43" i="2" s="1"/>
  <c r="Q44" i="2" a="1"/>
  <c r="Q44" i="2" s="1"/>
  <c r="Q21" i="2" a="1"/>
  <c r="Q21" i="2" s="1"/>
  <c r="Q45" i="2" a="1"/>
  <c r="Q45" i="2" s="1"/>
  <c r="Q46" i="2" a="1"/>
  <c r="Q46" i="2" s="1"/>
  <c r="Q47" i="2" a="1"/>
  <c r="Q47" i="2" s="1"/>
  <c r="Q48" i="2" a="1"/>
  <c r="Q48" i="2" s="1"/>
  <c r="Q69" i="2" a="1"/>
  <c r="Q69" i="2" s="1"/>
  <c r="Q15" i="2" a="1"/>
  <c r="Q15" i="2" s="1"/>
  <c r="Q70" i="2" a="1"/>
  <c r="Q70" i="2" s="1"/>
  <c r="Q22" i="2" a="1"/>
  <c r="Q22" i="2" s="1"/>
  <c r="Q23" i="2" a="1"/>
  <c r="Q23" i="2" s="1"/>
  <c r="Q24" i="2" a="1"/>
  <c r="Q24" i="2" s="1"/>
  <c r="P49" i="2" a="1"/>
  <c r="P49" i="2" s="1"/>
  <c r="P80" i="2" a="1"/>
  <c r="P80" i="2" s="1"/>
  <c r="P25" i="2" a="1"/>
  <c r="P25" i="2" s="1"/>
  <c r="P50" i="2" a="1"/>
  <c r="P50" i="2" s="1"/>
  <c r="P51" i="2" a="1"/>
  <c r="P51" i="2" s="1"/>
  <c r="P3" i="2" a="1"/>
  <c r="P3" i="2" s="1"/>
  <c r="P4" i="2" a="1"/>
  <c r="P4" i="2" s="1"/>
  <c r="P52" i="2" a="1"/>
  <c r="P52" i="2" s="1"/>
  <c r="P53" i="2" a="1"/>
  <c r="P53" i="2" s="1"/>
  <c r="P54" i="2" a="1"/>
  <c r="P54" i="2" s="1"/>
  <c r="P81" i="2" a="1"/>
  <c r="P81" i="2" s="1"/>
  <c r="P71" i="2" a="1"/>
  <c r="P71" i="2" s="1"/>
  <c r="P63" i="2" a="1"/>
  <c r="P63" i="2" s="1"/>
  <c r="P26" i="2" a="1"/>
  <c r="P26" i="2" s="1"/>
  <c r="P55" i="2" a="1"/>
  <c r="P55" i="2" s="1"/>
  <c r="P56" i="2" a="1"/>
  <c r="P56" i="2" s="1"/>
  <c r="P27" i="2" a="1"/>
  <c r="P27" i="2" s="1"/>
  <c r="P28" i="2" a="1"/>
  <c r="P28" i="2" s="1"/>
  <c r="P29" i="2" a="1"/>
  <c r="P29" i="2" s="1"/>
  <c r="P6" i="2" a="1"/>
  <c r="P6" i="2" s="1"/>
  <c r="P30" i="2" a="1"/>
  <c r="P30" i="2" s="1"/>
  <c r="P31" i="2" a="1"/>
  <c r="P31" i="2" s="1"/>
  <c r="P72" i="2" a="1"/>
  <c r="P72" i="2" s="1"/>
  <c r="P32" i="2" a="1"/>
  <c r="P32" i="2" s="1"/>
  <c r="P73" i="2" a="1"/>
  <c r="P73" i="2" s="1"/>
  <c r="P74" i="2" a="1"/>
  <c r="P74" i="2" s="1"/>
  <c r="P7" i="2" a="1"/>
  <c r="P7" i="2" s="1"/>
  <c r="P75" i="2" a="1"/>
  <c r="P75" i="2" s="1"/>
  <c r="P57" i="2" a="1"/>
  <c r="P57" i="2" s="1"/>
  <c r="P8" i="2" a="1"/>
  <c r="P8" i="2" s="1"/>
  <c r="P9" i="2" a="1"/>
  <c r="P9" i="2" s="1"/>
  <c r="P58" i="2" a="1"/>
  <c r="P58" i="2" s="1"/>
  <c r="P59" i="2" a="1"/>
  <c r="P59" i="2" s="1"/>
  <c r="P33" i="2" a="1"/>
  <c r="P33" i="2" s="1"/>
  <c r="P34" i="2" a="1"/>
  <c r="P34" i="2" s="1"/>
  <c r="P10" i="2" a="1"/>
  <c r="P10" i="2" s="1"/>
  <c r="P60" i="2" a="1"/>
  <c r="P60" i="2" s="1"/>
  <c r="P11" i="2" a="1"/>
  <c r="P11" i="2" s="1"/>
  <c r="P76" i="2" a="1"/>
  <c r="P76" i="2" s="1"/>
  <c r="P35" i="2" a="1"/>
  <c r="P35" i="2" s="1"/>
  <c r="P12" i="2" a="1"/>
  <c r="P12" i="2" s="1"/>
  <c r="P13" i="2" a="1"/>
  <c r="P13" i="2" s="1"/>
  <c r="P61" i="2" a="1"/>
  <c r="P61" i="2" s="1"/>
  <c r="P14" i="2" a="1"/>
  <c r="P14" i="2" s="1"/>
  <c r="P36" i="2" a="1"/>
  <c r="P36" i="2" s="1"/>
  <c r="P62" i="2" a="1"/>
  <c r="P62" i="2" s="1"/>
  <c r="P77" i="2" a="1"/>
  <c r="P77" i="2" s="1"/>
  <c r="P37" i="2" a="1"/>
  <c r="P37" i="2" s="1"/>
  <c r="P38" i="2" a="1"/>
  <c r="P38" i="2" s="1"/>
  <c r="P16" i="2" a="1"/>
  <c r="P16" i="2" s="1"/>
  <c r="P17" i="2" a="1"/>
  <c r="P17" i="2" s="1"/>
  <c r="P64" i="2" a="1"/>
  <c r="P64" i="2" s="1"/>
  <c r="P18" i="2" a="1"/>
  <c r="P18" i="2" s="1"/>
  <c r="P39" i="2" a="1"/>
  <c r="P39" i="2" s="1"/>
  <c r="P40" i="2" a="1"/>
  <c r="P40" i="2" s="1"/>
  <c r="P41" i="2" a="1"/>
  <c r="P41" i="2" s="1"/>
  <c r="P19" i="2" a="1"/>
  <c r="P19" i="2" s="1"/>
  <c r="P42" i="2" a="1"/>
  <c r="P42" i="2" s="1"/>
  <c r="P65" i="2" a="1"/>
  <c r="P65" i="2" s="1"/>
  <c r="P66" i="2" a="1"/>
  <c r="P66" i="2" s="1"/>
  <c r="P20" i="2" a="1"/>
  <c r="P20" i="2" s="1"/>
  <c r="P67" i="2" a="1"/>
  <c r="P67" i="2" s="1"/>
  <c r="P78" i="2" a="1"/>
  <c r="P78" i="2" s="1"/>
  <c r="P79" i="2" a="1"/>
  <c r="P79" i="2" s="1"/>
  <c r="P43" i="2" a="1"/>
  <c r="P43" i="2" s="1"/>
  <c r="P44" i="2" a="1"/>
  <c r="P44" i="2" s="1"/>
  <c r="P21" i="2" a="1"/>
  <c r="P21" i="2" s="1"/>
  <c r="P45" i="2" a="1"/>
  <c r="P45" i="2" s="1"/>
  <c r="P46" i="2" a="1"/>
  <c r="P46" i="2" s="1"/>
  <c r="P47" i="2" a="1"/>
  <c r="P47" i="2" s="1"/>
  <c r="P48" i="2" a="1"/>
  <c r="P48" i="2" s="1"/>
  <c r="P69" i="2" a="1"/>
  <c r="P69" i="2" s="1"/>
  <c r="P15" i="2" a="1"/>
  <c r="P15" i="2" s="1"/>
  <c r="P70" i="2" a="1"/>
  <c r="P70" i="2" s="1"/>
  <c r="P22" i="2" a="1"/>
  <c r="P22" i="2" s="1"/>
  <c r="P23" i="2" a="1"/>
  <c r="P23" i="2" s="1"/>
  <c r="P24" i="2" a="1"/>
  <c r="P24" i="2" s="1"/>
  <c r="N49" i="2" a="1"/>
  <c r="N49" i="2" s="1"/>
  <c r="N80" i="2" a="1"/>
  <c r="N80" i="2" s="1"/>
  <c r="N25" i="2" a="1"/>
  <c r="N25" i="2" s="1"/>
  <c r="N50" i="2" a="1"/>
  <c r="N50" i="2" s="1"/>
  <c r="N51" i="2" a="1"/>
  <c r="N51" i="2" s="1"/>
  <c r="N3" i="2" a="1"/>
  <c r="N3" i="2" s="1"/>
  <c r="N4" i="2" a="1"/>
  <c r="N4" i="2" s="1"/>
  <c r="N52" i="2" a="1"/>
  <c r="N52" i="2" s="1"/>
  <c r="N53" i="2" a="1"/>
  <c r="N53" i="2" s="1"/>
  <c r="N54" i="2" a="1"/>
  <c r="N54" i="2" s="1"/>
  <c r="N81" i="2" a="1"/>
  <c r="N81" i="2" s="1"/>
  <c r="N71" i="2" a="1"/>
  <c r="N71" i="2" s="1"/>
  <c r="N63" i="2" a="1"/>
  <c r="N63" i="2" s="1"/>
  <c r="N26" i="2" a="1"/>
  <c r="N26" i="2" s="1"/>
  <c r="N55" i="2" a="1"/>
  <c r="N55" i="2" s="1"/>
  <c r="N56" i="2" a="1"/>
  <c r="N56" i="2" s="1"/>
  <c r="N27" i="2" a="1"/>
  <c r="N27" i="2" s="1"/>
  <c r="N28" i="2" a="1"/>
  <c r="N28" i="2" s="1"/>
  <c r="N29" i="2" a="1"/>
  <c r="N29" i="2" s="1"/>
  <c r="N6" i="2" a="1"/>
  <c r="N6" i="2" s="1"/>
  <c r="N30" i="2" a="1"/>
  <c r="N30" i="2" s="1"/>
  <c r="N31" i="2" a="1"/>
  <c r="N31" i="2" s="1"/>
  <c r="N72" i="2" a="1"/>
  <c r="N72" i="2" s="1"/>
  <c r="N32" i="2" a="1"/>
  <c r="N32" i="2" s="1"/>
  <c r="N73" i="2" a="1"/>
  <c r="N73" i="2" s="1"/>
  <c r="N74" i="2" a="1"/>
  <c r="N74" i="2" s="1"/>
  <c r="N7" i="2" a="1"/>
  <c r="N7" i="2" s="1"/>
  <c r="N75" i="2" a="1"/>
  <c r="N75" i="2" s="1"/>
  <c r="N57" i="2" a="1"/>
  <c r="N57" i="2" s="1"/>
  <c r="N8" i="2" a="1"/>
  <c r="N8" i="2" s="1"/>
  <c r="N9" i="2" a="1"/>
  <c r="N9" i="2" s="1"/>
  <c r="N58" i="2" a="1"/>
  <c r="N58" i="2" s="1"/>
  <c r="N59" i="2" a="1"/>
  <c r="N59" i="2" s="1"/>
  <c r="N33" i="2" a="1"/>
  <c r="N33" i="2" s="1"/>
  <c r="N34" i="2" a="1"/>
  <c r="N34" i="2" s="1"/>
  <c r="N10" i="2" a="1"/>
  <c r="N10" i="2" s="1"/>
  <c r="N60" i="2" a="1"/>
  <c r="N60" i="2" s="1"/>
  <c r="N11" i="2" a="1"/>
  <c r="N11" i="2" s="1"/>
  <c r="N76" i="2" a="1"/>
  <c r="N76" i="2" s="1"/>
  <c r="N35" i="2" a="1"/>
  <c r="N35" i="2" s="1"/>
  <c r="N12" i="2" a="1"/>
  <c r="N12" i="2" s="1"/>
  <c r="N13" i="2" a="1"/>
  <c r="N13" i="2" s="1"/>
  <c r="N61" i="2" a="1"/>
  <c r="N61" i="2" s="1"/>
  <c r="N14" i="2" a="1"/>
  <c r="N14" i="2" s="1"/>
  <c r="N36" i="2" a="1"/>
  <c r="N36" i="2" s="1"/>
  <c r="N62" i="2" a="1"/>
  <c r="N62" i="2" s="1"/>
  <c r="N77" i="2" a="1"/>
  <c r="N77" i="2" s="1"/>
  <c r="N37" i="2" a="1"/>
  <c r="N37" i="2" s="1"/>
  <c r="N38" i="2" a="1"/>
  <c r="N38" i="2" s="1"/>
  <c r="N16" i="2" a="1"/>
  <c r="N16" i="2" s="1"/>
  <c r="N17" i="2" a="1"/>
  <c r="N17" i="2" s="1"/>
  <c r="N64" i="2" a="1"/>
  <c r="N64" i="2" s="1"/>
  <c r="N18" i="2" a="1"/>
  <c r="N18" i="2" s="1"/>
  <c r="N39" i="2" a="1"/>
  <c r="N39" i="2" s="1"/>
  <c r="N40" i="2" a="1"/>
  <c r="N40" i="2" s="1"/>
  <c r="N41" i="2" a="1"/>
  <c r="N41" i="2" s="1"/>
  <c r="N19" i="2" a="1"/>
  <c r="N19" i="2" s="1"/>
  <c r="N42" i="2" a="1"/>
  <c r="N42" i="2" s="1"/>
  <c r="N65" i="2" a="1"/>
  <c r="N65" i="2" s="1"/>
  <c r="N66" i="2" a="1"/>
  <c r="N66" i="2" s="1"/>
  <c r="N20" i="2" a="1"/>
  <c r="N20" i="2" s="1"/>
  <c r="N67" i="2" a="1"/>
  <c r="N67" i="2" s="1"/>
  <c r="N78" i="2" a="1"/>
  <c r="N78" i="2" s="1"/>
  <c r="N79" i="2" a="1"/>
  <c r="N79" i="2" s="1"/>
  <c r="N43" i="2" a="1"/>
  <c r="N43" i="2" s="1"/>
  <c r="N44" i="2" a="1"/>
  <c r="N44" i="2" s="1"/>
  <c r="N21" i="2" a="1"/>
  <c r="N21" i="2" s="1"/>
  <c r="N45" i="2" a="1"/>
  <c r="N45" i="2" s="1"/>
  <c r="N46" i="2" a="1"/>
  <c r="N46" i="2" s="1"/>
  <c r="N47" i="2" a="1"/>
  <c r="N47" i="2" s="1"/>
  <c r="N48" i="2" a="1"/>
  <c r="N48" i="2" s="1"/>
  <c r="N69" i="2" a="1"/>
  <c r="N69" i="2" s="1"/>
  <c r="N15" i="2" a="1"/>
  <c r="N15" i="2" s="1"/>
  <c r="N70" i="2" a="1"/>
  <c r="N70" i="2" s="1"/>
  <c r="N22" i="2" a="1"/>
  <c r="N22" i="2" s="1"/>
  <c r="N23" i="2" a="1"/>
  <c r="N23" i="2" s="1"/>
  <c r="N24" i="2" a="1"/>
  <c r="N24" i="2" s="1"/>
  <c r="M49" i="2" a="1"/>
  <c r="M49" i="2" s="1"/>
  <c r="M80" i="2" a="1"/>
  <c r="M80" i="2" s="1"/>
  <c r="M25" i="2" a="1"/>
  <c r="M25" i="2" s="1"/>
  <c r="M50" i="2" a="1"/>
  <c r="M50" i="2" s="1"/>
  <c r="M51" i="2" a="1"/>
  <c r="M51" i="2" s="1"/>
  <c r="M3" i="2" a="1"/>
  <c r="M3" i="2" s="1"/>
  <c r="M4" i="2" a="1"/>
  <c r="M4" i="2" s="1"/>
  <c r="M52" i="2" a="1"/>
  <c r="M52" i="2" s="1"/>
  <c r="M53" i="2" a="1"/>
  <c r="M53" i="2" s="1"/>
  <c r="M54" i="2" a="1"/>
  <c r="M54" i="2" s="1"/>
  <c r="M81" i="2" a="1"/>
  <c r="M81" i="2" s="1"/>
  <c r="M71" i="2" a="1"/>
  <c r="M71" i="2" s="1"/>
  <c r="M63" i="2" a="1"/>
  <c r="M63" i="2" s="1"/>
  <c r="M26" i="2" a="1"/>
  <c r="M26" i="2" s="1"/>
  <c r="M55" i="2" a="1"/>
  <c r="M55" i="2" s="1"/>
  <c r="M56" i="2" a="1"/>
  <c r="M56" i="2" s="1"/>
  <c r="M27" i="2" a="1"/>
  <c r="M27" i="2" s="1"/>
  <c r="M28" i="2" a="1"/>
  <c r="M28" i="2" s="1"/>
  <c r="M29" i="2" a="1"/>
  <c r="M29" i="2" s="1"/>
  <c r="M6" i="2" a="1"/>
  <c r="M6" i="2" s="1"/>
  <c r="M30" i="2" a="1"/>
  <c r="M30" i="2" s="1"/>
  <c r="M31" i="2" a="1"/>
  <c r="M31" i="2" s="1"/>
  <c r="M72" i="2" a="1"/>
  <c r="M72" i="2" s="1"/>
  <c r="M32" i="2" a="1"/>
  <c r="M32" i="2" s="1"/>
  <c r="M73" i="2" a="1"/>
  <c r="M73" i="2" s="1"/>
  <c r="M74" i="2" a="1"/>
  <c r="M74" i="2" s="1"/>
  <c r="M7" i="2" a="1"/>
  <c r="M7" i="2" s="1"/>
  <c r="M75" i="2" a="1"/>
  <c r="M75" i="2" s="1"/>
  <c r="M57" i="2" a="1"/>
  <c r="M57" i="2" s="1"/>
  <c r="M8" i="2" a="1"/>
  <c r="M8" i="2" s="1"/>
  <c r="M9" i="2" a="1"/>
  <c r="M9" i="2" s="1"/>
  <c r="M58" i="2" a="1"/>
  <c r="M58" i="2" s="1"/>
  <c r="M59" i="2" a="1"/>
  <c r="M59" i="2" s="1"/>
  <c r="M33" i="2" a="1"/>
  <c r="M33" i="2" s="1"/>
  <c r="M34" i="2" a="1"/>
  <c r="M34" i="2" s="1"/>
  <c r="M10" i="2" a="1"/>
  <c r="M10" i="2" s="1"/>
  <c r="M60" i="2" a="1"/>
  <c r="M60" i="2" s="1"/>
  <c r="M11" i="2" a="1"/>
  <c r="M11" i="2" s="1"/>
  <c r="M76" i="2" a="1"/>
  <c r="M76" i="2" s="1"/>
  <c r="M35" i="2" a="1"/>
  <c r="M35" i="2" s="1"/>
  <c r="M12" i="2" a="1"/>
  <c r="M12" i="2" s="1"/>
  <c r="M13" i="2" a="1"/>
  <c r="M13" i="2" s="1"/>
  <c r="M61" i="2" a="1"/>
  <c r="M61" i="2" s="1"/>
  <c r="M14" i="2" a="1"/>
  <c r="M14" i="2" s="1"/>
  <c r="M36" i="2" a="1"/>
  <c r="M36" i="2" s="1"/>
  <c r="M62" i="2" a="1"/>
  <c r="M62" i="2" s="1"/>
  <c r="M77" i="2" a="1"/>
  <c r="M77" i="2" s="1"/>
  <c r="M37" i="2" a="1"/>
  <c r="M37" i="2" s="1"/>
  <c r="M38" i="2" a="1"/>
  <c r="M38" i="2" s="1"/>
  <c r="M16" i="2" a="1"/>
  <c r="M16" i="2" s="1"/>
  <c r="M17" i="2" a="1"/>
  <c r="M17" i="2" s="1"/>
  <c r="M64" i="2" a="1"/>
  <c r="M64" i="2" s="1"/>
  <c r="M18" i="2" a="1"/>
  <c r="M18" i="2" s="1"/>
  <c r="M39" i="2" a="1"/>
  <c r="M39" i="2" s="1"/>
  <c r="M40" i="2" a="1"/>
  <c r="M40" i="2" s="1"/>
  <c r="M41" i="2" a="1"/>
  <c r="M41" i="2" s="1"/>
  <c r="M19" i="2" a="1"/>
  <c r="M19" i="2" s="1"/>
  <c r="M42" i="2" a="1"/>
  <c r="M42" i="2" s="1"/>
  <c r="M65" i="2" a="1"/>
  <c r="M65" i="2" s="1"/>
  <c r="M66" i="2" a="1"/>
  <c r="M66" i="2"/>
  <c r="M20" i="2" a="1"/>
  <c r="M20" i="2" s="1"/>
  <c r="M67" i="2" a="1"/>
  <c r="M67" i="2" s="1"/>
  <c r="M78" i="2" a="1"/>
  <c r="M78" i="2" s="1"/>
  <c r="M79" i="2" a="1"/>
  <c r="M79" i="2" s="1"/>
  <c r="M43" i="2" a="1"/>
  <c r="M43" i="2" s="1"/>
  <c r="M44" i="2" a="1"/>
  <c r="M44" i="2" s="1"/>
  <c r="M21" i="2" a="1"/>
  <c r="M21" i="2" s="1"/>
  <c r="M45" i="2" a="1"/>
  <c r="M45" i="2" s="1"/>
  <c r="M46" i="2" a="1"/>
  <c r="M46" i="2" s="1"/>
  <c r="M47" i="2" a="1"/>
  <c r="M47" i="2" s="1"/>
  <c r="M48" i="2" a="1"/>
  <c r="M48" i="2" s="1"/>
  <c r="M69" i="2" a="1"/>
  <c r="M69" i="2" s="1"/>
  <c r="M15" i="2" a="1"/>
  <c r="M15" i="2" s="1"/>
  <c r="M70" i="2" a="1"/>
  <c r="M70" i="2" s="1"/>
  <c r="M22" i="2" a="1"/>
  <c r="M22" i="2" s="1"/>
  <c r="M23" i="2" a="1"/>
  <c r="M23" i="2" s="1"/>
  <c r="M24" i="2" a="1"/>
  <c r="M24" i="2" s="1"/>
  <c r="L49" i="2"/>
  <c r="L80" i="2"/>
  <c r="L25" i="2"/>
  <c r="L50" i="2"/>
  <c r="L51" i="2"/>
  <c r="L3" i="2"/>
  <c r="L4" i="2"/>
  <c r="L52" i="2"/>
  <c r="L53" i="2"/>
  <c r="L54" i="2"/>
  <c r="L81" i="2"/>
  <c r="L71" i="2"/>
  <c r="L63" i="2"/>
  <c r="L26" i="2"/>
  <c r="L55" i="2"/>
  <c r="L56" i="2"/>
  <c r="L27" i="2"/>
  <c r="L28" i="2"/>
  <c r="L29" i="2"/>
  <c r="L6" i="2"/>
  <c r="L30" i="2"/>
  <c r="L31" i="2"/>
  <c r="L72" i="2"/>
  <c r="L32" i="2"/>
  <c r="L73" i="2"/>
  <c r="L74" i="2"/>
  <c r="L7" i="2"/>
  <c r="L75" i="2"/>
  <c r="L57" i="2"/>
  <c r="L8" i="2"/>
  <c r="L9" i="2"/>
  <c r="L58" i="2"/>
  <c r="L59" i="2"/>
  <c r="L33" i="2"/>
  <c r="L34" i="2"/>
  <c r="L10" i="2"/>
  <c r="L60" i="2"/>
  <c r="L11" i="2"/>
  <c r="L76" i="2"/>
  <c r="L35" i="2"/>
  <c r="L12" i="2"/>
  <c r="L13" i="2"/>
  <c r="L61" i="2"/>
  <c r="L14" i="2"/>
  <c r="L36" i="2"/>
  <c r="L62" i="2"/>
  <c r="L77" i="2"/>
  <c r="L37" i="2"/>
  <c r="L38" i="2"/>
  <c r="L16" i="2"/>
  <c r="L17" i="2"/>
  <c r="L64" i="2"/>
  <c r="L18" i="2"/>
  <c r="L39" i="2"/>
  <c r="L40" i="2"/>
  <c r="L41" i="2"/>
  <c r="L19" i="2"/>
  <c r="L42" i="2"/>
  <c r="L65" i="2"/>
  <c r="L66" i="2"/>
  <c r="L20" i="2"/>
  <c r="L67" i="2"/>
  <c r="L78" i="2"/>
  <c r="L79" i="2"/>
  <c r="L43" i="2"/>
  <c r="L44" i="2"/>
  <c r="L21" i="2"/>
  <c r="L45" i="2"/>
  <c r="L46" i="2"/>
  <c r="L47" i="2"/>
  <c r="L48" i="2"/>
  <c r="L69" i="2"/>
  <c r="L15" i="2"/>
  <c r="L70" i="2"/>
  <c r="L22" i="2"/>
  <c r="L23" i="2"/>
  <c r="L24" i="2"/>
  <c r="K49" i="2"/>
  <c r="K80" i="2"/>
  <c r="K25" i="2"/>
  <c r="K50" i="2"/>
  <c r="K51" i="2"/>
  <c r="K3" i="2"/>
  <c r="K4" i="2"/>
  <c r="K52" i="2"/>
  <c r="K53" i="2"/>
  <c r="K54" i="2"/>
  <c r="K81" i="2"/>
  <c r="K71" i="2"/>
  <c r="K63" i="2"/>
  <c r="K26" i="2"/>
  <c r="K55" i="2"/>
  <c r="K56" i="2"/>
  <c r="K27" i="2"/>
  <c r="K28" i="2"/>
  <c r="K29" i="2"/>
  <c r="K6" i="2"/>
  <c r="K30" i="2"/>
  <c r="K31" i="2"/>
  <c r="K72" i="2"/>
  <c r="K32" i="2"/>
  <c r="K73" i="2"/>
  <c r="K74" i="2"/>
  <c r="K7" i="2"/>
  <c r="K75" i="2"/>
  <c r="K57" i="2"/>
  <c r="K8" i="2"/>
  <c r="K9" i="2"/>
  <c r="K58" i="2"/>
  <c r="K59" i="2"/>
  <c r="K33" i="2"/>
  <c r="K34" i="2"/>
  <c r="K10" i="2"/>
  <c r="K60" i="2"/>
  <c r="K11" i="2"/>
  <c r="K76" i="2"/>
  <c r="K35" i="2"/>
  <c r="K12" i="2"/>
  <c r="K13" i="2"/>
  <c r="K61" i="2"/>
  <c r="K14" i="2"/>
  <c r="K36" i="2"/>
  <c r="K62" i="2"/>
  <c r="K77" i="2"/>
  <c r="K37" i="2"/>
  <c r="K38" i="2"/>
  <c r="K16" i="2"/>
  <c r="K17" i="2"/>
  <c r="K64" i="2"/>
  <c r="K18" i="2"/>
  <c r="K39" i="2"/>
  <c r="K40" i="2"/>
  <c r="K41" i="2"/>
  <c r="K19" i="2"/>
  <c r="K42" i="2"/>
  <c r="K65" i="2"/>
  <c r="K66" i="2"/>
  <c r="K20" i="2"/>
  <c r="K67" i="2"/>
  <c r="K78" i="2"/>
  <c r="K79" i="2"/>
  <c r="K43" i="2"/>
  <c r="K44" i="2"/>
  <c r="K21" i="2"/>
  <c r="K45" i="2"/>
  <c r="K46" i="2"/>
  <c r="K47" i="2"/>
  <c r="K48" i="2"/>
  <c r="K69" i="2"/>
  <c r="K15" i="2"/>
  <c r="K70" i="2"/>
  <c r="K22" i="2"/>
  <c r="K23" i="2"/>
  <c r="K24" i="2"/>
  <c r="J49" i="2" a="1"/>
  <c r="J49" i="2" s="1"/>
  <c r="J80" i="2" a="1"/>
  <c r="J80" i="2" s="1"/>
  <c r="J25" i="2" a="1"/>
  <c r="J25" i="2" s="1"/>
  <c r="J50" i="2" a="1"/>
  <c r="J50" i="2" s="1"/>
  <c r="J51" i="2" a="1"/>
  <c r="J51" i="2" s="1"/>
  <c r="J3" i="2" a="1"/>
  <c r="J3" i="2" s="1"/>
  <c r="J4" i="2" a="1"/>
  <c r="J4" i="2" s="1"/>
  <c r="J52" i="2" a="1"/>
  <c r="J52" i="2" s="1"/>
  <c r="J53" i="2" a="1"/>
  <c r="J53" i="2" s="1"/>
  <c r="J54" i="2" a="1"/>
  <c r="J54" i="2" s="1"/>
  <c r="J81" i="2" a="1"/>
  <c r="J81" i="2" s="1"/>
  <c r="J71" i="2" a="1"/>
  <c r="J71" i="2" s="1"/>
  <c r="J63" i="2" a="1"/>
  <c r="J63" i="2" s="1"/>
  <c r="J26" i="2" a="1"/>
  <c r="J26" i="2" s="1"/>
  <c r="J55" i="2" a="1"/>
  <c r="J55" i="2" s="1"/>
  <c r="J56" i="2" a="1"/>
  <c r="J56" i="2" s="1"/>
  <c r="J27" i="2" a="1"/>
  <c r="J27" i="2" s="1"/>
  <c r="J28" i="2" a="1"/>
  <c r="J28" i="2" s="1"/>
  <c r="J29" i="2" a="1"/>
  <c r="J29" i="2" s="1"/>
  <c r="J6" i="2" a="1"/>
  <c r="J6" i="2" s="1"/>
  <c r="J30" i="2" a="1"/>
  <c r="J30" i="2" s="1"/>
  <c r="J31" i="2" a="1"/>
  <c r="J31" i="2" s="1"/>
  <c r="J72" i="2" a="1"/>
  <c r="J72" i="2" s="1"/>
  <c r="J32" i="2" a="1"/>
  <c r="J32" i="2" s="1"/>
  <c r="J73" i="2" a="1"/>
  <c r="J73" i="2" s="1"/>
  <c r="J74" i="2" a="1"/>
  <c r="J74" i="2" s="1"/>
  <c r="J7" i="2" a="1"/>
  <c r="J7" i="2" s="1"/>
  <c r="J75" i="2" a="1"/>
  <c r="J75" i="2" s="1"/>
  <c r="J57" i="2" a="1"/>
  <c r="J57" i="2" s="1"/>
  <c r="J8" i="2" a="1"/>
  <c r="J8" i="2" s="1"/>
  <c r="J9" i="2" a="1"/>
  <c r="J9" i="2" s="1"/>
  <c r="J58" i="2" a="1"/>
  <c r="J58" i="2" s="1"/>
  <c r="J59" i="2" a="1"/>
  <c r="J59" i="2" s="1"/>
  <c r="J33" i="2" a="1"/>
  <c r="J33" i="2" s="1"/>
  <c r="J34" i="2" a="1"/>
  <c r="J34" i="2" s="1"/>
  <c r="J10" i="2" a="1"/>
  <c r="J10" i="2" s="1"/>
  <c r="J60" i="2" a="1"/>
  <c r="J60" i="2" s="1"/>
  <c r="J11" i="2" a="1"/>
  <c r="J11" i="2" s="1"/>
  <c r="J76" i="2" a="1"/>
  <c r="J76" i="2" s="1"/>
  <c r="J35" i="2" a="1"/>
  <c r="J35" i="2" s="1"/>
  <c r="J12" i="2" a="1"/>
  <c r="J12" i="2" s="1"/>
  <c r="J13" i="2" a="1"/>
  <c r="J13" i="2" s="1"/>
  <c r="J61" i="2" a="1"/>
  <c r="J61" i="2" s="1"/>
  <c r="J14" i="2" a="1"/>
  <c r="J14" i="2" s="1"/>
  <c r="J36" i="2" a="1"/>
  <c r="J36" i="2" s="1"/>
  <c r="J62" i="2" a="1"/>
  <c r="J62" i="2" s="1"/>
  <c r="J77" i="2" a="1"/>
  <c r="J77" i="2" s="1"/>
  <c r="J37" i="2" a="1"/>
  <c r="J37" i="2" s="1"/>
  <c r="J38" i="2" a="1"/>
  <c r="J38" i="2" s="1"/>
  <c r="J16" i="2" a="1"/>
  <c r="J16" i="2" s="1"/>
  <c r="J17" i="2" a="1"/>
  <c r="J17" i="2" s="1"/>
  <c r="J64" i="2" a="1"/>
  <c r="J64" i="2" s="1"/>
  <c r="J18" i="2" a="1"/>
  <c r="J18" i="2" s="1"/>
  <c r="J39" i="2" a="1"/>
  <c r="J39" i="2" s="1"/>
  <c r="J40" i="2" a="1"/>
  <c r="J40" i="2" s="1"/>
  <c r="J41" i="2" a="1"/>
  <c r="J41" i="2" s="1"/>
  <c r="J19" i="2" a="1"/>
  <c r="J19" i="2" s="1"/>
  <c r="J42" i="2" a="1"/>
  <c r="J42" i="2" s="1"/>
  <c r="J65" i="2" a="1"/>
  <c r="J65" i="2" s="1"/>
  <c r="J66" i="2" a="1"/>
  <c r="J66" i="2" s="1"/>
  <c r="J20" i="2" a="1"/>
  <c r="J20" i="2" s="1"/>
  <c r="J67" i="2" a="1"/>
  <c r="J67" i="2" s="1"/>
  <c r="J78" i="2" a="1"/>
  <c r="J78" i="2" s="1"/>
  <c r="J79" i="2" a="1"/>
  <c r="J79" i="2" s="1"/>
  <c r="J43" i="2" a="1"/>
  <c r="J43" i="2" s="1"/>
  <c r="J44" i="2" a="1"/>
  <c r="J44" i="2" s="1"/>
  <c r="J21" i="2" a="1"/>
  <c r="J21" i="2" s="1"/>
  <c r="J45" i="2" a="1"/>
  <c r="J45" i="2" s="1"/>
  <c r="J46" i="2" a="1"/>
  <c r="J46" i="2" s="1"/>
  <c r="J47" i="2" a="1"/>
  <c r="J47" i="2" s="1"/>
  <c r="J48" i="2" a="1"/>
  <c r="J48" i="2" s="1"/>
  <c r="J69" i="2" a="1"/>
  <c r="J69" i="2" s="1"/>
  <c r="J15" i="2" a="1"/>
  <c r="J15" i="2" s="1"/>
  <c r="J70" i="2" a="1"/>
  <c r="J70" i="2" s="1"/>
  <c r="J22" i="2" a="1"/>
  <c r="J22" i="2" s="1"/>
  <c r="J23" i="2" a="1"/>
  <c r="J23" i="2" s="1"/>
  <c r="J24" i="2" a="1"/>
  <c r="J24" i="2" s="1"/>
  <c r="I49" i="2"/>
  <c r="I80" i="2"/>
  <c r="I25" i="2"/>
  <c r="I50" i="2"/>
  <c r="I51" i="2"/>
  <c r="I3" i="2"/>
  <c r="I4" i="2"/>
  <c r="I52" i="2"/>
  <c r="I53" i="2"/>
  <c r="I54" i="2"/>
  <c r="I81" i="2"/>
  <c r="I71" i="2"/>
  <c r="I63" i="2"/>
  <c r="I26" i="2"/>
  <c r="I55" i="2"/>
  <c r="I56" i="2"/>
  <c r="I27" i="2"/>
  <c r="I28" i="2"/>
  <c r="I29" i="2"/>
  <c r="I6" i="2"/>
  <c r="I30" i="2"/>
  <c r="I31" i="2"/>
  <c r="I72" i="2"/>
  <c r="I32" i="2"/>
  <c r="I73" i="2"/>
  <c r="I74" i="2"/>
  <c r="I7" i="2"/>
  <c r="I75" i="2"/>
  <c r="I57" i="2"/>
  <c r="I8" i="2"/>
  <c r="I9" i="2"/>
  <c r="I58" i="2"/>
  <c r="I59" i="2"/>
  <c r="I33" i="2"/>
  <c r="I34" i="2"/>
  <c r="I10" i="2"/>
  <c r="I60" i="2"/>
  <c r="I11" i="2"/>
  <c r="I76" i="2"/>
  <c r="I35" i="2"/>
  <c r="I12" i="2"/>
  <c r="I13" i="2"/>
  <c r="I61" i="2"/>
  <c r="I14" i="2"/>
  <c r="I36" i="2"/>
  <c r="I62" i="2"/>
  <c r="I77" i="2"/>
  <c r="I37" i="2"/>
  <c r="I38" i="2"/>
  <c r="I16" i="2"/>
  <c r="I17" i="2"/>
  <c r="I64" i="2"/>
  <c r="I18" i="2"/>
  <c r="I39" i="2"/>
  <c r="I40" i="2"/>
  <c r="I41" i="2"/>
  <c r="I19" i="2"/>
  <c r="I42" i="2"/>
  <c r="I65" i="2"/>
  <c r="I66" i="2"/>
  <c r="I20" i="2"/>
  <c r="I67" i="2"/>
  <c r="I78" i="2"/>
  <c r="I79" i="2"/>
  <c r="I43" i="2"/>
  <c r="I44" i="2"/>
  <c r="I21" i="2"/>
  <c r="I45" i="2"/>
  <c r="I46" i="2"/>
  <c r="I47" i="2"/>
  <c r="I48" i="2"/>
  <c r="I69" i="2"/>
  <c r="I15" i="2"/>
  <c r="I70" i="2"/>
  <c r="I22" i="2"/>
  <c r="I23" i="2"/>
  <c r="I24" i="2"/>
  <c r="H49" i="2" a="1"/>
  <c r="H49" i="2" s="1"/>
  <c r="H80" i="2" a="1"/>
  <c r="H80" i="2" s="1"/>
  <c r="H25" i="2" a="1"/>
  <c r="H25" i="2" s="1"/>
  <c r="H50" i="2" a="1"/>
  <c r="H50" i="2" s="1"/>
  <c r="H51" i="2" a="1"/>
  <c r="H51" i="2" s="1"/>
  <c r="H3" i="2" a="1"/>
  <c r="H3" i="2" s="1"/>
  <c r="H4" i="2" a="1"/>
  <c r="H4" i="2" s="1"/>
  <c r="H52" i="2" a="1"/>
  <c r="H52" i="2" s="1"/>
  <c r="H53" i="2" a="1"/>
  <c r="H53" i="2" s="1"/>
  <c r="H54" i="2" a="1"/>
  <c r="H54" i="2" s="1"/>
  <c r="H81" i="2" a="1"/>
  <c r="H81" i="2" s="1"/>
  <c r="H71" i="2" a="1"/>
  <c r="H71" i="2" s="1"/>
  <c r="H63" i="2" a="1"/>
  <c r="H63" i="2" s="1"/>
  <c r="H26" i="2" a="1"/>
  <c r="H26" i="2" s="1"/>
  <c r="H55" i="2" a="1"/>
  <c r="H55" i="2" s="1"/>
  <c r="H56" i="2" a="1"/>
  <c r="H56" i="2" s="1"/>
  <c r="H27" i="2" a="1"/>
  <c r="H27" i="2" s="1"/>
  <c r="H28" i="2" a="1"/>
  <c r="H28" i="2" s="1"/>
  <c r="H29" i="2" a="1"/>
  <c r="H29" i="2" s="1"/>
  <c r="H6" i="2" a="1"/>
  <c r="H6" i="2" s="1"/>
  <c r="H30" i="2" a="1"/>
  <c r="H30" i="2" s="1"/>
  <c r="H31" i="2" a="1"/>
  <c r="H31" i="2" s="1"/>
  <c r="H72" i="2" a="1"/>
  <c r="H72" i="2" s="1"/>
  <c r="H32" i="2" a="1"/>
  <c r="H32" i="2" s="1"/>
  <c r="H73" i="2" a="1"/>
  <c r="H73" i="2" s="1"/>
  <c r="H74" i="2" a="1"/>
  <c r="H74" i="2" s="1"/>
  <c r="H7" i="2" a="1"/>
  <c r="H7" i="2" s="1"/>
  <c r="H75" i="2" a="1"/>
  <c r="H75" i="2" s="1"/>
  <c r="H57" i="2" a="1"/>
  <c r="H57" i="2" s="1"/>
  <c r="H8" i="2" a="1"/>
  <c r="H8" i="2" s="1"/>
  <c r="H9" i="2" a="1"/>
  <c r="H9" i="2" s="1"/>
  <c r="H58" i="2" a="1"/>
  <c r="H58" i="2" s="1"/>
  <c r="H59" i="2" a="1"/>
  <c r="H59" i="2" s="1"/>
  <c r="H33" i="2" a="1"/>
  <c r="H33" i="2"/>
  <c r="H34" i="2" a="1"/>
  <c r="H34" i="2" s="1"/>
  <c r="H10" i="2" a="1"/>
  <c r="H10" i="2" s="1"/>
  <c r="H60" i="2" a="1"/>
  <c r="H60" i="2" s="1"/>
  <c r="H11" i="2" a="1"/>
  <c r="H11" i="2"/>
  <c r="H76" i="2" a="1"/>
  <c r="H76" i="2" s="1"/>
  <c r="H35" i="2" a="1"/>
  <c r="H35" i="2" s="1"/>
  <c r="H12" i="2" a="1"/>
  <c r="H12" i="2" s="1"/>
  <c r="H13" i="2" a="1"/>
  <c r="H13" i="2" s="1"/>
  <c r="H61" i="2" a="1"/>
  <c r="H61" i="2" s="1"/>
  <c r="H14" i="2" a="1"/>
  <c r="H14" i="2" s="1"/>
  <c r="H36" i="2" a="1"/>
  <c r="H36" i="2" s="1"/>
  <c r="H62" i="2" a="1"/>
  <c r="H62" i="2" s="1"/>
  <c r="H77" i="2" a="1"/>
  <c r="H77" i="2" s="1"/>
  <c r="H37" i="2" a="1"/>
  <c r="H37" i="2" s="1"/>
  <c r="H38" i="2" a="1"/>
  <c r="H38" i="2" s="1"/>
  <c r="H16" i="2" a="1"/>
  <c r="H16" i="2" s="1"/>
  <c r="H17" i="2" a="1"/>
  <c r="H17" i="2" s="1"/>
  <c r="H64" i="2" a="1"/>
  <c r="H64" i="2" s="1"/>
  <c r="H18" i="2" a="1"/>
  <c r="H18" i="2" s="1"/>
  <c r="H39" i="2" a="1"/>
  <c r="H39" i="2" s="1"/>
  <c r="H40" i="2" a="1"/>
  <c r="H40" i="2" s="1"/>
  <c r="H41" i="2" a="1"/>
  <c r="H41" i="2" s="1"/>
  <c r="H19" i="2" a="1"/>
  <c r="H19" i="2" s="1"/>
  <c r="H42" i="2" a="1"/>
  <c r="H42" i="2" s="1"/>
  <c r="H65" i="2" a="1"/>
  <c r="H65" i="2" s="1"/>
  <c r="H66" i="2" a="1"/>
  <c r="H66" i="2" s="1"/>
  <c r="H20" i="2" a="1"/>
  <c r="H20" i="2" s="1"/>
  <c r="H67" i="2" a="1"/>
  <c r="H67" i="2" s="1"/>
  <c r="H78" i="2" a="1"/>
  <c r="H78" i="2" s="1"/>
  <c r="H79" i="2" a="1"/>
  <c r="H79" i="2" s="1"/>
  <c r="H43" i="2" a="1"/>
  <c r="H43" i="2" s="1"/>
  <c r="H44" i="2" a="1"/>
  <c r="H44" i="2" s="1"/>
  <c r="H21" i="2" a="1"/>
  <c r="H21" i="2" s="1"/>
  <c r="H45" i="2" a="1"/>
  <c r="H45" i="2" s="1"/>
  <c r="H46" i="2" a="1"/>
  <c r="H46" i="2" s="1"/>
  <c r="H47" i="2" a="1"/>
  <c r="H47" i="2" s="1"/>
  <c r="H48" i="2" a="1"/>
  <c r="H48" i="2" s="1"/>
  <c r="H69" i="2" a="1"/>
  <c r="H69" i="2" s="1"/>
  <c r="H15" i="2" a="1"/>
  <c r="H15" i="2" s="1"/>
  <c r="H70" i="2" a="1"/>
  <c r="H70" i="2" s="1"/>
  <c r="H22" i="2" a="1"/>
  <c r="H22" i="2" s="1"/>
  <c r="H23" i="2" a="1"/>
  <c r="H23" i="2" s="1"/>
  <c r="H24" i="2" a="1"/>
  <c r="H24" i="2" s="1"/>
  <c r="F49" i="2" a="1"/>
  <c r="F49" i="2" s="1"/>
  <c r="F80" i="2" a="1"/>
  <c r="F80" i="2" s="1"/>
  <c r="F25" i="2" a="1"/>
  <c r="F25" i="2"/>
  <c r="F50" i="2" a="1"/>
  <c r="F50" i="2" s="1"/>
  <c r="F51" i="2" a="1"/>
  <c r="F51" i="2" s="1"/>
  <c r="F3" i="2" a="1"/>
  <c r="F3" i="2" s="1"/>
  <c r="F4" i="2" a="1"/>
  <c r="F4" i="2" s="1"/>
  <c r="F52" i="2" a="1"/>
  <c r="F52" i="2" s="1"/>
  <c r="F53" i="2" a="1"/>
  <c r="F53" i="2" s="1"/>
  <c r="F54" i="2" a="1"/>
  <c r="F54" i="2" s="1"/>
  <c r="F81" i="2" a="1"/>
  <c r="F81" i="2" s="1"/>
  <c r="F71" i="2" a="1"/>
  <c r="F71" i="2" s="1"/>
  <c r="F63" i="2" a="1"/>
  <c r="F63" i="2" s="1"/>
  <c r="F26" i="2" a="1"/>
  <c r="F26" i="2" s="1"/>
  <c r="F55" i="2" a="1"/>
  <c r="F55" i="2" s="1"/>
  <c r="F56" i="2" a="1"/>
  <c r="F56" i="2" s="1"/>
  <c r="F27" i="2" a="1"/>
  <c r="F27" i="2" s="1"/>
  <c r="F28" i="2" a="1"/>
  <c r="F28" i="2" s="1"/>
  <c r="F29" i="2" a="1"/>
  <c r="F29" i="2" s="1"/>
  <c r="F6" i="2" a="1"/>
  <c r="F6" i="2" s="1"/>
  <c r="F30" i="2" a="1"/>
  <c r="F30" i="2" s="1"/>
  <c r="F31" i="2" a="1"/>
  <c r="F31" i="2" s="1"/>
  <c r="F72" i="2" a="1"/>
  <c r="F72" i="2" s="1"/>
  <c r="F32" i="2" a="1"/>
  <c r="F32" i="2"/>
  <c r="F73" i="2" a="1"/>
  <c r="F73" i="2"/>
  <c r="F74" i="2" a="1"/>
  <c r="F74" i="2" s="1"/>
  <c r="F7" i="2" a="1"/>
  <c r="F7" i="2" s="1"/>
  <c r="F75" i="2" a="1"/>
  <c r="F75" i="2" s="1"/>
  <c r="F57" i="2" a="1"/>
  <c r="F57" i="2" s="1"/>
  <c r="F8" i="2" a="1"/>
  <c r="F8" i="2" s="1"/>
  <c r="F9" i="2" a="1"/>
  <c r="F9" i="2" s="1"/>
  <c r="F58" i="2" a="1"/>
  <c r="F58" i="2" s="1"/>
  <c r="F59" i="2" a="1"/>
  <c r="F59" i="2" s="1"/>
  <c r="F33" i="2" a="1"/>
  <c r="F33" i="2" s="1"/>
  <c r="F34" i="2" a="1"/>
  <c r="F34" i="2" s="1"/>
  <c r="F10" i="2" a="1"/>
  <c r="F10" i="2" s="1"/>
  <c r="F60" i="2" a="1"/>
  <c r="F60" i="2" s="1"/>
  <c r="F11" i="2" a="1"/>
  <c r="F11" i="2" s="1"/>
  <c r="F76" i="2" a="1"/>
  <c r="F76" i="2" s="1"/>
  <c r="F35" i="2" a="1"/>
  <c r="F35" i="2" s="1"/>
  <c r="F12" i="2" a="1"/>
  <c r="F12" i="2" s="1"/>
  <c r="F13" i="2" a="1"/>
  <c r="F13" i="2" s="1"/>
  <c r="F61" i="2" a="1"/>
  <c r="F61" i="2" s="1"/>
  <c r="F14" i="2" a="1"/>
  <c r="F14" i="2" s="1"/>
  <c r="F36" i="2" a="1"/>
  <c r="F36" i="2" s="1"/>
  <c r="F62" i="2" a="1"/>
  <c r="F62" i="2" s="1"/>
  <c r="F77" i="2" a="1"/>
  <c r="F77" i="2" s="1"/>
  <c r="F37" i="2" a="1"/>
  <c r="F37" i="2" s="1"/>
  <c r="F38" i="2" a="1"/>
  <c r="F38" i="2" s="1"/>
  <c r="F16" i="2" a="1"/>
  <c r="F16" i="2"/>
  <c r="F17" i="2" a="1"/>
  <c r="F17" i="2" s="1"/>
  <c r="F64" i="2" a="1"/>
  <c r="F64" i="2" s="1"/>
  <c r="F18" i="2" a="1"/>
  <c r="F18" i="2" s="1"/>
  <c r="F39" i="2" a="1"/>
  <c r="F39" i="2" s="1"/>
  <c r="F40" i="2" a="1"/>
  <c r="F40" i="2" s="1"/>
  <c r="F41" i="2" a="1"/>
  <c r="F41" i="2" s="1"/>
  <c r="F19" i="2" a="1"/>
  <c r="F19" i="2" s="1"/>
  <c r="F42" i="2" a="1"/>
  <c r="F42" i="2" s="1"/>
  <c r="F65" i="2" a="1"/>
  <c r="F65" i="2" s="1"/>
  <c r="F66" i="2" a="1"/>
  <c r="F66" i="2" s="1"/>
  <c r="F20" i="2" a="1"/>
  <c r="F20" i="2"/>
  <c r="F67" i="2" a="1"/>
  <c r="F67" i="2" s="1"/>
  <c r="F78" i="2" a="1"/>
  <c r="F78" i="2" s="1"/>
  <c r="F79" i="2" a="1"/>
  <c r="F79" i="2" s="1"/>
  <c r="F43" i="2" a="1"/>
  <c r="F43" i="2" s="1"/>
  <c r="F44" i="2" a="1"/>
  <c r="F44" i="2"/>
  <c r="F21" i="2" a="1"/>
  <c r="F21" i="2" s="1"/>
  <c r="F45" i="2" a="1"/>
  <c r="F45" i="2" s="1"/>
  <c r="F46" i="2" a="1"/>
  <c r="F46" i="2" s="1"/>
  <c r="F47" i="2" a="1"/>
  <c r="F47" i="2" s="1"/>
  <c r="F48" i="2" a="1"/>
  <c r="F48" i="2" s="1"/>
  <c r="F69" i="2" a="1"/>
  <c r="F69" i="2" s="1"/>
  <c r="F15" i="2" a="1"/>
  <c r="F15" i="2" s="1"/>
  <c r="F70" i="2" a="1"/>
  <c r="F70" i="2" s="1"/>
  <c r="F22" i="2" a="1"/>
  <c r="F22" i="2" s="1"/>
  <c r="F23" i="2" a="1"/>
  <c r="F23" i="2" s="1"/>
  <c r="F24" i="2" a="1"/>
  <c r="F24" i="2" s="1"/>
  <c r="D10" i="4"/>
  <c r="F10" i="4" s="1"/>
  <c r="E9" i="4"/>
  <c r="U15" i="2" a="1"/>
  <c r="U15" i="2" s="1"/>
  <c r="U70" i="2" a="1"/>
  <c r="U70" i="2" s="1"/>
  <c r="U22" i="2" a="1"/>
  <c r="U22" i="2" s="1"/>
  <c r="U23" i="2" a="1"/>
  <c r="U23" i="2" s="1"/>
  <c r="U24" i="2" a="1"/>
  <c r="U24" i="2" s="1"/>
  <c r="V15" i="2" a="1"/>
  <c r="V15" i="2" s="1"/>
  <c r="V70" i="2" a="1"/>
  <c r="V70" i="2" s="1"/>
  <c r="V22" i="2" a="1"/>
  <c r="V22" i="2" s="1"/>
  <c r="V23" i="2" a="1"/>
  <c r="V23" i="2" s="1"/>
  <c r="V24" i="2" a="1"/>
  <c r="V24" i="2" s="1"/>
  <c r="X15" i="2" a="1"/>
  <c r="X15" i="2" s="1"/>
  <c r="X70" i="2" a="1"/>
  <c r="X70" i="2" s="1"/>
  <c r="X22" i="2" a="1"/>
  <c r="X22" i="2" s="1"/>
  <c r="X23" i="2" a="1"/>
  <c r="X23" i="2" s="1"/>
  <c r="X24" i="2" a="1"/>
  <c r="X24" i="2" s="1"/>
  <c r="Y15" i="2" a="1"/>
  <c r="Y15" i="2" s="1"/>
  <c r="Y70" i="2" a="1"/>
  <c r="Y70" i="2" s="1"/>
  <c r="Y22" i="2" a="1"/>
  <c r="Y22" i="2" s="1"/>
  <c r="Y23" i="2" a="1"/>
  <c r="Y23" i="2" s="1"/>
  <c r="Y24" i="2" a="1"/>
  <c r="Y24" i="2" s="1"/>
  <c r="AA15" i="2" a="1"/>
  <c r="AA15" i="2" s="1"/>
  <c r="AA70" i="2" a="1"/>
  <c r="AA70" i="2"/>
  <c r="AA22" i="2" a="1"/>
  <c r="AA22" i="2" s="1"/>
  <c r="AA23" i="2" a="1"/>
  <c r="AA23" i="2" s="1"/>
  <c r="AA24" i="2" a="1"/>
  <c r="AA24" i="2" s="1"/>
  <c r="E10" i="4"/>
  <c r="L14" i="14"/>
  <c r="U18" i="2" a="1"/>
  <c r="U18" i="2" s="1"/>
  <c r="V18" i="2" a="1"/>
  <c r="V18" i="2" s="1"/>
  <c r="X18" i="2" a="1"/>
  <c r="X18" i="2" s="1"/>
  <c r="Y18" i="2" a="1"/>
  <c r="Y18" i="2" s="1"/>
  <c r="AA18" i="2" a="1"/>
  <c r="AA18" i="2" s="1"/>
  <c r="L11" i="14"/>
  <c r="L12" i="14"/>
  <c r="L3" i="14"/>
  <c r="M3" i="14"/>
  <c r="L4" i="14"/>
  <c r="M4" i="14"/>
  <c r="L5" i="14"/>
  <c r="M5" i="14"/>
  <c r="L6" i="14"/>
  <c r="M6" i="14"/>
  <c r="L7" i="14"/>
  <c r="M7" i="14"/>
  <c r="M2" i="14"/>
  <c r="D57" i="4"/>
  <c r="E57" i="4"/>
  <c r="AF9" i="4" a="1"/>
  <c r="AF9" i="4"/>
  <c r="AH9" i="4"/>
  <c r="AF10" i="4" a="1"/>
  <c r="AF10" i="4"/>
  <c r="AH10" i="4"/>
  <c r="AF11" i="4" a="1"/>
  <c r="AF11" i="4"/>
  <c r="AH11" i="4"/>
  <c r="AF12" i="4" a="1"/>
  <c r="AF12" i="4"/>
  <c r="AH12" i="4"/>
  <c r="AF13" i="4" a="1"/>
  <c r="AF13" i="4"/>
  <c r="AH13" i="4"/>
  <c r="AF14" i="4" a="1"/>
  <c r="AF14" i="4"/>
  <c r="AH14" i="4"/>
  <c r="AF15" i="4" a="1"/>
  <c r="AF15" i="4"/>
  <c r="AH15" i="4"/>
  <c r="AF16" i="4" a="1"/>
  <c r="AF16" i="4"/>
  <c r="AH16" i="4"/>
  <c r="AF17" i="4" a="1"/>
  <c r="AF17" i="4"/>
  <c r="AH17" i="4"/>
  <c r="AF18" i="4" a="1"/>
  <c r="AF18" i="4"/>
  <c r="AH18" i="4"/>
  <c r="AF19" i="4" a="1"/>
  <c r="AF19" i="4"/>
  <c r="AH19" i="4"/>
  <c r="AF20" i="4" a="1"/>
  <c r="AF20" i="4"/>
  <c r="AH20" i="4"/>
  <c r="AF21" i="4" a="1"/>
  <c r="AF21" i="4"/>
  <c r="AH21" i="4"/>
  <c r="AF22" i="4" a="1"/>
  <c r="AF22" i="4"/>
  <c r="AH22" i="4"/>
  <c r="AF23" i="4" a="1"/>
  <c r="AF23" i="4"/>
  <c r="AH23" i="4"/>
  <c r="AF24" i="4" a="1"/>
  <c r="AF24" i="4"/>
  <c r="AH24" i="4"/>
  <c r="AF25" i="4" a="1"/>
  <c r="AF25" i="4"/>
  <c r="AH25" i="4"/>
  <c r="AF26" i="4" a="1"/>
  <c r="AF26" i="4"/>
  <c r="AH26" i="4"/>
  <c r="AF27" i="4" a="1"/>
  <c r="AF27" i="4"/>
  <c r="AH27" i="4"/>
  <c r="AF28" i="4" a="1"/>
  <c r="AF28" i="4"/>
  <c r="AH28" i="4"/>
  <c r="AF29" i="4" a="1"/>
  <c r="AF29" i="4"/>
  <c r="AH29" i="4"/>
  <c r="AF30" i="4" a="1"/>
  <c r="AF30" i="4"/>
  <c r="AH30" i="4"/>
  <c r="AF31" i="4" a="1"/>
  <c r="AF31" i="4"/>
  <c r="AH31" i="4"/>
  <c r="AF32" i="4" a="1"/>
  <c r="AF32" i="4"/>
  <c r="AH32" i="4"/>
  <c r="AF33" i="4" a="1"/>
  <c r="AF33" i="4"/>
  <c r="AH33" i="4"/>
  <c r="AF34" i="4" a="1"/>
  <c r="AF34" i="4"/>
  <c r="AH34" i="4"/>
  <c r="AF35" i="4" a="1"/>
  <c r="AF35" i="4"/>
  <c r="AH35" i="4"/>
  <c r="AF8" i="4" a="1"/>
  <c r="AH8" i="4" s="1"/>
  <c r="AF8" i="4"/>
  <c r="D78" i="4"/>
  <c r="E48" i="4"/>
  <c r="U49" i="2" a="1"/>
  <c r="U49" i="2" s="1"/>
  <c r="U80" i="2" a="1"/>
  <c r="U80" i="2" s="1"/>
  <c r="U25" i="2" a="1"/>
  <c r="U25" i="2" s="1"/>
  <c r="U50" i="2" a="1"/>
  <c r="U50" i="2" s="1"/>
  <c r="U51" i="2" a="1"/>
  <c r="U51" i="2" s="1"/>
  <c r="U3" i="2" a="1"/>
  <c r="U3" i="2" s="1"/>
  <c r="U4" i="2" a="1"/>
  <c r="U4" i="2" s="1"/>
  <c r="U52" i="2" a="1"/>
  <c r="U52" i="2" s="1"/>
  <c r="U53" i="2" a="1"/>
  <c r="U53" i="2" s="1"/>
  <c r="U54" i="2" a="1"/>
  <c r="U54" i="2" s="1"/>
  <c r="U81" i="2" a="1"/>
  <c r="U81" i="2" s="1"/>
  <c r="U71" i="2" a="1"/>
  <c r="U71" i="2" s="1"/>
  <c r="U63" i="2" a="1"/>
  <c r="U63" i="2" s="1"/>
  <c r="U26" i="2" a="1"/>
  <c r="U26" i="2" s="1"/>
  <c r="U55" i="2" a="1"/>
  <c r="U55" i="2" s="1"/>
  <c r="U56" i="2" a="1"/>
  <c r="U56" i="2" s="1"/>
  <c r="U27" i="2" a="1"/>
  <c r="U27" i="2" s="1"/>
  <c r="U28" i="2" a="1"/>
  <c r="U28" i="2" s="1"/>
  <c r="U29" i="2" a="1"/>
  <c r="U29" i="2" s="1"/>
  <c r="U6" i="2" a="1"/>
  <c r="U6" i="2" s="1"/>
  <c r="U30" i="2" a="1"/>
  <c r="U30" i="2" s="1"/>
  <c r="U31" i="2" a="1"/>
  <c r="U31" i="2" s="1"/>
  <c r="U72" i="2" a="1"/>
  <c r="U72" i="2" s="1"/>
  <c r="U32" i="2" a="1"/>
  <c r="U32" i="2" s="1"/>
  <c r="U73" i="2" a="1"/>
  <c r="U73" i="2" s="1"/>
  <c r="U74" i="2" a="1"/>
  <c r="U74" i="2" s="1"/>
  <c r="U7" i="2" a="1"/>
  <c r="U7" i="2" s="1"/>
  <c r="U75" i="2" a="1"/>
  <c r="U75" i="2" s="1"/>
  <c r="U57" i="2" a="1"/>
  <c r="U57" i="2" s="1"/>
  <c r="U8" i="2" a="1"/>
  <c r="U8" i="2" s="1"/>
  <c r="U9" i="2" a="1"/>
  <c r="U9" i="2" s="1"/>
  <c r="U58" i="2" a="1"/>
  <c r="U58" i="2" s="1"/>
  <c r="U59" i="2" a="1"/>
  <c r="U59" i="2" s="1"/>
  <c r="U33" i="2" a="1"/>
  <c r="U33" i="2" s="1"/>
  <c r="U34" i="2" a="1"/>
  <c r="U34" i="2" s="1"/>
  <c r="U10" i="2" a="1"/>
  <c r="U10" i="2" s="1"/>
  <c r="U60" i="2" a="1"/>
  <c r="U60" i="2" s="1"/>
  <c r="U11" i="2" a="1"/>
  <c r="U11" i="2" s="1"/>
  <c r="U76" i="2" a="1"/>
  <c r="U76" i="2" s="1"/>
  <c r="U35" i="2" a="1"/>
  <c r="U35" i="2" s="1"/>
  <c r="U12" i="2" a="1"/>
  <c r="U12" i="2" s="1"/>
  <c r="U13" i="2" a="1"/>
  <c r="U13" i="2" s="1"/>
  <c r="U61" i="2" a="1"/>
  <c r="U61" i="2" s="1"/>
  <c r="U14" i="2" a="1"/>
  <c r="U14" i="2" s="1"/>
  <c r="U36" i="2" a="1"/>
  <c r="U36" i="2" s="1"/>
  <c r="U62" i="2" a="1"/>
  <c r="U62" i="2" s="1"/>
  <c r="U77" i="2" a="1"/>
  <c r="U77" i="2" s="1"/>
  <c r="U37" i="2" a="1"/>
  <c r="U37" i="2" s="1"/>
  <c r="U38" i="2" a="1"/>
  <c r="U38" i="2" s="1"/>
  <c r="U16" i="2" a="1"/>
  <c r="U16" i="2" s="1"/>
  <c r="U17" i="2" a="1"/>
  <c r="U17" i="2" s="1"/>
  <c r="U64" i="2" a="1"/>
  <c r="U64" i="2" s="1"/>
  <c r="U39" i="2" a="1"/>
  <c r="U39" i="2" s="1"/>
  <c r="U40" i="2" a="1"/>
  <c r="U40" i="2" s="1"/>
  <c r="U41" i="2" a="1"/>
  <c r="U41" i="2" s="1"/>
  <c r="U19" i="2" a="1"/>
  <c r="U19" i="2" s="1"/>
  <c r="U42" i="2" a="1"/>
  <c r="U42" i="2" s="1"/>
  <c r="U65" i="2" a="1"/>
  <c r="U65" i="2" s="1"/>
  <c r="U66" i="2" a="1"/>
  <c r="U66" i="2" s="1"/>
  <c r="U20" i="2" a="1"/>
  <c r="U20" i="2" s="1"/>
  <c r="U67" i="2" a="1"/>
  <c r="U67" i="2" s="1"/>
  <c r="U78" i="2" a="1"/>
  <c r="U78" i="2" s="1"/>
  <c r="U79" i="2" a="1"/>
  <c r="U79" i="2" s="1"/>
  <c r="U43" i="2" a="1"/>
  <c r="U43" i="2" s="1"/>
  <c r="U44" i="2" a="1"/>
  <c r="U44" i="2" s="1"/>
  <c r="U21" i="2" a="1"/>
  <c r="U21" i="2" s="1"/>
  <c r="U45" i="2" a="1"/>
  <c r="U45" i="2" s="1"/>
  <c r="U46" i="2" a="1"/>
  <c r="U46" i="2" s="1"/>
  <c r="U47" i="2" a="1"/>
  <c r="U47" i="2" s="1"/>
  <c r="U48" i="2" a="1"/>
  <c r="U48" i="2" s="1"/>
  <c r="U69" i="2" a="1"/>
  <c r="U69" i="2" s="1"/>
  <c r="E49" i="4"/>
  <c r="E50" i="4"/>
  <c r="E51" i="4"/>
  <c r="E52" i="4"/>
  <c r="E53" i="4"/>
  <c r="E54" i="4"/>
  <c r="E55" i="4"/>
  <c r="E56" i="4"/>
  <c r="X64" i="4"/>
  <c r="W64" i="4"/>
  <c r="V64" i="4"/>
  <c r="U64" i="4"/>
  <c r="T64" i="4"/>
  <c r="T66" i="4" a="1"/>
  <c r="T66" i="4" s="1"/>
  <c r="AA69" i="2" a="1"/>
  <c r="AA69" i="2" s="1"/>
  <c r="AA48" i="2" a="1"/>
  <c r="AA48" i="2" s="1"/>
  <c r="AA47" i="2" a="1"/>
  <c r="AA47" i="2" s="1"/>
  <c r="AA46" i="2" a="1"/>
  <c r="AA46" i="2" s="1"/>
  <c r="AA45" i="2" a="1"/>
  <c r="AA45" i="2" s="1"/>
  <c r="AA21" i="2" a="1"/>
  <c r="AA21" i="2" s="1"/>
  <c r="AA44" i="2" a="1"/>
  <c r="AA44" i="2" s="1"/>
  <c r="AA43" i="2" a="1"/>
  <c r="AA43" i="2" s="1"/>
  <c r="AA79" i="2" a="1"/>
  <c r="AA79" i="2" s="1"/>
  <c r="AA78" i="2" a="1"/>
  <c r="AA78" i="2" s="1"/>
  <c r="AA67" i="2" a="1"/>
  <c r="AA67" i="2" s="1"/>
  <c r="AA20" i="2" a="1"/>
  <c r="AA20" i="2" s="1"/>
  <c r="AA66" i="2" a="1"/>
  <c r="AA66" i="2" s="1"/>
  <c r="AA65" i="2" a="1"/>
  <c r="AA65" i="2" s="1"/>
  <c r="AA42" i="2" a="1"/>
  <c r="AA42" i="2" s="1"/>
  <c r="AA19" i="2" a="1"/>
  <c r="AA19" i="2" s="1"/>
  <c r="AA41" i="2" a="1"/>
  <c r="AA41" i="2" s="1"/>
  <c r="AA40" i="2" a="1"/>
  <c r="AA40" i="2" s="1"/>
  <c r="AA39" i="2" a="1"/>
  <c r="AA39" i="2" s="1"/>
  <c r="AA64" i="2" a="1"/>
  <c r="AA64" i="2" s="1"/>
  <c r="AA17" i="2" a="1"/>
  <c r="AA17" i="2" s="1"/>
  <c r="AA16" i="2" a="1"/>
  <c r="AA16" i="2" s="1"/>
  <c r="AA38" i="2" a="1"/>
  <c r="AA38" i="2" s="1"/>
  <c r="AA37" i="2" a="1"/>
  <c r="AA37" i="2" s="1"/>
  <c r="AA77" i="2" a="1"/>
  <c r="AA77" i="2" s="1"/>
  <c r="AA62" i="2" a="1"/>
  <c r="AA62" i="2" s="1"/>
  <c r="AA36" i="2" a="1"/>
  <c r="AA36" i="2" s="1"/>
  <c r="AA14" i="2" a="1"/>
  <c r="AA14" i="2" s="1"/>
  <c r="AA61" i="2" a="1"/>
  <c r="AA61" i="2" s="1"/>
  <c r="AA13" i="2" a="1"/>
  <c r="AA13" i="2" s="1"/>
  <c r="AA12" i="2" a="1"/>
  <c r="AA12" i="2" s="1"/>
  <c r="AA35" i="2" a="1"/>
  <c r="AA35" i="2" s="1"/>
  <c r="AA76" i="2" a="1"/>
  <c r="AA76" i="2" s="1"/>
  <c r="AA11" i="2" a="1"/>
  <c r="AA11" i="2" s="1"/>
  <c r="AA60" i="2" a="1"/>
  <c r="AA60" i="2" s="1"/>
  <c r="AA10" i="2" a="1"/>
  <c r="AA10" i="2" s="1"/>
  <c r="AA34" i="2" a="1"/>
  <c r="AA34" i="2" s="1"/>
  <c r="AA33" i="2" a="1"/>
  <c r="AA33" i="2" s="1"/>
  <c r="AA59" i="2" a="1"/>
  <c r="AA59" i="2" s="1"/>
  <c r="AA58" i="2" a="1"/>
  <c r="AA58" i="2" s="1"/>
  <c r="AA9" i="2" a="1"/>
  <c r="AA9" i="2" s="1"/>
  <c r="AA8" i="2" a="1"/>
  <c r="AA8" i="2" s="1"/>
  <c r="AA57" i="2" a="1"/>
  <c r="AA57" i="2" s="1"/>
  <c r="AA75" i="2" a="1"/>
  <c r="AA75" i="2" s="1"/>
  <c r="AA7" i="2" a="1"/>
  <c r="AA7" i="2" s="1"/>
  <c r="AA74" i="2" a="1"/>
  <c r="AA74" i="2" s="1"/>
  <c r="AA73" i="2" a="1"/>
  <c r="AA73" i="2" s="1"/>
  <c r="AA32" i="2" a="1"/>
  <c r="AA32" i="2" s="1"/>
  <c r="AA72" i="2" a="1"/>
  <c r="AA72" i="2" s="1"/>
  <c r="AA31" i="2" a="1"/>
  <c r="AA31" i="2" s="1"/>
  <c r="AA30" i="2" a="1"/>
  <c r="AA30" i="2" s="1"/>
  <c r="AA6" i="2" a="1"/>
  <c r="AA6" i="2" s="1"/>
  <c r="AA29" i="2" a="1"/>
  <c r="AA29" i="2" s="1"/>
  <c r="AA28" i="2" a="1"/>
  <c r="AA28" i="2" s="1"/>
  <c r="AA27" i="2" a="1"/>
  <c r="AA27" i="2" s="1"/>
  <c r="AA56" i="2" a="1"/>
  <c r="AA56" i="2" s="1"/>
  <c r="AA55" i="2" a="1"/>
  <c r="AA55" i="2" s="1"/>
  <c r="AA26" i="2" a="1"/>
  <c r="AA26" i="2" s="1"/>
  <c r="AA63" i="2" a="1"/>
  <c r="AA63" i="2" s="1"/>
  <c r="AA71" i="2" a="1"/>
  <c r="AA71" i="2" s="1"/>
  <c r="AA81" i="2" a="1"/>
  <c r="AA81" i="2" s="1"/>
  <c r="AA54" i="2" a="1"/>
  <c r="AA54" i="2" s="1"/>
  <c r="AA53" i="2" a="1"/>
  <c r="AA53" i="2" s="1"/>
  <c r="AA52" i="2" a="1"/>
  <c r="AA52" i="2" s="1"/>
  <c r="AA4" i="2" a="1"/>
  <c r="AA4" i="2" s="1"/>
  <c r="AA3" i="2" a="1"/>
  <c r="AA3" i="2" s="1"/>
  <c r="AA51" i="2" a="1"/>
  <c r="AA51" i="2" s="1"/>
  <c r="AA50" i="2" a="1"/>
  <c r="AA50" i="2" s="1"/>
  <c r="AA25" i="2" a="1"/>
  <c r="AA25" i="2" s="1"/>
  <c r="AA80" i="2" a="1"/>
  <c r="AA80" i="2" s="1"/>
  <c r="AA49" i="2" a="1"/>
  <c r="AA49" i="2" s="1"/>
  <c r="Y49" i="2" a="1"/>
  <c r="Y49" i="2" s="1"/>
  <c r="Y80" i="2" a="1"/>
  <c r="Y80" i="2" s="1"/>
  <c r="Y25" i="2" a="1"/>
  <c r="Y25" i="2" s="1"/>
  <c r="Y50" i="2" a="1"/>
  <c r="Y50" i="2"/>
  <c r="Y51" i="2" a="1"/>
  <c r="Y51" i="2" s="1"/>
  <c r="Y3" i="2" a="1"/>
  <c r="Y3" i="2" s="1"/>
  <c r="Y4" i="2" a="1"/>
  <c r="Y4" i="2" s="1"/>
  <c r="Y52" i="2" a="1"/>
  <c r="Y52" i="2" s="1"/>
  <c r="Y53" i="2" a="1"/>
  <c r="Y53" i="2" s="1"/>
  <c r="Y54" i="2" a="1"/>
  <c r="Y54" i="2" s="1"/>
  <c r="Y81" i="2" a="1"/>
  <c r="Y81" i="2" s="1"/>
  <c r="Y71" i="2" a="1"/>
  <c r="Y71" i="2" s="1"/>
  <c r="Y63" i="2" a="1"/>
  <c r="Y63" i="2" s="1"/>
  <c r="Y26" i="2" a="1"/>
  <c r="Y26" i="2" s="1"/>
  <c r="Y55" i="2" a="1"/>
  <c r="Y55" i="2" s="1"/>
  <c r="Y56" i="2" a="1"/>
  <c r="Y56" i="2" s="1"/>
  <c r="Y27" i="2" a="1"/>
  <c r="Y27" i="2" s="1"/>
  <c r="Y28" i="2" a="1"/>
  <c r="Y28" i="2" s="1"/>
  <c r="Y29" i="2" a="1"/>
  <c r="Y29" i="2" s="1"/>
  <c r="Y6" i="2" a="1"/>
  <c r="Y6" i="2" s="1"/>
  <c r="Y30" i="2" a="1"/>
  <c r="Y30" i="2" s="1"/>
  <c r="Y31" i="2" a="1"/>
  <c r="Y31" i="2" s="1"/>
  <c r="Y72" i="2" a="1"/>
  <c r="Y72" i="2" s="1"/>
  <c r="Y32" i="2" a="1"/>
  <c r="Y32" i="2" s="1"/>
  <c r="Y73" i="2" a="1"/>
  <c r="Y73" i="2"/>
  <c r="Y74" i="2" a="1"/>
  <c r="Y74" i="2" s="1"/>
  <c r="Y7" i="2" a="1"/>
  <c r="Y7" i="2" s="1"/>
  <c r="Y75" i="2" a="1"/>
  <c r="Y75" i="2" s="1"/>
  <c r="Y57" i="2" a="1"/>
  <c r="Y57" i="2"/>
  <c r="Y8" i="2" a="1"/>
  <c r="Y8" i="2" s="1"/>
  <c r="Y9" i="2" a="1"/>
  <c r="Y9" i="2" s="1"/>
  <c r="Y58" i="2" a="1"/>
  <c r="Y58" i="2" s="1"/>
  <c r="Y59" i="2" a="1"/>
  <c r="Y59" i="2" s="1"/>
  <c r="Y33" i="2" a="1"/>
  <c r="Y33" i="2" s="1"/>
  <c r="Y34" i="2" a="1"/>
  <c r="Y34" i="2" s="1"/>
  <c r="Y10" i="2" a="1"/>
  <c r="Y10" i="2" s="1"/>
  <c r="Y60" i="2" a="1"/>
  <c r="Y60" i="2" s="1"/>
  <c r="Y11" i="2" a="1"/>
  <c r="Y11" i="2" s="1"/>
  <c r="Y76" i="2" a="1"/>
  <c r="Y76" i="2"/>
  <c r="Y35" i="2" a="1"/>
  <c r="Y35" i="2" s="1"/>
  <c r="Y12" i="2" a="1"/>
  <c r="Y12" i="2" s="1"/>
  <c r="Y13" i="2" a="1"/>
  <c r="Y13" i="2" s="1"/>
  <c r="Y61" i="2" a="1"/>
  <c r="Y61" i="2" s="1"/>
  <c r="Y14" i="2" a="1"/>
  <c r="Y14" i="2"/>
  <c r="Y36" i="2" a="1"/>
  <c r="Y36" i="2" s="1"/>
  <c r="Y62" i="2" a="1"/>
  <c r="Y62" i="2" s="1"/>
  <c r="Y77" i="2" a="1"/>
  <c r="Y77" i="2"/>
  <c r="Y37" i="2" a="1"/>
  <c r="Y37" i="2" s="1"/>
  <c r="Y38" i="2" a="1"/>
  <c r="Y38" i="2" s="1"/>
  <c r="Y16" i="2" a="1"/>
  <c r="Y16" i="2" s="1"/>
  <c r="Y17" i="2" a="1"/>
  <c r="Y17" i="2" s="1"/>
  <c r="Y64" i="2" a="1"/>
  <c r="Y64" i="2" s="1"/>
  <c r="Y39" i="2" a="1"/>
  <c r="Y39" i="2" s="1"/>
  <c r="Y40" i="2" a="1"/>
  <c r="Y40" i="2" s="1"/>
  <c r="Y41" i="2" a="1"/>
  <c r="Y41" i="2" s="1"/>
  <c r="Y19" i="2" a="1"/>
  <c r="Y19" i="2" s="1"/>
  <c r="Y42" i="2" a="1"/>
  <c r="Y42" i="2" s="1"/>
  <c r="Y65" i="2" a="1"/>
  <c r="Y65" i="2" s="1"/>
  <c r="Y66" i="2" a="1"/>
  <c r="Y66" i="2" s="1"/>
  <c r="Y20" i="2" a="1"/>
  <c r="Y20" i="2" s="1"/>
  <c r="Y67" i="2" a="1"/>
  <c r="Y67" i="2" s="1"/>
  <c r="Y78" i="2" a="1"/>
  <c r="Y78" i="2" s="1"/>
  <c r="Y79" i="2" a="1"/>
  <c r="Y79" i="2" s="1"/>
  <c r="Y43" i="2" a="1"/>
  <c r="Y43" i="2"/>
  <c r="Y44" i="2" a="1"/>
  <c r="Y44" i="2" s="1"/>
  <c r="Y21" i="2" a="1"/>
  <c r="Y21" i="2" s="1"/>
  <c r="Y45" i="2" a="1"/>
  <c r="Y45" i="2" s="1"/>
  <c r="Y46" i="2" a="1"/>
  <c r="Y46" i="2"/>
  <c r="Y47" i="2" a="1"/>
  <c r="Y47" i="2" s="1"/>
  <c r="Y48" i="2" a="1"/>
  <c r="Y48" i="2" s="1"/>
  <c r="Y69" i="2" a="1"/>
  <c r="Y69" i="2" s="1"/>
  <c r="D50" i="4"/>
  <c r="D49" i="4"/>
  <c r="D51" i="4"/>
  <c r="D52" i="4"/>
  <c r="D53" i="4"/>
  <c r="D54" i="4"/>
  <c r="D55" i="4"/>
  <c r="D56" i="4"/>
  <c r="D48" i="4"/>
  <c r="V80" i="2" a="1"/>
  <c r="V80" i="2" s="1"/>
  <c r="V4" i="2" a="1"/>
  <c r="V4" i="2" s="1"/>
  <c r="V54" i="2" a="1"/>
  <c r="V54" i="2" s="1"/>
  <c r="V26" i="2" a="1"/>
  <c r="V26" i="2" s="1"/>
  <c r="V8" i="2" a="1"/>
  <c r="V8" i="2" s="1"/>
  <c r="V14" i="2" a="1"/>
  <c r="V14" i="2" s="1"/>
  <c r="V38" i="2" a="1"/>
  <c r="V38" i="2" s="1"/>
  <c r="V19" i="2" a="1"/>
  <c r="V19" i="2" s="1"/>
  <c r="V20" i="2" a="1"/>
  <c r="V20" i="2" s="1"/>
  <c r="X80" i="2" a="1"/>
  <c r="X80" i="2" s="1"/>
  <c r="X4" i="2" a="1"/>
  <c r="X4" i="2" s="1"/>
  <c r="X54" i="2" a="1"/>
  <c r="X54" i="2" s="1"/>
  <c r="X26" i="2" a="1"/>
  <c r="X26" i="2" s="1"/>
  <c r="X8" i="2" a="1"/>
  <c r="X8" i="2" s="1"/>
  <c r="X14" i="2" a="1"/>
  <c r="X14" i="2" s="1"/>
  <c r="X38" i="2" a="1"/>
  <c r="X38" i="2" s="1"/>
  <c r="X19" i="2" a="1"/>
  <c r="X19" i="2" s="1"/>
  <c r="X20" i="2" a="1"/>
  <c r="X20" i="2" s="1"/>
  <c r="U66" i="4" a="1"/>
  <c r="U66" i="4" s="1"/>
  <c r="X66" i="4" a="1"/>
  <c r="X66" i="4" s="1"/>
  <c r="W66" i="4" a="1"/>
  <c r="W66" i="4" s="1"/>
  <c r="V66" i="4" a="1"/>
  <c r="V66" i="4" s="1"/>
  <c r="Q70" i="4"/>
  <c r="Q69" i="4"/>
  <c r="Q66" i="4"/>
  <c r="Q68" i="4"/>
  <c r="Q67" i="4"/>
  <c r="X49" i="2" a="1"/>
  <c r="X49" i="2" s="1"/>
  <c r="X25" i="2" a="1"/>
  <c r="X25" i="2" s="1"/>
  <c r="X50" i="2" a="1"/>
  <c r="X50" i="2" s="1"/>
  <c r="X51" i="2" a="1"/>
  <c r="X51" i="2" s="1"/>
  <c r="X3" i="2" a="1"/>
  <c r="X3" i="2" s="1"/>
  <c r="X52" i="2" a="1"/>
  <c r="X52" i="2" s="1"/>
  <c r="X53" i="2" a="1"/>
  <c r="X53" i="2" s="1"/>
  <c r="X81" i="2" a="1"/>
  <c r="X81" i="2" s="1"/>
  <c r="X71" i="2" a="1"/>
  <c r="X71" i="2" s="1"/>
  <c r="X63" i="2" a="1"/>
  <c r="X63" i="2" s="1"/>
  <c r="X55" i="2" a="1"/>
  <c r="X55" i="2" s="1"/>
  <c r="X56" i="2" a="1"/>
  <c r="X56" i="2" s="1"/>
  <c r="X27" i="2" a="1"/>
  <c r="X27" i="2" s="1"/>
  <c r="X28" i="2" a="1"/>
  <c r="X28" i="2" s="1"/>
  <c r="X29" i="2" a="1"/>
  <c r="X29" i="2" s="1"/>
  <c r="X6" i="2" a="1"/>
  <c r="X6" i="2" s="1"/>
  <c r="X30" i="2" a="1"/>
  <c r="X30" i="2" s="1"/>
  <c r="X31" i="2" a="1"/>
  <c r="X31" i="2" s="1"/>
  <c r="X72" i="2" a="1"/>
  <c r="X72" i="2" s="1"/>
  <c r="X32" i="2" a="1"/>
  <c r="X32" i="2" s="1"/>
  <c r="X73" i="2" a="1"/>
  <c r="X73" i="2" s="1"/>
  <c r="X74" i="2" a="1"/>
  <c r="X74" i="2" s="1"/>
  <c r="X7" i="2" a="1"/>
  <c r="X7" i="2" s="1"/>
  <c r="X75" i="2" a="1"/>
  <c r="X75" i="2" s="1"/>
  <c r="X48" i="2" a="1"/>
  <c r="X48" i="2" s="1"/>
  <c r="X57" i="2" a="1"/>
  <c r="X57" i="2" s="1"/>
  <c r="X9" i="2" a="1"/>
  <c r="X9" i="2" s="1"/>
  <c r="X58" i="2" a="1"/>
  <c r="X58" i="2" s="1"/>
  <c r="X59" i="2" a="1"/>
  <c r="X59" i="2" s="1"/>
  <c r="X33" i="2" a="1"/>
  <c r="X33" i="2" s="1"/>
  <c r="X34" i="2" a="1"/>
  <c r="X34" i="2" s="1"/>
  <c r="X10" i="2" a="1"/>
  <c r="X10" i="2" s="1"/>
  <c r="X60" i="2" a="1"/>
  <c r="X60" i="2" s="1"/>
  <c r="X11" i="2" a="1"/>
  <c r="X11" i="2" s="1"/>
  <c r="X76" i="2" a="1"/>
  <c r="X76" i="2" s="1"/>
  <c r="X35" i="2" a="1"/>
  <c r="X35" i="2" s="1"/>
  <c r="X12" i="2" a="1"/>
  <c r="X12" i="2" s="1"/>
  <c r="X13" i="2" a="1"/>
  <c r="X13" i="2" s="1"/>
  <c r="X61" i="2" a="1"/>
  <c r="X61" i="2" s="1"/>
  <c r="X69" i="2" a="1"/>
  <c r="X69" i="2" s="1"/>
  <c r="X36" i="2" a="1"/>
  <c r="X36" i="2" s="1"/>
  <c r="X62" i="2" a="1"/>
  <c r="X62" i="2" s="1"/>
  <c r="X77" i="2" a="1"/>
  <c r="X77" i="2" s="1"/>
  <c r="X37" i="2" a="1"/>
  <c r="X37" i="2" s="1"/>
  <c r="X16" i="2" a="1"/>
  <c r="X16" i="2" s="1"/>
  <c r="X17" i="2" a="1"/>
  <c r="X17" i="2" s="1"/>
  <c r="X64" i="2" a="1"/>
  <c r="X64" i="2" s="1"/>
  <c r="X39" i="2" a="1"/>
  <c r="X39" i="2" s="1"/>
  <c r="X40" i="2" a="1"/>
  <c r="X40" i="2" s="1"/>
  <c r="X41" i="2" a="1"/>
  <c r="X41" i="2" s="1"/>
  <c r="X42" i="2" a="1"/>
  <c r="X42" i="2" s="1"/>
  <c r="X65" i="2" a="1"/>
  <c r="X65" i="2" s="1"/>
  <c r="X66" i="2" a="1"/>
  <c r="X66" i="2" s="1"/>
  <c r="X67" i="2" a="1"/>
  <c r="X67" i="2" s="1"/>
  <c r="X78" i="2" a="1"/>
  <c r="X78" i="2" s="1"/>
  <c r="X79" i="2" a="1"/>
  <c r="X79" i="2" s="1"/>
  <c r="X43" i="2" a="1"/>
  <c r="X43" i="2" s="1"/>
  <c r="X44" i="2" a="1"/>
  <c r="X44" i="2" s="1"/>
  <c r="X21" i="2" a="1"/>
  <c r="X21" i="2" s="1"/>
  <c r="X45" i="2" a="1"/>
  <c r="X45" i="2" s="1"/>
  <c r="X46" i="2" a="1"/>
  <c r="X46" i="2" s="1"/>
  <c r="X47" i="2" a="1"/>
  <c r="X47" i="2" s="1"/>
  <c r="V49" i="2" a="1"/>
  <c r="V49" i="2" s="1"/>
  <c r="V25" i="2" a="1"/>
  <c r="V25" i="2" s="1"/>
  <c r="V50" i="2" a="1"/>
  <c r="V50" i="2" s="1"/>
  <c r="V51" i="2" a="1"/>
  <c r="V51" i="2" s="1"/>
  <c r="V3" i="2" a="1"/>
  <c r="V3" i="2" s="1"/>
  <c r="V52" i="2" a="1"/>
  <c r="V52" i="2" s="1"/>
  <c r="V53" i="2" a="1"/>
  <c r="V53" i="2" s="1"/>
  <c r="V81" i="2" a="1"/>
  <c r="V81" i="2" s="1"/>
  <c r="V71" i="2" a="1"/>
  <c r="V71" i="2" s="1"/>
  <c r="V63" i="2" a="1"/>
  <c r="V63" i="2" s="1"/>
  <c r="V55" i="2" a="1"/>
  <c r="V55" i="2" s="1"/>
  <c r="V56" i="2" a="1"/>
  <c r="V56" i="2" s="1"/>
  <c r="V27" i="2" a="1"/>
  <c r="V27" i="2" s="1"/>
  <c r="V28" i="2" a="1"/>
  <c r="V28" i="2" s="1"/>
  <c r="V29" i="2" a="1"/>
  <c r="V29" i="2" s="1"/>
  <c r="V6" i="2" a="1"/>
  <c r="V6" i="2" s="1"/>
  <c r="V30" i="2" a="1"/>
  <c r="V30" i="2" s="1"/>
  <c r="V31" i="2" a="1"/>
  <c r="V31" i="2" s="1"/>
  <c r="V72" i="2" a="1"/>
  <c r="V72" i="2" s="1"/>
  <c r="V32" i="2" a="1"/>
  <c r="V32" i="2" s="1"/>
  <c r="V73" i="2" a="1"/>
  <c r="V73" i="2" s="1"/>
  <c r="V74" i="2" a="1"/>
  <c r="V74" i="2" s="1"/>
  <c r="V7" i="2" a="1"/>
  <c r="V7" i="2" s="1"/>
  <c r="V75" i="2" a="1"/>
  <c r="V75" i="2" s="1"/>
  <c r="V48" i="2" a="1"/>
  <c r="V48" i="2" s="1"/>
  <c r="V57" i="2" a="1"/>
  <c r="V57" i="2" s="1"/>
  <c r="V9" i="2" a="1"/>
  <c r="V9" i="2" s="1"/>
  <c r="V58" i="2" a="1"/>
  <c r="V58" i="2" s="1"/>
  <c r="V59" i="2" a="1"/>
  <c r="V59" i="2" s="1"/>
  <c r="V33" i="2" a="1"/>
  <c r="V33" i="2" s="1"/>
  <c r="V34" i="2" a="1"/>
  <c r="V34" i="2" s="1"/>
  <c r="V10" i="2" a="1"/>
  <c r="V10" i="2" s="1"/>
  <c r="V60" i="2" a="1"/>
  <c r="V60" i="2" s="1"/>
  <c r="V11" i="2" a="1"/>
  <c r="V11" i="2" s="1"/>
  <c r="V76" i="2" a="1"/>
  <c r="V76" i="2" s="1"/>
  <c r="V35" i="2" a="1"/>
  <c r="V35" i="2" s="1"/>
  <c r="V12" i="2" a="1"/>
  <c r="V12" i="2" s="1"/>
  <c r="V13" i="2" a="1"/>
  <c r="V13" i="2" s="1"/>
  <c r="V61" i="2" a="1"/>
  <c r="V61" i="2" s="1"/>
  <c r="V69" i="2" a="1"/>
  <c r="V69" i="2" s="1"/>
  <c r="V36" i="2" a="1"/>
  <c r="V36" i="2" s="1"/>
  <c r="V62" i="2" a="1"/>
  <c r="V62" i="2" s="1"/>
  <c r="V77" i="2" a="1"/>
  <c r="V77" i="2" s="1"/>
  <c r="V37" i="2" a="1"/>
  <c r="V37" i="2" s="1"/>
  <c r="V16" i="2" a="1"/>
  <c r="V16" i="2" s="1"/>
  <c r="V17" i="2" a="1"/>
  <c r="V17" i="2" s="1"/>
  <c r="V64" i="2" a="1"/>
  <c r="V64" i="2" s="1"/>
  <c r="V39" i="2" a="1"/>
  <c r="V39" i="2" s="1"/>
  <c r="V40" i="2" a="1"/>
  <c r="V40" i="2" s="1"/>
  <c r="V41" i="2" a="1"/>
  <c r="V41" i="2" s="1"/>
  <c r="V42" i="2" a="1"/>
  <c r="V42" i="2" s="1"/>
  <c r="V65" i="2" a="1"/>
  <c r="V65" i="2" s="1"/>
  <c r="V66" i="2" a="1"/>
  <c r="V66" i="2" s="1"/>
  <c r="V67" i="2" a="1"/>
  <c r="V67" i="2" s="1"/>
  <c r="V78" i="2" a="1"/>
  <c r="V78" i="2" s="1"/>
  <c r="V79" i="2" a="1"/>
  <c r="V79" i="2" s="1"/>
  <c r="V43" i="2" a="1"/>
  <c r="V43" i="2" s="1"/>
  <c r="V44" i="2" a="1"/>
  <c r="V44" i="2" s="1"/>
  <c r="V21" i="2" a="1"/>
  <c r="V21" i="2" s="1"/>
  <c r="V45" i="2" a="1"/>
  <c r="V45" i="2" s="1"/>
  <c r="V46" i="2" a="1"/>
  <c r="V46" i="2" s="1"/>
  <c r="V47" i="2" a="1"/>
  <c r="V47" i="2" s="1"/>
  <c r="BJ3" i="2"/>
  <c r="BJ4" i="2"/>
  <c r="BJ86" i="2"/>
  <c r="BJ87" i="2"/>
  <c r="BJ88" i="2"/>
  <c r="BJ89" i="2"/>
  <c r="BJ90" i="2"/>
  <c r="BJ91" i="2"/>
  <c r="BJ80" i="2"/>
  <c r="BJ81" i="2"/>
  <c r="BJ82" i="2"/>
  <c r="BJ83" i="2"/>
  <c r="BJ84" i="2"/>
  <c r="BJ85" i="2"/>
  <c r="BJ67" i="2"/>
  <c r="BJ68" i="2"/>
  <c r="BJ69" i="2"/>
  <c r="BJ70" i="2"/>
  <c r="BJ71" i="2"/>
  <c r="BJ72" i="2"/>
  <c r="BJ73" i="2"/>
  <c r="BJ74" i="2"/>
  <c r="BJ75" i="2"/>
  <c r="BJ76" i="2"/>
  <c r="BJ77" i="2"/>
  <c r="BJ78" i="2"/>
  <c r="BJ79" i="2"/>
  <c r="BJ59" i="2"/>
  <c r="BJ60" i="2"/>
  <c r="BJ61" i="2"/>
  <c r="BJ62" i="2"/>
  <c r="BJ63" i="2"/>
  <c r="BJ64" i="2"/>
  <c r="BJ65" i="2"/>
  <c r="BJ66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35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M15" i="17" l="1"/>
  <c r="E17" i="4"/>
  <c r="E15" i="4"/>
  <c r="E18" i="4"/>
  <c r="E14" i="4"/>
  <c r="E19" i="4"/>
  <c r="E20" i="4"/>
  <c r="E22" i="4"/>
  <c r="E16" i="4"/>
  <c r="D20" i="4"/>
  <c r="E23" i="4"/>
  <c r="C68" i="2"/>
  <c r="C5" i="2"/>
  <c r="M12" i="17"/>
  <c r="N12" i="17" s="1"/>
  <c r="N11" i="17"/>
  <c r="N15" i="17"/>
  <c r="N14" i="17"/>
  <c r="M4" i="4"/>
  <c r="D19" i="4"/>
  <c r="D18" i="4"/>
  <c r="D2" i="4"/>
  <c r="D25" i="4"/>
  <c r="D24" i="4"/>
  <c r="D23" i="4"/>
  <c r="D22" i="4"/>
  <c r="D17" i="4"/>
  <c r="C49" i="2"/>
  <c r="C80" i="2"/>
  <c r="C25" i="2"/>
  <c r="C50" i="2"/>
  <c r="C51" i="2"/>
  <c r="C3" i="2"/>
  <c r="C4" i="2"/>
  <c r="C52" i="2"/>
  <c r="C53" i="2"/>
  <c r="C54" i="2"/>
  <c r="C81" i="2"/>
  <c r="C71" i="2"/>
  <c r="C63" i="2"/>
  <c r="C26" i="2"/>
  <c r="C55" i="2"/>
  <c r="C56" i="2"/>
  <c r="C27" i="2"/>
  <c r="C28" i="2"/>
  <c r="C29" i="2"/>
  <c r="C6" i="2"/>
  <c r="C30" i="2"/>
  <c r="C31" i="2"/>
  <c r="C72" i="2"/>
  <c r="C32" i="2"/>
  <c r="C73" i="2"/>
  <c r="C74" i="2"/>
  <c r="C7" i="2"/>
  <c r="C75" i="2"/>
  <c r="C57" i="2"/>
  <c r="C8" i="2"/>
  <c r="C9" i="2"/>
  <c r="C58" i="2"/>
  <c r="C59" i="2"/>
  <c r="C33" i="2"/>
  <c r="C34" i="2"/>
  <c r="C10" i="2"/>
  <c r="C60" i="2"/>
  <c r="C11" i="2"/>
  <c r="C76" i="2"/>
  <c r="C35" i="2"/>
  <c r="C12" i="2"/>
  <c r="C13" i="2"/>
  <c r="C61" i="2"/>
  <c r="C14" i="2"/>
  <c r="C36" i="2"/>
  <c r="C62" i="2"/>
  <c r="C77" i="2"/>
  <c r="C37" i="2"/>
  <c r="C38" i="2"/>
  <c r="C16" i="2"/>
  <c r="C17" i="2"/>
  <c r="C64" i="2"/>
  <c r="C18" i="2"/>
  <c r="C39" i="2"/>
  <c r="C40" i="2"/>
  <c r="C41" i="2"/>
  <c r="C19" i="2"/>
  <c r="C42" i="2"/>
  <c r="C65" i="2"/>
  <c r="C66" i="2"/>
  <c r="C20" i="2"/>
  <c r="C67" i="2"/>
  <c r="C78" i="2"/>
  <c r="C79" i="2"/>
  <c r="C43" i="2"/>
  <c r="C44" i="2"/>
  <c r="C21" i="2"/>
  <c r="C45" i="2"/>
  <c r="C46" i="2"/>
  <c r="C47" i="2"/>
  <c r="C48" i="2"/>
  <c r="C69" i="2"/>
  <c r="C15" i="2"/>
  <c r="C70" i="2"/>
  <c r="C22" i="2"/>
  <c r="C23" i="2"/>
  <c r="C24" i="2"/>
  <c r="T3" i="13"/>
  <c r="D15" i="4"/>
  <c r="D16" i="4"/>
  <c r="D14" i="4"/>
  <c r="D3" i="4"/>
  <c r="D4" i="4"/>
  <c r="D5" i="4"/>
  <c r="D6" i="4"/>
  <c r="D7" i="4"/>
  <c r="E2" i="4"/>
  <c r="E6" i="4"/>
  <c r="E5" i="4"/>
  <c r="E7" i="4"/>
  <c r="E4" i="4"/>
  <c r="E3" i="4"/>
  <c r="E8" i="4"/>
  <c r="L15" i="14"/>
  <c r="M15" i="14" s="1"/>
  <c r="M12" i="14"/>
  <c r="M11" i="14"/>
  <c r="M14" i="14"/>
  <c r="F9" i="4"/>
  <c r="G9" i="4"/>
  <c r="G10" i="4"/>
  <c r="E12" i="4"/>
  <c r="E25" i="4"/>
  <c r="E13" i="4"/>
  <c r="G2" i="4" l="1"/>
  <c r="E31" i="4"/>
  <c r="E30" i="4"/>
  <c r="S66" i="4" a="1"/>
  <c r="S66" i="4" s="1"/>
  <c r="S64" i="4"/>
  <c r="D13" i="4"/>
  <c r="E33" i="4" s="1"/>
  <c r="F8" i="4"/>
  <c r="G8" i="4"/>
  <c r="F12" i="4"/>
  <c r="E24" i="4"/>
  <c r="E32" i="4"/>
  <c r="G13" i="4" l="1"/>
  <c r="C33" i="4" s="1"/>
  <c r="F13" i="4"/>
  <c r="F23" i="4"/>
  <c r="F20" i="4"/>
  <c r="G20" i="4"/>
  <c r="F19" i="4"/>
  <c r="G19" i="4"/>
  <c r="F18" i="4"/>
  <c r="G18" i="4"/>
  <c r="F17" i="4"/>
  <c r="G17" i="4"/>
  <c r="G22" i="4"/>
  <c r="C30" i="4" s="1"/>
  <c r="F22" i="4"/>
  <c r="G25" i="4"/>
  <c r="F25" i="4"/>
  <c r="G24" i="4"/>
  <c r="F24" i="4"/>
  <c r="F15" i="4"/>
  <c r="G15" i="4"/>
  <c r="F7" i="4"/>
  <c r="G7" i="4"/>
  <c r="F3" i="4"/>
  <c r="G3" i="4"/>
  <c r="F6" i="4"/>
  <c r="G6" i="4"/>
  <c r="F4" i="4"/>
  <c r="G4" i="4"/>
  <c r="F14" i="4"/>
  <c r="G14" i="4"/>
  <c r="F2" i="4"/>
  <c r="G5" i="4"/>
  <c r="F5" i="4"/>
  <c r="G12" i="4"/>
  <c r="F16" i="4"/>
  <c r="G16" i="4"/>
  <c r="G23" i="4"/>
  <c r="C31" i="4" s="1"/>
  <c r="C3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tc={DEC008D2-9686-4874-8925-D2E6B6F09AC7}</author>
  </authors>
  <commentList>
    <comment ref="AB2" authorId="0" shapeId="0" xr:uid="{DEC008D2-9686-4874-8925-D2E6B6F09AC7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the week they went, formatted as: "Wk ##"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<sst xmlns="http://schemas.openxmlformats.org/spreadsheetml/2006/main" count="8339" uniqueCount="977">
  <si>
    <t>Priority</t>
  </si>
  <si>
    <t>Requirement</t>
  </si>
  <si>
    <t>Origin</t>
  </si>
  <si>
    <t>Total</t>
  </si>
  <si>
    <t>Trained</t>
  </si>
  <si>
    <t>Untrained</t>
  </si>
  <si>
    <t>Status</t>
  </si>
  <si>
    <t>Method</t>
  </si>
  <si>
    <t>% Complete</t>
  </si>
  <si>
    <t>CY - Prohibited Activities and Conduct Prevention and Response</t>
  </si>
  <si>
    <t>SERVICE</t>
  </si>
  <si>
    <t>Lecture</t>
  </si>
  <si>
    <t>CY</t>
  </si>
  <si>
    <t>FY</t>
  </si>
  <si>
    <t>CY - Unit Marine Awareness and Prevention Integrated Training (UMAPIT 3.0)</t>
  </si>
  <si>
    <t>CY - Risk Management (RM)</t>
  </si>
  <si>
    <t>Lecture/Marinenet SDRMGTSUL0</t>
  </si>
  <si>
    <t>CY - The Marine Corps Operations Security (OPSEC) Program</t>
  </si>
  <si>
    <t>Lecture/Marinenet OPSECUS001</t>
  </si>
  <si>
    <t>CY - Level I AT Awareness Training</t>
  </si>
  <si>
    <t>Lecture/JKO JS-US007</t>
  </si>
  <si>
    <t>CY - Counter Intelligence Awareness &amp; Reporting</t>
  </si>
  <si>
    <t>Lecture/securityawareness.usalearning.gov/cidod/index.html</t>
  </si>
  <si>
    <t>CY - Supervisor Safety Training (Marine Corps Safety Program)</t>
  </si>
  <si>
    <t>Week 2</t>
  </si>
  <si>
    <t>(25 SEP - 08 OCT)</t>
  </si>
  <si>
    <t>WK 2 (25 SEP - 08 OCT)</t>
  </si>
  <si>
    <t>CY - Supervisory level substance misuse prevention training</t>
  </si>
  <si>
    <t>Week 5</t>
  </si>
  <si>
    <t>(16 OCT - 27 OCT)</t>
  </si>
  <si>
    <t>WK 05 (16 OCT - 27 OCT)</t>
  </si>
  <si>
    <t>Driver's Awareness (Alive at 25, Marine Corps Traffic Safety Program)</t>
  </si>
  <si>
    <t>Marinenet CMCSDDAT01</t>
  </si>
  <si>
    <t>Week 6</t>
  </si>
  <si>
    <t>(23 OCT - 03 NOV)</t>
  </si>
  <si>
    <t>WK 06 (23 OCT - 03 NOV)</t>
  </si>
  <si>
    <t/>
  </si>
  <si>
    <t>Week 10</t>
  </si>
  <si>
    <t>(20 NOV - 01 DEC)</t>
  </si>
  <si>
    <t>WK 10 (20 NOV - 01 DEC)</t>
  </si>
  <si>
    <t>FY - Marine Corps Combat Marksmanship-Pistol</t>
  </si>
  <si>
    <t>Event</t>
  </si>
  <si>
    <t>Week 11</t>
  </si>
  <si>
    <t>(27 NOV - 08 DEC)</t>
  </si>
  <si>
    <t>WK 11 (27 NOV - 08 DEC)</t>
  </si>
  <si>
    <t>FY - Annual Rifle Qualification (ARQ)</t>
  </si>
  <si>
    <t>Week 12</t>
  </si>
  <si>
    <t>(04 DEC - 15 DEC)</t>
  </si>
  <si>
    <t>WK 12 (04 DEC - 15 DEC)</t>
  </si>
  <si>
    <t xml:space="preserve">FY - Cyber Awareness/PII Training </t>
  </si>
  <si>
    <t>Marinenet CYBERINTEL</t>
  </si>
  <si>
    <t>Week 18</t>
  </si>
  <si>
    <t>(15 JAN - 26 JAN)</t>
  </si>
  <si>
    <t>WK 18 ( 15 JAN - 26 JAN)</t>
  </si>
  <si>
    <t>FY - Records Management Training</t>
  </si>
  <si>
    <t>Lecture/Marinenet M02RMT0700</t>
  </si>
  <si>
    <t>Week 19</t>
  </si>
  <si>
    <t>(22 JAN - 02 FEB)</t>
  </si>
  <si>
    <t>WK 19 (22 JAN - 02 FEB)</t>
  </si>
  <si>
    <t>CBRN Individual Training Standards (ITS)</t>
  </si>
  <si>
    <t>Week 20</t>
  </si>
  <si>
    <t>(29 JAN - 09 FEB)</t>
  </si>
  <si>
    <t>WK 20 (29 JAN - 09 FEB)</t>
  </si>
  <si>
    <t>FY- Annual Sexual Assault Prevention and Response (SAPR) Training</t>
  </si>
  <si>
    <t>Week 21</t>
  </si>
  <si>
    <t>(05 FEB - 16 FEB)</t>
  </si>
  <si>
    <t>WK 21 (05 FEB - 16 FEB)</t>
  </si>
  <si>
    <t>FY - Step Up (SAPR Training for E1-E3)</t>
  </si>
  <si>
    <t>Week 26</t>
  </si>
  <si>
    <t>(11 MAR - 22 MAR)</t>
  </si>
  <si>
    <t>WK 26 (11 MAR - 22 MAR)</t>
  </si>
  <si>
    <t>FY - Take A Stand (SAPR training for E-4 &amp; E-5)</t>
  </si>
  <si>
    <t>Week 28</t>
  </si>
  <si>
    <t>(25 MAR - 05 APR)</t>
  </si>
  <si>
    <t>WK 28 (25 MAR - 05 APR)</t>
  </si>
  <si>
    <t>FY S6-SAPR SNCO Training</t>
  </si>
  <si>
    <t>Week 29</t>
  </si>
  <si>
    <t>(01 - 12 APR)</t>
  </si>
  <si>
    <t>WK 29 (01 - 12 APR)</t>
  </si>
  <si>
    <t>Week 30</t>
  </si>
  <si>
    <t>(08 APR - 19 APR)</t>
  </si>
  <si>
    <t>WK 30 (08 APR - 19 APR)</t>
  </si>
  <si>
    <t>Marine Corps Physical Fitness Test (PFT)</t>
  </si>
  <si>
    <t>Week 32</t>
  </si>
  <si>
    <t>(22 APR - 03 MAY)</t>
  </si>
  <si>
    <t>WK 32 (22 APR - 03 MAY)</t>
  </si>
  <si>
    <t>7</t>
  </si>
  <si>
    <t>Semi-Annual Height Weight Body Fat</t>
  </si>
  <si>
    <t>Week 33</t>
  </si>
  <si>
    <t>(29 APR - 10 MAY)</t>
  </si>
  <si>
    <t>WK 33 (29 APR - 10 MAY)</t>
  </si>
  <si>
    <t>Marine Corps Water Survival Training (MCWST)</t>
  </si>
  <si>
    <t>Week 34</t>
  </si>
  <si>
    <t>( 06 MAY - 17 MAY)</t>
  </si>
  <si>
    <t>WK 34 ( 06 MAY - 17 MAY)</t>
  </si>
  <si>
    <t>Marine Corps Combat Fitness Test (CFT)</t>
  </si>
  <si>
    <t>Week 37</t>
  </si>
  <si>
    <t>(27 MAY - 07 JUN)</t>
  </si>
  <si>
    <t>WK 37 (27 MAY - 07 JUN)</t>
  </si>
  <si>
    <t>AS REFLECTED IN MCTIMS</t>
  </si>
  <si>
    <t>Week 38</t>
  </si>
  <si>
    <t>(03 JUN - 14 JUN)</t>
  </si>
  <si>
    <t>WK 38 (03 JUN - 14 JUN)</t>
  </si>
  <si>
    <t>Week 40</t>
  </si>
  <si>
    <t>(17 JUN - 28 JUN)</t>
  </si>
  <si>
    <t>WK 40 (17 JUN - 28 JUN)</t>
  </si>
  <si>
    <t>Projections</t>
  </si>
  <si>
    <t>Week 42</t>
  </si>
  <si>
    <t>(01 JUL - 12 JUL)</t>
  </si>
  <si>
    <t>WK 42 (01 JUL - 12 JUL)</t>
  </si>
  <si>
    <t>Current</t>
  </si>
  <si>
    <t>Projected</t>
  </si>
  <si>
    <t>Comment/Date(s)</t>
  </si>
  <si>
    <t>Week 43</t>
  </si>
  <si>
    <t>(08 JUL - 19 JUL)</t>
  </si>
  <si>
    <t>WK 43 (08 JUL - 19 JUL)</t>
  </si>
  <si>
    <t>Week 44</t>
  </si>
  <si>
    <t>(15 JUL - 26 JUL)</t>
  </si>
  <si>
    <t>WK 44 (15 JUL - 26 JUL)</t>
  </si>
  <si>
    <t xml:space="preserve">Semi-Annual Height Weight Body Fat </t>
  </si>
  <si>
    <t>Week 47</t>
  </si>
  <si>
    <t>( 05 AUG - 16 AUG)</t>
  </si>
  <si>
    <t>WK 47 ( 05 AUG - 16 AUG)</t>
  </si>
  <si>
    <t>Week 48</t>
  </si>
  <si>
    <t>(12 AUG - 23 AUG)</t>
  </si>
  <si>
    <t>WK 48 (12 AUG - 23 AUG)</t>
  </si>
  <si>
    <t>Week 49</t>
  </si>
  <si>
    <t>(19 AUG - 30 AUG)</t>
  </si>
  <si>
    <t>WK 49 (19 AUG - 30 AUG)</t>
  </si>
  <si>
    <t>Week 51</t>
  </si>
  <si>
    <t>(02 SEP - 13 SEP)</t>
  </si>
  <si>
    <t>WK 51 (02 SEP - 13 SEP)</t>
  </si>
  <si>
    <t>Week 52</t>
  </si>
  <si>
    <t>( 013 SEP - 20 SEP)</t>
  </si>
  <si>
    <t>WK 52 ( 013 SEP - 20 SEP)</t>
  </si>
  <si>
    <t>MCTIMS Name</t>
  </si>
  <si>
    <t>Table Header</t>
  </si>
  <si>
    <t>Code</t>
  </si>
  <si>
    <t>Abbr</t>
  </si>
  <si>
    <t>CBRN</t>
  </si>
  <si>
    <t>E1</t>
  </si>
  <si>
    <t>PVT</t>
  </si>
  <si>
    <t>CIAR</t>
  </si>
  <si>
    <t>E2</t>
  </si>
  <si>
    <t>PFC</t>
  </si>
  <si>
    <t>AT LVL I</t>
  </si>
  <si>
    <t>E3</t>
  </si>
  <si>
    <t>LCPL</t>
  </si>
  <si>
    <t>CY23 Close Out</t>
  </si>
  <si>
    <t>PAC PR</t>
  </si>
  <si>
    <t>E4</t>
  </si>
  <si>
    <t>CPL</t>
  </si>
  <si>
    <t>Completed</t>
  </si>
  <si>
    <t>RM</t>
  </si>
  <si>
    <t>E5</t>
  </si>
  <si>
    <t>SGT</t>
  </si>
  <si>
    <t>Safety</t>
  </si>
  <si>
    <t>E6</t>
  </si>
  <si>
    <t>SSGT</t>
  </si>
  <si>
    <t>Substances</t>
  </si>
  <si>
    <t>E7</t>
  </si>
  <si>
    <t>GYSGT</t>
  </si>
  <si>
    <t>OPSEC</t>
  </si>
  <si>
    <t>E8</t>
  </si>
  <si>
    <t>1stSgt/MSgt</t>
  </si>
  <si>
    <t>UMAPIT</t>
  </si>
  <si>
    <t>O1</t>
  </si>
  <si>
    <t>2NDLT</t>
  </si>
  <si>
    <t>ARQ</t>
  </si>
  <si>
    <t>O2</t>
  </si>
  <si>
    <t>1STLT</t>
  </si>
  <si>
    <t>CYBERINTEL</t>
  </si>
  <si>
    <t>O3</t>
  </si>
  <si>
    <t>CAPT</t>
  </si>
  <si>
    <t>Pistol</t>
  </si>
  <si>
    <t>O4</t>
  </si>
  <si>
    <t>MAJ</t>
  </si>
  <si>
    <t>Rec Man</t>
  </si>
  <si>
    <t>WO</t>
  </si>
  <si>
    <t>SAPR JM</t>
  </si>
  <si>
    <t>CWO2</t>
  </si>
  <si>
    <t>Substance</t>
  </si>
  <si>
    <t>SAPR NCO</t>
  </si>
  <si>
    <t>CWO3</t>
  </si>
  <si>
    <t>SAPR</t>
  </si>
  <si>
    <t>CWO4</t>
  </si>
  <si>
    <t>SAPR SNCO</t>
  </si>
  <si>
    <t>CFT Date</t>
  </si>
  <si>
    <t>PFT</t>
  </si>
  <si>
    <t>MCWST</t>
  </si>
  <si>
    <t>HT/WT</t>
  </si>
  <si>
    <t>Hitlist</t>
  </si>
  <si>
    <t>Unit</t>
  </si>
  <si>
    <t>CFT</t>
  </si>
  <si>
    <t>Pulled: 13-14Dec23</t>
  </si>
  <si>
    <t>Misc</t>
  </si>
  <si>
    <t>Semi AN Change:</t>
  </si>
  <si>
    <t>Not Found Code:</t>
  </si>
  <si>
    <t>N/F</t>
  </si>
  <si>
    <t>EDIPI</t>
  </si>
  <si>
    <t>Grade</t>
  </si>
  <si>
    <t>Name</t>
  </si>
  <si>
    <t>Section</t>
  </si>
  <si>
    <t>PFT Date</t>
  </si>
  <si>
    <t>ARQ Comments</t>
  </si>
  <si>
    <t>Exemption In</t>
  </si>
  <si>
    <t>Training Comments</t>
  </si>
  <si>
    <t>Rank</t>
  </si>
  <si>
    <t>RM 20231018</t>
  </si>
  <si>
    <t>Cpl</t>
  </si>
  <si>
    <t>Adams</t>
  </si>
  <si>
    <t>3PLT</t>
  </si>
  <si>
    <t>Success</t>
  </si>
  <si>
    <t>Wk19</t>
  </si>
  <si>
    <t>GySgt</t>
  </si>
  <si>
    <t>HQPT</t>
  </si>
  <si>
    <t>Exempt</t>
  </si>
  <si>
    <t>SSgt</t>
  </si>
  <si>
    <t>Antic</t>
  </si>
  <si>
    <t>Exempt (EAS)</t>
  </si>
  <si>
    <t>1stLt</t>
  </si>
  <si>
    <t>Barton</t>
  </si>
  <si>
    <t>Wk38</t>
  </si>
  <si>
    <t>MCTIMS showing trained</t>
  </si>
  <si>
    <t>Bautista</t>
  </si>
  <si>
    <t>2PLT</t>
  </si>
  <si>
    <t>Wk49</t>
  </si>
  <si>
    <t>Bestler</t>
  </si>
  <si>
    <t>Wk31</t>
  </si>
  <si>
    <t>Branin</t>
  </si>
  <si>
    <t>1PLT</t>
  </si>
  <si>
    <t>Wk05</t>
  </si>
  <si>
    <t>Bryant</t>
  </si>
  <si>
    <t>Wk18</t>
  </si>
  <si>
    <t>Caban</t>
  </si>
  <si>
    <t>LCpl</t>
  </si>
  <si>
    <t>Carlson</t>
  </si>
  <si>
    <t>Wk04</t>
  </si>
  <si>
    <t>Cavanaugh</t>
  </si>
  <si>
    <t>DOPS</t>
  </si>
  <si>
    <t>Wk48</t>
  </si>
  <si>
    <t>Chambers</t>
  </si>
  <si>
    <t>Wk34</t>
  </si>
  <si>
    <t>Sgt</t>
  </si>
  <si>
    <t>Cook</t>
  </si>
  <si>
    <t>Erwin</t>
  </si>
  <si>
    <t>Wk42</t>
  </si>
  <si>
    <t>Fair</t>
  </si>
  <si>
    <t>Wk47</t>
  </si>
  <si>
    <t>Filyaw</t>
  </si>
  <si>
    <t>Finney</t>
  </si>
  <si>
    <t>Fleming</t>
  </si>
  <si>
    <t>Freeman</t>
  </si>
  <si>
    <t>Wk50</t>
  </si>
  <si>
    <t>Gibbs</t>
  </si>
  <si>
    <t>Wk30</t>
  </si>
  <si>
    <t>Green</t>
  </si>
  <si>
    <t>At MEU</t>
  </si>
  <si>
    <t>Greene</t>
  </si>
  <si>
    <t>Gruber</t>
  </si>
  <si>
    <t>Hadder</t>
  </si>
  <si>
    <t>Wk33</t>
  </si>
  <si>
    <t>PME until Sept 28</t>
  </si>
  <si>
    <t>Hallquist</t>
  </si>
  <si>
    <t>Capt</t>
  </si>
  <si>
    <t>Hamilton</t>
  </si>
  <si>
    <t>Wk12</t>
  </si>
  <si>
    <t>Hancock</t>
  </si>
  <si>
    <t>Medical</t>
  </si>
  <si>
    <t>Not showing in MCTIMS</t>
  </si>
  <si>
    <t>Hanson</t>
  </si>
  <si>
    <t>Harkleroad</t>
  </si>
  <si>
    <t>Harwood</t>
  </si>
  <si>
    <t>Wk07</t>
  </si>
  <si>
    <t>Hill</t>
  </si>
  <si>
    <t>Holdridge</t>
  </si>
  <si>
    <t>Holmes</t>
  </si>
  <si>
    <t>Wk43</t>
  </si>
  <si>
    <t>Maj</t>
  </si>
  <si>
    <t>Houston</t>
  </si>
  <si>
    <t>Hupp</t>
  </si>
  <si>
    <t>Iverson</t>
  </si>
  <si>
    <t>Jessup</t>
  </si>
  <si>
    <t xml:space="preserve">1stLt </t>
  </si>
  <si>
    <t>Jones</t>
  </si>
  <si>
    <t>Lare</t>
  </si>
  <si>
    <t>Expemt (TIS)</t>
  </si>
  <si>
    <t>Lawrence</t>
  </si>
  <si>
    <t>Wk44</t>
  </si>
  <si>
    <t>Leath</t>
  </si>
  <si>
    <t>Pistol 20230927</t>
  </si>
  <si>
    <t>Long</t>
  </si>
  <si>
    <t>Wk?</t>
  </si>
  <si>
    <t>Marquez</t>
  </si>
  <si>
    <t>Marshburn</t>
  </si>
  <si>
    <t>Martin</t>
  </si>
  <si>
    <t>Wk11</t>
  </si>
  <si>
    <t>Massey</t>
  </si>
  <si>
    <t>Mastrofilippo</t>
  </si>
  <si>
    <t>Mcconnell</t>
  </si>
  <si>
    <t>Mccraith</t>
  </si>
  <si>
    <t>Mcgovern</t>
  </si>
  <si>
    <t>Moore</t>
  </si>
  <si>
    <t>At RadBn</t>
  </si>
  <si>
    <t>Mowry</t>
  </si>
  <si>
    <t>Wk06</t>
  </si>
  <si>
    <t>Muzzillo</t>
  </si>
  <si>
    <t>Ore</t>
  </si>
  <si>
    <t>wk47</t>
  </si>
  <si>
    <t>Orellana</t>
  </si>
  <si>
    <t>Padilla</t>
  </si>
  <si>
    <t>Payne</t>
  </si>
  <si>
    <t>Perales</t>
  </si>
  <si>
    <t>Regan</t>
  </si>
  <si>
    <t>2ndLt</t>
  </si>
  <si>
    <t>Reisinger</t>
  </si>
  <si>
    <t>Robinson</t>
  </si>
  <si>
    <t>Rotter</t>
  </si>
  <si>
    <t>Wk52</t>
  </si>
  <si>
    <t>Ruge</t>
  </si>
  <si>
    <t>Schierbaum</t>
  </si>
  <si>
    <t>Schoning</t>
  </si>
  <si>
    <t>Sneed</t>
  </si>
  <si>
    <t>Spray</t>
  </si>
  <si>
    <t>Tarvin</t>
  </si>
  <si>
    <t>Tomlinson</t>
  </si>
  <si>
    <t>Uehara</t>
  </si>
  <si>
    <t>Uptmor</t>
  </si>
  <si>
    <t>Vanderhoff</t>
  </si>
  <si>
    <t>Ventura</t>
  </si>
  <si>
    <t>Wilhelm</t>
  </si>
  <si>
    <t>Wilson</t>
  </si>
  <si>
    <t>Wuebker</t>
  </si>
  <si>
    <t>Yager</t>
  </si>
  <si>
    <t>Yerardi</t>
  </si>
  <si>
    <t>UTM &gt; IMM (Tab) &gt; Unit Management &gt; Manpower Assigned RUC (Filter) &gt; Export as XLSX</t>
  </si>
  <si>
    <t>Copy EDIPI into  box below to search the Recall Table</t>
  </si>
  <si>
    <t>DOD ID</t>
  </si>
  <si>
    <t>Last Name</t>
  </si>
  <si>
    <t>First Name</t>
  </si>
  <si>
    <t>MI</t>
  </si>
  <si>
    <t>MOS</t>
  </si>
  <si>
    <t>TAD</t>
  </si>
  <si>
    <t>Billet</t>
  </si>
  <si>
    <t>GRADE</t>
  </si>
  <si>
    <t>NAME</t>
  </si>
  <si>
    <t>SEX</t>
  </si>
  <si>
    <t>SECTION</t>
  </si>
  <si>
    <t xml:space="preserve">Who is: </t>
  </si>
  <si>
    <t>Steven</t>
  </si>
  <si>
    <t>S</t>
  </si>
  <si>
    <t>CYBER WARFARE OPERATOR</t>
  </si>
  <si>
    <t>It's:</t>
  </si>
  <si>
    <t>Michael</t>
  </si>
  <si>
    <t>A</t>
  </si>
  <si>
    <t>DEFENSIVE CYBERSPACE OPERATOR</t>
  </si>
  <si>
    <t>Anderson</t>
  </si>
  <si>
    <t>Christian</t>
  </si>
  <si>
    <t>CYBERSPACE WARFARE OPERATOR</t>
  </si>
  <si>
    <t>T</t>
  </si>
  <si>
    <t>CYBERSPACE OFFICER</t>
  </si>
  <si>
    <t>Liliana</t>
  </si>
  <si>
    <t>R</t>
  </si>
  <si>
    <t>CYBERSPACE WARFARE OFFICER</t>
  </si>
  <si>
    <t>Aaron</t>
  </si>
  <si>
    <t>P</t>
  </si>
  <si>
    <t>Bletsch</t>
  </si>
  <si>
    <t>Zachary</t>
  </si>
  <si>
    <t>M</t>
  </si>
  <si>
    <t>D</t>
  </si>
  <si>
    <t>J</t>
  </si>
  <si>
    <t>Camp</t>
  </si>
  <si>
    <t>Derrick</t>
  </si>
  <si>
    <t>L</t>
  </si>
  <si>
    <t>Yes</t>
  </si>
  <si>
    <t>CYBERSPACE OPERATOR</t>
  </si>
  <si>
    <t>Hunter</t>
  </si>
  <si>
    <t>BASIC INFORMATION MANEUVER MARINE</t>
  </si>
  <si>
    <t>Anthony</t>
  </si>
  <si>
    <t>G</t>
  </si>
  <si>
    <t>Adam</t>
  </si>
  <si>
    <t>Benjamin</t>
  </si>
  <si>
    <t>C</t>
  </si>
  <si>
    <t>N</t>
  </si>
  <si>
    <t>Zoe</t>
  </si>
  <si>
    <t>E</t>
  </si>
  <si>
    <t>Matthew</t>
  </si>
  <si>
    <t>MSGT</t>
  </si>
  <si>
    <t>Austin</t>
  </si>
  <si>
    <t>Geoffery</t>
  </si>
  <si>
    <t>CYBER SECURTIY SPEC</t>
  </si>
  <si>
    <t>OPERATIONS OFFICER</t>
  </si>
  <si>
    <t>Philip</t>
  </si>
  <si>
    <t>CRYPTOLOGIC CYBERSPACE ANALYST</t>
  </si>
  <si>
    <t>Dmetrius</t>
  </si>
  <si>
    <t>DATA SYSTEMS ADMINISTRATOR</t>
  </si>
  <si>
    <t>Ciera</t>
  </si>
  <si>
    <t>Howard</t>
  </si>
  <si>
    <t>Hubert</t>
  </si>
  <si>
    <t>Dominic</t>
  </si>
  <si>
    <t>Haley</t>
  </si>
  <si>
    <t>Jimenez</t>
  </si>
  <si>
    <t>Sergio</t>
  </si>
  <si>
    <t>W</t>
  </si>
  <si>
    <t>Kerley</t>
  </si>
  <si>
    <t>Christopher</t>
  </si>
  <si>
    <t>Jason</t>
  </si>
  <si>
    <t>Jake</t>
  </si>
  <si>
    <t>INTELLIGENCE SPECIALIST</t>
  </si>
  <si>
    <t>Daniel</t>
  </si>
  <si>
    <t>Mervine</t>
  </si>
  <si>
    <t>Casey</t>
  </si>
  <si>
    <t>Joseph</t>
  </si>
  <si>
    <t>Valerie</t>
  </si>
  <si>
    <t>F</t>
  </si>
  <si>
    <t>Pinter</t>
  </si>
  <si>
    <t>Henry</t>
  </si>
  <si>
    <t>CYBERSPCA WARFARE OPERATOR</t>
  </si>
  <si>
    <t>Kevin</t>
  </si>
  <si>
    <t>Potter</t>
  </si>
  <si>
    <t>Nicholas</t>
  </si>
  <si>
    <t>Solomon</t>
  </si>
  <si>
    <t>I</t>
  </si>
  <si>
    <t>Ryan</t>
  </si>
  <si>
    <t>DEFENSIVE CYBERSPACE WEAPONS OFF</t>
  </si>
  <si>
    <t>Thornton</t>
  </si>
  <si>
    <t>Derek</t>
  </si>
  <si>
    <t>Welch</t>
  </si>
  <si>
    <t>Timothy</t>
  </si>
  <si>
    <t>Micah</t>
  </si>
  <si>
    <t>Katherine</t>
  </si>
  <si>
    <t>Jesse</t>
  </si>
  <si>
    <t>INTEL SPECIALIST</t>
  </si>
  <si>
    <t>BMOS</t>
  </si>
  <si>
    <t>AD/RES</t>
  </si>
  <si>
    <t>Untrained Comment</t>
  </si>
  <si>
    <t>Score Date</t>
  </si>
  <si>
    <t>MCTFS Status</t>
  </si>
  <si>
    <t>Item</t>
  </si>
  <si>
    <t>Comment</t>
  </si>
  <si>
    <t>AD</t>
  </si>
  <si>
    <t>UNTRAINED</t>
  </si>
  <si>
    <t>Delta Company</t>
  </si>
  <si>
    <t>NA</t>
  </si>
  <si>
    <t>Completed wk52</t>
  </si>
  <si>
    <t>New Join</t>
  </si>
  <si>
    <t>LIMDU</t>
  </si>
  <si>
    <t>Preston</t>
  </si>
  <si>
    <t>Cyber Awareness</t>
  </si>
  <si>
    <t>Brian</t>
  </si>
  <si>
    <t>TRAINED</t>
  </si>
  <si>
    <t>Completed 20230925</t>
  </si>
  <si>
    <t>Completed 20221003</t>
  </si>
  <si>
    <t>Error</t>
  </si>
  <si>
    <t>Completed 20230927</t>
  </si>
  <si>
    <t>Completed 20230920</t>
  </si>
  <si>
    <t>Rec Mng</t>
  </si>
  <si>
    <t>Completed 20230926</t>
  </si>
  <si>
    <t> </t>
  </si>
  <si>
    <t>SAPR E1-E3</t>
  </si>
  <si>
    <t>Hepton</t>
  </si>
  <si>
    <t>Morgen</t>
  </si>
  <si>
    <t>CYBERSPACE WRAFARE OPERATOR</t>
  </si>
  <si>
    <t>MORTARMAN</t>
  </si>
  <si>
    <t>SAPR E4-E5</t>
  </si>
  <si>
    <t>Completed 20230909</t>
  </si>
  <si>
    <t>Completed 20230921</t>
  </si>
  <si>
    <t>SAPR Officer</t>
  </si>
  <si>
    <t>TAD to RADBN</t>
  </si>
  <si>
    <t>RES</t>
  </si>
  <si>
    <t>Completed 20230928</t>
  </si>
  <si>
    <t>TAD to Ft Eisenhower</t>
  </si>
  <si>
    <t>Roger</t>
  </si>
  <si>
    <t>FY24 Semi-Annual Period</t>
  </si>
  <si>
    <t>Statistics</t>
  </si>
  <si>
    <t>H/W</t>
  </si>
  <si>
    <t>Comments</t>
  </si>
  <si>
    <t>Medical Comment put in?</t>
  </si>
  <si>
    <t>H/W In MCTIMS?</t>
  </si>
  <si>
    <t>PFT Blanks</t>
  </si>
  <si>
    <t>H/W Blanks</t>
  </si>
  <si>
    <t>PFT Cmpl</t>
  </si>
  <si>
    <t>H/W Cmpl</t>
  </si>
  <si>
    <t>BOS, GAGE D.</t>
  </si>
  <si>
    <t>BRYANT, ERNEST J.</t>
  </si>
  <si>
    <t>FARRELL, DALTON T.</t>
  </si>
  <si>
    <t>SOC</t>
  </si>
  <si>
    <t>FREEMAN, LUCAS J.</t>
  </si>
  <si>
    <t>OPS</t>
  </si>
  <si>
    <t>HAMILTON, GEOFFERY A.</t>
  </si>
  <si>
    <t>HQ</t>
  </si>
  <si>
    <t>HARWOOD, DMETRIUS J.</t>
  </si>
  <si>
    <t>HILL, CIERA R.</t>
  </si>
  <si>
    <t>JESSUP, HALEY M.</t>
  </si>
  <si>
    <t>Incomplete</t>
  </si>
  <si>
    <t>Complete</t>
  </si>
  <si>
    <t>JOHNSON, COLE W.</t>
  </si>
  <si>
    <t>LARE, HUNTER M.</t>
  </si>
  <si>
    <t>Ht/Wt</t>
  </si>
  <si>
    <t>LAWRENCE, JASON A.</t>
  </si>
  <si>
    <t>MARQUEZ, ALEXANDER L.</t>
  </si>
  <si>
    <t>MARSHBURN, ANDREW W.</t>
  </si>
  <si>
    <t>NICHOLS, CAMERON J.</t>
  </si>
  <si>
    <t>NORMINTON, OLIVER T.</t>
  </si>
  <si>
    <t>ORE, KEVIN R.</t>
  </si>
  <si>
    <t>PADILLA, ELIJAH N.</t>
  </si>
  <si>
    <t>PODBORNY, KEVIN M.</t>
  </si>
  <si>
    <t>ROBINSON, SOLOMON I.</t>
  </si>
  <si>
    <t>SHAWVER, DYLAN M.</t>
  </si>
  <si>
    <t>VANDERHOFF, JAMES E.</t>
  </si>
  <si>
    <t>WELCH, TIMOTHY L.</t>
  </si>
  <si>
    <t>WILHELM, MATTHEW K.</t>
  </si>
  <si>
    <t>WILSON, MICAH S.</t>
  </si>
  <si>
    <t>WUEBKER, KYLE R.</t>
  </si>
  <si>
    <t>BAUTISTA, LILIANA R.</t>
  </si>
  <si>
    <t>DELATTE, HUNTER T.</t>
  </si>
  <si>
    <t>ERMER, ALAURA R.</t>
  </si>
  <si>
    <t>ERWIN, ADAM J.</t>
  </si>
  <si>
    <t>FAIR, BENJAMIN C.</t>
  </si>
  <si>
    <t>FINDLING, TYLER A.</t>
  </si>
  <si>
    <t>GIBBS, BRYAN D.</t>
  </si>
  <si>
    <t>GRUBER, NATHAN A.</t>
  </si>
  <si>
    <t>HUPP, TRAVIS J.</t>
  </si>
  <si>
    <t>IVERSON, MATTHEW J.</t>
  </si>
  <si>
    <t>KERLEY, CHRISTOPHE C.</t>
  </si>
  <si>
    <t>MASSEY, LEE R.</t>
  </si>
  <si>
    <t>MERVINE, CASEY W.</t>
  </si>
  <si>
    <t>MOWRY, GABRIEL J.</t>
  </si>
  <si>
    <t>PARKS JR, JUAN F.</t>
  </si>
  <si>
    <t>PAYNE, MICHAEL D.</t>
  </si>
  <si>
    <t>PINTER, HENRY J.</t>
  </si>
  <si>
    <t>POTTER, NICHOLAS P.</t>
  </si>
  <si>
    <t>ROSENWALD, JAY S.</t>
  </si>
  <si>
    <t>SCHRAWYER, ZANE</t>
  </si>
  <si>
    <t>SCRUGGS, JARED L.</t>
  </si>
  <si>
    <t>SIMS, CHADLEY W.</t>
  </si>
  <si>
    <t>SPRAY, KYLE A.</t>
  </si>
  <si>
    <t>TAYLOR, DANIEL J.</t>
  </si>
  <si>
    <t>UEHARA, MALEKOKEAO A.</t>
  </si>
  <si>
    <t>ADAMS, STEVEN S.</t>
  </si>
  <si>
    <t>BESTLER, AARON P.</t>
  </si>
  <si>
    <t>BLETSCH, ZACHARY M.</t>
  </si>
  <si>
    <t>CABAN, RICHARD</t>
  </si>
  <si>
    <t>CAMP, DERRICK D.</t>
  </si>
  <si>
    <t>CARLSON, KRISTOFER L.</t>
  </si>
  <si>
    <t>CASTILLO, MATEO T.</t>
  </si>
  <si>
    <t>DIAZ, JOSHUA</t>
  </si>
  <si>
    <t>DORSEY JR, ANTHONY L.</t>
  </si>
  <si>
    <t>HARKLEROAD, GRANT L.</t>
  </si>
  <si>
    <t>HUBERT, DOMINIC A.</t>
  </si>
  <si>
    <t>HUNDLEY JR, ANDREW E.</t>
  </si>
  <si>
    <t>JIMENEZ, SERGIO G.</t>
  </si>
  <si>
    <t>MANDRACCHIA, DANIEL B.</t>
  </si>
  <si>
    <t>MASTROFILIPPO, THOMAS J.</t>
  </si>
  <si>
    <t>ORELLANA, VALERIE N.</t>
  </si>
  <si>
    <t>POWELL, NATHANIEL E.</t>
  </si>
  <si>
    <t>REGAN, DANIEL T.</t>
  </si>
  <si>
    <t>ROTTER, ROBERT H.</t>
  </si>
  <si>
    <t>UPTMOR, CONNOR J.</t>
  </si>
  <si>
    <t>WALLACE, CONROD L.</t>
  </si>
  <si>
    <t>DARUGAR, BENJAMIN</t>
  </si>
  <si>
    <t>ADAMS, MICHAEL A.</t>
  </si>
  <si>
    <t>BARTON, GARRETT T.</t>
  </si>
  <si>
    <t>FLEMING, JONATHAN T.</t>
  </si>
  <si>
    <t>MOORE, JOSHUA T.</t>
  </si>
  <si>
    <t>BRANIN, STEVEN J.</t>
  </si>
  <si>
    <t>CHAMBERS, JOHN T.</t>
  </si>
  <si>
    <t>GREENE, MATTHEW N.</t>
  </si>
  <si>
    <t>HAMILTON, ANTHONY D.</t>
  </si>
  <si>
    <t>HAMILTON, AUSTIN R.</t>
  </si>
  <si>
    <t>HANCOCK, PHILIP C.</t>
  </si>
  <si>
    <t>JONES, JAMES C.</t>
  </si>
  <si>
    <t>MCCRAITH, MATTHEW J.</t>
  </si>
  <si>
    <t>RUGE, RYAN M.</t>
  </si>
  <si>
    <t>SCHONING, ZACHARY F.</t>
  </si>
  <si>
    <t>TOMLINSON, MATTHEW P.</t>
  </si>
  <si>
    <t>ANDERSON, CHRISTIAN A.</t>
  </si>
  <si>
    <t>CAVANAUGH, JACK T.</t>
  </si>
  <si>
    <t>DUBINSKY III, WILLIAM G.</t>
  </si>
  <si>
    <t>FINNEY, JENNIFER N.</t>
  </si>
  <si>
    <t>HALLQUIST, AUSTIN B.</t>
  </si>
  <si>
    <t>HOWARD, AUSTIN J.</t>
  </si>
  <si>
    <t>LEATH, JAKE A.</t>
  </si>
  <si>
    <t>MARTIN, GABRIEL J.</t>
  </si>
  <si>
    <t>MILLER, DALTON C.</t>
  </si>
  <si>
    <t>MUZZILLO, JOSEPH R.</t>
  </si>
  <si>
    <t>PERALES, JACOB L.</t>
  </si>
  <si>
    <t>THORNTON, DEREK A.</t>
  </si>
  <si>
    <t>YAGER, KATHERINE R.</t>
  </si>
  <si>
    <t>YERARDI, JESSE S.</t>
  </si>
  <si>
    <t>DALMASS, ARMAND N.</t>
  </si>
  <si>
    <t>CFT Blanks</t>
  </si>
  <si>
    <t>Doing his today with BN</t>
  </si>
  <si>
    <t>At Cpls Course</t>
  </si>
  <si>
    <t>MEU</t>
  </si>
  <si>
    <t>COOK, REMINGTON R.</t>
  </si>
  <si>
    <t>SkillBridge/Terminal</t>
  </si>
  <si>
    <t>CORN, ALEXANDER D.</t>
  </si>
  <si>
    <t>O2E</t>
  </si>
  <si>
    <t>Baby Leave</t>
  </si>
  <si>
    <t>FILYAW, DAKOTA R.</t>
  </si>
  <si>
    <t>Awaiting PHA will run next week</t>
  </si>
  <si>
    <t>Final Physical done can not do CFT will complete HT/WT 4Dec</t>
  </si>
  <si>
    <t>Will do 14-17 Nov</t>
  </si>
  <si>
    <t>HEPTON, MORGEN A.</t>
  </si>
  <si>
    <t>Pregnancy, on leave after TG</t>
  </si>
  <si>
    <t>HOLDRIDGE, PRESTON M.</t>
  </si>
  <si>
    <t>Final Physical done</t>
  </si>
  <si>
    <t>HOUSTON, JOSHUA T.</t>
  </si>
  <si>
    <t>LONG, DESHAUN A.</t>
  </si>
  <si>
    <t>MCCONNELL, IAN P.</t>
  </si>
  <si>
    <t>MCGOVERN, BRAYDEN J.</t>
  </si>
  <si>
    <t>REISINGER, STEVEN J.</t>
  </si>
  <si>
    <t>ROBINSON, MATTHEW J.</t>
  </si>
  <si>
    <t>verified by GySgt Johns</t>
  </si>
  <si>
    <t>SCHIERBAUM, ASHTON B.</t>
  </si>
  <si>
    <t>BB Leave</t>
  </si>
  <si>
    <t>SNEED, HUNTER G.</t>
  </si>
  <si>
    <t>RADBN</t>
  </si>
  <si>
    <t>VENTURA, ROGER E.</t>
  </si>
  <si>
    <t>FROST, CAMERON</t>
  </si>
  <si>
    <t>CFT being ran 7Dec23</t>
  </si>
  <si>
    <t>Last pulled 25Jan24</t>
  </si>
  <si>
    <t>Gender</t>
  </si>
  <si>
    <t>Roster Type</t>
  </si>
  <si>
    <t>Event Date</t>
  </si>
  <si>
    <t>UMAPIT Trained / Untrained</t>
  </si>
  <si>
    <t>Roster Type2</t>
  </si>
  <si>
    <t>Event Date3</t>
  </si>
  <si>
    <t>MCTFS Status4</t>
  </si>
  <si>
    <t>AT Trained / Untrained</t>
  </si>
  <si>
    <t>Roster Type5</t>
  </si>
  <si>
    <t>Event Date6</t>
  </si>
  <si>
    <t>MCTFS Status7</t>
  </si>
  <si>
    <t>PAC Trained / Untrained</t>
  </si>
  <si>
    <t>Roster Type8</t>
  </si>
  <si>
    <t>Event Date9</t>
  </si>
  <si>
    <t>MCTFS Status10</t>
  </si>
  <si>
    <t>RM Trained / Untrained</t>
  </si>
  <si>
    <t>Roster Type11</t>
  </si>
  <si>
    <t>Event Date12</t>
  </si>
  <si>
    <t>MCTFS Status13</t>
  </si>
  <si>
    <t>CIAR Trained / Untrained</t>
  </si>
  <si>
    <t>Roster Type3</t>
  </si>
  <si>
    <t>Event Date4</t>
  </si>
  <si>
    <t>MCTFS Status5</t>
  </si>
  <si>
    <t>Sup Safety Trained / Untrained</t>
  </si>
  <si>
    <t>Roster Type14</t>
  </si>
  <si>
    <t>Event Date15</t>
  </si>
  <si>
    <t>MCTFS Status16</t>
  </si>
  <si>
    <t>OPSEC Trained / Untrained</t>
  </si>
  <si>
    <t>Roster Type4</t>
  </si>
  <si>
    <t>Event Date5</t>
  </si>
  <si>
    <t>MCTFS Status6</t>
  </si>
  <si>
    <t>Substances Trained / Untrained</t>
  </si>
  <si>
    <t>Training</t>
  </si>
  <si>
    <t>Last pulled 12Dec23</t>
  </si>
  <si>
    <t>Take A Stand Trained / Untrained</t>
  </si>
  <si>
    <t>Score</t>
  </si>
  <si>
    <t>Pistol Classification</t>
  </si>
  <si>
    <t>Course Of Fire</t>
  </si>
  <si>
    <t>CBRN Trained / Untrained</t>
  </si>
  <si>
    <t>Step Up Trained / Untrained</t>
  </si>
  <si>
    <t>SAPR Trained / Untrained</t>
  </si>
  <si>
    <t>SAPR SNCO Trained / Untrained</t>
  </si>
  <si>
    <t>Roster Type17</t>
  </si>
  <si>
    <t>Event Date18</t>
  </si>
  <si>
    <t>ARQ MCTFS Status</t>
  </si>
  <si>
    <t>ARQ Exemption Type</t>
  </si>
  <si>
    <t>Destroys</t>
  </si>
  <si>
    <t>Drills</t>
  </si>
  <si>
    <t>Totals</t>
  </si>
  <si>
    <t>ARQ Class</t>
  </si>
  <si>
    <t>Course OF Fire20</t>
  </si>
  <si>
    <t>Roster Type21</t>
  </si>
  <si>
    <t>Event Date22</t>
  </si>
  <si>
    <t>MCTFS Status23</t>
  </si>
  <si>
    <t>CYBER Trained / Untrained</t>
  </si>
  <si>
    <t>Roster Type24</t>
  </si>
  <si>
    <t>Event Date25</t>
  </si>
  <si>
    <t>MCTFS Status26</t>
  </si>
  <si>
    <t>EXPERT</t>
  </si>
  <si>
    <t>CPP</t>
  </si>
  <si>
    <t>48/3</t>
  </si>
  <si>
    <t>EX</t>
  </si>
  <si>
    <t>46/3</t>
  </si>
  <si>
    <t>38/3</t>
  </si>
  <si>
    <t>SS</t>
  </si>
  <si>
    <t>44/3</t>
  </si>
  <si>
    <t>39/3</t>
  </si>
  <si>
    <t>45/3</t>
  </si>
  <si>
    <t>43/3</t>
  </si>
  <si>
    <t>SHARPSHOOTER</t>
  </si>
  <si>
    <t>Officer over 13 yrs</t>
  </si>
  <si>
    <t>47/3</t>
  </si>
  <si>
    <t>Swim MCTFS Status</t>
  </si>
  <si>
    <t>CLASSIFICATION</t>
  </si>
  <si>
    <t>Height</t>
  </si>
  <si>
    <t>Weight</t>
  </si>
  <si>
    <t>Body Fat</t>
  </si>
  <si>
    <t>Water Survival Intermediate (WS-I)</t>
  </si>
  <si>
    <t>Water Survival Basic (WS-B)</t>
  </si>
  <si>
    <t>MCIWS</t>
  </si>
  <si>
    <t>Waiver</t>
  </si>
  <si>
    <t>Last pulled 8Sep24</t>
  </si>
  <si>
    <t>Req. Not Taken</t>
  </si>
  <si>
    <t>Move To Contact</t>
  </si>
  <si>
    <t>Ammo Can Lift</t>
  </si>
  <si>
    <t>Score2</t>
  </si>
  <si>
    <t>Move Under Fire</t>
  </si>
  <si>
    <t>Score3</t>
  </si>
  <si>
    <t>Total Score</t>
  </si>
  <si>
    <t>Class CFT</t>
  </si>
  <si>
    <t>High Altitude</t>
  </si>
  <si>
    <t>FIRST CLASS</t>
  </si>
  <si>
    <t>SECOND CLASS</t>
  </si>
  <si>
    <t>Partial - Ammo Can Lift, Move Under Fire</t>
  </si>
  <si>
    <t>None</t>
  </si>
  <si>
    <t>Last pulled 26Mar24</t>
  </si>
  <si>
    <t>PFT Event Date</t>
  </si>
  <si>
    <t>PU / FAH</t>
  </si>
  <si>
    <t>Points</t>
  </si>
  <si>
    <t>Pushups</t>
  </si>
  <si>
    <t>Points2</t>
  </si>
  <si>
    <t>Crunches</t>
  </si>
  <si>
    <t>Points3</t>
  </si>
  <si>
    <t>Plank</t>
  </si>
  <si>
    <t>Points4</t>
  </si>
  <si>
    <t>Run</t>
  </si>
  <si>
    <t>Points5</t>
  </si>
  <si>
    <t>Row</t>
  </si>
  <si>
    <t>Points6</t>
  </si>
  <si>
    <t>Class PFT</t>
  </si>
  <si>
    <t>High Alt</t>
  </si>
  <si>
    <t>Females Performed</t>
  </si>
  <si>
    <t>Second Class</t>
  </si>
  <si>
    <t>Pending</t>
  </si>
  <si>
    <t>First Class</t>
  </si>
  <si>
    <t>Partial</t>
  </si>
  <si>
    <t>Partial - Crunches/Plank</t>
  </si>
  <si>
    <t>Last pulled 4Oct23</t>
  </si>
  <si>
    <t>Drivers Awareness Trained / Untrained</t>
  </si>
  <si>
    <t>SUMMERS</t>
  </si>
  <si>
    <t>DOMINIC</t>
  </si>
  <si>
    <t>LARA</t>
  </si>
  <si>
    <t>SAMARA</t>
  </si>
  <si>
    <t>CARSON</t>
  </si>
  <si>
    <t>BROOKS</t>
  </si>
  <si>
    <t>COFFEY</t>
  </si>
  <si>
    <t>GIOVANI</t>
  </si>
  <si>
    <t>BERG</t>
  </si>
  <si>
    <t>JULIAN</t>
  </si>
  <si>
    <t>MORRIS</t>
  </si>
  <si>
    <t>RAELYNN</t>
  </si>
  <si>
    <t>TRUJILLO</t>
  </si>
  <si>
    <t>JULIEN</t>
  </si>
  <si>
    <t>LANDRY</t>
  </si>
  <si>
    <t>REY</t>
  </si>
  <si>
    <t>DUARTE</t>
  </si>
  <si>
    <t>SILAS</t>
  </si>
  <si>
    <t>KIDD</t>
  </si>
  <si>
    <t>ADONIS</t>
  </si>
  <si>
    <t>BREWER</t>
  </si>
  <si>
    <t>VALENTINA</t>
  </si>
  <si>
    <t>CABRERA</t>
  </si>
  <si>
    <t>HAILIE</t>
  </si>
  <si>
    <t>HODGES</t>
  </si>
  <si>
    <t>ROSELYN</t>
  </si>
  <si>
    <t>ACEVEDO</t>
  </si>
  <si>
    <t>GRIFFIN</t>
  </si>
  <si>
    <t>ALLEN</t>
  </si>
  <si>
    <t>KALE</t>
  </si>
  <si>
    <t>DAVENPORT</t>
  </si>
  <si>
    <t>IMMANUEL</t>
  </si>
  <si>
    <t>CHANDLER</t>
  </si>
  <si>
    <t>TREVON</t>
  </si>
  <si>
    <t>CLEMENTS</t>
  </si>
  <si>
    <t>ALISSON</t>
  </si>
  <si>
    <t>MULLEN</t>
  </si>
  <si>
    <t>LILLIE</t>
  </si>
  <si>
    <t>WONG</t>
  </si>
  <si>
    <t>KATELYNN</t>
  </si>
  <si>
    <t>FRANK</t>
  </si>
  <si>
    <t>DAVIN</t>
  </si>
  <si>
    <t>MOODY</t>
  </si>
  <si>
    <t>TIANNA</t>
  </si>
  <si>
    <t>MAYO</t>
  </si>
  <si>
    <t>SANIYAH</t>
  </si>
  <si>
    <t>TERRELL</t>
  </si>
  <si>
    <t>KAMORA</t>
  </si>
  <si>
    <t>ARNOLD</t>
  </si>
  <si>
    <t>MARY</t>
  </si>
  <si>
    <t>WILLIS</t>
  </si>
  <si>
    <t>AKIRA</t>
  </si>
  <si>
    <t>RITTER</t>
  </si>
  <si>
    <t>DEMETRIUS</t>
  </si>
  <si>
    <t>HARTMAN</t>
  </si>
  <si>
    <t>DANE</t>
  </si>
  <si>
    <t>FRY</t>
  </si>
  <si>
    <t>DARIUS</t>
  </si>
  <si>
    <t>NASH</t>
  </si>
  <si>
    <t>KIERAN</t>
  </si>
  <si>
    <t>SHAH</t>
  </si>
  <si>
    <t>BRYNN</t>
  </si>
  <si>
    <t>WEISS</t>
  </si>
  <si>
    <t>BRAXTON</t>
  </si>
  <si>
    <t>HOPKINS</t>
  </si>
  <si>
    <t>NICK</t>
  </si>
  <si>
    <t>GIBBS</t>
  </si>
  <si>
    <t>SANDRA</t>
  </si>
  <si>
    <t>FRIEDMAN</t>
  </si>
  <si>
    <t>ROHAN</t>
  </si>
  <si>
    <t>SPEARS</t>
  </si>
  <si>
    <t>TRIPP</t>
  </si>
  <si>
    <t>KENNEDY</t>
  </si>
  <si>
    <t>RYAN</t>
  </si>
  <si>
    <t>CHEN</t>
  </si>
  <si>
    <t>ANGELINE</t>
  </si>
  <si>
    <t>BUCHANAN</t>
  </si>
  <si>
    <t>TIMOTHY</t>
  </si>
  <si>
    <t>LARSEN</t>
  </si>
  <si>
    <t>JENSEN</t>
  </si>
  <si>
    <t>MCBRIDE</t>
  </si>
  <si>
    <t>ZION</t>
  </si>
  <si>
    <t>CORDOVA</t>
  </si>
  <si>
    <t>GRADY</t>
  </si>
  <si>
    <t>HARRISON</t>
  </si>
  <si>
    <t>FIONA</t>
  </si>
  <si>
    <t>HAAS</t>
  </si>
  <si>
    <t>VALERY</t>
  </si>
  <si>
    <t>BRADFORD</t>
  </si>
  <si>
    <t>CADENCE</t>
  </si>
  <si>
    <t>BERGER</t>
  </si>
  <si>
    <t>PAYTON</t>
  </si>
  <si>
    <t>MCCOY</t>
  </si>
  <si>
    <t>EILEEN</t>
  </si>
  <si>
    <t>MALONE</t>
  </si>
  <si>
    <t>DAMARION</t>
  </si>
  <si>
    <t>GROSS</t>
  </si>
  <si>
    <t>SHERLYN</t>
  </si>
  <si>
    <t>BECK</t>
  </si>
  <si>
    <t>LEVI</t>
  </si>
  <si>
    <t>SILVA</t>
  </si>
  <si>
    <t>ABIGAIL</t>
  </si>
  <si>
    <t>CONWAY</t>
  </si>
  <si>
    <t>TATIANA</t>
  </si>
  <si>
    <t>HUGHES</t>
  </si>
  <si>
    <t>GILBERTO</t>
  </si>
  <si>
    <t>LEONARDO</t>
  </si>
  <si>
    <t>MONROE</t>
  </si>
  <si>
    <t>MARIAM</t>
  </si>
  <si>
    <t>MCDONALD</t>
  </si>
  <si>
    <t>DESIREE</t>
  </si>
  <si>
    <t>FOWLER</t>
  </si>
  <si>
    <t>DEVYN</t>
  </si>
  <si>
    <t>MCGEE</t>
  </si>
  <si>
    <t>MAYRA</t>
  </si>
  <si>
    <t>SCHAEFER</t>
  </si>
  <si>
    <t>JAYLA</t>
  </si>
  <si>
    <t>LARSON</t>
  </si>
  <si>
    <t>TYREE</t>
  </si>
  <si>
    <t>DAVID</t>
  </si>
  <si>
    <t>HEATHER</t>
  </si>
  <si>
    <t>DAWSON</t>
  </si>
  <si>
    <t>DEMARION</t>
  </si>
  <si>
    <t>SOLOMON</t>
  </si>
  <si>
    <t>DILLON</t>
  </si>
  <si>
    <t>1STSGT</t>
  </si>
  <si>
    <t>VELAZQUEZ</t>
  </si>
  <si>
    <t>EMILIE</t>
  </si>
  <si>
    <t>WALKER</t>
  </si>
  <si>
    <t>ANAYA</t>
  </si>
  <si>
    <t>HEBERT</t>
  </si>
  <si>
    <t>JOSEPH</t>
  </si>
  <si>
    <t>GUADALUPE</t>
  </si>
  <si>
    <t>TODD</t>
  </si>
  <si>
    <t>GLENN</t>
  </si>
  <si>
    <t>RIOS</t>
  </si>
  <si>
    <t>LEWIS</t>
  </si>
  <si>
    <t>MAXWELL</t>
  </si>
  <si>
    <t>COBY</t>
  </si>
  <si>
    <t>ANYA</t>
  </si>
  <si>
    <t>ALVAREZ</t>
  </si>
  <si>
    <t>KIANA</t>
  </si>
  <si>
    <t>TRAVIS</t>
  </si>
  <si>
    <t>ANGELINA</t>
  </si>
  <si>
    <t>BLEVINS</t>
  </si>
  <si>
    <t>TOBIAS</t>
  </si>
  <si>
    <t>ROSE</t>
  </si>
  <si>
    <t>YUSUF</t>
  </si>
  <si>
    <t>HARRINGTON</t>
  </si>
  <si>
    <t>STAFFORD</t>
  </si>
  <si>
    <t>ALLYSON</t>
  </si>
  <si>
    <t>THOMAS</t>
  </si>
  <si>
    <t>AVA</t>
  </si>
  <si>
    <t>POWERS</t>
  </si>
  <si>
    <t>BLAKE</t>
  </si>
  <si>
    <t>SUMMERS, DOMINIC A.</t>
  </si>
  <si>
    <t>LARA, SAMARA A.</t>
  </si>
  <si>
    <t>CARSON, BROOKS A.</t>
  </si>
  <si>
    <t>COFFEY, GIOVANI A.</t>
  </si>
  <si>
    <t>BERG, JULIAN A.</t>
  </si>
  <si>
    <t>MORRIS, RAELYNN A.</t>
  </si>
  <si>
    <t>TRUJILLO, JULIEN A.</t>
  </si>
  <si>
    <t>LANDRY, REY A.</t>
  </si>
  <si>
    <t>DUARTE, SILAS A.</t>
  </si>
  <si>
    <t>KIDD, ADONIS A.</t>
  </si>
  <si>
    <t>BREWER, VALENTINA A.</t>
  </si>
  <si>
    <t>CABRERA, HAILIE A.</t>
  </si>
  <si>
    <t>HODGES, ROSELYN A.</t>
  </si>
  <si>
    <t>ACEVEDO, GRIFFIN A.</t>
  </si>
  <si>
    <t>ALLEN, KALE A.</t>
  </si>
  <si>
    <t>DAVENPORT, IMMANUEL A.</t>
  </si>
  <si>
    <t>CHANDLER, TREVON A.</t>
  </si>
  <si>
    <t>CLEMENTS, ALISSON A.</t>
  </si>
  <si>
    <t>MULLEN, LILLIE A.</t>
  </si>
  <si>
    <t>WONG, KATELYNN A.</t>
  </si>
  <si>
    <t>FRANK, DAVIN A.</t>
  </si>
  <si>
    <t>MOODY, TIANNA A.</t>
  </si>
  <si>
    <t>MAYO, SANIYAH A.</t>
  </si>
  <si>
    <t>TERRELL, KAMORA A.</t>
  </si>
  <si>
    <t>ARNOLD, MARY A.</t>
  </si>
  <si>
    <t>WILLIS, AKIRA A.</t>
  </si>
  <si>
    <t>RITTER, DEMETRIUS A.</t>
  </si>
  <si>
    <t>HARTMAN, DANE A.</t>
  </si>
  <si>
    <t>FRY, DARIUS A.</t>
  </si>
  <si>
    <t>NASH, KIERAN A.</t>
  </si>
  <si>
    <t>SHAH, BRYNN A.</t>
  </si>
  <si>
    <t>WEISS, BRAXTON A.</t>
  </si>
  <si>
    <t>HOPKINS, NICK A.</t>
  </si>
  <si>
    <t>GIBBS, SANDRA A.</t>
  </si>
  <si>
    <t>FRIEDMAN, ROHAN A.</t>
  </si>
  <si>
    <t>SPEARS, TRIPP A.</t>
  </si>
  <si>
    <t>KENNEDY, RYAN A.</t>
  </si>
  <si>
    <t>CHEN, ANGELINE A.</t>
  </si>
  <si>
    <t>BUCHANAN, TIMOTHY A.</t>
  </si>
  <si>
    <t>LARSEN, JENSEN A.</t>
  </si>
  <si>
    <t>MCBRIDE, ZION A.</t>
  </si>
  <si>
    <t>CORDOVA, GRADY A.</t>
  </si>
  <si>
    <t>HARRISON, FIONA A.</t>
  </si>
  <si>
    <t>HAAS, VALERY A.</t>
  </si>
  <si>
    <t>BRADFORD, CADENCE A.</t>
  </si>
  <si>
    <t>BERGER, PAYTON A.</t>
  </si>
  <si>
    <t>MCCOY, EILEEN A.</t>
  </si>
  <si>
    <t>MALONE, DAMARION A.</t>
  </si>
  <si>
    <t>4PLT</t>
  </si>
  <si>
    <t>GROSS, SHERLYN A.</t>
  </si>
  <si>
    <t>BECK, LEVI A.</t>
  </si>
  <si>
    <t>SILVA, ABIGAIL A.</t>
  </si>
  <si>
    <t>CONWAY, TATIANA A.</t>
  </si>
  <si>
    <t>HUGHES, GILBERTO A.</t>
  </si>
  <si>
    <t>NASH, LEONARDO A.</t>
  </si>
  <si>
    <t>MONROE, MARIAM A.</t>
  </si>
  <si>
    <t>MCDONALD, DESIREE A.</t>
  </si>
  <si>
    <t>FOWLER, DEVYN A.</t>
  </si>
  <si>
    <t>MCGEE, MAYRA A.</t>
  </si>
  <si>
    <t>SCHAEFER, JAYLA A.</t>
  </si>
  <si>
    <t>LARSON, TYREE A.</t>
  </si>
  <si>
    <t>DAVID, HEATHER A.</t>
  </si>
  <si>
    <t>DAWSON, DEMARION A.</t>
  </si>
  <si>
    <t>SOLOMON, DILLON A.</t>
  </si>
  <si>
    <t>VELAZQUEZ, EMILIE A.</t>
  </si>
  <si>
    <t>WALKER, ANAYA A.</t>
  </si>
  <si>
    <t>HEBERT, MAYRA A.</t>
  </si>
  <si>
    <t>JOSEPH, GUADALUPE A.</t>
  </si>
  <si>
    <t>TODD, GLENN A.</t>
  </si>
  <si>
    <t>RIOS, LEWIS A.</t>
  </si>
  <si>
    <t>MAXWELL, COBY A.</t>
  </si>
  <si>
    <t>DAVENPORT, ANYA A.</t>
  </si>
  <si>
    <t>ALVAREZ, KIANA A.</t>
  </si>
  <si>
    <t>TRAVIS, ANGELINA A.</t>
  </si>
  <si>
    <t>BLEVINS, TOBIAS A.</t>
  </si>
  <si>
    <t>ROSE, YUSUF A.</t>
  </si>
  <si>
    <t>HARRINGTON, TODD A.</t>
  </si>
  <si>
    <t>STAFFORD, ALLYSON A.</t>
  </si>
  <si>
    <t>THOMAS, AVA A.</t>
  </si>
  <si>
    <t>POWERS, BLAKE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</si>
</sst>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0;0"/>
    <numFmt numFmtId="165" formatCode="0;\-0;;@"/>
    <numFmt numFmtId="166" formatCode="0.0%"/>
  </numFmts>
  <fonts count="25" x14ac:knownFonts="1">
    <font>
      <sz val="11"/>
      <color theme="1"/>
      <name val="Calibri"/>
      <family val="2"/>
      <scheme val="minor"/>
    </font>
    <font>
      <sz val="9.75"/>
      <color rgb="FFFFFFFF"/>
      <name val="Times New Roman"/>
      <family val="1"/>
    </font>
    <font>
      <sz val="9.75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sz val="9.75"/>
      <color rgb="FFFFFFFF"/>
      <name val="Times New Roman"/>
      <family val="1"/>
    </font>
    <font>
      <sz val="9.75"/>
      <color rgb="FFFFFFFF"/>
      <name val="Times New Roman"/>
      <family val="1"/>
    </font>
    <font>
      <sz val="11"/>
      <color rgb="FFFFFFFF"/>
      <name val="Calibri"/>
      <family val="2"/>
    </font>
    <font>
      <sz val="9.75"/>
      <color rgb="FF000000"/>
      <name val="Times New Roman"/>
      <family val="1"/>
    </font>
    <font>
      <sz val="11"/>
      <name val="Calibri"/>
      <family val="2"/>
      <scheme val="minor"/>
    </font>
    <font>
      <sz val="9.75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75"/>
      <color rgb="FFFFFFFF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808080"/>
      </patternFill>
    </fill>
    <fill>
      <patternFill patternType="solid">
        <fgColor rgb="FF80808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D9D9D9"/>
      </patternFill>
    </fill>
  </fills>
  <borders count="4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theme="8" tint="0.39997558519241921"/>
      </bottom>
      <diagonal/>
    </border>
    <border>
      <left/>
      <right/>
      <top style="medium">
        <color rgb="FF000000"/>
      </top>
      <bottom style="thin">
        <color theme="8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rgb="FF000000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</cellStyleXfs>
  <cellXfs count="232">
    <xf numFmtId="0" fontId="0" fillId="0" borderId="0" xfId="0"/>
    <xf numFmtId="0" fontId="1" fillId="2" borderId="2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14" fontId="2" fillId="3" borderId="2" xfId="0" applyNumberFormat="1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1" fillId="2" borderId="4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wrapText="1" readingOrder="1"/>
    </xf>
    <xf numFmtId="14" fontId="2" fillId="3" borderId="5" xfId="0" applyNumberFormat="1" applyFont="1" applyFill="1" applyBorder="1" applyAlignment="1">
      <alignment wrapText="1" readingOrder="1"/>
    </xf>
    <xf numFmtId="0" fontId="2" fillId="3" borderId="0" xfId="0" applyFont="1" applyFill="1" applyBorder="1" applyAlignment="1">
      <alignment wrapText="1" readingOrder="1"/>
    </xf>
    <xf numFmtId="49" fontId="7" fillId="11" borderId="1" xfId="0" applyNumberFormat="1" applyFont="1" applyFill="1" applyBorder="1" applyAlignment="1">
      <alignment horizontal="center" vertical="center" readingOrder="1"/>
    </xf>
    <xf numFmtId="49" fontId="8" fillId="11" borderId="1" xfId="0" applyNumberFormat="1" applyFont="1" applyFill="1" applyBorder="1" applyAlignment="1">
      <alignment horizontal="center" vertical="center" readingOrder="1"/>
    </xf>
    <xf numFmtId="49" fontId="8" fillId="12" borderId="1" xfId="0" applyNumberFormat="1" applyFont="1" applyFill="1" applyBorder="1" applyAlignment="1">
      <alignment horizontal="center" vertical="center" readingOrder="1"/>
    </xf>
    <xf numFmtId="0" fontId="10" fillId="0" borderId="9" xfId="0" applyFont="1" applyBorder="1" applyAlignment="1">
      <alignment horizontal="center" vertical="center" readingOrder="1"/>
    </xf>
    <xf numFmtId="49" fontId="10" fillId="0" borderId="9" xfId="0" applyNumberFormat="1" applyFont="1" applyBorder="1" applyAlignment="1">
      <alignment horizontal="left" vertical="center" readingOrder="1"/>
    </xf>
    <xf numFmtId="9" fontId="11" fillId="0" borderId="9" xfId="1" applyNumberFormat="1" applyFont="1" applyFill="1" applyBorder="1" applyAlignment="1">
      <alignment horizontal="center" vertical="center" readingOrder="1"/>
    </xf>
    <xf numFmtId="9" fontId="4" fillId="9" borderId="9" xfId="2" applyNumberFormat="1" applyBorder="1" applyAlignment="1">
      <alignment horizontal="center" vertical="center" readingOrder="1"/>
    </xf>
    <xf numFmtId="0" fontId="10" fillId="12" borderId="9" xfId="0" applyFont="1" applyFill="1" applyBorder="1" applyAlignment="1">
      <alignment horizontal="center" vertical="center" readingOrder="1"/>
    </xf>
    <xf numFmtId="0" fontId="10" fillId="12" borderId="9" xfId="0" applyFont="1" applyFill="1" applyBorder="1" applyAlignment="1">
      <alignment vertical="center" readingOrder="1"/>
    </xf>
    <xf numFmtId="0" fontId="12" fillId="12" borderId="9" xfId="0" applyFont="1" applyFill="1" applyBorder="1" applyAlignment="1">
      <alignment vertical="center" readingOrder="1"/>
    </xf>
    <xf numFmtId="9" fontId="11" fillId="0" borderId="9" xfId="2" applyNumberFormat="1" applyFont="1" applyFill="1" applyBorder="1" applyAlignment="1">
      <alignment horizontal="center" vertical="center" readingOrder="1"/>
    </xf>
    <xf numFmtId="49" fontId="2" fillId="13" borderId="9" xfId="0" applyNumberFormat="1" applyFont="1" applyFill="1" applyBorder="1" applyAlignment="1">
      <alignment horizontal="left" vertical="center" wrapText="1" readingOrder="1"/>
    </xf>
    <xf numFmtId="49" fontId="2" fillId="13" borderId="9" xfId="0" applyNumberFormat="1" applyFont="1" applyFill="1" applyBorder="1" applyAlignment="1">
      <alignment horizontal="center" vertical="center" readingOrder="1"/>
    </xf>
    <xf numFmtId="49" fontId="2" fillId="13" borderId="9" xfId="0" applyNumberFormat="1" applyFont="1" applyFill="1" applyBorder="1" applyAlignment="1">
      <alignment horizontal="left" vertical="center" readingOrder="1"/>
    </xf>
    <xf numFmtId="9" fontId="5" fillId="10" borderId="9" xfId="3" applyNumberFormat="1" applyBorder="1" applyAlignment="1">
      <alignment horizontal="center" vertical="center" readingOrder="1"/>
    </xf>
    <xf numFmtId="49" fontId="9" fillId="12" borderId="10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0" fillId="0" borderId="14" xfId="0" applyFont="1" applyBorder="1" applyAlignment="1">
      <alignment horizontal="center" vertical="center" readingOrder="1"/>
    </xf>
    <xf numFmtId="0" fontId="10" fillId="12" borderId="15" xfId="0" applyFont="1" applyFill="1" applyBorder="1" applyAlignment="1">
      <alignment horizontal="center" vertical="center" readingOrder="1"/>
    </xf>
    <xf numFmtId="0" fontId="10" fillId="12" borderId="9" xfId="0" applyFont="1" applyFill="1" applyBorder="1" applyAlignment="1">
      <alignment horizontal="left" vertical="center" readingOrder="1"/>
    </xf>
    <xf numFmtId="0" fontId="2" fillId="0" borderId="2" xfId="0" applyFont="1" applyFill="1" applyBorder="1" applyAlignment="1">
      <alignment wrapText="1" readingOrder="1"/>
    </xf>
    <xf numFmtId="14" fontId="2" fillId="0" borderId="2" xfId="0" applyNumberFormat="1" applyFont="1" applyFill="1" applyBorder="1" applyAlignment="1">
      <alignment wrapText="1" readingOrder="1"/>
    </xf>
    <xf numFmtId="20" fontId="2" fillId="0" borderId="2" xfId="0" applyNumberFormat="1" applyFont="1" applyFill="1" applyBorder="1" applyAlignment="1">
      <alignment wrapText="1" readingOrder="1"/>
    </xf>
    <xf numFmtId="0" fontId="2" fillId="0" borderId="4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wrapText="1" readingOrder="1"/>
    </xf>
    <xf numFmtId="14" fontId="2" fillId="0" borderId="5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0" fontId="14" fillId="0" borderId="0" xfId="0" applyFont="1"/>
    <xf numFmtId="0" fontId="0" fillId="15" borderId="0" xfId="0" applyFill="1" applyAlignment="1">
      <alignment horizontal="center"/>
    </xf>
    <xf numFmtId="49" fontId="10" fillId="0" borderId="9" xfId="0" applyNumberFormat="1" applyFont="1" applyBorder="1" applyAlignment="1">
      <alignment horizontal="center" vertical="center" readingOrder="1"/>
    </xf>
    <xf numFmtId="0" fontId="10" fillId="0" borderId="9" xfId="0" applyNumberFormat="1" applyFont="1" applyBorder="1" applyAlignment="1">
      <alignment horizontal="center" vertical="center" readingOrder="1"/>
    </xf>
    <xf numFmtId="164" fontId="0" fillId="0" borderId="17" xfId="0" applyNumberFormat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0" fontId="10" fillId="0" borderId="20" xfId="0" applyFont="1" applyBorder="1" applyAlignment="1">
      <alignment horizontal="center" vertical="center" readingOrder="1"/>
    </xf>
    <xf numFmtId="49" fontId="10" fillId="0" borderId="20" xfId="0" applyNumberFormat="1" applyFont="1" applyBorder="1" applyAlignment="1">
      <alignment horizontal="left" vertical="center" readingOrder="1"/>
    </xf>
    <xf numFmtId="9" fontId="11" fillId="0" borderId="20" xfId="2" applyNumberFormat="1" applyFont="1" applyFill="1" applyBorder="1" applyAlignment="1">
      <alignment horizontal="center" vertical="center" readingOrder="1"/>
    </xf>
    <xf numFmtId="165" fontId="0" fillId="0" borderId="0" xfId="0" applyNumberFormat="1"/>
    <xf numFmtId="165" fontId="0" fillId="0" borderId="6" xfId="0" applyNumberFormat="1" applyBorder="1"/>
    <xf numFmtId="165" fontId="0" fillId="0" borderId="0" xfId="0" applyNumberFormat="1" applyBorder="1"/>
    <xf numFmtId="165" fontId="0" fillId="16" borderId="0" xfId="0" applyNumberFormat="1" applyFill="1" applyBorder="1"/>
    <xf numFmtId="0" fontId="17" fillId="2" borderId="21" xfId="0" applyFont="1" applyFill="1" applyBorder="1" applyAlignment="1">
      <alignment horizontal="left" vertical="center" wrapText="1" readingOrder="1"/>
    </xf>
    <xf numFmtId="0" fontId="17" fillId="2" borderId="22" xfId="0" applyFont="1" applyFill="1" applyBorder="1" applyAlignment="1">
      <alignment horizontal="left" vertical="center" wrapText="1" readingOrder="1"/>
    </xf>
    <xf numFmtId="0" fontId="17" fillId="2" borderId="4" xfId="0" applyFont="1" applyFill="1" applyBorder="1" applyAlignment="1">
      <alignment horizontal="left" vertical="center" wrapText="1" readingOrder="1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 readingOrder="1"/>
    </xf>
    <xf numFmtId="14" fontId="6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Alignment="1"/>
    <xf numFmtId="0" fontId="0" fillId="0" borderId="0" xfId="0" applyNumberFormat="1" applyBorder="1"/>
    <xf numFmtId="49" fontId="10" fillId="0" borderId="13" xfId="0" applyNumberFormat="1" applyFont="1" applyBorder="1" applyAlignment="1">
      <alignment horizontal="center" vertical="center" readingOrder="1"/>
    </xf>
    <xf numFmtId="49" fontId="10" fillId="0" borderId="20" xfId="0" applyNumberFormat="1" applyFont="1" applyBorder="1" applyAlignment="1">
      <alignment horizontal="center" vertical="center" readingOrder="1"/>
    </xf>
    <xf numFmtId="0" fontId="0" fillId="0" borderId="9" xfId="0" applyBorder="1" applyAlignment="1">
      <alignment horizontal="center" vertical="center"/>
    </xf>
    <xf numFmtId="0" fontId="0" fillId="0" borderId="0" xfId="0" applyFill="1"/>
    <xf numFmtId="0" fontId="2" fillId="0" borderId="2" xfId="0" applyNumberFormat="1" applyFont="1" applyFill="1" applyBorder="1" applyAlignment="1">
      <alignment wrapText="1" readingOrder="1"/>
    </xf>
    <xf numFmtId="0" fontId="0" fillId="0" borderId="15" xfId="0" applyBorder="1" applyAlignment="1">
      <alignment horizontal="center" vertical="center"/>
    </xf>
    <xf numFmtId="0" fontId="1" fillId="2" borderId="0" xfId="0" applyFont="1" applyFill="1" applyBorder="1" applyAlignment="1">
      <alignment wrapText="1" readingOrder="1"/>
    </xf>
    <xf numFmtId="14" fontId="2" fillId="0" borderId="0" xfId="0" applyNumberFormat="1" applyFont="1" applyFill="1" applyBorder="1" applyAlignment="1">
      <alignment wrapText="1" readingOrder="1"/>
    </xf>
    <xf numFmtId="165" fontId="0" fillId="0" borderId="25" xfId="0" applyNumberFormat="1" applyBorder="1"/>
    <xf numFmtId="165" fontId="0" fillId="0" borderId="26" xfId="0" applyNumberFormat="1" applyBorder="1"/>
    <xf numFmtId="0" fontId="0" fillId="0" borderId="0" xfId="0" applyBorder="1"/>
    <xf numFmtId="49" fontId="2" fillId="0" borderId="0" xfId="0" applyNumberFormat="1" applyFont="1" applyFill="1" applyBorder="1" applyAlignment="1">
      <alignment readingOrder="1"/>
    </xf>
    <xf numFmtId="9" fontId="0" fillId="0" borderId="0" xfId="0" applyNumberFormat="1" applyFill="1" applyAlignment="1">
      <alignment horizontal="center"/>
    </xf>
    <xf numFmtId="49" fontId="10" fillId="16" borderId="0" xfId="0" applyNumberFormat="1" applyFont="1" applyFill="1" applyBorder="1" applyAlignment="1">
      <alignment horizontal="left" vertical="center" readingOrder="1"/>
    </xf>
    <xf numFmtId="0" fontId="0" fillId="0" borderId="6" xfId="0" applyNumberFormat="1" applyBorder="1"/>
    <xf numFmtId="0" fontId="2" fillId="0" borderId="2" xfId="0" applyFont="1" applyFill="1" applyBorder="1" applyAlignment="1">
      <alignment readingOrder="1"/>
    </xf>
    <xf numFmtId="0" fontId="2" fillId="0" borderId="2" xfId="0" applyFont="1" applyFill="1" applyBorder="1" applyAlignment="1">
      <alignment horizontal="left" vertical="center" wrapText="1" readingOrder="1"/>
    </xf>
    <xf numFmtId="14" fontId="2" fillId="0" borderId="2" xfId="0" applyNumberFormat="1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5" fillId="0" borderId="0" xfId="0" applyFont="1" applyBorder="1" applyAlignment="1"/>
    <xf numFmtId="0" fontId="2" fillId="0" borderId="30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horizontal="left" wrapText="1" readingOrder="1"/>
    </xf>
    <xf numFmtId="0" fontId="0" fillId="16" borderId="28" xfId="0" applyFill="1" applyBorder="1"/>
    <xf numFmtId="0" fontId="0" fillId="16" borderId="0" xfId="0" applyFill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16" borderId="9" xfId="0" applyFill="1" applyBorder="1"/>
    <xf numFmtId="164" fontId="0" fillId="0" borderId="32" xfId="0" applyNumberFormat="1" applyBorder="1" applyAlignment="1">
      <alignment horizontal="center"/>
    </xf>
    <xf numFmtId="49" fontId="10" fillId="0" borderId="18" xfId="0" applyNumberFormat="1" applyFont="1" applyBorder="1" applyAlignment="1">
      <alignment horizontal="center" vertical="center" readingOrder="1"/>
    </xf>
    <xf numFmtId="0" fontId="0" fillId="16" borderId="28" xfId="0" applyFill="1" applyBorder="1" applyAlignment="1">
      <alignment horizontal="center"/>
    </xf>
    <xf numFmtId="0" fontId="0" fillId="16" borderId="0" xfId="0" applyFill="1" applyBorder="1"/>
    <xf numFmtId="0" fontId="0" fillId="16" borderId="0" xfId="0" applyFill="1" applyBorder="1" applyAlignment="1">
      <alignment horizontal="center"/>
    </xf>
    <xf numFmtId="0" fontId="0" fillId="0" borderId="6" xfId="0" applyBorder="1" applyAlignment="1">
      <alignment indent="4"/>
    </xf>
    <xf numFmtId="0" fontId="0" fillId="0" borderId="0" xfId="0" applyAlignment="1">
      <alignment indent="4"/>
    </xf>
    <xf numFmtId="0" fontId="0" fillId="0" borderId="0" xfId="0" applyAlignment="1">
      <alignment horizontal="center"/>
    </xf>
    <xf numFmtId="0" fontId="19" fillId="18" borderId="0" xfId="0" applyFont="1" applyFill="1" applyAlignment="1">
      <alignment horizontal="left" vertical="center" wrapText="1"/>
    </xf>
    <xf numFmtId="0" fontId="19" fillId="19" borderId="0" xfId="0" applyFont="1" applyFill="1" applyAlignment="1">
      <alignment horizontal="left" vertical="center" wrapText="1"/>
    </xf>
    <xf numFmtId="0" fontId="19" fillId="19" borderId="0" xfId="0" applyFont="1" applyFill="1" applyAlignment="1">
      <alignment horizontal="center" vertical="center" wrapText="1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20" borderId="0" xfId="0" applyFont="1" applyFill="1"/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8" xfId="0" applyFont="1" applyBorder="1"/>
    <xf numFmtId="0" fontId="16" fillId="7" borderId="0" xfId="0" applyFont="1" applyFill="1"/>
    <xf numFmtId="0" fontId="16" fillId="0" borderId="38" xfId="0" applyFont="1" applyBorder="1" applyAlignment="1">
      <alignment horizontal="left"/>
    </xf>
    <xf numFmtId="49" fontId="16" fillId="0" borderId="38" xfId="0" applyNumberFormat="1" applyFont="1" applyBorder="1" applyAlignment="1">
      <alignment vertical="center"/>
    </xf>
    <xf numFmtId="49" fontId="16" fillId="0" borderId="38" xfId="0" applyNumberFormat="1" applyFont="1" applyBorder="1"/>
    <xf numFmtId="0" fontId="0" fillId="17" borderId="0" xfId="0" applyFill="1"/>
    <xf numFmtId="0" fontId="6" fillId="0" borderId="38" xfId="0" applyFont="1" applyBorder="1"/>
    <xf numFmtId="49" fontId="0" fillId="0" borderId="38" xfId="0" applyNumberFormat="1" applyBorder="1" applyAlignment="1">
      <alignment vertical="center"/>
    </xf>
    <xf numFmtId="0" fontId="20" fillId="0" borderId="38" xfId="0" applyFont="1" applyBorder="1"/>
    <xf numFmtId="0" fontId="20" fillId="0" borderId="0" xfId="0" applyFont="1"/>
    <xf numFmtId="49" fontId="0" fillId="0" borderId="38" xfId="0" applyNumberFormat="1" applyBorder="1"/>
    <xf numFmtId="15" fontId="6" fillId="0" borderId="38" xfId="0" applyNumberFormat="1" applyFont="1" applyBorder="1"/>
    <xf numFmtId="15" fontId="6" fillId="0" borderId="37" xfId="0" applyNumberFormat="1" applyFont="1" applyBorder="1" applyAlignment="1">
      <alignment horizontal="left"/>
    </xf>
    <xf numFmtId="0" fontId="16" fillId="0" borderId="37" xfId="0" applyFont="1" applyBorder="1"/>
    <xf numFmtId="0" fontId="16" fillId="0" borderId="37" xfId="0" applyFont="1" applyBorder="1" applyAlignment="1">
      <alignment horizontal="left"/>
    </xf>
    <xf numFmtId="0" fontId="20" fillId="0" borderId="37" xfId="0" applyFont="1" applyBorder="1"/>
    <xf numFmtId="0" fontId="0" fillId="0" borderId="37" xfId="0" applyBorder="1"/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 applyBorder="1" applyAlignment="1">
      <alignment horizontal="center"/>
    </xf>
    <xf numFmtId="0" fontId="6" fillId="0" borderId="35" xfId="0" applyFont="1" applyBorder="1"/>
    <xf numFmtId="0" fontId="16" fillId="17" borderId="38" xfId="0" applyFont="1" applyFill="1" applyBorder="1"/>
    <xf numFmtId="49" fontId="16" fillId="0" borderId="37" xfId="0" applyNumberFormat="1" applyFont="1" applyBorder="1"/>
    <xf numFmtId="49" fontId="16" fillId="0" borderId="37" xfId="0" applyNumberFormat="1" applyFon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16" fillId="17" borderId="38" xfId="0" applyNumberFormat="1" applyFont="1" applyFill="1" applyBorder="1"/>
    <xf numFmtId="0" fontId="0" fillId="0" borderId="0" xfId="0" applyNumberFormat="1" applyFill="1" applyAlignment="1">
      <alignment horizontal="center"/>
    </xf>
    <xf numFmtId="0" fontId="10" fillId="0" borderId="14" xfId="0" applyNumberFormat="1" applyFont="1" applyBorder="1" applyAlignment="1">
      <alignment horizontal="center" vertical="center" readingOrder="1"/>
    </xf>
    <xf numFmtId="0" fontId="0" fillId="0" borderId="0" xfId="0" applyNumberFormat="1" applyFill="1"/>
    <xf numFmtId="0" fontId="0" fillId="0" borderId="0" xfId="0" applyNumberFormat="1"/>
    <xf numFmtId="165" fontId="0" fillId="0" borderId="43" xfId="0" applyNumberFormat="1" applyBorder="1"/>
    <xf numFmtId="165" fontId="6" fillId="0" borderId="43" xfId="0" applyNumberFormat="1" applyFont="1" applyBorder="1"/>
    <xf numFmtId="165" fontId="0" fillId="0" borderId="39" xfId="0" applyNumberFormat="1" applyFill="1" applyBorder="1"/>
    <xf numFmtId="165" fontId="0" fillId="0" borderId="0" xfId="0" applyNumberFormat="1" applyAlignment="1"/>
    <xf numFmtId="165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65" fontId="0" fillId="0" borderId="9" xfId="0" applyNumberFormat="1" applyBorder="1" applyAlignment="1">
      <alignment horizontal="center" vertical="center"/>
    </xf>
    <xf numFmtId="20" fontId="2" fillId="0" borderId="0" xfId="0" applyNumberFormat="1" applyFont="1" applyFill="1" applyBorder="1" applyAlignment="1">
      <alignment wrapText="1" readingOrder="1"/>
    </xf>
    <xf numFmtId="0" fontId="0" fillId="0" borderId="0" xfId="0" applyAlignment="1">
      <alignment horizontal="left"/>
    </xf>
    <xf numFmtId="0" fontId="0" fillId="17" borderId="41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22" fillId="16" borderId="0" xfId="0" applyFont="1" applyFill="1"/>
    <xf numFmtId="9" fontId="0" fillId="0" borderId="0" xfId="0" applyNumberFormat="1" applyAlignment="1">
      <alignment horizontal="center"/>
    </xf>
    <xf numFmtId="0" fontId="0" fillId="21" borderId="0" xfId="0" applyFill="1"/>
    <xf numFmtId="0" fontId="0" fillId="16" borderId="0" xfId="0" applyFill="1" applyAlignment="1">
      <alignment horizontal="left"/>
    </xf>
    <xf numFmtId="14" fontId="0" fillId="0" borderId="0" xfId="0" applyNumberFormat="1"/>
    <xf numFmtId="166" fontId="0" fillId="0" borderId="41" xfId="0" applyNumberFormat="1" applyBorder="1"/>
    <xf numFmtId="0" fontId="0" fillId="16" borderId="0" xfId="0" applyNumberFormat="1" applyFill="1"/>
    <xf numFmtId="0" fontId="2" fillId="0" borderId="29" xfId="0" applyFont="1" applyFill="1" applyBorder="1" applyAlignment="1">
      <alignment wrapText="1" readingOrder="1"/>
    </xf>
    <xf numFmtId="0" fontId="2" fillId="0" borderId="12" xfId="0" applyFont="1" applyFill="1" applyBorder="1" applyAlignment="1">
      <alignment wrapText="1" readingOrder="1"/>
    </xf>
    <xf numFmtId="14" fontId="2" fillId="0" borderId="12" xfId="0" applyNumberFormat="1" applyFont="1" applyFill="1" applyBorder="1" applyAlignment="1">
      <alignment wrapText="1" readingOrder="1"/>
    </xf>
    <xf numFmtId="20" fontId="2" fillId="0" borderId="12" xfId="0" applyNumberFormat="1" applyFont="1" applyFill="1" applyBorder="1" applyAlignment="1">
      <alignment wrapText="1" readingOrder="1"/>
    </xf>
    <xf numFmtId="46" fontId="2" fillId="0" borderId="12" xfId="0" applyNumberFormat="1" applyFont="1" applyFill="1" applyBorder="1" applyAlignment="1">
      <alignment wrapText="1" readingOrder="1"/>
    </xf>
    <xf numFmtId="46" fontId="2" fillId="0" borderId="2" xfId="0" applyNumberFormat="1" applyFont="1" applyFill="1" applyBorder="1" applyAlignment="1">
      <alignment wrapText="1" readingOrder="1"/>
    </xf>
    <xf numFmtId="0" fontId="2" fillId="0" borderId="29" xfId="0" applyFont="1" applyFill="1" applyBorder="1" applyAlignment="1">
      <alignment vertical="center" wrapText="1" readingOrder="1"/>
    </xf>
    <xf numFmtId="14" fontId="2" fillId="0" borderId="12" xfId="0" applyNumberFormat="1" applyFont="1" applyFill="1" applyBorder="1" applyAlignment="1">
      <alignment vertical="center" wrapText="1" readingOrder="1"/>
    </xf>
    <xf numFmtId="0" fontId="2" fillId="0" borderId="12" xfId="0" applyFont="1" applyFill="1" applyBorder="1" applyAlignment="1">
      <alignment vertical="center" wrapText="1" readingOrder="1"/>
    </xf>
    <xf numFmtId="20" fontId="2" fillId="0" borderId="12" xfId="0" applyNumberFormat="1" applyFont="1" applyFill="1" applyBorder="1" applyAlignment="1">
      <alignment vertical="center" wrapText="1" readingOrder="1"/>
    </xf>
    <xf numFmtId="0" fontId="2" fillId="0" borderId="29" xfId="0" applyFont="1" applyFill="1" applyBorder="1" applyAlignment="1">
      <alignment readingOrder="1"/>
    </xf>
    <xf numFmtId="14" fontId="2" fillId="0" borderId="29" xfId="0" applyNumberFormat="1" applyFont="1" applyFill="1" applyBorder="1" applyAlignment="1">
      <alignment readingOrder="1"/>
    </xf>
    <xf numFmtId="20" fontId="2" fillId="0" borderId="29" xfId="0" applyNumberFormat="1" applyFont="1" applyFill="1" applyBorder="1" applyAlignment="1">
      <alignment readingOrder="1"/>
    </xf>
    <xf numFmtId="46" fontId="2" fillId="0" borderId="29" xfId="0" applyNumberFormat="1" applyFont="1" applyFill="1" applyBorder="1" applyAlignment="1">
      <alignment readingOrder="1"/>
    </xf>
    <xf numFmtId="0" fontId="2" fillId="0" borderId="30" xfId="0" applyFont="1" applyFill="1" applyBorder="1" applyAlignment="1">
      <alignment readingOrder="1"/>
    </xf>
    <xf numFmtId="14" fontId="2" fillId="0" borderId="2" xfId="0" applyNumberFormat="1" applyFont="1" applyFill="1" applyBorder="1" applyAlignment="1">
      <alignment readingOrder="1"/>
    </xf>
    <xf numFmtId="14" fontId="2" fillId="0" borderId="29" xfId="0" applyNumberFormat="1" applyFont="1" applyFill="1" applyBorder="1" applyAlignment="1">
      <alignment wrapText="1" readingOrder="1"/>
    </xf>
    <xf numFmtId="20" fontId="2" fillId="0" borderId="2" xfId="0" applyNumberFormat="1" applyFont="1" applyFill="1" applyBorder="1" applyAlignment="1">
      <alignment readingOrder="1"/>
    </xf>
    <xf numFmtId="20" fontId="2" fillId="0" borderId="29" xfId="0" applyNumberFormat="1" applyFont="1" applyFill="1" applyBorder="1" applyAlignment="1">
      <alignment wrapText="1" readingOrder="1"/>
    </xf>
    <xf numFmtId="46" fontId="2" fillId="0" borderId="2" xfId="0" applyNumberFormat="1" applyFont="1" applyFill="1" applyBorder="1" applyAlignment="1">
      <alignment readingOrder="1"/>
    </xf>
    <xf numFmtId="46" fontId="2" fillId="0" borderId="29" xfId="0" applyNumberFormat="1" applyFont="1" applyFill="1" applyBorder="1" applyAlignment="1">
      <alignment wrapText="1" readingOrder="1"/>
    </xf>
    <xf numFmtId="0" fontId="23" fillId="23" borderId="0" xfId="0" applyFont="1" applyFill="1" applyBorder="1" applyAlignment="1"/>
    <xf numFmtId="0" fontId="23" fillId="0" borderId="0" xfId="0" applyFont="1" applyFill="1" applyBorder="1" applyAlignment="1"/>
    <xf numFmtId="0" fontId="0" fillId="0" borderId="0" xfId="0" applyNumberFormat="1" applyBorder="1" applyAlignment="1">
      <alignment horizontal="left"/>
    </xf>
    <xf numFmtId="14" fontId="0" fillId="0" borderId="0" xfId="0" applyNumberFormat="1" applyBorder="1"/>
    <xf numFmtId="0" fontId="24" fillId="0" borderId="0" xfId="0" applyFont="1" applyFill="1" applyBorder="1" applyAlignment="1">
      <alignment readingOrder="1"/>
    </xf>
    <xf numFmtId="14" fontId="24" fillId="0" borderId="0" xfId="0" applyNumberFormat="1" applyFont="1" applyFill="1" applyBorder="1" applyAlignment="1">
      <alignment readingOrder="1"/>
    </xf>
    <xf numFmtId="49" fontId="8" fillId="11" borderId="10" xfId="0" applyNumberFormat="1" applyFont="1" applyFill="1" applyBorder="1" applyAlignment="1">
      <alignment horizontal="center" readingOrder="1"/>
    </xf>
    <xf numFmtId="49" fontId="10" fillId="0" borderId="10" xfId="0" applyNumberFormat="1" applyFont="1" applyBorder="1" applyAlignment="1">
      <alignment horizontal="center" vertical="center" readingOrder="1"/>
    </xf>
    <xf numFmtId="9" fontId="0" fillId="16" borderId="9" xfId="0" applyNumberFormat="1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49" fontId="8" fillId="11" borderId="10" xfId="0" applyNumberFormat="1" applyFont="1" applyFill="1" applyBorder="1" applyAlignment="1">
      <alignment horizontal="center" readingOrder="1"/>
    </xf>
    <xf numFmtId="49" fontId="2" fillId="13" borderId="18" xfId="0" applyNumberFormat="1" applyFont="1" applyFill="1" applyBorder="1" applyAlignment="1">
      <alignment horizontal="center" vertical="center" readingOrder="1"/>
    </xf>
    <xf numFmtId="9" fontId="10" fillId="0" borderId="18" xfId="0" applyNumberFormat="1" applyFont="1" applyBorder="1" applyAlignment="1">
      <alignment horizontal="center" vertical="center" readingOrder="1"/>
    </xf>
    <xf numFmtId="9" fontId="10" fillId="0" borderId="31" xfId="0" applyNumberFormat="1" applyFont="1" applyBorder="1" applyAlignment="1">
      <alignment horizontal="center" vertical="center" readingOrder="1"/>
    </xf>
    <xf numFmtId="9" fontId="10" fillId="0" borderId="20" xfId="0" applyNumberFormat="1" applyFont="1" applyBorder="1" applyAlignment="1">
      <alignment horizontal="center" vertical="center" readingOrder="1"/>
    </xf>
    <xf numFmtId="49" fontId="10" fillId="0" borderId="10" xfId="0" applyNumberFormat="1" applyFont="1" applyBorder="1" applyAlignment="1">
      <alignment horizontal="center" vertical="center" readingOrder="1"/>
    </xf>
    <xf numFmtId="9" fontId="10" fillId="0" borderId="10" xfId="0" applyNumberFormat="1" applyFont="1" applyBorder="1" applyAlignment="1">
      <alignment horizontal="center" vertical="center" readingOrder="1"/>
    </xf>
    <xf numFmtId="49" fontId="2" fillId="13" borderId="10" xfId="0" applyNumberFormat="1" applyFont="1" applyFill="1" applyBorder="1" applyAlignment="1">
      <alignment horizontal="center" vertical="center" readingOrder="1"/>
    </xf>
    <xf numFmtId="9" fontId="10" fillId="0" borderId="16" xfId="0" applyNumberFormat="1" applyFont="1" applyBorder="1" applyAlignment="1">
      <alignment horizontal="center" vertical="center" readingOrder="1"/>
    </xf>
    <xf numFmtId="9" fontId="10" fillId="0" borderId="9" xfId="0" applyNumberFormat="1" applyFont="1" applyBorder="1" applyAlignment="1">
      <alignment horizontal="center" vertical="center" readingOrder="1"/>
    </xf>
    <xf numFmtId="0" fontId="9" fillId="12" borderId="9" xfId="0" applyFont="1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3" fillId="14" borderId="19" xfId="0" applyFont="1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165" fontId="0" fillId="5" borderId="7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165" fontId="0" fillId="5" borderId="42" xfId="0" applyNumberFormat="1" applyFill="1" applyBorder="1" applyAlignment="1">
      <alignment horizontal="center"/>
    </xf>
    <xf numFmtId="165" fontId="0" fillId="6" borderId="25" xfId="0" applyNumberFormat="1" applyFill="1" applyBorder="1" applyAlignment="1">
      <alignment horizontal="center"/>
    </xf>
    <xf numFmtId="165" fontId="0" fillId="6" borderId="26" xfId="0" applyNumberFormat="1" applyFill="1" applyBorder="1" applyAlignment="1">
      <alignment horizontal="center"/>
    </xf>
    <xf numFmtId="165" fontId="0" fillId="6" borderId="27" xfId="0" applyNumberFormat="1" applyFill="1" applyBorder="1" applyAlignment="1">
      <alignment horizontal="center"/>
    </xf>
    <xf numFmtId="165" fontId="22" fillId="7" borderId="0" xfId="0" applyNumberFormat="1" applyFont="1" applyFill="1" applyAlignment="1">
      <alignment horizontal="center"/>
    </xf>
    <xf numFmtId="165" fontId="22" fillId="7" borderId="0" xfId="0" applyNumberFormat="1" applyFont="1" applyFill="1" applyBorder="1" applyAlignment="1">
      <alignment horizontal="center"/>
    </xf>
    <xf numFmtId="165" fontId="0" fillId="4" borderId="25" xfId="0" applyNumberFormat="1" applyFill="1" applyBorder="1" applyAlignment="1">
      <alignment horizontal="center"/>
    </xf>
    <xf numFmtId="165" fontId="0" fillId="4" borderId="26" xfId="0" applyNumberFormat="1" applyFill="1" applyBorder="1" applyAlignment="1">
      <alignment horizontal="center"/>
    </xf>
    <xf numFmtId="165" fontId="0" fillId="4" borderId="27" xfId="0" applyNumberForma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22" fillId="22" borderId="7" xfId="0" applyFont="1" applyFill="1" applyBorder="1" applyAlignment="1">
      <alignment horizontal="center"/>
    </xf>
    <xf numFmtId="0" fontId="22" fillId="22" borderId="8" xfId="0" applyFont="1" applyFill="1" applyBorder="1" applyAlignment="1">
      <alignment horizontal="center"/>
    </xf>
    <xf numFmtId="0" fontId="22" fillId="22" borderId="42" xfId="0" applyFont="1" applyFill="1" applyBorder="1" applyAlignment="1">
      <alignment horizont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" fillId="2" borderId="24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23" xfId="0" applyFont="1" applyFill="1" applyBorder="1" applyAlignment="1">
      <alignment horizontal="left" vertical="top" wrapText="1" readingOrder="1"/>
    </xf>
    <xf numFmtId="0" fontId="1" fillId="2" borderId="0" xfId="0" applyFont="1" applyFill="1" applyBorder="1" applyAlignment="1">
      <alignment horizontal="left" vertical="top" wrapText="1" readingOrder="1"/>
    </xf>
    <xf numFmtId="0" fontId="1" fillId="2" borderId="11" xfId="0" applyFont="1" applyFill="1" applyBorder="1" applyAlignment="1">
      <alignment horizontal="left" vertical="top" wrapText="1" readingOrder="1"/>
    </xf>
    <xf numFmtId="0" fontId="1" fillId="2" borderId="12" xfId="0" applyFont="1" applyFill="1" applyBorder="1" applyAlignment="1">
      <alignment horizontal="left" vertical="top" wrapText="1" readingOrder="1"/>
    </xf>
    <xf numFmtId="0" fontId="1" fillId="2" borderId="11" xfId="0" applyFont="1" applyFill="1" applyBorder="1" applyAlignment="1">
      <alignment wrapText="1" readingOrder="1"/>
    </xf>
    <xf numFmtId="0" fontId="1" fillId="2" borderId="12" xfId="0" applyFont="1" applyFill="1" applyBorder="1" applyAlignment="1">
      <alignment wrapText="1" readingOrder="1"/>
    </xf>
    <xf numFmtId="0" fontId="1" fillId="2" borderId="23" xfId="0" applyFont="1" applyFill="1" applyBorder="1" applyAlignment="1">
      <alignment wrapText="1" readingOrder="1"/>
    </xf>
    <xf numFmtId="0" fontId="1" fillId="2" borderId="24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19">
    <dxf>
      <numFmt numFmtId="0" formatCode="General"/>
    </dxf>
    <dxf>
      <numFmt numFmtId="165" formatCode="0;\-0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/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1"/>
      <border diagonalUp="0" diagonalDown="0" outline="0">
        <left/>
        <right style="thin">
          <color rgb="FFA9A9A9"/>
        </right>
        <top/>
        <bottom style="thin">
          <color rgb="FFA9A9A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/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/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/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numFmt numFmtId="19" formatCode="m/d/yyyy"/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border outline="0">
        <left style="thin">
          <color rgb="FFA9A9A9"/>
        </left>
        <right style="thin">
          <color rgb="FFA9A9A9"/>
        </right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ill>
        <patternFill patternType="none"/>
      </fill>
    </dxf>
    <dxf>
      <numFmt numFmtId="0" formatCode="General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/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left"/>
    </dxf>
    <dxf>
      <numFmt numFmtId="19" formatCode="m/d/yyyy"/>
    </dxf>
    <dxf>
      <numFmt numFmtId="19" formatCode="m/d/yyyy"/>
    </dxf>
    <dxf>
      <alignment horizontal="center"/>
    </dxf>
    <dxf>
      <alignment horizontal="center"/>
    </dxf>
    <dxf>
      <alignment horizontal="center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font>
        <name val="Calibri"/>
      </font>
      <fill>
        <patternFill patternType="none"/>
      </fill>
      <alignment horizontal="left"/>
    </dxf>
    <dxf>
      <border outline="0">
        <top style="thin">
          <color rgb="FFA9A9A9"/>
        </top>
      </border>
    </dxf>
    <dxf>
      <font>
        <name val="Calibri"/>
      </font>
      <fill>
        <patternFill patternType="none"/>
      </fill>
      <alignment horizontal="left"/>
    </dxf>
    <dxf>
      <border outline="0">
        <bottom style="thin">
          <color rgb="FFA9A9A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left" vertical="center" textRotation="0" wrapText="1" indent="0" justifyLastLine="0" shrinkToFit="0" readingOrder="1"/>
    </dxf>
    <dxf>
      <numFmt numFmtId="0" formatCode="General"/>
    </dxf>
    <dxf>
      <alignment horizontal="center"/>
    </dxf>
    <dxf>
      <numFmt numFmtId="0" formatCode="General"/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FFFFFF"/>
        <name val="Times New Roman"/>
        <scheme val="none"/>
      </font>
      <fill>
        <patternFill patternType="solid">
          <fgColor rgb="FF000000"/>
          <bgColor rgb="FF808080"/>
        </patternFill>
      </fill>
      <alignment horizontal="general" vertical="bottom" textRotation="0" wrapText="1" indent="0" justifyLastLine="0" shrinkToFit="0" readingOrder="1"/>
    </dxf>
    <dxf>
      <numFmt numFmtId="165" formatCode="0;\-0;;@"/>
    </dxf>
    <dxf>
      <numFmt numFmtId="165" formatCode="0;\-0;;@"/>
    </dxf>
    <dxf>
      <numFmt numFmtId="165" formatCode="0;\-0;;@"/>
      <border>
        <left style="medium">
          <color rgb="FF000000"/>
        </left>
        <right style="medium">
          <color rgb="FF000000"/>
        </right>
      </border>
    </dxf>
    <dxf>
      <numFmt numFmtId="165" formatCode="0;\-0;;@"/>
    </dxf>
    <dxf>
      <numFmt numFmtId="165" formatCode="0;\-0;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>
        <left style="medium">
          <color rgb="FF000000"/>
        </left>
      </border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  <border>
        <left style="medium">
          <color rgb="FF000000"/>
        </left>
      </border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</dxf>
    <dxf>
      <numFmt numFmtId="165" formatCode="0;\-0;;@"/>
      <border>
        <left style="medium">
          <color rgb="FF000000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/>
      </fill>
    </dxf>
    <dxf>
      <numFmt numFmtId="165" formatCode="0;\-0;;@"/>
    </dxf>
    <dxf>
      <numFmt numFmtId="165" formatCode="0;\-0;;@"/>
    </dxf>
    <dxf>
      <fill>
        <patternFill patternType="solid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E7E6E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75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</dxfs>
  <tableStyles count="0" defaultTableStyle="TableStyleMedium2" defaultPivotStyle="PivotStyleMedium9"/>
  <colors>
    <mruColors>
      <color rgb="FFF58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CY23 Close 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Summary!$D$47</c:f>
              <c:strCache>
                <c:ptCount val="1"/>
                <c:pt idx="0">
                  <c:v>Untrained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Summary!$C$48:$C$57</c:f>
              <c:strCache>
                <c:ptCount val="10"/>
                <c:pt idx="0">
                  <c:v>CBRN</c:v>
                </c:pt>
                <c:pt idx="1">
                  <c:v>CIAR</c:v>
                </c:pt>
                <c:pt idx="2">
                  <c:v>AT LVL I</c:v>
                </c:pt>
                <c:pt idx="3">
                  <c:v>PAC PR</c:v>
                </c:pt>
                <c:pt idx="4">
                  <c:v>RM</c:v>
                </c:pt>
                <c:pt idx="5">
                  <c:v>Safety</c:v>
                </c:pt>
                <c:pt idx="6">
                  <c:v>Substances</c:v>
                </c:pt>
                <c:pt idx="7">
                  <c:v>OPSEC</c:v>
                </c:pt>
                <c:pt idx="8">
                  <c:v>UMAPIT</c:v>
                </c:pt>
                <c:pt idx="9">
                  <c:v>Substance</c:v>
                </c:pt>
              </c:strCache>
            </c:strRef>
          </c:cat>
          <c:val>
            <c:numRef>
              <c:f>Summary!$D$48:$D$57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92-484F-93D4-415D065BAA7B}"/>
            </c:ext>
          </c:extLst>
        </c:ser>
        <c:ser>
          <c:idx val="1"/>
          <c:order val="1"/>
          <c:tx>
            <c:strRef>
              <c:f>Summary!$E$47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Summary!$C$48:$C$57</c:f>
              <c:strCache>
                <c:ptCount val="10"/>
                <c:pt idx="0">
                  <c:v>CBRN</c:v>
                </c:pt>
                <c:pt idx="1">
                  <c:v>CIAR</c:v>
                </c:pt>
                <c:pt idx="2">
                  <c:v>AT LVL I</c:v>
                </c:pt>
                <c:pt idx="3">
                  <c:v>PAC PR</c:v>
                </c:pt>
                <c:pt idx="4">
                  <c:v>RM</c:v>
                </c:pt>
                <c:pt idx="5">
                  <c:v>Safety</c:v>
                </c:pt>
                <c:pt idx="6">
                  <c:v>Substances</c:v>
                </c:pt>
                <c:pt idx="7">
                  <c:v>OPSEC</c:v>
                </c:pt>
                <c:pt idx="8">
                  <c:v>UMAPIT</c:v>
                </c:pt>
                <c:pt idx="9">
                  <c:v>Substance</c:v>
                </c:pt>
              </c:strCache>
            </c:strRef>
          </c:cat>
          <c:val>
            <c:numRef>
              <c:f>Summary!$E$48:$E$57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92-484F-93D4-415D065BA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839736"/>
        <c:axId val="964840728"/>
      </c:barChart>
      <c:catAx>
        <c:axId val="96483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40728"/>
        <c:crosses val="autoZero"/>
        <c:auto val="1"/>
        <c:lblAlgn val="ctr"/>
        <c:lblOffset val="100"/>
        <c:noMultiLvlLbl val="0"/>
      </c:catAx>
      <c:valAx>
        <c:axId val="96484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3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3667125</xdr:colOff>
      <xdr:row>35</xdr:row>
      <xdr:rowOff>133350</xdr:rowOff>
    </xdr:from>
    <xdr:to>
      <xdr:col>12</xdr:col>
      <xdr:colOff>76200</xdr:colOff>
      <xdr:row>65</xdr:row>
      <xdr:rowOff>47625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93D24890-6305-3EF8-FD5B-F003088583CE}"/>
            </a:ext>
            <a:ext uri="{147F2762-F138-4A5C-976F-8EAC2B608ADB}">
              <a16:predDERef xmlns:a16="http://schemas.microsoft.com/office/drawing/2014/main" pred="{3D08B7DD-1942-8DD4-9181-F9B08823C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mc.sharepoint-mil.us/sites/DCO-IDM2/Shared%20Documents/General/DCO_Master_Admin_Tracker.xlsx" TargetMode="External"/><Relationship Id="rId1" Type="http://schemas.openxmlformats.org/officeDocument/2006/relationships/externalLinkPath" Target="/personal/garrett_t_barton_usmc_mil/Documents/Attachments/DCO_Master_Admin_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H-pzZb4G00KXrYCEif4c5E-Jaf_FrXBMqsIUgPUj2_mnMlo1JXUESKgL4Do8krgz" itemId="01FCQS7RZOBECXEHWKNVDZHEUCQ5UMT527">
      <xxl21:absoluteUrl r:id="rId2"/>
    </xxl21:alternateUrls>
    <sheetNames>
      <sheetName val="Instructions"/>
      <sheetName val="HQ Tracker"/>
      <sheetName val="Billets"/>
      <sheetName val="Summaries"/>
      <sheetName val="BIC Tracker"/>
      <sheetName val="New Bn C&amp;S"/>
      <sheetName val="Awards"/>
      <sheetName val="Inbound"/>
      <sheetName val="Outbound"/>
      <sheetName val="Med Appts"/>
      <sheetName val="PERSTAT"/>
      <sheetName val="Duty Status"/>
      <sheetName val="Recall Roster"/>
      <sheetName val="Whole Marine"/>
      <sheetName val="Sheet1"/>
      <sheetName val="Hitlist"/>
      <sheetName val="Bn PT 22Mar"/>
      <sheetName val="BN NCO PT"/>
      <sheetName val="Bn Easter Event"/>
      <sheetName val="PLT COA Dev"/>
      <sheetName val="Resident PME"/>
      <sheetName val="DEOCS Survey "/>
      <sheetName val="PHA Hitlist"/>
      <sheetName val="Co Cmdr Meetings"/>
      <sheetName val="PCTE Accounts"/>
      <sheetName val="JEPES COMPANY SCORES"/>
      <sheetName val="HP417 Fire Damages"/>
      <sheetName val="Servmart List"/>
      <sheetName val="SOC Help 23Feb24"/>
      <sheetName val="MCEN-N Access Status"/>
      <sheetName val="MCEN Access Status"/>
      <sheetName val="Bn Medical Hitlist"/>
      <sheetName val="Ops"/>
      <sheetName val="PFT and HtWt"/>
      <sheetName val="CFT and HW"/>
      <sheetName val="SOC Brief"/>
      <sheetName val="DCO CoC 30 Jan"/>
      <sheetName val="NCO PT"/>
      <sheetName val="CBRN 9Mar"/>
      <sheetName val="1stSgt Retirement"/>
      <sheetName val="S-2 Requirements"/>
      <sheetName val="Bn Competition"/>
      <sheetName val="Staff-O Bn Dinner"/>
      <sheetName val="Mess Night Seating Chart"/>
      <sheetName val="PFT_H&amp;W_Untrained"/>
      <sheetName val="Bn Swim Qual"/>
      <sheetName val="Bn CBRN"/>
      <sheetName val="ARQ Untrained Roster"/>
      <sheetName val="Company Mess Night"/>
      <sheetName val="SOC Surge"/>
      <sheetName val="Bn Hail &amp; B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A3" t="str">
            <v>E7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rton Capt Garrett T" id="{A3E22755-5E7E-476F-B6C0-5FAB29040492}" userId="S::garrett.t.barton@usmc.mil::1236ed13-2e72-46cc-a362-115f8a47de0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7ECBD-FF3E-4035-9A7C-6D6A05A41E2E}" name="TrainingConversion" displayName="TrainingConversion" ref="N42:O63" totalsRowShown="0">
  <autoFilter ref="N42:O63" xr:uid="{DA87ECBD-FF3E-4035-9A7C-6D6A05A41E2E}"/>
  <sortState xmlns:xlrd2="http://schemas.microsoft.com/office/spreadsheetml/2017/richdata2" ref="N43:O63">
    <sortCondition ref="N42:N63"/>
  </sortState>
  <tableColumns count="2">
    <tableColumn id="1" xr3:uid="{0AB39327-E0A2-40D1-81E0-B998C06A6A14}" name="MCTIMS Name" dataDxfId="318"/>
    <tableColumn id="2" xr3:uid="{22B04654-62FC-4637-A45D-3C0AD438E0C8}" name="Table Header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863012-3DEC-4FF9-85B3-D94343855603}" name="RankConversion" displayName="RankConversion" ref="Q42:R58" totalsRowShown="0" headerRowDxfId="317" dataDxfId="316">
  <autoFilter ref="Q42:R58" xr:uid="{C3863012-3DEC-4FF9-85B3-D94343855603}"/>
  <tableColumns count="2">
    <tableColumn id="1" xr3:uid="{4E52B202-A310-44FB-BC4F-B474A6E079E6}" name="Code" dataDxfId="315"/>
    <tableColumn id="2" xr3:uid="{0D9670C6-01FE-4735-A627-8F1D0D5FF91E}" name="Abbr" dataDxfId="314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BEE9DC-85C2-4DAB-9B6B-2550888D5F8A}" name="TrainingTable" displayName="TrainingTable" ref="A2:AD81" totalsRowShown="0" headerRowDxfId="313" dataDxfId="312">
  <autoFilter ref="A2:AD81" xr:uid="{FEBEE9DC-85C2-4DAB-9B6B-2550888D5F8A}"/>
  <sortState xmlns:xlrd2="http://schemas.microsoft.com/office/spreadsheetml/2017/richdata2" ref="A3:AD81">
    <sortCondition ref="D2:D81"/>
  </sortState>
  <tableColumns count="30">
    <tableColumn id="1" xr3:uid="{A80928AE-356A-4684-B8CF-78984ECADE3B}" name="EDIPI" dataDxfId="311"/>
    <tableColumn id="2" xr3:uid="{AF48B39B-DBC4-4E47-A285-7969A43FC460}" name="Grade" dataDxfId="310">
      <calculatedColumnFormula>_xlfn.XLOOKUP($A3,RecallTable[EDIPI],RecallTable[GRADE])</calculatedColumnFormula>
    </tableColumn>
    <tableColumn id="3" xr3:uid="{1125E827-796E-473E-8F2C-0CDB9F11955B}" name="Name" dataDxfId="309">
      <calculatedColumnFormula>_xlfn.XLOOKUP($A3,RecallTable[EDIPI],RecallTable[NAME], $AE$1)</calculatedColumnFormula>
    </tableColumn>
    <tableColumn id="4" xr3:uid="{0023C354-A4C2-4C54-804B-13ADE7E627DB}" name="Section" dataDxfId="308">
      <calculatedColumnFormula>_xlfn.XLOOKUP($A3,RecallTable[EDIPI],RecallTable[SECTION])</calculatedColumnFormula>
    </tableColumn>
    <tableColumn id="5" xr3:uid="{25F8CF30-4CC8-4FE6-B66D-BC8F3DDC2AE0}" name="CIAR" dataDxfId="307">
      <calculatedColumnFormula>_xlfn.XLOOKUP($A3,CYTable[DOD ID],CYTable[CIAR Trained / Untrained], $AE$1)</calculatedColumnFormula>
    </tableColumn>
    <tableColumn id="6" xr3:uid="{FF225EEA-8303-496F-8275-7A9002FEC2D8}" name="AT LVL I" dataDxfId="306">
      <calculatedColumnFormula array="1">_xlfn.XLOOKUP($A3,CYTable[[DOD ID]:[DOD ID]],CYTable[AT Trained / Untrained], $AE$1)</calculatedColumnFormula>
    </tableColumn>
    <tableColumn id="25" xr3:uid="{1BFD0004-B957-4EBB-9C94-B5B931A2573A}" name="OPSEC" dataDxfId="305">
      <calculatedColumnFormula array="1">_xlfn.XLOOKUP($A3,CYTable[[DOD ID]:[DOD ID]],CYTable[OPSEC Trained / Untrained], $AE$1)</calculatedColumnFormula>
    </tableColumn>
    <tableColumn id="7" xr3:uid="{C509818B-02FD-4104-A43F-FC0BB13E102D}" name="PAC PR" dataDxfId="304">
      <calculatedColumnFormula array="1">_xlfn.XLOOKUP($A3,CYTable[[DOD ID]:[DOD ID]],CYTable[PAC Trained / Untrained], $AE$1)</calculatedColumnFormula>
    </tableColumn>
    <tableColumn id="8" xr3:uid="{5A2119CC-1B7A-447F-B214-825DDBFD4EB9}" name="RM" dataDxfId="303">
      <calculatedColumnFormula>_xlfn.XLOOKUP($A3,CYTable[DOD ID],CYTable[RM Trained / Untrained], $AE$1)</calculatedColumnFormula>
    </tableColumn>
    <tableColumn id="9" xr3:uid="{331C118A-90D7-47D7-B435-B49778165023}" name="UMAPIT" dataDxfId="302">
      <calculatedColumnFormula array="1">_xlfn.XLOOKUP($A3,CYTable[[DOD ID]:[DOD ID]],CYTable[UMAPIT Trained / Untrained], $AE$1)</calculatedColumnFormula>
    </tableColumn>
    <tableColumn id="30" xr3:uid="{BA5E6D51-8B62-4D0A-956D-799560BCD4DA}" name="Safety" dataDxfId="301">
      <calculatedColumnFormula>_xlfn.XLOOKUP($A3,CYTable[DOD ID],CYTable[Sup Safety Trained / Untrained], $AE$1)</calculatedColumnFormula>
    </tableColumn>
    <tableColumn id="29" xr3:uid="{60529953-EF99-469B-BD91-0258C2B58C03}" name="Substances" dataDxfId="300">
      <calculatedColumnFormula>_xlfn.XLOOKUP($A3,CYTable[DOD ID],CYTable[Substances Trained / Untrained], $AE$1)</calculatedColumnFormula>
    </tableColumn>
    <tableColumn id="10" xr3:uid="{60E06817-29D4-4DEE-B34F-77C30336EFB3}" name="ARQ" dataDxfId="299">
      <calculatedColumnFormula array="1">IF(COUNTIF(TrainingTable[[#This Row],[ARQ Comments]],"*Exempt*"),"Exempt", _xlfn.XLOOKUP($A3,FYTable[[DOD ID]:[DOD ID]],FYTable[ARQ MCTFS Status], $AE$1))</calculatedColumnFormula>
    </tableColumn>
    <tableColumn id="11" xr3:uid="{9AAE5EC8-D671-49AA-B191-ADF982235308}" name="CYBERINTEL" dataDxfId="298">
      <calculatedColumnFormula array="1">_xlfn.XLOOKUP($A3,FYTable[[DOD ID]:[DOD ID]],FYTable[CYBER Trained / Untrained], $AE$1)</calculatedColumnFormula>
    </tableColumn>
    <tableColumn id="12" xr3:uid="{A249792D-765A-4FBA-9C68-7511CCA88FA2}" name="Pistol" dataDxfId="1">
      <calculatedColumnFormula>_xlfn.XLOOKUP($A3,FYTable[DOD ID],FYTable[Pistol Classification], $AE$1)</calculatedColumnFormula>
    </tableColumn>
    <tableColumn id="13" xr3:uid="{9F538885-ACFF-44D0-AEDD-F279F0AE819A}" name="Rec Man" dataDxfId="297">
      <calculatedColumnFormula array="1">_xlfn.XLOOKUP($A3,FYTable[[DOD ID]:[DOD ID]],FYTable[RM Trained / Untrained], $AE$1)</calculatedColumnFormula>
    </tableColumn>
    <tableColumn id="14" xr3:uid="{7AA892B4-FA09-4908-BB3B-EDAC5D28116A}" name="SAPR JM" dataDxfId="296">
      <calculatedColumnFormula array="1">_xlfn.XLOOKUP($A3,FYTable[[DOD ID]:[DOD ID]],FYTable[Step Up Trained / Untrained], $AE$1)</calculatedColumnFormula>
    </tableColumn>
    <tableColumn id="15" xr3:uid="{DCC83F67-388C-4B8F-95EB-5F164351C67A}" name="SAPR NCO" dataDxfId="295">
      <calculatedColumnFormula array="1">_xlfn.XLOOKUP($A3,FYTable[[DOD ID]:[DOD ID]],FYTable[Take A Stand Trained / Untrained], $AE$1)</calculatedColumnFormula>
    </tableColumn>
    <tableColumn id="16" xr3:uid="{C8CE7925-5F92-4DEA-AFCE-E0691189A399}" name="SAPR" dataDxfId="294">
      <calculatedColumnFormula array="1">_xlfn.XLOOKUP($A3,FYTable[[DOD ID]:[DOD ID]],FYTable[SAPR Trained / Untrained], $AE$1)</calculatedColumnFormula>
    </tableColumn>
    <tableColumn id="17" xr3:uid="{B3A3E091-64EA-4950-A0FF-02AADED71E00}" name="SAPR SNCO" dataDxfId="293">
      <calculatedColumnFormula array="1">_xlfn.XLOOKUP($A3,FYTable[[DOD ID]:[DOD ID]],FYTable[SAPR SNCO Trained / Untrained], $AE$1)</calculatedColumnFormula>
    </tableColumn>
    <tableColumn id="18" xr3:uid="{D7F4612C-B9C1-4C00-B8EF-D5B00EF712DD}" name="CFT" dataDxfId="292">
      <calculatedColumnFormula array="1">_xlfn.XLOOKUP($A3,CFTTable[[DOD ID]:[DOD ID]],CFTTable[Class CFT],"")</calculatedColumnFormula>
    </tableColumn>
    <tableColumn id="26" xr3:uid="{6D30388E-BA85-465C-9091-6441F70BC342}" name="CFT Date" dataDxfId="291">
      <calculatedColumnFormula array="1">_xlfn.XLOOKUP($A3,CFTTable[[DOD ID]:[DOD ID]],CFTTable[Event Date])</calculatedColumnFormula>
    </tableColumn>
    <tableColumn id="19" xr3:uid="{F1679449-70B2-42FD-A9DC-7076AF5CAEC6}" name="PFT" dataDxfId="0">
      <calculatedColumnFormula>_xlfn.XLOOKUP($A3,PFTTable[DOD ID],PFTTable[Class PFT],"")</calculatedColumnFormula>
    </tableColumn>
    <tableColumn id="27" xr3:uid="{2B988D25-9CD4-44AC-A545-BC364E288250}" name="PFT Date" dataDxfId="290">
      <calculatedColumnFormula array="1">_xlfn.XLOOKUP($A3,PFTTable[[DOD ID]:[DOD ID]],PFTTable[PFT Event Date])</calculatedColumnFormula>
    </tableColumn>
    <tableColumn id="20" xr3:uid="{413E538C-6562-4E30-A814-3965A096C588}" name="MCWST" dataDxfId="289">
      <calculatedColumnFormula array="1">_xlfn.XLOOKUP($A3,SwimTable[[DOD ID]:[DOD ID]],SwimTable[Swim MCTFS Status],"")</calculatedColumnFormula>
    </tableColumn>
    <tableColumn id="21" xr3:uid="{43634192-89F4-40E0-BC79-94E1688A7491}" name="HT/WT" dataDxfId="288">
      <calculatedColumnFormula array="1">_xlfn.XLOOKUP($A4,HTWTTable[[DOD ID]:[DOD ID]],HTWTTable[MCTFS Status],"")</calculatedColumnFormula>
    </tableColumn>
    <tableColumn id="22" xr3:uid="{09317DFB-CD6B-482D-8DC9-BD7A567624E8}" name="CBRN" dataDxfId="287">
      <calculatedColumnFormula array="1">_xlfn.XLOOKUP($A3,FYTable[[DOD ID]:[DOD ID]],FYTable[CBRN Trained / Untrained],"")</calculatedColumnFormula>
    </tableColumn>
    <tableColumn id="23" xr3:uid="{12CB12E6-0E36-4531-8326-99F067464BC6}" name="ARQ Comments" dataDxfId="286"/>
    <tableColumn id="24" xr3:uid="{D73CB0A1-3576-4372-960E-36F2248AD1FC}" name="Exemption In" dataDxfId="285"/>
    <tableColumn id="28" xr3:uid="{E44D0838-918D-433F-8B6F-23B008EBB1CC}" name="Training Comments" dataDxfId="284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0FFD1C-0AB3-4904-9415-C21061446A7D}" name="UnitTable" displayName="UnitTable" ref="A2:H81" totalsRowShown="0" headerRowDxfId="283" headerRowBorderDxfId="282" tableBorderDxfId="281">
  <autoFilter ref="A2:H81" xr:uid="{E80FFD1C-0AB3-4904-9415-C21061446A7D}"/>
  <sortState xmlns:xlrd2="http://schemas.microsoft.com/office/spreadsheetml/2017/richdata2" ref="A3:H81">
    <sortCondition ref="B2:B81"/>
  </sortState>
  <tableColumns count="8">
    <tableColumn id="1" xr3:uid="{F50CFA55-BE62-421A-B467-DA6F7B1AD7A0}" name="DOD ID"/>
    <tableColumn id="2" xr3:uid="{650428FE-114F-466E-922B-5262DCA906AF}" name="Last Name"/>
    <tableColumn id="3" xr3:uid="{8AEAEAC7-505B-406E-8CE6-DD8B1CCE8A7A}" name="First Name"/>
    <tableColumn id="4" xr3:uid="{BE1CAFFC-52F0-41A0-9C7D-A35059332D1C}" name="MI"/>
    <tableColumn id="5" xr3:uid="{8E013135-604A-4F31-AFF7-7B9AF9AB2663}" name="Rank"/>
    <tableColumn id="6" xr3:uid="{6DA13C5C-CC2B-4B3F-8152-0A797E52FC39}" name="MOS"/>
    <tableColumn id="7" xr3:uid="{DBF0F06C-7FB8-412C-AE0E-D0D5966FDC5B}" name="TAD"/>
    <tableColumn id="8" xr3:uid="{055EB79E-3BB0-40F3-8F4D-9A6F05841980}" name="Billet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4A01A86-3073-41ED-8EC5-AC8D14403E01}" name="RecallTable" displayName="RecallTable" ref="L2:R81" totalsRowShown="0">
  <autoFilter ref="L2:R81" xr:uid="{94A01A86-3073-41ED-8EC5-AC8D14403E01}"/>
  <tableColumns count="7">
    <tableColumn id="1" xr3:uid="{C390BA4F-CCBA-4689-B27C-F14CE5082C90}" name="GRADE">
      <calculatedColumnFormula>'[1]Recall Roster'!A3</calculatedColumnFormula>
    </tableColumn>
    <tableColumn id="2" xr3:uid="{8652DE79-3924-4F9C-B4A9-B579F2E99829}" name="NAME" dataDxfId="280">
      <calculatedColumnFormula>'[1]Recall Roster'!$B3</calculatedColumnFormula>
    </tableColumn>
    <tableColumn id="3" xr3:uid="{5615C210-D9EE-427A-B52C-C1824CA578F3}" name="EDIPI" dataDxfId="279">
      <calculatedColumnFormula>'[1]Recall Roster'!C3</calculatedColumnFormula>
    </tableColumn>
    <tableColumn id="4" xr3:uid="{36556BB4-9C43-4FD0-97F5-BD1C5785D3B4}" name="SEX">
      <calculatedColumnFormula>'[1]Recall Roster'!D3</calculatedColumnFormula>
    </tableColumn>
    <tableColumn id="5" xr3:uid="{B06A2580-81C9-439B-935A-683D39D4B67E}" name="MOS">
      <calculatedColumnFormula>'[1]Recall Roster'!E3</calculatedColumnFormula>
    </tableColumn>
    <tableColumn id="6" xr3:uid="{9A96F20C-2788-498E-A7D3-CA4418A073BC}" name="SECTION">
      <calculatedColumnFormula>'[1]Recall Roster'!F3</calculatedColumnFormula>
    </tableColumn>
    <tableColumn id="7" xr3:uid="{6B7C06F5-B529-4408-820B-56C5D205B655}" name="TAD" dataDxfId="278">
      <calculatedColumnFormula>IF(RecallTable[[#This Row],[SECTION]]="","TAD","")</calculatedColumnFormula>
    </tableColumn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63C9A-803A-4374-AAE3-74BF02C712E2}" name="FY23CloseOut" displayName="FY23CloseOut" ref="A1:P54" totalsRowShown="0" headerRowDxfId="277" dataDxfId="275" headerRowBorderDxfId="276" tableBorderDxfId="274">
  <autoFilter ref="A1:P54" xr:uid="{EFA63C9A-803A-4374-AAE3-74BF02C712E2}">
    <filterColumn colId="8">
      <filters>
        <filter val="UNTRAINED"/>
      </filters>
    </filterColumn>
  </autoFilter>
  <sortState xmlns:xlrd2="http://schemas.microsoft.com/office/spreadsheetml/2017/richdata2" ref="A2:P54">
    <sortCondition ref="O1:O54"/>
  </sortState>
  <tableColumns count="16">
    <tableColumn id="1" xr3:uid="{ACB8A1AA-B840-4FD1-AB8A-EFFF9AAA304E}" name="DOD ID" dataDxfId="273"/>
    <tableColumn id="2" xr3:uid="{58CB1532-2E0E-4099-93CD-F7EA100919FF}" name="Last Name" dataDxfId="272"/>
    <tableColumn id="3" xr3:uid="{9C65F9AC-BD1C-48F2-9F98-DE56E945B1D3}" name="First Name" dataDxfId="271"/>
    <tableColumn id="4" xr3:uid="{3359F5BA-F62B-4553-9F1A-45F6A1A20BB1}" name="MI" dataDxfId="270"/>
    <tableColumn id="5" xr3:uid="{7CECC9E3-70C7-4A31-9338-D0A303E76AED}" name="Rank" dataDxfId="269"/>
    <tableColumn id="6" xr3:uid="{482B62BF-DF4E-40EA-A3F2-C8594C160A6F}" name="MOS" dataDxfId="268"/>
    <tableColumn id="7" xr3:uid="{38F61773-3EE0-471A-8139-255A9963C567}" name="BMOS" dataDxfId="267"/>
    <tableColumn id="8" xr3:uid="{3DA4D80B-0877-4BA0-AA6E-E88021EAA556}" name="AD/RES" dataDxfId="266"/>
    <tableColumn id="9" xr3:uid="{AAB43C5A-82A9-4A60-89F5-353FBF194573}" name="Trained" dataDxfId="265"/>
    <tableColumn id="10" xr3:uid="{93D6381D-4321-4074-811D-2A471D4068E7}" name="Untrained Comment" dataDxfId="264"/>
    <tableColumn id="11" xr3:uid="{737D27A2-36B3-4103-8C4C-14972118D20A}" name="Score Date" dataDxfId="263"/>
    <tableColumn id="12" xr3:uid="{D080AD5F-9BF9-49E4-B0AD-A1C0E85390DF}" name="Unit" dataDxfId="262"/>
    <tableColumn id="13" xr3:uid="{CE54201B-7138-45AA-B8A5-54DD2D222B5A}" name="Billet" dataDxfId="261"/>
    <tableColumn id="14" xr3:uid="{1C198452-DE47-4D31-AA15-9816469D49FE}" name="MCTFS Status" dataDxfId="260"/>
    <tableColumn id="15" xr3:uid="{4E6BBE27-E31D-4B73-BF1F-E6086551E2B7}" name="Item" dataDxfId="259"/>
    <tableColumn id="16" xr3:uid="{BA8F333E-E976-46B0-A5E4-29F35DB1D03E}" name="Comment" dataDxfId="258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8D1A499-329F-4FD3-B9F6-B09036305453}" name="PFTTableCompany" displayName="PFTTableCompany" ref="A2:J81" totalsRowShown="0">
  <autoFilter ref="A2:J81" xr:uid="{58D1A499-329F-4FD3-B9F6-B09036305453}"/>
  <sortState xmlns:xlrd2="http://schemas.microsoft.com/office/spreadsheetml/2017/richdata2" ref="A3:J81">
    <sortCondition ref="B2:B81"/>
  </sortState>
  <tableColumns count="10">
    <tableColumn id="1" xr3:uid="{9D1CFAA7-38E9-4505-9210-8458A1165E41}" name="EDIPI"/>
    <tableColumn id="2" xr3:uid="{F5EF11F9-72B4-4A7A-8E7A-7E0EF7B4D699}" name="Section" dataDxfId="257"/>
    <tableColumn id="3" xr3:uid="{6B97F69C-C8DA-4E12-9CD4-4DC57196CF44}" name="MOS" dataDxfId="256"/>
    <tableColumn id="4" xr3:uid="{1D8F9C4E-BE93-4DBE-9471-7AC90790283D}" name="Grade" dataDxfId="255"/>
    <tableColumn id="5" xr3:uid="{C0E84828-012A-44AF-80F8-3BDFF2B55231}" name="Name"/>
    <tableColumn id="6" xr3:uid="{638478B2-BC53-4C6F-8928-293AD093876E}" name="PFT" dataDxfId="254"/>
    <tableColumn id="7" xr3:uid="{D9F64A29-733B-494C-9101-A4EB12A9586D}" name="H/W" dataDxfId="253"/>
    <tableColumn id="8" xr3:uid="{B2C3ECEE-A306-4A12-8FF7-CF3C7C794EE8}" name="Comments"/>
    <tableColumn id="9" xr3:uid="{5A1A8050-81BC-441B-A940-5C4CAFD2FF1A}" name="Medical Comment put in?"/>
    <tableColumn id="10" xr3:uid="{65534B12-500C-4E99-87A8-52D3BC2BDB4F}" name="H/W In MCTIMS?" dataDxfId="252">
      <calculatedColumnFormula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92EACC-6902-4926-91D8-0FA27E85A56D}" name="CFTTableCompany" displayName="CFTTableCompany" ref="A2:H119" totalsRowShown="0" headerRowDxfId="251" tableBorderDxfId="250">
  <autoFilter ref="A2:H119" xr:uid="{8092EACC-6902-4926-91D8-0FA27E85A56D}"/>
  <sortState xmlns:xlrd2="http://schemas.microsoft.com/office/spreadsheetml/2017/richdata2" ref="A3:H111">
    <sortCondition ref="D2:D111"/>
  </sortState>
  <tableColumns count="8">
    <tableColumn id="1" xr3:uid="{EB232CC9-1138-4BCA-80E8-9F0B79706AAE}" name="Section" dataDxfId="249"/>
    <tableColumn id="2" xr3:uid="{E79708F0-CE16-4404-A1A7-AD8EECF18751}" name="MOS" dataDxfId="248"/>
    <tableColumn id="3" xr3:uid="{A2D59A3D-689E-4061-B606-0BE929D711B9}" name="Grade" dataDxfId="247"/>
    <tableColumn id="4" xr3:uid="{1D7BDB50-6902-46C9-B623-8EF8C65939A1}" name="Name" dataDxfId="246"/>
    <tableColumn id="5" xr3:uid="{F2D86E4E-B063-476F-BD32-D7ACFE71BDEF}" name="CFT" dataDxfId="245"/>
    <tableColumn id="6" xr3:uid="{6D9A577E-65A9-4443-9FFA-4D6491D73237}" name="H/W" dataDxfId="244"/>
    <tableColumn id="7" xr3:uid="{2A26AE22-CF0C-40E4-B3CF-5C2EEBF307A3}" name="Comments"/>
    <tableColumn id="8" xr3:uid="{13849BC3-6DA9-47D1-9BE4-1876D9442B45}" name="Medical Comment put in?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985927-6B6E-4E7B-94F5-7C0E691448EF}" name="CYTable" displayName="CYTable" ref="A2:AP81" totalsRowShown="0" headerRowDxfId="243" dataDxfId="242" tableBorderDxfId="241">
  <autoFilter ref="A2:AP81" xr:uid="{B3985927-6B6E-4E7B-94F5-7C0E691448EF}"/>
  <tableColumns count="42">
    <tableColumn id="1" xr3:uid="{8512932A-80B1-457E-B395-4BBE9492AE83}" name="DOD ID" dataDxfId="240"/>
    <tableColumn id="2" xr3:uid="{94F39D8F-9E3D-49F0-A16C-635F10FD05AE}" name="Last Name" dataDxfId="239"/>
    <tableColumn id="3" xr3:uid="{9EA2D3E6-3E4C-4D2F-8ECD-AABA1F5FBEC3}" name="First Name" dataDxfId="238"/>
    <tableColumn id="4" xr3:uid="{1D08A896-5BBC-48E0-8114-0B9BCDA20B0E}" name="MI" dataDxfId="237"/>
    <tableColumn id="5" xr3:uid="{894F48AC-B99F-49E6-A25D-4B47A2BFC739}" name="Rank" dataDxfId="236"/>
    <tableColumn id="6" xr3:uid="{0BAC1A51-8220-4CA3-A825-5E76128B09EA}" name="AD/RES" dataDxfId="235"/>
    <tableColumn id="7" xr3:uid="{33884068-964A-413D-8D2D-0759A881FAEB}" name="MOS" dataDxfId="234"/>
    <tableColumn id="8" xr3:uid="{BC92D8AE-2C87-41EB-AEE6-295B9A3CE0DB}" name="Gender" dataDxfId="233"/>
    <tableColumn id="9" xr3:uid="{4FA26E03-1685-47F8-856A-E8FEA437900C}" name="Unit" dataDxfId="232"/>
    <tableColumn id="10" xr3:uid="{03BA44D3-C843-4BE7-BADE-AE42241D761C}" name="Billet" dataDxfId="231"/>
    <tableColumn id="11" xr3:uid="{206AC799-E0FD-4566-9282-9D153ACB8AFE}" name="Roster Type" dataDxfId="230"/>
    <tableColumn id="12" xr3:uid="{5BBBF943-90A2-49A9-9985-59BC0D02940B}" name="Event Date" dataDxfId="229"/>
    <tableColumn id="13" xr3:uid="{E17FDB61-212D-49AC-BE2F-70CBE4F29E1F}" name="MCTFS Status" dataDxfId="228"/>
    <tableColumn id="14" xr3:uid="{D6C3C665-072D-49FE-9E67-959829E5B51A}" name="UMAPIT Trained / Untrained" dataDxfId="227"/>
    <tableColumn id="15" xr3:uid="{96C2D54D-4D76-4193-95C2-EE411C450A3B}" name="Roster Type2" dataDxfId="226"/>
    <tableColumn id="16" xr3:uid="{A6B92AA5-6A9D-4C69-9C2E-68EE16BB9D40}" name="Event Date3" dataDxfId="225"/>
    <tableColumn id="17" xr3:uid="{D346AEF6-CBB2-42E9-A7EC-E8F7941D1620}" name="MCTFS Status4" dataDxfId="224"/>
    <tableColumn id="18" xr3:uid="{DF2E9BDF-99E6-458C-A9B7-D5A9E5427FE0}" name="AT Trained / Untrained" dataDxfId="223"/>
    <tableColumn id="19" xr3:uid="{1040DAF9-6BD3-4654-918B-C50EF56E89F5}" name="Roster Type5" dataDxfId="222"/>
    <tableColumn id="20" xr3:uid="{C54D03C0-C914-49CE-BF49-FFF43A84CC11}" name="Event Date6" dataDxfId="221"/>
    <tableColumn id="21" xr3:uid="{2E7FF6EB-55B2-4A6C-95E5-5D46986698DF}" name="MCTFS Status7" dataDxfId="220"/>
    <tableColumn id="22" xr3:uid="{7BC3DFBE-9359-429E-99B3-CD827F88183F}" name="PAC Trained / Untrained" dataDxfId="219"/>
    <tableColumn id="23" xr3:uid="{7C24D909-0D05-47F7-9CF5-154A7BA96C90}" name="Roster Type8" dataDxfId="218"/>
    <tableColumn id="24" xr3:uid="{B80122A7-1F82-4495-9F48-DAD311C44CC1}" name="Event Date9" dataDxfId="217"/>
    <tableColumn id="25" xr3:uid="{94366164-A68A-4638-A68D-47BFF3541113}" name="MCTFS Status10" dataDxfId="216"/>
    <tableColumn id="26" xr3:uid="{74D02219-9DA1-4975-91FB-2645BC99A109}" name="RM Trained / Untrained" dataDxfId="215"/>
    <tableColumn id="27" xr3:uid="{4F2033BC-6DCA-46EF-90E1-AC0A9D27F138}" name="Roster Type11" dataDxfId="214"/>
    <tableColumn id="28" xr3:uid="{0656CB6C-3B67-40C2-9F2A-2AB92794BC7C}" name="Event Date12" dataDxfId="213"/>
    <tableColumn id="29" xr3:uid="{45FC07B6-4822-4376-A171-9890C3752531}" name="MCTFS Status13" dataDxfId="212"/>
    <tableColumn id="30" xr3:uid="{AEF25201-71D9-479F-BD21-94CD5E089EA7}" name="CIAR Trained / Untrained" dataDxfId="211"/>
    <tableColumn id="37" xr3:uid="{F2428A88-9979-4879-9877-3CC7B78D8B65}" name="Roster Type3" dataDxfId="210"/>
    <tableColumn id="38" xr3:uid="{6C3FE3F1-3400-4381-A3A6-35BBC99242A7}" name="Event Date4" dataDxfId="209"/>
    <tableColumn id="36" xr3:uid="{16C36FB9-EB6A-4F9E-9D3A-27034570795E}" name="MCTFS Status5" dataDxfId="208"/>
    <tableColumn id="35" xr3:uid="{2E5296AA-F665-4F26-B091-D69D5C706F61}" name="Sup Safety Trained / Untrained" dataDxfId="207"/>
    <tableColumn id="31" xr3:uid="{DF00FD69-507B-4F58-9208-FBE233D44255}" name="Roster Type14" dataDxfId="206"/>
    <tableColumn id="32" xr3:uid="{A427B666-5356-4B3E-BF97-29B6D849F536}" name="Event Date15" dataDxfId="205"/>
    <tableColumn id="33" xr3:uid="{67DD93D9-79D8-48DB-82E0-7A329A817844}" name="MCTFS Status16" dataDxfId="204"/>
    <tableColumn id="34" xr3:uid="{884F9940-F413-4364-A7B0-EBF627F17722}" name="OPSEC Trained / Untrained" dataDxfId="203"/>
    <tableColumn id="39" xr3:uid="{616D9D08-44C6-4A32-976C-FA1DDDC5A013}" name="Roster Type4" dataDxfId="202"/>
    <tableColumn id="40" xr3:uid="{8AE386FB-515E-4F23-AB45-44FCD7CD3AB9}" name="Event Date5" dataDxfId="201"/>
    <tableColumn id="41" xr3:uid="{B87A7264-73D1-4B25-95C5-E3D54AB32F2C}" name="MCTFS Status6" dataDxfId="200"/>
    <tableColumn id="42" xr3:uid="{8C1A453D-1F9F-46E3-A939-31823BD1D07C}" name="Substances Trained / Untrained" dataDxfId="199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DED315-22AF-4CCB-9103-FF50F553A096}" name="FYTable" displayName="FYTable" ref="A2:BB81" totalsRowShown="0" headerRowDxfId="198" dataDxfId="197" tableBorderDxfId="196">
  <autoFilter ref="A2:BB81" xr:uid="{BDDED315-22AF-4CCB-9103-FF50F553A096}"/>
  <tableColumns count="54">
    <tableColumn id="1" xr3:uid="{069C0F1E-0564-445A-8FFA-374DA2FB9D86}" name="DOD ID" dataDxfId="195"/>
    <tableColumn id="2" xr3:uid="{080C192F-02ED-44BF-90BB-3C34133E3BB3}" name="Last Name" dataDxfId="194"/>
    <tableColumn id="3" xr3:uid="{5EA7A5E2-4AD9-481D-BA28-757E18BA1E66}" name="First Name" dataDxfId="193"/>
    <tableColumn id="4" xr3:uid="{496382B6-10C4-4829-ADB6-5C9EB6AB2751}" name="MI" dataDxfId="192"/>
    <tableColumn id="5" xr3:uid="{20CDB702-67A6-495C-9369-138180556662}" name="Rank" dataDxfId="191"/>
    <tableColumn id="6" xr3:uid="{87AFBDFE-B267-4A8E-A43A-0B1ADAAC0E20}" name="AD/RES" dataDxfId="190"/>
    <tableColumn id="7" xr3:uid="{45E72F32-A318-4767-A055-AD4B99C55BDF}" name="MOS" dataDxfId="189"/>
    <tableColumn id="8" xr3:uid="{745F57E0-E6A4-4B59-8FB6-D02051FC0513}" name="Gender" dataDxfId="188"/>
    <tableColumn id="9" xr3:uid="{71AF2453-0805-4E0D-941F-F15AF09688D2}" name="Unit" dataDxfId="187"/>
    <tableColumn id="10" xr3:uid="{E4BFC93F-B00C-40AB-92F6-FD91B8697844}" name="Billet" dataDxfId="186"/>
    <tableColumn id="11" xr3:uid="{4CC27127-4510-4448-80EA-3989FA8E801F}" name="Roster Type" dataDxfId="185"/>
    <tableColumn id="12" xr3:uid="{78CC2FB4-B265-4020-A936-3CC85C3408A6}" name="Event Date" dataDxfId="184"/>
    <tableColumn id="13" xr3:uid="{9C769518-1370-4131-87A0-3CA8487029D5}" name="MCTFS Status" dataDxfId="183"/>
    <tableColumn id="14" xr3:uid="{B3785ECE-D20A-494C-AC1C-68788B12FE7A}" name="Take A Stand Trained / Untrained" dataDxfId="182"/>
    <tableColumn id="15" xr3:uid="{BAA29F49-BF7E-4F65-96A8-0DB5084FEB5E}" name="Roster Type2" dataDxfId="181"/>
    <tableColumn id="16" xr3:uid="{F26E4C6F-033B-4E2E-A907-47BA8E9B6586}" name="Event Date3" dataDxfId="180"/>
    <tableColumn id="17" xr3:uid="{BD43832A-9099-4604-A544-12AE6474FC0B}" name="MCTFS Status4" dataDxfId="179"/>
    <tableColumn id="18" xr3:uid="{E0DEA469-CE6D-4955-9C07-F67BBF2B217A}" name="Exempt" dataDxfId="178"/>
    <tableColumn id="19" xr3:uid="{92A4B552-AC94-4D31-A985-51E2B42BB3C3}" name="Score" dataDxfId="177"/>
    <tableColumn id="20" xr3:uid="{101FDDB9-F52F-4D7E-861B-E9DDDDF26C3D}" name="Pistol Classification" dataDxfId="176"/>
    <tableColumn id="21" xr3:uid="{3EBD1542-24DC-4C4C-A935-4A8A41105058}" name="Course Of Fire" dataDxfId="175"/>
    <tableColumn id="22" xr3:uid="{810BEB19-B19E-4F58-AB49-D5A504D1E6B1}" name="Roster Type5" dataDxfId="174"/>
    <tableColumn id="23" xr3:uid="{779467A6-A14B-407D-A757-07D682C13D39}" name="Event Date6" dataDxfId="173"/>
    <tableColumn id="24" xr3:uid="{EFB1FFD6-8174-4900-8B18-E2ECF4C96C57}" name="MCTFS Status7" dataDxfId="172"/>
    <tableColumn id="25" xr3:uid="{FF47273C-132F-42B8-9A05-0C2B2B8C294A}" name="CBRN Trained / Untrained" dataDxfId="171"/>
    <tableColumn id="26" xr3:uid="{89585AC9-3A78-45FE-BF0C-037971A8E0C7}" name="Roster Type8" dataDxfId="170"/>
    <tableColumn id="27" xr3:uid="{6FFD9F25-6B63-4DD7-AF63-8743E24E5661}" name="Event Date9" dataDxfId="169"/>
    <tableColumn id="28" xr3:uid="{14C10139-E2F8-4FAA-A704-708222E1C44B}" name="MCTFS Status10" dataDxfId="168"/>
    <tableColumn id="29" xr3:uid="{C4F9C671-8B8E-4054-92A0-79DE4E4A9B2B}" name="Step Up Trained / Untrained" dataDxfId="167"/>
    <tableColumn id="30" xr3:uid="{4063D994-0331-4846-A618-4452869D5A4D}" name="Roster Type11" dataDxfId="166"/>
    <tableColumn id="31" xr3:uid="{571510B6-5A2C-48E4-AA90-133121DCB561}" name="Event Date12" dataDxfId="165"/>
    <tableColumn id="32" xr3:uid="{3C4A89D9-5569-475B-84C7-C2CC97DD12DF}" name="MCTFS Status13" dataDxfId="164"/>
    <tableColumn id="33" xr3:uid="{29C612D6-CB75-4219-9B98-4568F5D9C532}" name="SAPR Trained / Untrained" dataDxfId="163"/>
    <tableColumn id="34" xr3:uid="{8719726D-0420-48DE-9046-EB1640829C62}" name="Roster Type14" dataDxfId="162"/>
    <tableColumn id="35" xr3:uid="{27EC7EDB-F962-4EF2-A849-6F4586BA1464}" name="Event Date15" dataDxfId="161"/>
    <tableColumn id="36" xr3:uid="{27A41D34-10D7-48B5-AF54-7C2B7ECAAE51}" name="MCTFS Status16" dataDxfId="160"/>
    <tableColumn id="37" xr3:uid="{7EF1D7FC-75F3-42B7-A6F3-CC3AA1F898BE}" name="SAPR SNCO Trained / Untrained" dataDxfId="159"/>
    <tableColumn id="38" xr3:uid="{A7AE98F5-494A-4434-88ED-6D4708FE755B}" name="Roster Type17" dataDxfId="158"/>
    <tableColumn id="39" xr3:uid="{75B13C9C-B443-419C-9370-2AE69EE0FEF9}" name="Event Date18" dataDxfId="157"/>
    <tableColumn id="40" xr3:uid="{E8A19446-F9DA-4C47-88C9-6211AD59F01A}" name="ARQ MCTFS Status" dataDxfId="156"/>
    <tableColumn id="41" xr3:uid="{FE3A45DF-FDCC-407A-BE02-B6135071A192}" name="ARQ Exemption Type" dataDxfId="155"/>
    <tableColumn id="42" xr3:uid="{616A2F8B-059D-404E-A4F5-44EDE9040136}" name="Destroys" dataDxfId="154"/>
    <tableColumn id="43" xr3:uid="{8732BD74-0AE9-4070-A747-5CD08A6B489F}" name="Drills" dataDxfId="153"/>
    <tableColumn id="44" xr3:uid="{FFEFABBD-F50D-4E29-8996-93F74C0DF953}" name="Totals" dataDxfId="152"/>
    <tableColumn id="45" xr3:uid="{F2B4CEB3-33FA-494D-A865-B01E16A58E7E}" name="ARQ Class" dataDxfId="151"/>
    <tableColumn id="46" xr3:uid="{9B10241D-1982-4507-AAAF-6C268B967084}" name="Course OF Fire20" dataDxfId="150"/>
    <tableColumn id="47" xr3:uid="{EFE5D494-61D8-4873-80D8-22188F5EBD2C}" name="Roster Type21" dataDxfId="149"/>
    <tableColumn id="48" xr3:uid="{C96438DA-EC0E-44B5-B634-99EB04D5903F}" name="Event Date22" dataDxfId="148"/>
    <tableColumn id="49" xr3:uid="{CB41266F-9DAD-45EE-85EE-856895B016A4}" name="MCTFS Status23" dataDxfId="147"/>
    <tableColumn id="50" xr3:uid="{3415EE3C-770D-403D-9A78-1CC67B18315E}" name="CYBER Trained / Untrained" dataDxfId="146"/>
    <tableColumn id="51" xr3:uid="{9CC4B7E1-6AB8-4709-B3CF-4FFFB9062155}" name="Roster Type24" dataDxfId="145"/>
    <tableColumn id="52" xr3:uid="{55CCB556-CCDF-49A4-ADEB-CA6BFE2FEE58}" name="Event Date25" dataDxfId="144"/>
    <tableColumn id="53" xr3:uid="{C64DA5B2-CE57-4B63-AC9B-531DA59C1373}" name="MCTFS Status26" dataDxfId="143"/>
    <tableColumn id="54" xr3:uid="{401E8999-7AC0-47C7-ABB4-E7D888BC367A}" name="RM Trained / Untrained" dataDxfId="142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0EF2B-9CBB-4CD7-B345-E8AFB03E91D5}" name="SwimTable" displayName="SwimTable" ref="A2:N81" totalsRowShown="0" headerRowDxfId="141" dataDxfId="2" tableBorderDxfId="140">
  <autoFilter ref="A2:N81" xr:uid="{C3F0EF2B-9CBB-4CD7-B345-E8AFB03E91D5}"/>
  <tableColumns count="14">
    <tableColumn id="1" xr3:uid="{8613671A-06E4-41FC-8267-23468F08A260}" name="DOD ID" dataDxfId="16"/>
    <tableColumn id="2" xr3:uid="{31E4D09E-74A8-4BE7-9517-61E311509295}" name="Last Name" dataDxfId="15"/>
    <tableColumn id="3" xr3:uid="{0A5F59F8-3267-420F-96D3-0495BD668B73}" name="First Name" dataDxfId="14"/>
    <tableColumn id="4" xr3:uid="{20FEEB96-8818-4763-975B-C20731CB4BD3}" name="MI" dataDxfId="13"/>
    <tableColumn id="5" xr3:uid="{57B643A1-6F09-494C-AA5A-5E548B7FAF6D}" name="Rank" dataDxfId="12"/>
    <tableColumn id="6" xr3:uid="{C4BFD3E9-2AE8-4019-A32D-91915CC59EF4}" name="AD/RES" dataDxfId="11"/>
    <tableColumn id="7" xr3:uid="{AC93ADDD-B3A7-4CB6-B115-C48AF55A07DE}" name="MOS" dataDxfId="10"/>
    <tableColumn id="8" xr3:uid="{1A7BD5FE-BD0F-4D78-9247-1D4A0D08E5BA}" name="Gender" dataDxfId="9"/>
    <tableColumn id="9" xr3:uid="{8577ACEF-AF26-4B02-85A0-D8BC2EC69F5D}" name="Unit" dataDxfId="8"/>
    <tableColumn id="10" xr3:uid="{2967AE08-9FD6-4277-B12D-4C0681E585AA}" name="Billet" dataDxfId="7"/>
    <tableColumn id="11" xr3:uid="{37FA4DAB-494A-4203-8E06-5B5AEDFEF91C}" name="Roster Type" dataDxfId="6"/>
    <tableColumn id="12" xr3:uid="{9B99EBF2-7C49-429D-AFEB-80794D4DAD2D}" name="Event Date" dataDxfId="5"/>
    <tableColumn id="13" xr3:uid="{93CC7AC2-9E32-4CC3-853B-96ACE8586428}" name="Swim MCTFS Status" dataDxfId="4"/>
    <tableColumn id="14" xr3:uid="{56D24B98-8D20-4468-A4D7-61CBFCB5BEEC}" name="CLASSIFICATION" dataDxfId="3"/>
  </tableColumns>
  <tableStyleInfo name="TableStyleMedium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40E0EC-7CA0-4C55-8C7F-EDD3F339B0E3}" name="HTWTTable" displayName="HTWTTable" ref="R2:AG81" totalsRowShown="0" headerRowDxfId="139" dataDxfId="138" tableBorderDxfId="137">
  <autoFilter ref="R2:AG81" xr:uid="{B740E0EC-7CA0-4C55-8C7F-EDD3F339B0E3}"/>
  <tableColumns count="16">
    <tableColumn id="1" xr3:uid="{5BF39198-06AF-42FF-81DC-3F2533B6D0DF}" name="DOD ID" dataDxfId="136"/>
    <tableColumn id="2" xr3:uid="{02F50E93-DEDF-41D3-815A-C15506EB81E1}" name="Last Name" dataDxfId="135"/>
    <tableColumn id="3" xr3:uid="{D0408B87-662A-4031-B773-F8BB0DD4242C}" name="First Name" dataDxfId="134"/>
    <tableColumn id="4" xr3:uid="{82624D63-6FF8-4836-B2CB-A3E126CC5AD1}" name="MI" dataDxfId="133"/>
    <tableColumn id="5" xr3:uid="{D9B9D317-FD9A-4E9D-86D7-F24A1C1030F2}" name="Rank" dataDxfId="132"/>
    <tableColumn id="6" xr3:uid="{A6F64BA8-A759-4678-879E-F7FF7372FEEA}" name="AD/RES" dataDxfId="131"/>
    <tableColumn id="7" xr3:uid="{9AD13B9D-DF60-4D27-B134-8CAA64A224FF}" name="MOS" dataDxfId="130"/>
    <tableColumn id="8" xr3:uid="{B20656A9-B901-4FA0-91E8-619A9720691F}" name="Gender" dataDxfId="129"/>
    <tableColumn id="9" xr3:uid="{C28F772B-69DE-4410-BFFE-DA8F535A00C3}" name="Unit" dataDxfId="128"/>
    <tableColumn id="10" xr3:uid="{5924BC0B-B179-4FEB-8EB4-9BBFDA9BBE33}" name="Billet" dataDxfId="127"/>
    <tableColumn id="11" xr3:uid="{8B043CDF-91F3-4B75-89EE-F944A9ED1ECF}" name="Roster Type" dataDxfId="126"/>
    <tableColumn id="12" xr3:uid="{C4D821DF-7240-4B84-824A-8E23A1072F23}" name="Event Date" dataDxfId="125"/>
    <tableColumn id="13" xr3:uid="{F54C3EB9-E24C-4652-B0A6-C99A507A3504}" name="MCTFS Status" dataDxfId="124"/>
    <tableColumn id="14" xr3:uid="{B2BBF9F6-0E8C-4CA2-9149-FFACB0E80D46}" name="Height" dataDxfId="123"/>
    <tableColumn id="15" xr3:uid="{62C96421-0146-4270-82EA-C13E3549356F}" name="Weight" dataDxfId="122"/>
    <tableColumn id="16" xr3:uid="{5DFCB3CF-7576-426A-8EE1-64CB0B3DF498}" name="Body Fat" dataDxfId="121"/>
  </tableColumns>
  <tableStyleInfo name="TableStyleMedium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8D7D7-BCE4-433C-B31F-87E525FCAA52}" name="CFTTable" displayName="CFTTable" ref="A2:X81" totalsRowShown="0" headerRowDxfId="120" dataDxfId="17" tableBorderDxfId="119">
  <autoFilter ref="A2:X81" xr:uid="{F528D7D7-BCE4-433C-B31F-87E525FCAA52}"/>
  <tableColumns count="24">
    <tableColumn id="1" xr3:uid="{26115CAC-A3B6-47D3-97A0-225126D76F03}" name="DOD ID" dataDxfId="41"/>
    <tableColumn id="2" xr3:uid="{9457F54F-92C4-41C3-B992-F22C6B77BFC8}" name="Last Name" dataDxfId="40"/>
    <tableColumn id="3" xr3:uid="{8830BF5E-8150-47B1-96A1-6114E5FA696B}" name="First Name" dataDxfId="39"/>
    <tableColumn id="4" xr3:uid="{52010ADB-CF62-4A5B-A815-78954261E93D}" name="MI" dataDxfId="38"/>
    <tableColumn id="5" xr3:uid="{3A3F73A3-6032-44A0-AC3A-544BB08AF79C}" name="Rank" dataDxfId="37"/>
    <tableColumn id="6" xr3:uid="{4785AB23-4F46-4C00-A8FD-765377D31277}" name="AD/RES" dataDxfId="36"/>
    <tableColumn id="7" xr3:uid="{AEC5CCA7-9AA1-4D5E-9D1E-4937F711F078}" name="MOS" dataDxfId="35"/>
    <tableColumn id="8" xr3:uid="{17387270-B9E0-4B28-A999-09ACD5D1D879}" name="Gender" dataDxfId="34"/>
    <tableColumn id="9" xr3:uid="{1079E5D9-EB45-40F3-A102-0A367D586668}" name="Unit" dataDxfId="33"/>
    <tableColumn id="10" xr3:uid="{C71D03E3-C0E7-49FA-929B-2D48015A9745}" name="Billet" dataDxfId="32"/>
    <tableColumn id="11" xr3:uid="{ADAB8F1E-2EC4-4ED3-9188-6A2B4611A312}" name="Roster Type" dataDxfId="31"/>
    <tableColumn id="12" xr3:uid="{78B49CA5-F26A-4EED-91B7-1888A8781768}" name="Event Date" dataDxfId="30"/>
    <tableColumn id="13" xr3:uid="{284645CA-BACE-427D-B4AA-6C7B4EC21869}" name="MCTFS Status" dataDxfId="29"/>
    <tableColumn id="14" xr3:uid="{867CF384-5CBA-4896-8A8D-3CBBB2CA4EF3}" name="Req. Not Taken" dataDxfId="28"/>
    <tableColumn id="15" xr3:uid="{223C9AB0-554E-402E-BAF6-F786DE78804A}" name="Move To Contact" dataDxfId="27"/>
    <tableColumn id="16" xr3:uid="{460B74A8-22F0-42D8-8530-5B773BBDCA1E}" name="Score" dataDxfId="26"/>
    <tableColumn id="17" xr3:uid="{C3B0EF9A-596A-45B9-9165-8F3D41172986}" name="Ammo Can Lift" dataDxfId="25"/>
    <tableColumn id="18" xr3:uid="{DC7E4987-EF16-42EE-9551-B3CDD443F076}" name="Score2" dataDxfId="24"/>
    <tableColumn id="19" xr3:uid="{793A39F4-C526-4532-9732-D19D09F51EDC}" name="Move Under Fire" dataDxfId="23"/>
    <tableColumn id="20" xr3:uid="{0755E11D-9C0B-4D9E-B538-50006A217F0D}" name="Score3" dataDxfId="22"/>
    <tableColumn id="21" xr3:uid="{7D2FE146-0484-4FF4-9F97-085B11089318}" name="Total Score" dataDxfId="21"/>
    <tableColumn id="22" xr3:uid="{9A4C812A-DECE-4091-9C78-920D0A4EADD1}" name="Class CFT" dataDxfId="20"/>
    <tableColumn id="23" xr3:uid="{CBB3955C-6081-41CA-A4AD-BC6E3D82A18F}" name="Waiver" dataDxfId="19"/>
    <tableColumn id="24" xr3:uid="{786CE928-D206-42EF-8C27-F35BA7CF63BF}" name="High Altitude" dataDxfId="18"/>
  </tableColumns>
  <tableStyleInfo name="TableStyleMedium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05441D-BE84-404B-AFBF-539889A9404A}" name="PFTTable" displayName="PFTTable" ref="A2:AE81" totalsRowShown="0" headerRowDxfId="118" dataDxfId="42" tableBorderDxfId="117">
  <autoFilter ref="A2:AE81" xr:uid="{E105441D-BE84-404B-AFBF-539889A9404A}"/>
  <sortState xmlns:xlrd2="http://schemas.microsoft.com/office/spreadsheetml/2017/richdata2" ref="A3:AE81">
    <sortCondition ref="B2:B81"/>
  </sortState>
  <tableColumns count="31">
    <tableColumn id="1" xr3:uid="{B7EBE7E3-ADED-4A76-8415-7B3EEEF823BE}" name="DOD ID" dataDxfId="73"/>
    <tableColumn id="2" xr3:uid="{E0C4F3D3-74E3-4CF1-9B0D-5D4FE65BD78B}" name="Last Name" dataDxfId="72"/>
    <tableColumn id="3" xr3:uid="{015FCF19-0984-44D9-AC47-4973D3D14158}" name="First Name" dataDxfId="71"/>
    <tableColumn id="4" xr3:uid="{A049FB11-0651-400F-8E7C-BA3CE710A5BB}" name="MI" dataDxfId="70"/>
    <tableColumn id="5" xr3:uid="{8B0B1185-0068-4516-B73A-3F434094D18B}" name="Rank" dataDxfId="69"/>
    <tableColumn id="6" xr3:uid="{9E7CD6FC-7BFF-4BDA-B4E9-F9771F6DCAF4}" name="AD/RES" dataDxfId="68"/>
    <tableColumn id="7" xr3:uid="{973C5933-6AA8-4BB1-B91B-5A59D4DF8C58}" name="MOS" dataDxfId="67"/>
    <tableColumn id="8" xr3:uid="{D87EBB5E-39E5-4F48-814F-D8791BA4AE82}" name="Gender" dataDxfId="66"/>
    <tableColumn id="9" xr3:uid="{887A06A3-9A6B-45C9-97EA-118E81E0F177}" name="Unit" dataDxfId="65"/>
    <tableColumn id="10" xr3:uid="{24ABAEFC-395C-4A15-ADAE-1CEA14331C29}" name="Billet" dataDxfId="64"/>
    <tableColumn id="11" xr3:uid="{F724553F-C2E5-4772-BF92-2E8FA82D5904}" name="Roster Type" dataDxfId="63"/>
    <tableColumn id="12" xr3:uid="{A4063385-D17C-46B9-A216-7FD21C7592AB}" name="PFT Event Date" dataDxfId="62"/>
    <tableColumn id="13" xr3:uid="{64B5750A-CD02-46BE-85DA-FD3330B95259}" name="MCTFS Status" dataDxfId="61"/>
    <tableColumn id="14" xr3:uid="{087539B9-AB03-40AF-9D11-145477EB895C}" name="Req. Not Taken" dataDxfId="60"/>
    <tableColumn id="15" xr3:uid="{F1165018-BCA6-4209-BCDD-8A78C6DB685C}" name="PU / FAH" dataDxfId="59"/>
    <tableColumn id="16" xr3:uid="{694D8C04-826D-4F6A-B845-9F2A41341991}" name="Points" dataDxfId="58"/>
    <tableColumn id="17" xr3:uid="{62C3ECED-3A38-4FE6-B037-FF14E741E527}" name="Pushups" dataDxfId="57"/>
    <tableColumn id="18" xr3:uid="{E044F3B6-85E5-4CF5-9D68-96AEB652D4AC}" name="Points2" dataDxfId="56"/>
    <tableColumn id="19" xr3:uid="{0C1B0286-349B-4E83-96C7-4B2B949F5576}" name="Crunches" dataDxfId="55"/>
    <tableColumn id="20" xr3:uid="{7327E030-BFDA-40DD-973E-A4186299040C}" name="Points3" dataDxfId="54"/>
    <tableColumn id="21" xr3:uid="{1B41ED02-AA4A-43C4-8515-CBC7801402B4}" name="Plank" dataDxfId="53"/>
    <tableColumn id="22" xr3:uid="{D98BA429-9BBC-4AC3-93D6-8B9C260B706F}" name="Points4" dataDxfId="52"/>
    <tableColumn id="23" xr3:uid="{F2554930-778D-418B-BD3E-8724502B475D}" name="Run" dataDxfId="51"/>
    <tableColumn id="24" xr3:uid="{6964F872-FE87-48A1-9DAC-6AFDCF01741A}" name="Points5" dataDxfId="50"/>
    <tableColumn id="25" xr3:uid="{03338907-2943-4236-A8A2-91E6B43372C5}" name="Row" dataDxfId="49"/>
    <tableColumn id="26" xr3:uid="{B8255C7B-1273-4554-8FA1-1B947BDB4C60}" name="Points6" dataDxfId="48"/>
    <tableColumn id="27" xr3:uid="{EBE48474-997B-4BDA-9EAF-B9ECB99FCFB2}" name="Total Score" dataDxfId="47"/>
    <tableColumn id="28" xr3:uid="{58CE663F-3E63-4F31-A8F8-52716C1816E3}" name="Class PFT" dataDxfId="46"/>
    <tableColumn id="29" xr3:uid="{0F061A54-5126-4AAC-8896-A7F75E25BB3A}" name="Waiver" dataDxfId="45"/>
    <tableColumn id="30" xr3:uid="{60176C27-226A-43E7-902E-3A2763E89EAE}" name="High Alt" dataDxfId="44"/>
    <tableColumn id="31" xr3:uid="{10AAE29C-D4ED-41F4-8078-A1AF41B19457}" name="Females Performed" dataDxfId="43"/>
  </tableColumns>
  <tableStyleInfo name="TableStyleMedium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85270A7-51A7-4BAA-9215-77C57058FCDE}" name="DriverTable" displayName="DriverTable" ref="A2:N27" totalsRowShown="0" headerRowDxfId="116" dataDxfId="115" tableBorderDxfId="114">
  <autoFilter ref="A2:N27" xr:uid="{985270A7-51A7-4BAA-9215-77C57058FCDE}">
    <filterColumn colId="8">
      <filters>
        <filter val="3PLT"/>
      </filters>
    </filterColumn>
  </autoFilter>
  <tableColumns count="14">
    <tableColumn id="1" xr3:uid="{DA10F3D2-C791-41EA-87C4-584CDE6ECE11}" name="DOD ID" dataDxfId="113"/>
    <tableColumn id="2" xr3:uid="{70399D90-27CE-47CB-BA0D-71A6A89A2B2F}" name="Last Name" dataDxfId="112"/>
    <tableColumn id="3" xr3:uid="{8D5A44D1-40EB-49FD-9C6B-93676B31FA4D}" name="First Name" dataDxfId="111"/>
    <tableColumn id="4" xr3:uid="{8E8D4C8B-1E33-4BF5-ACB2-C246F87A315A}" name="MI" dataDxfId="110"/>
    <tableColumn id="5" xr3:uid="{2E455315-31AF-437F-9A06-8001C504D6B8}" name="Rank" dataDxfId="109"/>
    <tableColumn id="6" xr3:uid="{631C3DB9-FC52-426F-A74A-FA0C7059E521}" name="AD/RES" dataDxfId="108"/>
    <tableColumn id="7" xr3:uid="{3AB6B751-759D-48A9-8123-B402C74F64C3}" name="MOS" dataDxfId="107"/>
    <tableColumn id="8" xr3:uid="{71ED8212-3CA0-4995-B3F3-FDCEDAE8AAFC}" name="Gender" dataDxfId="106"/>
    <tableColumn id="9" xr3:uid="{1677896F-42C6-42DF-952B-D974C9EC161B}" name="Unit" dataDxfId="105"/>
    <tableColumn id="10" xr3:uid="{F70C240D-796E-4D60-BAEB-23F99C16A35E}" name="Billet" dataDxfId="104"/>
    <tableColumn id="11" xr3:uid="{E2AF7E2D-B6D6-46C9-822C-059174D7EED7}" name="Roster Type" dataDxfId="103"/>
    <tableColumn id="12" xr3:uid="{43FD743B-9739-435E-B635-EB8CF276BAC9}" name="Event Date" dataDxfId="102"/>
    <tableColumn id="13" xr3:uid="{D0B80611-0279-4620-9DD2-DBF0228C3DF7}" name="MCTFS Status" dataDxfId="101"/>
    <tableColumn id="14" xr3:uid="{81134561-FF89-462F-A69F-D4709CA6CB26}" name="Drivers Awareness Trained / Untrained" dataDxfId="10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2" dT="2023-12-14T15:23:28.41" personId="{A3E22755-5E7E-476F-B6C0-5FAB29040492}" id="{DEC008D2-9686-4874-8925-D2E6B6F09AC7}">
    <text>Put the week they went, formatted as: "Wk ##"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49A1-982C-4429-A51C-69341DC494C3}">
  <sheetPr>
    <tabColor rgb="FF0070C0"/>
  </sheetPr>
  <dimension ref="A1:AH144"/>
  <sheetViews>
    <sheetView workbookViewId="0">
      <selection activeCell="D16" sqref="D16"/>
    </sheetView>
  </sheetViews>
  <sheetFormatPr defaultRowHeight="15" x14ac:dyDescent="0.25"/>
  <cols>
    <col min="1" max="1" width="7.42578125" bestFit="1" customWidth="1"/>
    <col min="2" max="2" width="63.28515625" bestFit="1" customWidth="1"/>
    <col min="3" max="3" width="8.85546875" bestFit="1" customWidth="1"/>
    <col min="4" max="4" width="8.7109375" bestFit="1" customWidth="1"/>
    <col min="5" max="5" width="6.85546875" bestFit="1" customWidth="1"/>
    <col min="6" max="6" width="8.5703125" bestFit="1" customWidth="1"/>
    <col min="7" max="7" width="8.7109375" bestFit="1" customWidth="1"/>
    <col min="8" max="8" width="47.85546875" bestFit="1" customWidth="1"/>
    <col min="10" max="11" width="8.7109375" bestFit="1" customWidth="1"/>
    <col min="14" max="14" width="63.28515625" bestFit="1" customWidth="1"/>
    <col min="17" max="17" width="8" bestFit="1" customWidth="1"/>
    <col min="18" max="18" width="11.85546875" bestFit="1" customWidth="1"/>
    <col min="33" max="33" width="15.5703125" bestFit="1" customWidth="1"/>
  </cols>
  <sheetData>
    <row r="1" spans="1:34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44"/>
      <c r="J1" s="198" t="s">
        <v>8</v>
      </c>
      <c r="K1" s="199"/>
      <c r="L1" s="199"/>
      <c r="M1" s="199"/>
      <c r="N1" s="44"/>
      <c r="O1" s="44"/>
      <c r="P1" s="44"/>
      <c r="Q1" s="44"/>
    </row>
    <row r="2" spans="1:34" x14ac:dyDescent="0.25">
      <c r="A2" s="15">
        <v>5</v>
      </c>
      <c r="B2" s="16" t="s">
        <v>9</v>
      </c>
      <c r="C2" s="63" t="s">
        <v>10</v>
      </c>
      <c r="D2" s="65">
        <f>COUNTIF(RecallTable[NAME],"*")</f>
        <v>79</v>
      </c>
      <c r="E2" s="135">
        <f>COUNTIF(_xlfn.XLOOKUP(_xlfn.XLOOKUP(B2,TrainingConversion[MCTIMS Name],TrainingConversion[Table Header]),TrainingTable[#Headers],TrainingTable[#Data]), "Trained")</f>
        <v>2</v>
      </c>
      <c r="F2" s="15">
        <f>D2-E2</f>
        <v>77</v>
      </c>
      <c r="G2" s="17">
        <f>E2/D2</f>
        <v>2.5316455696202531E-2</v>
      </c>
      <c r="H2" s="16" t="s">
        <v>11</v>
      </c>
      <c r="I2" s="44"/>
      <c r="J2" s="200" t="s">
        <v>12</v>
      </c>
      <c r="K2" s="200"/>
      <c r="L2" s="200" t="s">
        <v>13</v>
      </c>
      <c r="M2" s="200"/>
      <c r="N2" s="44"/>
      <c r="O2" s="44"/>
      <c r="P2" s="44"/>
      <c r="Q2" s="44"/>
    </row>
    <row r="3" spans="1:34" x14ac:dyDescent="0.25">
      <c r="A3" s="15">
        <v>8</v>
      </c>
      <c r="B3" s="16" t="s">
        <v>14</v>
      </c>
      <c r="C3" s="63" t="s">
        <v>10</v>
      </c>
      <c r="D3" s="65">
        <f>COUNTIF(RecallTable[NAME],"*")</f>
        <v>79</v>
      </c>
      <c r="E3" s="135">
        <f>COUNTIF(_xlfn.XLOOKUP(_xlfn.XLOOKUP(B3,TrainingConversion[MCTIMS Name],TrainingConversion[Table Header]),TrainingTable[#Headers],TrainingTable[#Data]), "Trained")</f>
        <v>1</v>
      </c>
      <c r="F3" s="15">
        <f>D3-E3</f>
        <v>78</v>
      </c>
      <c r="G3" s="17">
        <f t="shared" ref="G3:G10" si="0">E3/D3</f>
        <v>1.2658227848101266E-2</v>
      </c>
      <c r="H3" s="16" t="s">
        <v>11</v>
      </c>
      <c r="I3" s="44"/>
      <c r="J3" s="44"/>
      <c r="K3" s="44"/>
      <c r="L3" s="44"/>
      <c r="M3" s="44"/>
      <c r="N3" s="44"/>
      <c r="O3" s="44"/>
      <c r="P3" s="44"/>
      <c r="Q3" s="44"/>
    </row>
    <row r="4" spans="1:34" x14ac:dyDescent="0.25">
      <c r="A4" s="15">
        <v>9</v>
      </c>
      <c r="B4" s="16" t="s">
        <v>15</v>
      </c>
      <c r="C4" s="63" t="s">
        <v>10</v>
      </c>
      <c r="D4" s="65">
        <f>COUNTIF(RecallTable[NAME],"*")</f>
        <v>79</v>
      </c>
      <c r="E4" s="135">
        <f>COUNTIF(_xlfn.XLOOKUP(_xlfn.XLOOKUP(B4,TrainingConversion[MCTIMS Name],TrainingConversion[Table Header]),TrainingTable[#Headers],TrainingTable[#Data]), "Trained")</f>
        <v>11</v>
      </c>
      <c r="F4" s="15">
        <f t="shared" ref="F4:F10" si="1">D4-E4</f>
        <v>68</v>
      </c>
      <c r="G4" s="17">
        <f t="shared" si="0"/>
        <v>0.13924050632911392</v>
      </c>
      <c r="H4" s="16" t="s">
        <v>16</v>
      </c>
      <c r="I4" s="44"/>
      <c r="J4" s="44"/>
      <c r="K4" s="44"/>
      <c r="L4" s="44"/>
      <c r="M4" s="150" t="str">
        <f>_xlfn.CONCAT(COUNTIF(RecallTable[TAD],"TAD"), " TAD Marines and ", COUNTIF(RecallTable[NAME],"*")-COUNTIF(UnitTable[Last Name],"*")," on the Recall Roster, but not in MCTIMS")</f>
        <v>0 TAD Marines and 0 on the Recall Roster, but not in MCTIMS</v>
      </c>
      <c r="N4" s="44"/>
      <c r="O4" s="44"/>
      <c r="P4" s="44"/>
      <c r="Q4" s="44"/>
    </row>
    <row r="5" spans="1:34" x14ac:dyDescent="0.25">
      <c r="A5" s="15">
        <v>11</v>
      </c>
      <c r="B5" s="16" t="s">
        <v>17</v>
      </c>
      <c r="C5" s="63" t="s">
        <v>10</v>
      </c>
      <c r="D5" s="65">
        <f>COUNTIF(RecallTable[NAME],"*")</f>
        <v>79</v>
      </c>
      <c r="E5" s="135">
        <f>COUNTIF(_xlfn.XLOOKUP(_xlfn.XLOOKUP(B5,TrainingConversion[MCTIMS Name],TrainingConversion[Table Header]),TrainingTable[#Headers],TrainingTable[#Data]), "Trained")</f>
        <v>11</v>
      </c>
      <c r="F5" s="15">
        <f t="shared" si="1"/>
        <v>68</v>
      </c>
      <c r="G5" s="17">
        <f t="shared" si="0"/>
        <v>0.13924050632911392</v>
      </c>
      <c r="H5" s="16" t="s">
        <v>18</v>
      </c>
      <c r="I5" s="44"/>
      <c r="J5" s="44"/>
      <c r="K5" s="44"/>
      <c r="L5" s="44"/>
      <c r="N5" s="44"/>
      <c r="O5" s="44"/>
      <c r="P5" s="44"/>
      <c r="Q5" s="44"/>
    </row>
    <row r="6" spans="1:34" x14ac:dyDescent="0.25">
      <c r="A6" s="15">
        <v>12</v>
      </c>
      <c r="B6" s="16" t="s">
        <v>19</v>
      </c>
      <c r="C6" s="63" t="s">
        <v>10</v>
      </c>
      <c r="D6" s="65">
        <f>COUNTIF(RecallTable[NAME],"*")</f>
        <v>79</v>
      </c>
      <c r="E6" s="135">
        <f>COUNTIF(_xlfn.XLOOKUP(_xlfn.XLOOKUP(B6,TrainingConversion[MCTIMS Name],TrainingConversion[Table Header]),TrainingTable[#Headers],TrainingTable[#Data]), "Trained")</f>
        <v>2</v>
      </c>
      <c r="F6" s="15">
        <f t="shared" si="1"/>
        <v>77</v>
      </c>
      <c r="G6" s="18">
        <f t="shared" si="0"/>
        <v>2.5316455696202531E-2</v>
      </c>
      <c r="H6" s="16" t="s">
        <v>20</v>
      </c>
      <c r="I6" s="44"/>
      <c r="J6" s="44"/>
      <c r="K6" s="44"/>
      <c r="L6" s="44"/>
      <c r="M6" s="150" t="str">
        <f>_xlfn.CONCAT(SUM(M8:M35), " (",ROUND((SUM(M8:M35)/108)*100,0),"%) Marines scheduled for ARQ so far")</f>
        <v>59 (55%) Marines scheduled for ARQ so far</v>
      </c>
      <c r="N6" s="44"/>
      <c r="O6" s="44"/>
      <c r="P6" s="44"/>
      <c r="Q6" s="44"/>
    </row>
    <row r="7" spans="1:34" x14ac:dyDescent="0.25">
      <c r="A7" s="15">
        <v>31</v>
      </c>
      <c r="B7" s="16" t="s">
        <v>21</v>
      </c>
      <c r="C7" s="63" t="s">
        <v>10</v>
      </c>
      <c r="D7" s="65">
        <f>COUNTIF(RecallTable[NAME],"*")</f>
        <v>79</v>
      </c>
      <c r="E7" s="135">
        <f>COUNTIF(_xlfn.XLOOKUP(_xlfn.XLOOKUP(B7,TrainingConversion[MCTIMS Name],TrainingConversion[Table Header]),TrainingTable[#Headers],TrainingTable[#Data]), "Trained")</f>
        <v>12</v>
      </c>
      <c r="F7" s="15">
        <f t="shared" si="1"/>
        <v>67</v>
      </c>
      <c r="G7" s="17">
        <f t="shared" si="0"/>
        <v>0.15189873417721519</v>
      </c>
      <c r="H7" s="16" t="s">
        <v>22</v>
      </c>
      <c r="I7" s="44"/>
      <c r="J7" s="44"/>
      <c r="K7" s="44"/>
      <c r="L7" s="44"/>
      <c r="N7" s="44"/>
      <c r="O7" s="44"/>
      <c r="P7" s="44"/>
      <c r="Q7" s="44"/>
    </row>
    <row r="8" spans="1:34" x14ac:dyDescent="0.25">
      <c r="A8" s="15">
        <v>26</v>
      </c>
      <c r="B8" s="16" t="s">
        <v>23</v>
      </c>
      <c r="C8" s="63" t="s">
        <v>10</v>
      </c>
      <c r="D8" s="65">
        <f>COUNTIF(UnitTable[Rank],"*")</f>
        <v>79</v>
      </c>
      <c r="E8" s="135">
        <f>COUNTIF(_xlfn.XLOOKUP(_xlfn.XLOOKUP(B8,TrainingConversion[MCTIMS Name],TrainingConversion[Table Header]),TrainingTable[#Headers],TrainingTable[#Data]), "Trained")</f>
        <v>10</v>
      </c>
      <c r="F8" s="15">
        <f t="shared" si="1"/>
        <v>69</v>
      </c>
      <c r="G8" s="17">
        <f t="shared" si="0"/>
        <v>0.12658227848101267</v>
      </c>
      <c r="H8" s="16" t="s">
        <v>11</v>
      </c>
      <c r="I8" s="44"/>
      <c r="J8" s="44"/>
      <c r="K8" s="44"/>
      <c r="L8" s="93" t="s">
        <v>24</v>
      </c>
      <c r="M8" s="94">
        <v>0</v>
      </c>
      <c r="N8" s="93" t="s">
        <v>25</v>
      </c>
      <c r="O8" s="44"/>
      <c r="P8" s="44"/>
      <c r="Q8" s="44"/>
      <c r="AC8" s="93" t="s">
        <v>26</v>
      </c>
      <c r="AF8" t="str" cm="1">
        <f t="array" ref="AF8:AG8">_xlfn.TEXTSPLIT(AC8,"(")</f>
        <v xml:space="preserve">WK 2 </v>
      </c>
      <c r="AG8" t="str">
        <v>25 SEP - 08 OCT)</v>
      </c>
      <c r="AH8" t="str">
        <f>_xlfn.CONCAT("(",AG8)</f>
        <v>(25 SEP - 08 OCT)</v>
      </c>
    </row>
    <row r="9" spans="1:34" x14ac:dyDescent="0.25">
      <c r="A9" s="15">
        <v>27</v>
      </c>
      <c r="B9" s="16" t="s">
        <v>27</v>
      </c>
      <c r="C9" s="63" t="s">
        <v>10</v>
      </c>
      <c r="D9" s="65">
        <f>COUNTIF(UnitTable[Rank],"*")</f>
        <v>79</v>
      </c>
      <c r="E9" s="29">
        <f>COUNTIF(CYTable[Substances Trained / Untrained],"Trained")</f>
        <v>10</v>
      </c>
      <c r="F9" s="15">
        <f t="shared" si="1"/>
        <v>69</v>
      </c>
      <c r="G9" s="17">
        <f t="shared" si="0"/>
        <v>0.12658227848101267</v>
      </c>
      <c r="H9" s="16" t="s">
        <v>11</v>
      </c>
      <c r="I9" s="44"/>
      <c r="J9" s="44"/>
      <c r="K9" s="44"/>
      <c r="L9" s="93" t="s">
        <v>28</v>
      </c>
      <c r="M9" s="94">
        <v>8</v>
      </c>
      <c r="N9" s="93" t="s">
        <v>29</v>
      </c>
      <c r="O9" s="44"/>
      <c r="P9" s="44"/>
      <c r="Q9" s="44"/>
      <c r="AC9" s="93" t="s">
        <v>30</v>
      </c>
      <c r="AF9" t="str" cm="1">
        <f t="array" ref="AF9:AG9">_xlfn.TEXTSPLIT(AC9,"(")</f>
        <v xml:space="preserve">WK 05 </v>
      </c>
      <c r="AG9" t="str">
        <v>16 OCT - 27 OCT)</v>
      </c>
      <c r="AH9" t="str">
        <f t="shared" ref="AH9:AH35" si="2">_xlfn.CONCAT("(",AG9)</f>
        <v>(16 OCT - 27 OCT)</v>
      </c>
    </row>
    <row r="10" spans="1:34" x14ac:dyDescent="0.25">
      <c r="A10" s="15">
        <v>29</v>
      </c>
      <c r="B10" s="16" t="s">
        <v>31</v>
      </c>
      <c r="C10" s="63" t="s">
        <v>10</v>
      </c>
      <c r="D10" s="68">
        <f>COUNTIF(DriverTable[First Name],"*")</f>
        <v>25</v>
      </c>
      <c r="E10" s="29">
        <f>COUNTIF(DriverTable[Drivers Awareness Trained / Untrained],"Trained")</f>
        <v>25</v>
      </c>
      <c r="F10" s="15">
        <f t="shared" si="1"/>
        <v>0</v>
      </c>
      <c r="G10" s="17">
        <f t="shared" si="0"/>
        <v>1</v>
      </c>
      <c r="H10" s="16" t="s">
        <v>32</v>
      </c>
      <c r="I10" s="44"/>
      <c r="J10" s="44"/>
      <c r="K10" s="44"/>
      <c r="L10" s="93" t="s">
        <v>33</v>
      </c>
      <c r="M10" s="94">
        <v>5</v>
      </c>
      <c r="N10" s="93" t="s">
        <v>34</v>
      </c>
      <c r="O10" s="44"/>
      <c r="P10" s="44"/>
      <c r="Q10" s="44"/>
      <c r="AC10" s="93" t="s">
        <v>35</v>
      </c>
      <c r="AF10" t="str" cm="1">
        <f t="array" ref="AF10:AG10">_xlfn.TEXTSPLIT(AC10,"(")</f>
        <v xml:space="preserve">WK 06 </v>
      </c>
      <c r="AG10" t="str">
        <v>23 OCT - 03 NOV)</v>
      </c>
      <c r="AH10" t="str">
        <f t="shared" si="2"/>
        <v>(23 OCT - 03 NOV)</v>
      </c>
    </row>
    <row r="11" spans="1:34" x14ac:dyDescent="0.25">
      <c r="A11" s="19"/>
      <c r="B11" s="20"/>
      <c r="C11" s="19"/>
      <c r="D11" s="30" t="s">
        <v>36</v>
      </c>
      <c r="E11" s="19" t="s">
        <v>36</v>
      </c>
      <c r="F11" s="19" t="s">
        <v>36</v>
      </c>
      <c r="G11" s="21"/>
      <c r="H11" s="31"/>
      <c r="I11" s="44"/>
      <c r="J11" s="44"/>
      <c r="K11" s="44"/>
      <c r="L11" s="93" t="s">
        <v>37</v>
      </c>
      <c r="M11" s="94">
        <v>0</v>
      </c>
      <c r="N11" s="93" t="s">
        <v>38</v>
      </c>
      <c r="O11" s="44"/>
      <c r="P11" s="44"/>
      <c r="Q11" s="44"/>
      <c r="AC11" s="93" t="s">
        <v>39</v>
      </c>
      <c r="AF11" t="str" cm="1">
        <f t="array" ref="AF11:AG11">_xlfn.TEXTSPLIT(AC11,"(")</f>
        <v xml:space="preserve">WK 10 </v>
      </c>
      <c r="AG11" t="str">
        <v>20 NOV - 01 DEC)</v>
      </c>
      <c r="AH11" t="str">
        <f t="shared" si="2"/>
        <v>(20 NOV - 01 DEC)</v>
      </c>
    </row>
    <row r="12" spans="1:34" x14ac:dyDescent="0.25">
      <c r="A12" s="15">
        <v>1</v>
      </c>
      <c r="B12" s="16" t="s">
        <v>40</v>
      </c>
      <c r="C12" s="41" t="s">
        <v>10</v>
      </c>
      <c r="D12" s="65">
        <f>COUNTIF(UnitTable[Rank], "&gt;E5")</f>
        <v>40</v>
      </c>
      <c r="E12" s="42">
        <f>COUNTIF(_xlfn.XLOOKUP(_xlfn.XLOOKUP(B12,TrainingConversion[MCTIMS Name],TrainingConversion[Table Header]),TrainingTable[#Headers],TrainingTable[#Data]), "EXPERT")+COUNTIF(_xlfn.XLOOKUP(_xlfn.XLOOKUP(B12,TrainingConversion[MCTIMS Name],TrainingConversion[Table Header]),TrainingTable[#Headers],TrainingTable[#Data]), "SHARPSHOOTER")+COUNTIF(_xlfn.XLOOKUP(_xlfn.XLOOKUP(B12,TrainingConversion[MCTIMS Name],TrainingConversion[Table Header]),TrainingTable[#Headers],TrainingTable[#Data]), "MARKSMAN")</f>
        <v>12</v>
      </c>
      <c r="F12" s="15">
        <f>IF((D12-E12)&gt;0,D12-E12,0)</f>
        <v>28</v>
      </c>
      <c r="G12" s="22">
        <f>E12/D12</f>
        <v>0.3</v>
      </c>
      <c r="H12" s="16" t="s">
        <v>41</v>
      </c>
      <c r="I12" s="44"/>
      <c r="J12" s="44"/>
      <c r="K12" s="44"/>
      <c r="L12" s="93" t="s">
        <v>42</v>
      </c>
      <c r="M12" s="94">
        <v>6</v>
      </c>
      <c r="N12" s="93" t="s">
        <v>43</v>
      </c>
      <c r="O12" s="44"/>
      <c r="P12" s="44"/>
      <c r="Q12" s="44"/>
      <c r="AC12" s="93" t="s">
        <v>44</v>
      </c>
      <c r="AF12" t="str" cm="1">
        <f t="array" ref="AF12:AG12">_xlfn.TEXTSPLIT(AC12,"(")</f>
        <v xml:space="preserve">WK 11 </v>
      </c>
      <c r="AG12" t="str">
        <v>27 NOV - 08 DEC)</v>
      </c>
      <c r="AH12" t="str">
        <f t="shared" si="2"/>
        <v>(27 NOV - 08 DEC)</v>
      </c>
    </row>
    <row r="13" spans="1:34" x14ac:dyDescent="0.25">
      <c r="A13" s="15">
        <v>135</v>
      </c>
      <c r="B13" s="23" t="s">
        <v>45</v>
      </c>
      <c r="C13" s="41" t="s">
        <v>10</v>
      </c>
      <c r="D13" s="144">
        <f>COUNTIF(TrainingTable[Name],"*")-COUNTIF(TrainingTable[ARQ Comments],"Exempt (TIS)")+COUNTIF(TrainingTable[ARQ Comments], "Exempt (PEQ)")</f>
        <v>79</v>
      </c>
      <c r="E13" s="42">
        <f>COUNTIF(_xlfn.XLOOKUP(_xlfn.XLOOKUP(B13,TrainingConversion[MCTIMS Name],TrainingConversion[Table Header]),TrainingTable[#Headers],TrainingTable[#Data]), "Success")+COUNTIF(_xlfn.XLOOKUP(_xlfn.XLOOKUP(B13,TrainingConversion[MCTIMS Name],TrainingConversion[Table Header]),TrainingTable[#Headers],TrainingTable[#Data]), "Exempt")-COUNTIF(TrainingTable[ARQ Comments],"Exempt (TIS)")</f>
        <v>17</v>
      </c>
      <c r="F13" s="15">
        <f>D13-E13</f>
        <v>62</v>
      </c>
      <c r="G13" s="22">
        <f t="shared" ref="G13:G20" si="3">E13/D13</f>
        <v>0.21518987341772153</v>
      </c>
      <c r="H13" s="16" t="s">
        <v>41</v>
      </c>
      <c r="I13" s="44"/>
      <c r="J13" s="44"/>
      <c r="K13" s="44"/>
      <c r="L13" s="86" t="s">
        <v>46</v>
      </c>
      <c r="M13" s="92">
        <v>1</v>
      </c>
      <c r="N13" s="86" t="s">
        <v>47</v>
      </c>
      <c r="O13" s="153">
        <v>2023</v>
      </c>
      <c r="P13" s="44"/>
      <c r="Q13" s="44"/>
      <c r="AC13" s="86" t="s">
        <v>48</v>
      </c>
      <c r="AF13" t="str" cm="1">
        <f t="array" ref="AF13:AG13">_xlfn.TEXTSPLIT(AC13,"(")</f>
        <v xml:space="preserve">WK 12 </v>
      </c>
      <c r="AG13" t="str">
        <v>04 DEC - 15 DEC)</v>
      </c>
      <c r="AH13" t="str">
        <f t="shared" si="2"/>
        <v>(04 DEC - 15 DEC)</v>
      </c>
    </row>
    <row r="14" spans="1:34" x14ac:dyDescent="0.25">
      <c r="A14" s="15">
        <v>3</v>
      </c>
      <c r="B14" s="16" t="s">
        <v>49</v>
      </c>
      <c r="C14" s="41" t="s">
        <v>10</v>
      </c>
      <c r="D14" s="65">
        <f>COUNTIF(RecallTable[NAME],"*")</f>
        <v>79</v>
      </c>
      <c r="E14" s="15">
        <f>COUNTIF(_xlfn.XLOOKUP(_xlfn.XLOOKUP(B14,TrainingConversion[MCTIMS Name],TrainingConversion[Table Header]),TrainingTable[#Headers],TrainingTable[#Data]), "Trained")</f>
        <v>58</v>
      </c>
      <c r="F14" s="15">
        <f t="shared" ref="F14:F20" si="4">D14-E14</f>
        <v>21</v>
      </c>
      <c r="G14" s="22">
        <f t="shared" si="3"/>
        <v>0.73417721518987344</v>
      </c>
      <c r="H14" s="16" t="s">
        <v>50</v>
      </c>
      <c r="I14" s="44"/>
      <c r="J14" s="44"/>
      <c r="K14" s="44"/>
      <c r="L14" s="44" t="s">
        <v>51</v>
      </c>
      <c r="M14" s="87">
        <v>4</v>
      </c>
      <c r="N14" s="44" t="s">
        <v>52</v>
      </c>
      <c r="O14" s="153">
        <v>2024</v>
      </c>
      <c r="P14" s="44"/>
      <c r="Q14" s="44"/>
      <c r="AC14" s="44" t="s">
        <v>53</v>
      </c>
      <c r="AF14" t="str" cm="1">
        <f t="array" ref="AF14:AG14">_xlfn.TEXTSPLIT(AC14,"(")</f>
        <v xml:space="preserve">WK 18 </v>
      </c>
      <c r="AG14" t="str">
        <v xml:space="preserve"> 15 JAN - 26 JAN)</v>
      </c>
      <c r="AH14" t="str">
        <f t="shared" si="2"/>
        <v>( 15 JAN - 26 JAN)</v>
      </c>
    </row>
    <row r="15" spans="1:34" x14ac:dyDescent="0.25">
      <c r="A15" s="15">
        <v>4</v>
      </c>
      <c r="B15" s="16" t="s">
        <v>54</v>
      </c>
      <c r="C15" s="41" t="s">
        <v>10</v>
      </c>
      <c r="D15" s="65">
        <f>COUNTIF(RecallTable[NAME],"*")</f>
        <v>79</v>
      </c>
      <c r="E15" s="15">
        <f>COUNTIF(_xlfn.XLOOKUP(_xlfn.XLOOKUP(B15,TrainingConversion[MCTIMS Name],TrainingConversion[Table Header]),TrainingTable[#Headers],TrainingTable[#Data]), "Trained")</f>
        <v>39</v>
      </c>
      <c r="F15" s="15">
        <f t="shared" si="4"/>
        <v>40</v>
      </c>
      <c r="G15" s="75">
        <f t="shared" si="3"/>
        <v>0.49367088607594939</v>
      </c>
      <c r="H15" s="16" t="s">
        <v>55</v>
      </c>
      <c r="I15" s="44"/>
      <c r="J15" s="44"/>
      <c r="K15" s="44"/>
      <c r="L15" s="44" t="s">
        <v>56</v>
      </c>
      <c r="M15" s="87">
        <v>4</v>
      </c>
      <c r="N15" s="44" t="s">
        <v>57</v>
      </c>
      <c r="O15" s="44"/>
      <c r="P15" s="44"/>
      <c r="Q15" s="44"/>
      <c r="AC15" s="44" t="s">
        <v>58</v>
      </c>
      <c r="AF15" t="str" cm="1">
        <f t="array" ref="AF15:AG15">_xlfn.TEXTSPLIT(AC15,"(")</f>
        <v xml:space="preserve">WK 19 </v>
      </c>
      <c r="AG15" t="str">
        <v>22 JAN - 02 FEB)</v>
      </c>
      <c r="AH15" t="str">
        <f t="shared" si="2"/>
        <v>(22 JAN - 02 FEB)</v>
      </c>
    </row>
    <row r="16" spans="1:34" x14ac:dyDescent="0.25">
      <c r="A16" s="15">
        <v>13</v>
      </c>
      <c r="B16" s="16" t="s">
        <v>59</v>
      </c>
      <c r="C16" s="41" t="s">
        <v>10</v>
      </c>
      <c r="D16" s="65">
        <f>COUNTIF(RecallTable[NAME],"*")</f>
        <v>79</v>
      </c>
      <c r="E16" s="15">
        <f>COUNTIF(_xlfn.XLOOKUP(_xlfn.XLOOKUP(B16,TrainingConversion[MCTIMS Name],TrainingConversion[Table Header]),TrainingTable[#Headers],TrainingTable[#Data]), "Success")</f>
        <v>0</v>
      </c>
      <c r="F16" s="15">
        <f t="shared" si="4"/>
        <v>79</v>
      </c>
      <c r="G16" s="22">
        <f>E16/D16</f>
        <v>0</v>
      </c>
      <c r="H16" s="16" t="s">
        <v>41</v>
      </c>
      <c r="I16" s="44"/>
      <c r="J16" s="44"/>
      <c r="K16" s="44"/>
      <c r="L16" s="44" t="s">
        <v>60</v>
      </c>
      <c r="M16" s="87">
        <v>4</v>
      </c>
      <c r="N16" s="44" t="s">
        <v>61</v>
      </c>
      <c r="O16" s="44"/>
      <c r="P16" s="44"/>
      <c r="Q16" s="44"/>
      <c r="AC16" s="44" t="s">
        <v>62</v>
      </c>
      <c r="AF16" t="str" cm="1">
        <f t="array" ref="AF16:AG16">_xlfn.TEXTSPLIT(AC16,"(")</f>
        <v xml:space="preserve">WK 20 </v>
      </c>
      <c r="AG16" t="str">
        <v>29 JAN - 09 FEB)</v>
      </c>
      <c r="AH16" t="str">
        <f t="shared" si="2"/>
        <v>(29 JAN - 09 FEB)</v>
      </c>
    </row>
    <row r="17" spans="1:34" x14ac:dyDescent="0.25">
      <c r="A17" s="15">
        <v>15</v>
      </c>
      <c r="B17" s="16" t="s">
        <v>63</v>
      </c>
      <c r="C17" s="41" t="s">
        <v>10</v>
      </c>
      <c r="D17" s="65">
        <f>COUNTIF(RecallTable[NAME],"*")</f>
        <v>79</v>
      </c>
      <c r="E17" s="15">
        <f>COUNTIF(_xlfn.XLOOKUP(_xlfn.XLOOKUP(B17,TrainingConversion[MCTIMS Name],TrainingConversion[Table Header]),TrainingTable[#Headers],TrainingTable[#Data]), "Trained")</f>
        <v>11</v>
      </c>
      <c r="F17" s="15">
        <f t="shared" si="4"/>
        <v>68</v>
      </c>
      <c r="G17" s="22">
        <f t="shared" si="3"/>
        <v>0.13924050632911392</v>
      </c>
      <c r="H17" s="16" t="s">
        <v>11</v>
      </c>
      <c r="I17" s="44"/>
      <c r="J17" s="44"/>
      <c r="K17" s="44"/>
      <c r="L17" s="44" t="s">
        <v>64</v>
      </c>
      <c r="M17" s="87">
        <v>2</v>
      </c>
      <c r="N17" s="44" t="s">
        <v>65</v>
      </c>
      <c r="O17" s="44"/>
      <c r="P17" s="44"/>
      <c r="Q17" s="44"/>
      <c r="AC17" s="44" t="s">
        <v>66</v>
      </c>
      <c r="AF17" t="str" cm="1">
        <f t="array" ref="AF17:AG17">_xlfn.TEXTSPLIT(AC17,"(")</f>
        <v xml:space="preserve">WK 21 </v>
      </c>
      <c r="AG17" t="str">
        <v>05 FEB - 16 FEB)</v>
      </c>
      <c r="AH17" t="str">
        <f t="shared" si="2"/>
        <v>(05 FEB - 16 FEB)</v>
      </c>
    </row>
    <row r="18" spans="1:34" x14ac:dyDescent="0.25">
      <c r="A18" s="15">
        <v>16</v>
      </c>
      <c r="B18" s="16" t="s">
        <v>67</v>
      </c>
      <c r="C18" s="41" t="s">
        <v>10</v>
      </c>
      <c r="D18" s="65">
        <f>COUNTIF(RecallTable[GRADE], "&lt;E4")</f>
        <v>6</v>
      </c>
      <c r="E18" s="15">
        <f>COUNTIF(_xlfn.XLOOKUP(_xlfn.XLOOKUP(B18,TrainingConversion[MCTIMS Name],TrainingConversion[Table Header]),TrainingTable[#Headers],TrainingTable[#Data]), "Trained")</f>
        <v>19</v>
      </c>
      <c r="F18" s="15">
        <f t="shared" si="4"/>
        <v>-13</v>
      </c>
      <c r="G18" s="22">
        <f t="shared" si="3"/>
        <v>3.1666666666666665</v>
      </c>
      <c r="H18" s="16" t="s">
        <v>11</v>
      </c>
      <c r="I18" s="44"/>
      <c r="J18" s="44"/>
      <c r="K18" s="44"/>
      <c r="L18" s="44" t="s">
        <v>68</v>
      </c>
      <c r="M18" s="87">
        <v>3</v>
      </c>
      <c r="N18" s="44" t="s">
        <v>69</v>
      </c>
      <c r="O18" s="44"/>
      <c r="P18" s="44"/>
      <c r="Q18" s="44"/>
      <c r="AC18" s="44" t="s">
        <v>70</v>
      </c>
      <c r="AF18" t="str" cm="1">
        <f t="array" ref="AF18:AG18">_xlfn.TEXTSPLIT(AC18,"(")</f>
        <v xml:space="preserve">WK 26 </v>
      </c>
      <c r="AG18" t="str">
        <v>11 MAR - 22 MAR)</v>
      </c>
      <c r="AH18" t="str">
        <f t="shared" si="2"/>
        <v>(11 MAR - 22 MAR)</v>
      </c>
    </row>
    <row r="19" spans="1:34" x14ac:dyDescent="0.25">
      <c r="A19" s="15">
        <v>17</v>
      </c>
      <c r="B19" s="16" t="s">
        <v>71</v>
      </c>
      <c r="C19" s="41" t="s">
        <v>10</v>
      </c>
      <c r="D19" s="65">
        <f>COUNTIF(RecallTable[GRADE], "E4")+COUNTIF(RecallTable[GRADE], "E5")</f>
        <v>45</v>
      </c>
      <c r="E19" s="15">
        <f>COUNTIF(_xlfn.XLOOKUP(_xlfn.XLOOKUP(B19,TrainingConversion[MCTIMS Name],TrainingConversion[Table Header]),TrainingTable[#Headers],TrainingTable[#Data]), "Trained")</f>
        <v>39</v>
      </c>
      <c r="F19" s="15">
        <f t="shared" si="4"/>
        <v>6</v>
      </c>
      <c r="G19" s="22">
        <f t="shared" si="3"/>
        <v>0.8666666666666667</v>
      </c>
      <c r="H19" s="16" t="s">
        <v>11</v>
      </c>
      <c r="I19" s="44"/>
      <c r="J19" s="44"/>
      <c r="K19" s="44"/>
      <c r="L19" s="44" t="s">
        <v>72</v>
      </c>
      <c r="M19" s="87">
        <v>3</v>
      </c>
      <c r="N19" s="44" t="s">
        <v>73</v>
      </c>
      <c r="O19" s="44"/>
      <c r="P19" s="44"/>
      <c r="Q19" s="44"/>
      <c r="AC19" s="44" t="s">
        <v>74</v>
      </c>
      <c r="AF19" t="str" cm="1">
        <f t="array" ref="AF19:AG19">_xlfn.TEXTSPLIT(AC19,"(")</f>
        <v xml:space="preserve">WK 28 </v>
      </c>
      <c r="AG19" t="str">
        <v>25 MAR - 05 APR)</v>
      </c>
      <c r="AH19" t="str">
        <f t="shared" si="2"/>
        <v>(25 MAR - 05 APR)</v>
      </c>
    </row>
    <row r="20" spans="1:34" x14ac:dyDescent="0.25">
      <c r="A20" s="15">
        <v>137</v>
      </c>
      <c r="B20" s="16" t="s">
        <v>75</v>
      </c>
      <c r="C20" s="41" t="s">
        <v>10</v>
      </c>
      <c r="D20" s="65">
        <f>COUNTIF(RecallTable[GRADE], "E6")+COUNTIF(RecallTable[GRADE], "E7")+COUNTIF(RecallTable[GRADE], "E8")</f>
        <v>19</v>
      </c>
      <c r="E20" s="15">
        <f>COUNTIF(_xlfn.XLOOKUP(_xlfn.XLOOKUP(B20,TrainingConversion[MCTIMS Name],TrainingConversion[Table Header]),TrainingTable[#Headers],TrainingTable[#Data]), "Trained")</f>
        <v>14</v>
      </c>
      <c r="F20" s="15">
        <f t="shared" si="4"/>
        <v>5</v>
      </c>
      <c r="G20" s="22">
        <f t="shared" si="3"/>
        <v>0.73684210526315785</v>
      </c>
      <c r="H20" s="16" t="s">
        <v>11</v>
      </c>
      <c r="I20" s="44"/>
      <c r="J20" s="44"/>
      <c r="K20" s="44"/>
      <c r="L20" s="44" t="s">
        <v>76</v>
      </c>
      <c r="M20" s="87">
        <v>2</v>
      </c>
      <c r="N20" s="44" t="s">
        <v>77</v>
      </c>
      <c r="O20" s="44"/>
      <c r="P20" s="44"/>
      <c r="Q20" s="44"/>
      <c r="AC20" s="44" t="s">
        <v>78</v>
      </c>
      <c r="AF20" t="str" cm="1">
        <f t="array" ref="AF20:AG20">_xlfn.TEXTSPLIT(AC20,"(")</f>
        <v xml:space="preserve">WK 29 </v>
      </c>
      <c r="AG20" t="str">
        <v>01 - 12 APR)</v>
      </c>
      <c r="AH20" t="str">
        <f t="shared" si="2"/>
        <v>(01 - 12 APR)</v>
      </c>
    </row>
    <row r="21" spans="1:34" x14ac:dyDescent="0.25">
      <c r="A21" s="19"/>
      <c r="B21" s="20"/>
      <c r="C21" s="19"/>
      <c r="D21" s="19" t="s">
        <v>36</v>
      </c>
      <c r="E21" s="19" t="s">
        <v>36</v>
      </c>
      <c r="F21" s="19" t="s">
        <v>36</v>
      </c>
      <c r="G21" s="21"/>
      <c r="H21" s="31"/>
      <c r="I21" s="44"/>
      <c r="J21" s="44"/>
      <c r="K21" s="44"/>
      <c r="L21" s="44" t="s">
        <v>79</v>
      </c>
      <c r="M21" s="87">
        <v>4</v>
      </c>
      <c r="N21" s="44" t="s">
        <v>80</v>
      </c>
      <c r="O21" s="44"/>
      <c r="P21" s="44"/>
      <c r="Q21" s="44"/>
      <c r="AC21" s="44" t="s">
        <v>81</v>
      </c>
      <c r="AF21" t="str" cm="1">
        <f t="array" ref="AF21:AG21">_xlfn.TEXTSPLIT(AC21,"(")</f>
        <v xml:space="preserve">WK 30 </v>
      </c>
      <c r="AG21" t="str">
        <v>08 APR - 19 APR)</v>
      </c>
      <c r="AH21" t="str">
        <f t="shared" si="2"/>
        <v>(08 APR - 19 APR)</v>
      </c>
    </row>
    <row r="22" spans="1:34" x14ac:dyDescent="0.25">
      <c r="A22" s="15">
        <v>6</v>
      </c>
      <c r="B22" s="16" t="s">
        <v>82</v>
      </c>
      <c r="C22" s="41" t="s">
        <v>10</v>
      </c>
      <c r="D22" s="65">
        <f>COUNTIF(RecallTable[NAME],"*")</f>
        <v>79</v>
      </c>
      <c r="E22" s="15">
        <f>COUNTIF(_xlfn.XLOOKUP(_xlfn.XLOOKUP(B22,TrainingConversion[MCTIMS Name],TrainingConversion[Table Header]),TrainingTable[#Headers],TrainingTable[#Data]), "*Class*")</f>
        <v>9</v>
      </c>
      <c r="F22" s="15">
        <f>D22-E22</f>
        <v>70</v>
      </c>
      <c r="G22" s="17">
        <f>E22/D22</f>
        <v>0.11392405063291139</v>
      </c>
      <c r="H22" s="16" t="s">
        <v>41</v>
      </c>
      <c r="I22" s="44"/>
      <c r="J22" s="156"/>
      <c r="K22" s="44"/>
      <c r="L22" s="44" t="s">
        <v>83</v>
      </c>
      <c r="M22" s="87">
        <v>0</v>
      </c>
      <c r="N22" s="44" t="s">
        <v>84</v>
      </c>
      <c r="O22" s="44"/>
      <c r="P22" s="44"/>
      <c r="Q22" s="44"/>
      <c r="AC22" s="44" t="s">
        <v>85</v>
      </c>
      <c r="AF22" t="str" cm="1">
        <f t="array" ref="AF22:AG22">_xlfn.TEXTSPLIT(AC22,"(")</f>
        <v xml:space="preserve">WK 32 </v>
      </c>
      <c r="AG22" t="str">
        <v>22 APR - 03 MAY)</v>
      </c>
      <c r="AH22" t="str">
        <f t="shared" si="2"/>
        <v>(22 APR - 03 MAY)</v>
      </c>
    </row>
    <row r="23" spans="1:34" x14ac:dyDescent="0.25">
      <c r="A23" s="24" t="s">
        <v>86</v>
      </c>
      <c r="B23" s="25" t="s">
        <v>87</v>
      </c>
      <c r="C23" s="24" t="s">
        <v>10</v>
      </c>
      <c r="D23" s="65">
        <f>COUNTIF(RecallTable[NAME],"*")</f>
        <v>79</v>
      </c>
      <c r="E23" s="15">
        <f>COUNTIF(_xlfn.XLOOKUP(_xlfn.XLOOKUP(B23,TrainingConversion[MCTIMS Name],TrainingConversion[Table Header]),TrainingTable[#Headers],TrainingTable[#Data]), "Success")</f>
        <v>18</v>
      </c>
      <c r="F23" s="15">
        <f>D23-E23</f>
        <v>61</v>
      </c>
      <c r="G23" s="17">
        <f>E23/D23</f>
        <v>0.22784810126582278</v>
      </c>
      <c r="H23" s="16" t="s">
        <v>41</v>
      </c>
      <c r="I23" s="44"/>
      <c r="J23" s="44"/>
      <c r="K23" s="44"/>
      <c r="L23" s="44" t="s">
        <v>88</v>
      </c>
      <c r="M23" s="87">
        <v>2</v>
      </c>
      <c r="N23" s="44" t="s">
        <v>89</v>
      </c>
      <c r="O23" s="44"/>
      <c r="P23" s="44"/>
      <c r="Q23" s="44"/>
      <c r="AC23" s="44" t="s">
        <v>90</v>
      </c>
      <c r="AF23" t="str" cm="1">
        <f t="array" ref="AF23:AG23">_xlfn.TEXTSPLIT(AC23,"(")</f>
        <v xml:space="preserve">WK 33 </v>
      </c>
      <c r="AG23" t="str">
        <v>29 APR - 10 MAY)</v>
      </c>
      <c r="AH23" t="str">
        <f t="shared" si="2"/>
        <v>(29 APR - 10 MAY)</v>
      </c>
    </row>
    <row r="24" spans="1:34" x14ac:dyDescent="0.25">
      <c r="A24" s="15">
        <v>14</v>
      </c>
      <c r="B24" s="16" t="s">
        <v>91</v>
      </c>
      <c r="C24" s="41" t="s">
        <v>10</v>
      </c>
      <c r="D24" s="65">
        <f>COUNTIF(RecallTable[NAME],"*")</f>
        <v>79</v>
      </c>
      <c r="E24" s="15">
        <f>COUNTIF(_xlfn.XLOOKUP(_xlfn.XLOOKUP(B24,TrainingConversion[MCTIMS Name],TrainingConversion[Table Header]),TrainingTable[#Headers],TrainingTable[#Data]), "Success")</f>
        <v>42</v>
      </c>
      <c r="F24" s="15">
        <f>D24-E24</f>
        <v>37</v>
      </c>
      <c r="G24" s="26">
        <f>E24/D24</f>
        <v>0.53164556962025311</v>
      </c>
      <c r="H24" s="16" t="s">
        <v>41</v>
      </c>
      <c r="I24" s="44"/>
      <c r="J24" s="44"/>
      <c r="K24" s="44"/>
      <c r="L24" s="44" t="s">
        <v>92</v>
      </c>
      <c r="M24" s="87">
        <v>3</v>
      </c>
      <c r="N24" s="44" t="s">
        <v>93</v>
      </c>
      <c r="O24" s="44"/>
      <c r="P24" s="44"/>
      <c r="Q24" s="44"/>
      <c r="AC24" s="44" t="s">
        <v>94</v>
      </c>
      <c r="AF24" t="str" cm="1">
        <f t="array" ref="AF24:AG24">_xlfn.TEXTSPLIT(AC24,"(")</f>
        <v xml:space="preserve">WK 34 </v>
      </c>
      <c r="AG24" t="str">
        <v xml:space="preserve"> 06 MAY - 17 MAY)</v>
      </c>
      <c r="AH24" t="str">
        <f t="shared" si="2"/>
        <v>( 06 MAY - 17 MAY)</v>
      </c>
    </row>
    <row r="25" spans="1:34" x14ac:dyDescent="0.25">
      <c r="A25" s="46">
        <v>18</v>
      </c>
      <c r="B25" s="47" t="s">
        <v>95</v>
      </c>
      <c r="C25" s="64" t="s">
        <v>10</v>
      </c>
      <c r="D25" s="65">
        <f>COUNTIF(RecallTable[NAME],"*")</f>
        <v>79</v>
      </c>
      <c r="E25" s="46">
        <f>COUNTIF(_xlfn.XLOOKUP(_xlfn.XLOOKUP(B25,TrainingConversion[MCTIMS Name],TrainingConversion[Table Header]),TrainingTable[#Headers],TrainingTable[#Data]), "&gt;45108")</f>
        <v>79</v>
      </c>
      <c r="F25" s="46">
        <f>D25-E25</f>
        <v>0</v>
      </c>
      <c r="G25" s="48">
        <f>E25/D25</f>
        <v>1</v>
      </c>
      <c r="H25" s="47" t="s">
        <v>41</v>
      </c>
      <c r="I25" s="44"/>
      <c r="J25" s="44"/>
      <c r="K25" s="44"/>
      <c r="L25" s="44" t="s">
        <v>96</v>
      </c>
      <c r="M25" s="87">
        <v>1</v>
      </c>
      <c r="N25" s="44" t="s">
        <v>97</v>
      </c>
      <c r="O25" s="44"/>
      <c r="P25" s="44"/>
      <c r="Q25" s="44"/>
      <c r="AC25" s="44" t="s">
        <v>98</v>
      </c>
      <c r="AF25" t="str" cm="1">
        <f t="array" ref="AF25:AG25">_xlfn.TEXTSPLIT(AC25,"(")</f>
        <v xml:space="preserve">WK 37 </v>
      </c>
      <c r="AG25" t="str">
        <v>27 MAY - 07 JUN)</v>
      </c>
      <c r="AH25" t="str">
        <f t="shared" si="2"/>
        <v>(27 MAY - 07 JUN)</v>
      </c>
    </row>
    <row r="26" spans="1:34" x14ac:dyDescent="0.25">
      <c r="A26" s="201" t="s">
        <v>99</v>
      </c>
      <c r="B26" s="202"/>
      <c r="C26" s="202"/>
      <c r="D26" s="202"/>
      <c r="E26" s="202"/>
      <c r="F26" s="202"/>
      <c r="G26" s="202"/>
      <c r="H26" s="202"/>
      <c r="I26" s="44"/>
      <c r="J26" s="44"/>
      <c r="K26" s="44"/>
      <c r="L26" s="44" t="s">
        <v>100</v>
      </c>
      <c r="M26" s="87">
        <v>0</v>
      </c>
      <c r="N26" s="44" t="s">
        <v>101</v>
      </c>
      <c r="O26" s="44"/>
      <c r="P26" s="44"/>
      <c r="Q26" s="44"/>
      <c r="AC26" s="44" t="s">
        <v>102</v>
      </c>
      <c r="AF26" t="str" cm="1">
        <f t="array" ref="AF26:AG26">_xlfn.TEXTSPLIT(AC26,"(")</f>
        <v xml:space="preserve">WK 38 </v>
      </c>
      <c r="AG26" t="str">
        <v>03 JUN - 14 JUN)</v>
      </c>
      <c r="AH26" t="str">
        <f t="shared" si="2"/>
        <v>(03 JUN - 14 JUN)</v>
      </c>
    </row>
    <row r="27" spans="1:34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 t="s">
        <v>103</v>
      </c>
      <c r="M27" s="87">
        <v>0</v>
      </c>
      <c r="N27" s="44" t="s">
        <v>104</v>
      </c>
      <c r="O27" s="44"/>
      <c r="P27" s="44"/>
      <c r="Q27" s="44"/>
      <c r="AC27" s="44" t="s">
        <v>105</v>
      </c>
      <c r="AF27" t="str" cm="1">
        <f t="array" ref="AF27:AG27">_xlfn.TEXTSPLIT(AC27,"(")</f>
        <v xml:space="preserve">WK 40 </v>
      </c>
      <c r="AG27" t="str">
        <v>17 JUN - 28 JUN)</v>
      </c>
      <c r="AH27" t="str">
        <f t="shared" si="2"/>
        <v>(17 JUN - 28 JUN)</v>
      </c>
    </row>
    <row r="28" spans="1:34" x14ac:dyDescent="0.25">
      <c r="A28" s="188" t="s">
        <v>106</v>
      </c>
      <c r="B28" s="188"/>
      <c r="C28" s="188"/>
      <c r="D28" s="188"/>
      <c r="E28" s="188"/>
      <c r="F28" s="188"/>
      <c r="G28" s="188"/>
      <c r="H28" s="188"/>
      <c r="I28" s="44"/>
      <c r="J28" s="44"/>
      <c r="K28" s="44"/>
      <c r="L28" s="44" t="s">
        <v>107</v>
      </c>
      <c r="M28" s="87">
        <v>1</v>
      </c>
      <c r="N28" s="44" t="s">
        <v>108</v>
      </c>
      <c r="O28" s="44"/>
      <c r="P28" s="44"/>
      <c r="Q28" s="44"/>
      <c r="AC28" s="44" t="s">
        <v>109</v>
      </c>
      <c r="AF28" t="str" cm="1">
        <f t="array" ref="AF28:AG28">_xlfn.TEXTSPLIT(AC28,"(")</f>
        <v xml:space="preserve">WK 42 </v>
      </c>
      <c r="AG28" t="str">
        <v>01 JUL - 12 JUL)</v>
      </c>
      <c r="AH28" t="str">
        <f t="shared" si="2"/>
        <v>(01 JUL - 12 JUL)</v>
      </c>
    </row>
    <row r="29" spans="1:34" x14ac:dyDescent="0.25">
      <c r="A29" s="188" t="s">
        <v>1</v>
      </c>
      <c r="B29" s="188"/>
      <c r="C29" s="188" t="s">
        <v>110</v>
      </c>
      <c r="D29" s="188"/>
      <c r="E29" s="188" t="s">
        <v>111</v>
      </c>
      <c r="F29" s="188"/>
      <c r="G29" s="27" t="s">
        <v>4</v>
      </c>
      <c r="H29" s="184" t="s">
        <v>112</v>
      </c>
      <c r="I29" s="44"/>
      <c r="J29" s="44"/>
      <c r="K29" s="44"/>
      <c r="L29" s="44" t="s">
        <v>113</v>
      </c>
      <c r="M29" s="87">
        <v>0</v>
      </c>
      <c r="N29" s="44" t="s">
        <v>114</v>
      </c>
      <c r="O29" s="44"/>
      <c r="P29" s="44"/>
      <c r="Q29" s="44"/>
      <c r="AC29" s="44" t="s">
        <v>115</v>
      </c>
      <c r="AF29" t="str" cm="1">
        <f t="array" ref="AF29:AG29">_xlfn.TEXTSPLIT(AC29,"(")</f>
        <v xml:space="preserve">WK 43 </v>
      </c>
      <c r="AG29" t="str">
        <v>08 JUL - 19 JUL)</v>
      </c>
      <c r="AH29" t="str">
        <f t="shared" si="2"/>
        <v>(08 JUL - 19 JUL)</v>
      </c>
    </row>
    <row r="30" spans="1:34" x14ac:dyDescent="0.25">
      <c r="A30" s="193" t="s">
        <v>82</v>
      </c>
      <c r="B30" s="193"/>
      <c r="C30" s="194">
        <f>G22</f>
        <v>0.11392405063291139</v>
      </c>
      <c r="D30" s="194"/>
      <c r="E30" s="190">
        <f>(G30+E22)/D22</f>
        <v>0.11392405063291139</v>
      </c>
      <c r="F30" s="190"/>
      <c r="G30" s="28">
        <v>0</v>
      </c>
      <c r="H30" s="185"/>
      <c r="I30" s="44"/>
      <c r="J30" s="44"/>
      <c r="K30" s="44"/>
      <c r="L30" s="44" t="s">
        <v>116</v>
      </c>
      <c r="M30" s="87">
        <v>3</v>
      </c>
      <c r="N30" s="44" t="s">
        <v>117</v>
      </c>
      <c r="O30" s="44"/>
      <c r="P30" s="44"/>
      <c r="Q30" s="44"/>
      <c r="AC30" s="44" t="s">
        <v>118</v>
      </c>
      <c r="AF30" t="str" cm="1">
        <f t="array" ref="AF30:AG30">_xlfn.TEXTSPLIT(AC30,"(")</f>
        <v xml:space="preserve">WK 44 </v>
      </c>
      <c r="AG30" t="str">
        <v>15 JUL - 26 JUL)</v>
      </c>
      <c r="AH30" t="str">
        <f t="shared" si="2"/>
        <v>(15 JUL - 26 JUL)</v>
      </c>
    </row>
    <row r="31" spans="1:34" x14ac:dyDescent="0.25">
      <c r="A31" s="195" t="s">
        <v>119</v>
      </c>
      <c r="B31" s="195"/>
      <c r="C31" s="194">
        <f>G23</f>
        <v>0.22784810126582278</v>
      </c>
      <c r="D31" s="196"/>
      <c r="E31" s="197">
        <f>(G31+E23)/D23</f>
        <v>0.22784810126582278</v>
      </c>
      <c r="F31" s="197"/>
      <c r="G31" s="43">
        <v>0</v>
      </c>
      <c r="H31" s="185"/>
      <c r="I31" s="44"/>
      <c r="J31" s="44"/>
      <c r="K31" s="44"/>
      <c r="L31" s="44" t="s">
        <v>120</v>
      </c>
      <c r="M31" s="87">
        <v>3</v>
      </c>
      <c r="N31" s="44" t="s">
        <v>121</v>
      </c>
      <c r="O31" s="44"/>
      <c r="P31" s="44"/>
      <c r="Q31" s="44"/>
      <c r="AC31" s="44" t="s">
        <v>122</v>
      </c>
      <c r="AF31" t="str" cm="1">
        <f t="array" ref="AF31:AG31">_xlfn.TEXTSPLIT(AC31,"(")</f>
        <v xml:space="preserve">WK 47 </v>
      </c>
      <c r="AG31" t="str">
        <v xml:space="preserve"> 05 AUG - 16 AUG)</v>
      </c>
      <c r="AH31" t="str">
        <f t="shared" si="2"/>
        <v>( 05 AUG - 16 AUG)</v>
      </c>
    </row>
    <row r="32" spans="1:34" x14ac:dyDescent="0.25">
      <c r="A32" s="189" t="s">
        <v>91</v>
      </c>
      <c r="B32" s="189"/>
      <c r="C32" s="190">
        <f>G25</f>
        <v>1</v>
      </c>
      <c r="D32" s="191"/>
      <c r="E32" s="192">
        <f>(G32+E25)/D25</f>
        <v>1</v>
      </c>
      <c r="F32" s="192"/>
      <c r="G32" s="90"/>
      <c r="H32" s="91"/>
      <c r="I32" s="44"/>
      <c r="J32" s="44"/>
      <c r="K32" s="44"/>
      <c r="L32" s="44" t="s">
        <v>123</v>
      </c>
      <c r="M32" s="87">
        <v>0</v>
      </c>
      <c r="N32" s="44" t="s">
        <v>124</v>
      </c>
      <c r="O32" s="44"/>
      <c r="P32" s="44"/>
      <c r="Q32" s="44"/>
      <c r="AC32" s="44" t="s">
        <v>125</v>
      </c>
      <c r="AF32" t="str" cm="1">
        <f t="array" ref="AF32:AG32">_xlfn.TEXTSPLIT(AC32,"(")</f>
        <v xml:space="preserve">WK 48 </v>
      </c>
      <c r="AG32" t="str">
        <v>12 AUG - 23 AUG)</v>
      </c>
      <c r="AH32" t="str">
        <f t="shared" si="2"/>
        <v>(12 AUG - 23 AUG)</v>
      </c>
    </row>
    <row r="33" spans="1:34" x14ac:dyDescent="0.25">
      <c r="A33" s="187" t="s">
        <v>45</v>
      </c>
      <c r="B33" s="187"/>
      <c r="C33" s="186">
        <f>G13</f>
        <v>0.21518987341772153</v>
      </c>
      <c r="D33" s="187"/>
      <c r="E33" s="186">
        <f>(G33+E13)/D13</f>
        <v>0.21518987341772153</v>
      </c>
      <c r="F33" s="186"/>
      <c r="G33" s="88">
        <v>0</v>
      </c>
      <c r="H33" s="89"/>
      <c r="I33" s="44"/>
      <c r="J33" s="44"/>
      <c r="K33" s="44"/>
      <c r="L33" s="44" t="s">
        <v>126</v>
      </c>
      <c r="M33" s="87">
        <v>0</v>
      </c>
      <c r="N33" s="44" t="s">
        <v>127</v>
      </c>
      <c r="O33" s="44"/>
      <c r="P33" s="44"/>
      <c r="Q33" s="44"/>
      <c r="AC33" s="44" t="s">
        <v>128</v>
      </c>
      <c r="AF33" t="str" cm="1">
        <f t="array" ref="AF33:AG33">_xlfn.TEXTSPLIT(AC33,"(")</f>
        <v xml:space="preserve">WK 49 </v>
      </c>
      <c r="AG33" t="str">
        <v>19 AUG - 30 AUG)</v>
      </c>
      <c r="AH33" t="str">
        <f t="shared" si="2"/>
        <v>(19 AUG - 30 AUG)</v>
      </c>
    </row>
    <row r="34" spans="1:34" x14ac:dyDescent="0.25">
      <c r="A34" s="44"/>
      <c r="B34" s="44"/>
      <c r="C34" s="44"/>
      <c r="D34" s="44"/>
      <c r="E34" s="44"/>
      <c r="F34" s="44"/>
      <c r="G34" s="87"/>
      <c r="H34" s="44"/>
      <c r="I34" s="44"/>
      <c r="J34" s="44"/>
      <c r="K34" s="44"/>
      <c r="L34" s="44" t="s">
        <v>129</v>
      </c>
      <c r="M34" s="87">
        <v>0</v>
      </c>
      <c r="N34" s="44" t="s">
        <v>130</v>
      </c>
      <c r="O34" s="44"/>
      <c r="P34" s="44"/>
      <c r="Q34" s="44"/>
      <c r="AC34" s="44" t="s">
        <v>131</v>
      </c>
      <c r="AF34" t="str" cm="1">
        <f t="array" ref="AF34:AG34">_xlfn.TEXTSPLIT(AC34,"(")</f>
        <v xml:space="preserve">WK 51 </v>
      </c>
      <c r="AG34" t="str">
        <v>02 SEP - 13 SEP)</v>
      </c>
      <c r="AH34" t="str">
        <f t="shared" si="2"/>
        <v>(02 SEP - 13 SEP)</v>
      </c>
    </row>
    <row r="35" spans="1:34" x14ac:dyDescent="0.25">
      <c r="A35" s="44"/>
      <c r="B35" s="44"/>
      <c r="C35" s="44"/>
      <c r="D35" s="44"/>
      <c r="E35" s="44"/>
      <c r="F35" s="44"/>
      <c r="G35" s="44"/>
      <c r="I35" s="44"/>
      <c r="J35" s="44"/>
      <c r="K35" s="44"/>
      <c r="L35" s="44" t="s">
        <v>132</v>
      </c>
      <c r="M35" s="87">
        <v>0</v>
      </c>
      <c r="N35" s="44" t="s">
        <v>133</v>
      </c>
      <c r="O35" s="44"/>
      <c r="P35" s="44"/>
      <c r="Q35" s="44"/>
      <c r="AC35" s="44" t="s">
        <v>134</v>
      </c>
      <c r="AF35" t="str" cm="1">
        <f t="array" ref="AF35:AG35">_xlfn.TEXTSPLIT(AC35,"(")</f>
        <v xml:space="preserve">WK 52 </v>
      </c>
      <c r="AG35" t="str">
        <v xml:space="preserve"> 013 SEP - 20 SEP)</v>
      </c>
      <c r="AH35" t="str">
        <f t="shared" si="2"/>
        <v>( 013 SEP - 20 SEP)</v>
      </c>
    </row>
    <row r="36" spans="1:34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34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1:34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34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 spans="1:34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 spans="1:34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 spans="1:34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t="s">
        <v>135</v>
      </c>
      <c r="O42" t="s">
        <v>136</v>
      </c>
      <c r="P42" s="44"/>
      <c r="Q42" s="40" t="s">
        <v>137</v>
      </c>
      <c r="R42" s="40" t="s">
        <v>138</v>
      </c>
    </row>
    <row r="43" spans="1:34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6" t="s">
        <v>59</v>
      </c>
      <c r="O43" t="s">
        <v>139</v>
      </c>
      <c r="P43" s="44"/>
      <c r="Q43" s="40" t="s">
        <v>140</v>
      </c>
      <c r="R43" s="40" t="s">
        <v>141</v>
      </c>
    </row>
    <row r="44" spans="1:34" x14ac:dyDescent="0.25">
      <c r="A44" s="44"/>
      <c r="B44" s="44"/>
      <c r="C44" s="44"/>
      <c r="D44" s="44"/>
      <c r="E44" s="44"/>
      <c r="F44" s="45"/>
      <c r="G44" s="44"/>
      <c r="H44" s="44"/>
      <c r="I44" s="44"/>
      <c r="J44" s="44"/>
      <c r="K44" s="44"/>
      <c r="L44" s="44"/>
      <c r="M44" s="44"/>
      <c r="N44" s="6" t="s">
        <v>21</v>
      </c>
      <c r="O44" t="s">
        <v>142</v>
      </c>
      <c r="P44" s="44"/>
      <c r="Q44" s="40" t="s">
        <v>143</v>
      </c>
      <c r="R44" s="40" t="s">
        <v>144</v>
      </c>
    </row>
    <row r="45" spans="1:34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6" t="s">
        <v>19</v>
      </c>
      <c r="O45" t="s">
        <v>145</v>
      </c>
      <c r="P45" s="44"/>
      <c r="Q45" s="40" t="s">
        <v>146</v>
      </c>
      <c r="R45" s="40" t="s">
        <v>147</v>
      </c>
    </row>
    <row r="46" spans="1:34" x14ac:dyDescent="0.25">
      <c r="A46" s="44"/>
      <c r="B46" s="44"/>
      <c r="C46" s="44" t="s">
        <v>148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6" t="s">
        <v>9</v>
      </c>
      <c r="O46" t="s">
        <v>149</v>
      </c>
      <c r="P46" s="44"/>
      <c r="Q46" s="40" t="s">
        <v>150</v>
      </c>
      <c r="R46" s="40" t="s">
        <v>151</v>
      </c>
    </row>
    <row r="47" spans="1:34" x14ac:dyDescent="0.25">
      <c r="A47" s="44"/>
      <c r="B47" s="44"/>
      <c r="D47" s="44" t="s">
        <v>5</v>
      </c>
      <c r="E47" s="44" t="s">
        <v>152</v>
      </c>
      <c r="F47" s="44"/>
      <c r="G47" s="44"/>
      <c r="H47" s="44"/>
      <c r="I47" s="44"/>
      <c r="J47" s="44"/>
      <c r="K47" s="44"/>
      <c r="L47" s="44"/>
      <c r="M47" s="44"/>
      <c r="N47" s="6" t="s">
        <v>15</v>
      </c>
      <c r="O47" t="s">
        <v>153</v>
      </c>
      <c r="P47" s="44"/>
      <c r="Q47" s="40" t="s">
        <v>154</v>
      </c>
      <c r="R47" s="40" t="s">
        <v>155</v>
      </c>
    </row>
    <row r="48" spans="1:34" x14ac:dyDescent="0.25">
      <c r="A48" s="44"/>
      <c r="B48" s="44"/>
      <c r="C48" s="44" t="s">
        <v>139</v>
      </c>
      <c r="D48" s="44" t="e">
        <f>COUNTIF(#REF!,$C48)</f>
        <v>#REF!</v>
      </c>
      <c r="E48" s="44" t="e">
        <f>COUNTIFS(#REF!,$C48,#REF!, "&gt;0")</f>
        <v>#REF!</v>
      </c>
      <c r="F48" s="44"/>
      <c r="G48" s="44"/>
      <c r="H48" s="44"/>
      <c r="I48" s="44"/>
      <c r="J48" s="44"/>
      <c r="K48" s="44"/>
      <c r="L48" s="44"/>
      <c r="M48" s="44"/>
      <c r="N48" s="74" t="s">
        <v>23</v>
      </c>
      <c r="O48" t="s">
        <v>156</v>
      </c>
      <c r="P48" s="44"/>
      <c r="Q48" s="40" t="s">
        <v>157</v>
      </c>
      <c r="R48" s="40" t="s">
        <v>158</v>
      </c>
    </row>
    <row r="49" spans="1:24" x14ac:dyDescent="0.25">
      <c r="A49" s="44"/>
      <c r="B49" s="44"/>
      <c r="C49" s="44" t="s">
        <v>142</v>
      </c>
      <c r="D49" s="44" t="e">
        <f>COUNTIF(#REF!,$C49)</f>
        <v>#REF!</v>
      </c>
      <c r="E49" s="44" t="e">
        <f>COUNTIFS(#REF!,$C49,#REF!, "&gt;0")</f>
        <v>#REF!</v>
      </c>
      <c r="F49" s="44"/>
      <c r="G49" s="44"/>
      <c r="H49" s="44"/>
      <c r="I49" s="44"/>
      <c r="J49" s="44"/>
      <c r="K49" s="44"/>
      <c r="L49" s="44"/>
      <c r="M49" s="44"/>
      <c r="N49" s="74" t="s">
        <v>27</v>
      </c>
      <c r="O49" s="73" t="s">
        <v>159</v>
      </c>
      <c r="P49" s="44"/>
      <c r="Q49" s="40" t="s">
        <v>160</v>
      </c>
      <c r="R49" s="40" t="s">
        <v>161</v>
      </c>
    </row>
    <row r="50" spans="1:24" x14ac:dyDescent="0.25">
      <c r="A50" s="44"/>
      <c r="B50" s="44"/>
      <c r="C50" s="44" t="s">
        <v>145</v>
      </c>
      <c r="D50" s="44" t="e">
        <f>COUNTIF(#REF!,$C50)</f>
        <v>#REF!</v>
      </c>
      <c r="E50" s="44" t="e">
        <f>COUNTIFS(#REF!,$C50,#REF!, "&gt;0")</f>
        <v>#REF!</v>
      </c>
      <c r="F50" s="44"/>
      <c r="G50" s="44"/>
      <c r="H50" s="44"/>
      <c r="I50" s="44"/>
      <c r="J50" s="44"/>
      <c r="K50" s="44"/>
      <c r="L50" s="44"/>
      <c r="M50" s="44"/>
      <c r="N50" s="6" t="s">
        <v>17</v>
      </c>
      <c r="O50" t="s">
        <v>162</v>
      </c>
      <c r="P50" s="44"/>
      <c r="Q50" s="40" t="s">
        <v>163</v>
      </c>
      <c r="R50" s="40" t="s">
        <v>164</v>
      </c>
    </row>
    <row r="51" spans="1:24" x14ac:dyDescent="0.25">
      <c r="A51" s="44"/>
      <c r="B51" s="44"/>
      <c r="C51" s="44" t="s">
        <v>149</v>
      </c>
      <c r="D51" s="44" t="e">
        <f>COUNTIF(#REF!,$C51)</f>
        <v>#REF!</v>
      </c>
      <c r="E51" s="44" t="e">
        <f>COUNTIFS(#REF!,$C51,#REF!, "&gt;0")</f>
        <v>#REF!</v>
      </c>
      <c r="F51" s="44"/>
      <c r="G51" s="44"/>
      <c r="H51" s="44"/>
      <c r="I51" s="44"/>
      <c r="J51" s="44"/>
      <c r="K51" s="44"/>
      <c r="L51" s="44"/>
      <c r="M51" s="44"/>
      <c r="N51" s="6" t="s">
        <v>14</v>
      </c>
      <c r="O51" t="s">
        <v>165</v>
      </c>
      <c r="P51" s="44"/>
      <c r="Q51" s="40" t="s">
        <v>166</v>
      </c>
      <c r="R51" s="40" t="s">
        <v>167</v>
      </c>
    </row>
    <row r="52" spans="1:24" x14ac:dyDescent="0.25">
      <c r="A52" s="44"/>
      <c r="B52" s="44"/>
      <c r="C52" s="44" t="s">
        <v>153</v>
      </c>
      <c r="D52" s="44" t="e">
        <f>COUNTIF(#REF!,$C52)</f>
        <v>#REF!</v>
      </c>
      <c r="E52" s="44" t="e">
        <f>COUNTIFS(#REF!,$C52,#REF!, "&gt;0")</f>
        <v>#REF!</v>
      </c>
      <c r="F52" s="44"/>
      <c r="G52" s="44"/>
      <c r="H52" s="44"/>
      <c r="I52" s="44"/>
      <c r="J52" s="44"/>
      <c r="K52" s="44"/>
      <c r="L52" s="44"/>
      <c r="M52" s="44"/>
      <c r="N52" s="6" t="s">
        <v>45</v>
      </c>
      <c r="O52" t="s">
        <v>168</v>
      </c>
      <c r="P52" s="44"/>
      <c r="Q52" s="40" t="s">
        <v>169</v>
      </c>
      <c r="R52" s="40" t="s">
        <v>170</v>
      </c>
    </row>
    <row r="53" spans="1:24" x14ac:dyDescent="0.25">
      <c r="A53" s="44"/>
      <c r="B53" s="44"/>
      <c r="C53" s="44" t="s">
        <v>156</v>
      </c>
      <c r="D53" s="44" t="e">
        <f>COUNTIF(#REF!,$C53)</f>
        <v>#REF!</v>
      </c>
      <c r="E53" s="44" t="e">
        <f>COUNTIFS(#REF!,$C53,#REF!, "&gt;0")</f>
        <v>#REF!</v>
      </c>
      <c r="F53" s="44"/>
      <c r="G53" s="44"/>
      <c r="H53" s="44"/>
      <c r="I53" s="44"/>
      <c r="J53" s="44"/>
      <c r="K53" s="44"/>
      <c r="L53" s="44"/>
      <c r="M53" s="44"/>
      <c r="N53" s="6" t="s">
        <v>49</v>
      </c>
      <c r="O53" t="s">
        <v>171</v>
      </c>
      <c r="P53" s="44"/>
      <c r="Q53" s="40" t="s">
        <v>172</v>
      </c>
      <c r="R53" s="40" t="s">
        <v>173</v>
      </c>
    </row>
    <row r="54" spans="1:24" x14ac:dyDescent="0.25">
      <c r="A54" s="44"/>
      <c r="B54" s="44"/>
      <c r="C54" s="44" t="s">
        <v>159</v>
      </c>
      <c r="D54" s="44" t="e">
        <f>COUNTIF(#REF!,$C54)</f>
        <v>#REF!</v>
      </c>
      <c r="E54" s="44" t="e">
        <f>COUNTIFS(#REF!,$C54,#REF!, "&gt;0")</f>
        <v>#REF!</v>
      </c>
      <c r="F54" s="44"/>
      <c r="G54" s="44"/>
      <c r="H54" s="44"/>
      <c r="I54" s="44"/>
      <c r="J54" s="44"/>
      <c r="K54" s="44"/>
      <c r="L54" s="44"/>
      <c r="M54" s="44"/>
      <c r="N54" s="6" t="s">
        <v>40</v>
      </c>
      <c r="O54" t="s">
        <v>174</v>
      </c>
      <c r="P54" s="44"/>
      <c r="Q54" s="40" t="s">
        <v>175</v>
      </c>
      <c r="R54" s="40" t="s">
        <v>176</v>
      </c>
    </row>
    <row r="55" spans="1:24" x14ac:dyDescent="0.25">
      <c r="A55" s="44"/>
      <c r="B55" s="44"/>
      <c r="C55" s="44" t="s">
        <v>162</v>
      </c>
      <c r="D55" s="44" t="e">
        <f>COUNTIF(#REF!,$C55)</f>
        <v>#REF!</v>
      </c>
      <c r="E55" s="44" t="e">
        <f>COUNTIFS(#REF!,$C55,#REF!, "&gt;0")</f>
        <v>#REF!</v>
      </c>
      <c r="F55" s="44"/>
      <c r="G55" s="44"/>
      <c r="H55" s="44"/>
      <c r="I55" s="44"/>
      <c r="J55" s="44"/>
      <c r="K55" s="44"/>
      <c r="L55" s="44"/>
      <c r="M55" s="44"/>
      <c r="N55" s="6" t="s">
        <v>54</v>
      </c>
      <c r="O55" t="s">
        <v>177</v>
      </c>
      <c r="P55" s="44"/>
      <c r="Q55" s="40" t="s">
        <v>178</v>
      </c>
      <c r="R55" s="40" t="s">
        <v>178</v>
      </c>
    </row>
    <row r="56" spans="1:24" x14ac:dyDescent="0.25">
      <c r="A56" s="44"/>
      <c r="B56" s="44"/>
      <c r="C56" s="44" t="s">
        <v>165</v>
      </c>
      <c r="D56" s="44" t="e">
        <f>COUNTIF(#REF!,$C56)</f>
        <v>#REF!</v>
      </c>
      <c r="E56" s="44" t="e">
        <f>COUNTIFS(#REF!,$C56,#REF!, "&gt;0")</f>
        <v>#REF!</v>
      </c>
      <c r="F56" s="44"/>
      <c r="G56" s="44"/>
      <c r="H56" s="44"/>
      <c r="I56" s="44"/>
      <c r="J56" s="44"/>
      <c r="K56" s="44"/>
      <c r="L56" s="44"/>
      <c r="M56" s="44"/>
      <c r="N56" s="6" t="s">
        <v>67</v>
      </c>
      <c r="O56" t="s">
        <v>179</v>
      </c>
      <c r="P56" s="44"/>
      <c r="Q56" s="40" t="s">
        <v>180</v>
      </c>
      <c r="R56" s="40" t="s">
        <v>180</v>
      </c>
    </row>
    <row r="57" spans="1:24" x14ac:dyDescent="0.25">
      <c r="A57" s="44"/>
      <c r="B57" s="44"/>
      <c r="C57" s="44" t="s">
        <v>181</v>
      </c>
      <c r="D57" s="44" t="e">
        <f>COUNTIF(#REF!,$C57)</f>
        <v>#REF!</v>
      </c>
      <c r="E57" s="44" t="e">
        <f>COUNTIFS(#REF!,$C57,#REF!, "&gt;0")</f>
        <v>#REF!</v>
      </c>
      <c r="F57" s="44"/>
      <c r="G57" s="44"/>
      <c r="H57" s="44"/>
      <c r="I57" s="44"/>
      <c r="J57" s="44"/>
      <c r="K57" s="44"/>
      <c r="L57" s="44"/>
      <c r="M57" s="44"/>
      <c r="N57" s="6" t="s">
        <v>71</v>
      </c>
      <c r="O57" t="s">
        <v>182</v>
      </c>
      <c r="P57" s="44"/>
      <c r="Q57" s="40" t="s">
        <v>183</v>
      </c>
      <c r="R57" s="40" t="s">
        <v>183</v>
      </c>
    </row>
    <row r="58" spans="1:24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6" t="s">
        <v>63</v>
      </c>
      <c r="O58" t="s">
        <v>184</v>
      </c>
      <c r="P58" s="44"/>
      <c r="Q58" s="40" t="s">
        <v>185</v>
      </c>
      <c r="R58" s="40" t="s">
        <v>185</v>
      </c>
    </row>
    <row r="59" spans="1:24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6" t="s">
        <v>75</v>
      </c>
      <c r="O59" t="s">
        <v>186</v>
      </c>
      <c r="P59" s="44"/>
    </row>
    <row r="60" spans="1:24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6" t="s">
        <v>95</v>
      </c>
      <c r="O60" t="s">
        <v>187</v>
      </c>
      <c r="P60" s="44"/>
    </row>
    <row r="61" spans="1:24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6" t="s">
        <v>82</v>
      </c>
      <c r="O61" t="s">
        <v>188</v>
      </c>
      <c r="P61" s="44"/>
    </row>
    <row r="62" spans="1:24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6" t="s">
        <v>91</v>
      </c>
      <c r="O62" t="s">
        <v>189</v>
      </c>
      <c r="P62" s="44"/>
    </row>
    <row r="63" spans="1:24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6" t="s">
        <v>87</v>
      </c>
      <c r="O63" t="s">
        <v>190</v>
      </c>
      <c r="P63" s="44"/>
    </row>
    <row r="64" spans="1:24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>
        <f>COUNTIF(TrainingTable[Name],"*")</f>
        <v>79</v>
      </c>
      <c r="T64">
        <f>COUNTIF(UnitTable[Last Name],"*")</f>
        <v>79</v>
      </c>
      <c r="U64">
        <f>COUNTIF(CYTable[Last Name],"*")</f>
        <v>79</v>
      </c>
      <c r="V64">
        <f>COUNTIF(FYTable[Last Name],"*")</f>
        <v>79</v>
      </c>
      <c r="W64">
        <f>COUNTIF(PFTTable[Last Name],"*")</f>
        <v>79</v>
      </c>
      <c r="X64">
        <f>COUNTIF(CFTTable[Last Name],"*")</f>
        <v>79</v>
      </c>
    </row>
    <row r="65" spans="1:24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t="s">
        <v>191</v>
      </c>
      <c r="T65" t="s">
        <v>192</v>
      </c>
      <c r="U65" t="s">
        <v>12</v>
      </c>
      <c r="V65" t="s">
        <v>13</v>
      </c>
      <c r="W65" t="s">
        <v>188</v>
      </c>
      <c r="X65" t="s">
        <v>193</v>
      </c>
    </row>
    <row r="66" spans="1:24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 t="s">
        <v>191</v>
      </c>
      <c r="Q66" s="44">
        <f>COUNTIF(FYTable[Last Name],"*")</f>
        <v>79</v>
      </c>
      <c r="R66" s="44"/>
      <c r="S66" t="str" cm="1">
        <f t="array" ref="S66:S144">TrainingTable[Name]</f>
        <v>SUMMERS, DOMINIC A.</v>
      </c>
      <c r="T66" t="str" cm="1">
        <f t="array" ref="T66:T144">UnitTable[Last Name]</f>
        <v>SUMMERS</v>
      </c>
      <c r="U66" s="39" t="str" cm="1">
        <f t="array" ref="U66:U144">CYTable[Last Name]</f>
        <v>SUMMERS</v>
      </c>
      <c r="V66" t="str" cm="1">
        <f t="array" ref="V66:V144">FYTable[Last Name]</f>
        <v>SUMMERS</v>
      </c>
      <c r="W66" t="str" cm="1">
        <f t="array" ref="W66:W144">PFTTable[Last Name]</f>
        <v>SUMMERS</v>
      </c>
      <c r="X66" t="str" cm="1">
        <f t="array" ref="X66:X144">CFTTable[Last Name]</f>
        <v>SUMMERS</v>
      </c>
    </row>
    <row r="67" spans="1:24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76"/>
      <c r="O67" s="44"/>
      <c r="P67" s="44" t="s">
        <v>12</v>
      </c>
      <c r="Q67" s="44">
        <f>COUNTIF(CYTable[Last Name],"*")</f>
        <v>79</v>
      </c>
      <c r="R67" s="44"/>
      <c r="S67" t="str">
        <v>LARA, SAMARA A.</v>
      </c>
      <c r="T67" t="str">
        <v>LARA</v>
      </c>
      <c r="U67" t="str">
        <v>LARA</v>
      </c>
      <c r="V67" t="str">
        <v>LARA</v>
      </c>
      <c r="W67" t="str">
        <v>LARA</v>
      </c>
      <c r="X67" t="str">
        <v>LARA</v>
      </c>
    </row>
    <row r="68" spans="1:24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 t="s">
        <v>13</v>
      </c>
      <c r="Q68" s="44">
        <f>COUNTIF(FYTable[Last Name],"*")</f>
        <v>79</v>
      </c>
      <c r="R68" s="44"/>
      <c r="S68" t="str">
        <v>CARSON, BROOKS A.</v>
      </c>
      <c r="T68" t="str">
        <v>CARSON</v>
      </c>
      <c r="U68" t="str">
        <v>CARSON</v>
      </c>
      <c r="V68" t="str">
        <v>CARSON</v>
      </c>
      <c r="W68" t="str">
        <v>CARSON</v>
      </c>
      <c r="X68" t="str">
        <v>CARSON</v>
      </c>
    </row>
    <row r="69" spans="1:24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 t="s">
        <v>188</v>
      </c>
      <c r="Q69" s="44">
        <f>COUNTIF(PFTTable[Last Name],"*")</f>
        <v>79</v>
      </c>
      <c r="R69" s="44"/>
      <c r="S69" t="str">
        <v>COFFEY, GIOVANI A.</v>
      </c>
      <c r="T69" t="str">
        <v>COFFEY</v>
      </c>
      <c r="U69" t="str">
        <v>COFFEY</v>
      </c>
      <c r="V69" t="str">
        <v>COFFEY</v>
      </c>
      <c r="W69" t="str">
        <v>COFFEY</v>
      </c>
      <c r="X69" t="str">
        <v>COFFEY</v>
      </c>
    </row>
    <row r="70" spans="1:24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 t="s">
        <v>193</v>
      </c>
      <c r="Q70" s="44">
        <f>COUNTIF(CFTTable[Last Name],"*")</f>
        <v>79</v>
      </c>
      <c r="R70" s="44"/>
      <c r="S70" t="str">
        <v>BERG, JULIAN A.</v>
      </c>
      <c r="T70" t="str">
        <v>BERG</v>
      </c>
      <c r="U70" t="str">
        <v>BERG</v>
      </c>
      <c r="V70" t="str">
        <v>BERG</v>
      </c>
      <c r="W70" t="str">
        <v>BERG</v>
      </c>
      <c r="X70" t="str">
        <v>BERG</v>
      </c>
    </row>
    <row r="71" spans="1:24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t="str">
        <v>MORRIS, RAELYNN A.</v>
      </c>
      <c r="T71" t="str">
        <v>MORRIS</v>
      </c>
      <c r="U71" t="str">
        <v>MORRIS</v>
      </c>
      <c r="V71" t="str">
        <v>MORRIS</v>
      </c>
      <c r="W71" t="str">
        <v>MORRIS</v>
      </c>
      <c r="X71" t="str">
        <v>MORRIS</v>
      </c>
    </row>
    <row r="72" spans="1:24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t="str">
        <v>TRUJILLO, JULIEN A.</v>
      </c>
      <c r="T72" t="str">
        <v>TRUJILLO</v>
      </c>
      <c r="U72" t="str">
        <v>TRUJILLO</v>
      </c>
      <c r="V72" t="str">
        <v>TRUJILLO</v>
      </c>
      <c r="W72" t="str">
        <v>TRUJILLO</v>
      </c>
      <c r="X72" t="str">
        <v>TRUJILLO</v>
      </c>
    </row>
    <row r="73" spans="1:24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t="str">
        <v>LANDRY, REY A.</v>
      </c>
      <c r="T73" t="str">
        <v>LANDRY</v>
      </c>
      <c r="U73" t="str">
        <v>LANDRY</v>
      </c>
      <c r="V73" t="str">
        <v>LANDRY</v>
      </c>
      <c r="W73" t="str">
        <v>LANDRY</v>
      </c>
      <c r="X73" t="str">
        <v>LANDRY</v>
      </c>
    </row>
    <row r="74" spans="1:24" x14ac:dyDescent="0.25">
      <c r="A74" s="44"/>
      <c r="B74" s="44"/>
      <c r="C74" s="44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44"/>
      <c r="O74" s="44"/>
      <c r="P74" s="44"/>
      <c r="Q74" s="44"/>
      <c r="R74" s="44"/>
      <c r="S74" t="str">
        <v>DUARTE, SILAS A.</v>
      </c>
      <c r="T74" t="str">
        <v>DUARTE</v>
      </c>
      <c r="U74" t="str">
        <v>DUARTE</v>
      </c>
      <c r="V74" t="str">
        <v>DUARTE</v>
      </c>
      <c r="W74" t="str">
        <v>DUARTE</v>
      </c>
      <c r="X74" t="str">
        <v>DUARTE</v>
      </c>
    </row>
    <row r="75" spans="1:24" x14ac:dyDescent="0.25">
      <c r="A75" s="44"/>
      <c r="B75" s="44"/>
      <c r="C75" s="44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44"/>
      <c r="O75" s="44"/>
      <c r="P75" s="44"/>
      <c r="Q75" s="44"/>
      <c r="R75" s="44"/>
      <c r="S75" t="str">
        <v>KIDD, ADONIS A.</v>
      </c>
      <c r="T75" t="str">
        <v>KIDD</v>
      </c>
      <c r="U75" t="str">
        <v>KIDD</v>
      </c>
      <c r="V75" t="str">
        <v>KIDD</v>
      </c>
      <c r="W75" t="str">
        <v>KIDD</v>
      </c>
      <c r="X75" t="str">
        <v>KIDD</v>
      </c>
    </row>
    <row r="76" spans="1:24" x14ac:dyDescent="0.25">
      <c r="A76" s="44"/>
      <c r="B76" s="44"/>
      <c r="C76" s="44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44"/>
      <c r="O76" s="44"/>
      <c r="P76" s="44"/>
      <c r="Q76" s="44"/>
      <c r="R76" s="44"/>
      <c r="S76" t="str">
        <v>BREWER, VALENTINA A.</v>
      </c>
      <c r="T76" t="str">
        <v>BREWER</v>
      </c>
      <c r="U76" t="str">
        <v>BREWER</v>
      </c>
      <c r="V76" t="str">
        <v>BREWER</v>
      </c>
      <c r="W76" t="str">
        <v>BREWER</v>
      </c>
      <c r="X76" t="str">
        <v>BREWER</v>
      </c>
    </row>
    <row r="77" spans="1:24" x14ac:dyDescent="0.25">
      <c r="A77" s="44"/>
      <c r="B77" s="44"/>
      <c r="C77" s="44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44"/>
      <c r="O77" s="44"/>
      <c r="P77" s="44"/>
      <c r="Q77" s="44"/>
      <c r="R77" s="44"/>
      <c r="S77" t="str">
        <v>CABRERA, HAILIE A.</v>
      </c>
      <c r="T77" t="str">
        <v>CABRERA</v>
      </c>
      <c r="U77" t="str">
        <v>CABRERA</v>
      </c>
      <c r="V77" t="str">
        <v>CABRERA</v>
      </c>
      <c r="W77" t="str">
        <v>CABRERA</v>
      </c>
      <c r="X77" t="str">
        <v>CABRERA</v>
      </c>
    </row>
    <row r="78" spans="1:24" x14ac:dyDescent="0.25">
      <c r="A78" s="44"/>
      <c r="B78" s="44"/>
      <c r="C78" s="44"/>
      <c r="D78" s="152">
        <f>COLUMNS(TrainingTable[])</f>
        <v>30</v>
      </c>
      <c r="E78" s="152"/>
      <c r="F78" s="152"/>
      <c r="G78" s="152"/>
      <c r="H78" s="152"/>
      <c r="I78" s="152"/>
      <c r="J78" s="152"/>
      <c r="K78" s="152"/>
      <c r="L78" s="152"/>
      <c r="M78" s="152"/>
      <c r="N78" s="44"/>
      <c r="O78" s="44"/>
      <c r="P78" s="44"/>
      <c r="Q78" s="44"/>
      <c r="R78" s="44"/>
      <c r="S78" t="str">
        <v>HODGES, ROSELYN A.</v>
      </c>
      <c r="T78" t="str">
        <v>HODGES</v>
      </c>
      <c r="U78" t="str">
        <v>HODGES</v>
      </c>
      <c r="V78" t="str">
        <v>HODGES</v>
      </c>
      <c r="W78" t="str">
        <v>HODGES</v>
      </c>
      <c r="X78" t="str">
        <v>HODGES</v>
      </c>
    </row>
    <row r="79" spans="1:24" x14ac:dyDescent="0.25">
      <c r="A79" s="44"/>
      <c r="B79" s="44"/>
      <c r="C79" s="44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44"/>
      <c r="O79" s="44"/>
      <c r="P79" s="44"/>
      <c r="Q79" s="44"/>
      <c r="R79" s="44"/>
      <c r="S79" t="str">
        <v>ACEVEDO, GRIFFIN A.</v>
      </c>
      <c r="T79" t="str">
        <v>ACEVEDO</v>
      </c>
      <c r="U79" t="str">
        <v>ACEVEDO</v>
      </c>
      <c r="V79" t="str">
        <v>ACEVEDO</v>
      </c>
      <c r="W79" t="str">
        <v>ACEVEDO</v>
      </c>
      <c r="X79" t="str">
        <v>ACEVEDO</v>
      </c>
    </row>
    <row r="80" spans="1:24" x14ac:dyDescent="0.25">
      <c r="A80" s="44"/>
      <c r="B80" s="44"/>
      <c r="C80" s="44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44"/>
      <c r="O80" s="44"/>
      <c r="P80" s="44"/>
      <c r="Q80" s="44"/>
      <c r="R80" s="44"/>
      <c r="S80" t="str">
        <v>ALLEN, KALE A.</v>
      </c>
      <c r="T80" t="str">
        <v>ALLEN</v>
      </c>
      <c r="U80" t="str">
        <v>ALLEN</v>
      </c>
      <c r="V80" t="str">
        <v>ALLEN</v>
      </c>
      <c r="W80" t="str">
        <v>ALLEN</v>
      </c>
      <c r="X80" t="str">
        <v>ALLEN</v>
      </c>
    </row>
    <row r="81" spans="1:24" x14ac:dyDescent="0.25">
      <c r="A81" s="44"/>
      <c r="B81" s="44"/>
      <c r="C81" s="44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44"/>
      <c r="O81" s="44"/>
      <c r="P81" s="44"/>
      <c r="Q81" s="44"/>
      <c r="R81" s="44"/>
      <c r="S81" t="str">
        <v>DAVENPORT, IMMANUEL A.</v>
      </c>
      <c r="T81" t="str">
        <v>DAVENPORT</v>
      </c>
      <c r="U81" t="str">
        <v>DAVENPORT</v>
      </c>
      <c r="V81" t="str">
        <v>DAVENPORT</v>
      </c>
      <c r="W81" t="str">
        <v>DAVENPORT</v>
      </c>
      <c r="X81" t="str">
        <v>DAVENPORT</v>
      </c>
    </row>
    <row r="82" spans="1:24" x14ac:dyDescent="0.25">
      <c r="A82" s="44"/>
      <c r="B82" s="44"/>
      <c r="C82" s="44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44"/>
      <c r="O82" s="44"/>
      <c r="P82" s="44"/>
      <c r="Q82" s="44"/>
      <c r="R82" s="44"/>
      <c r="S82" t="str">
        <v>CHANDLER, TREVON A.</v>
      </c>
      <c r="T82" t="str">
        <v>CHANDLER</v>
      </c>
      <c r="U82" t="str">
        <v>CHANDLER</v>
      </c>
      <c r="V82" t="str">
        <v>CHANDLER</v>
      </c>
      <c r="W82" t="str">
        <v>CHANDLER</v>
      </c>
      <c r="X82" t="str">
        <v>CHANDLER</v>
      </c>
    </row>
    <row r="83" spans="1:24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t="str">
        <v>CLEMENTS, ALISSON A.</v>
      </c>
      <c r="T83" t="str">
        <v>CLEMENTS</v>
      </c>
      <c r="U83" t="str">
        <v>CLEMENTS</v>
      </c>
      <c r="V83" t="str">
        <v>CLEMENTS</v>
      </c>
      <c r="W83" t="str">
        <v>CLEMENTS</v>
      </c>
      <c r="X83" t="str">
        <v>CLEMENTS</v>
      </c>
    </row>
    <row r="84" spans="1:24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t="str">
        <v>MULLEN, LILLIE A.</v>
      </c>
      <c r="T84" t="str">
        <v>MULLEN</v>
      </c>
      <c r="U84" t="str">
        <v>MULLEN</v>
      </c>
      <c r="V84" t="str">
        <v>MULLEN</v>
      </c>
      <c r="W84" t="str">
        <v>MULLEN</v>
      </c>
      <c r="X84" t="str">
        <v>MULLEN</v>
      </c>
    </row>
    <row r="85" spans="1:24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t="str">
        <v>WONG, KATELYNN A.</v>
      </c>
      <c r="T85" t="str">
        <v>WONG</v>
      </c>
      <c r="U85" t="str">
        <v>WONG</v>
      </c>
      <c r="V85" t="str">
        <v>WONG</v>
      </c>
      <c r="W85" t="str">
        <v>WONG</v>
      </c>
      <c r="X85" t="str">
        <v>WONG</v>
      </c>
    </row>
    <row r="86" spans="1:24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t="str">
        <v>FRANK, DAVIN A.</v>
      </c>
      <c r="T86" t="str">
        <v>FRANK</v>
      </c>
      <c r="U86" t="str">
        <v>FRANK</v>
      </c>
      <c r="V86" t="str">
        <v>FRANK</v>
      </c>
      <c r="W86" t="str">
        <v>FRANK</v>
      </c>
      <c r="X86" t="str">
        <v>FRANK</v>
      </c>
    </row>
    <row r="87" spans="1:24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t="str">
        <v>MOODY, TIANNA A.</v>
      </c>
      <c r="T87" t="str">
        <v>MOODY</v>
      </c>
      <c r="U87" t="str">
        <v>MOODY</v>
      </c>
      <c r="V87" t="str">
        <v>MOODY</v>
      </c>
      <c r="W87" t="str">
        <v>MOODY</v>
      </c>
      <c r="X87" t="str">
        <v>MOODY</v>
      </c>
    </row>
    <row r="88" spans="1:24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t="str">
        <v>MAYO, SANIYAH A.</v>
      </c>
      <c r="T88" t="str">
        <v>MAYO</v>
      </c>
      <c r="U88" t="str">
        <v>MAYO</v>
      </c>
      <c r="V88" t="str">
        <v>MAYO</v>
      </c>
      <c r="W88" t="str">
        <v>MAYO</v>
      </c>
      <c r="X88" t="str">
        <v>MAYO</v>
      </c>
    </row>
    <row r="89" spans="1:24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t="str">
        <v>TERRELL, KAMORA A.</v>
      </c>
      <c r="T89" t="str">
        <v>TERRELL</v>
      </c>
      <c r="U89" t="str">
        <v>TERRELL</v>
      </c>
      <c r="V89" t="str">
        <v>TERRELL</v>
      </c>
      <c r="W89" t="str">
        <v>TERRELL</v>
      </c>
      <c r="X89" t="str">
        <v>TERRELL</v>
      </c>
    </row>
    <row r="90" spans="1:24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t="str">
        <v>ARNOLD, MARY A.</v>
      </c>
      <c r="T90" t="str">
        <v>ARNOLD</v>
      </c>
      <c r="U90" t="str">
        <v>ARNOLD</v>
      </c>
      <c r="V90" t="str">
        <v>ARNOLD</v>
      </c>
      <c r="W90" t="str">
        <v>ARNOLD</v>
      </c>
      <c r="X90" t="str">
        <v>ARNOLD</v>
      </c>
    </row>
    <row r="91" spans="1:24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t="str">
        <v>WILLIS, AKIRA A.</v>
      </c>
      <c r="T91" t="str">
        <v>WILLIS</v>
      </c>
      <c r="U91" t="str">
        <v>WILLIS</v>
      </c>
      <c r="V91" t="str">
        <v>WILLIS</v>
      </c>
      <c r="W91" t="str">
        <v>WILLIS</v>
      </c>
      <c r="X91" t="str">
        <v>WILLIS</v>
      </c>
    </row>
    <row r="92" spans="1:24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t="str">
        <v>RITTER, DEMETRIUS A.</v>
      </c>
      <c r="T92" t="str">
        <v>RITTER</v>
      </c>
      <c r="U92" t="str">
        <v>RITTER</v>
      </c>
      <c r="V92" t="str">
        <v>RITTER</v>
      </c>
      <c r="W92" t="str">
        <v>RITTER</v>
      </c>
      <c r="X92" t="str">
        <v>RITTER</v>
      </c>
    </row>
    <row r="93" spans="1:24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t="str">
        <v>HARTMAN, DANE A.</v>
      </c>
      <c r="T93" t="str">
        <v>HARTMAN</v>
      </c>
      <c r="U93" t="str">
        <v>HARTMAN</v>
      </c>
      <c r="V93" t="str">
        <v>HARTMAN</v>
      </c>
      <c r="W93" t="str">
        <v>HARTMAN</v>
      </c>
      <c r="X93" t="str">
        <v>HARTMAN</v>
      </c>
    </row>
    <row r="94" spans="1:24" x14ac:dyDescent="0.25">
      <c r="N94" s="44"/>
      <c r="O94" s="44"/>
      <c r="P94" s="44"/>
      <c r="Q94" s="44"/>
      <c r="R94" s="44"/>
      <c r="S94" t="str">
        <v>FRY, DARIUS A.</v>
      </c>
      <c r="T94" t="str">
        <v>FRY</v>
      </c>
      <c r="U94" t="str">
        <v>FRY</v>
      </c>
      <c r="V94" t="str">
        <v>FRY</v>
      </c>
      <c r="W94" t="str">
        <v>FRY</v>
      </c>
      <c r="X94" t="str">
        <v>FRY</v>
      </c>
    </row>
    <row r="95" spans="1:24" x14ac:dyDescent="0.25">
      <c r="S95" t="str">
        <v>NASH, KIERAN A.</v>
      </c>
      <c r="T95" t="str">
        <v>NASH</v>
      </c>
      <c r="U95" t="str">
        <v>NASH</v>
      </c>
      <c r="V95" t="str">
        <v>NASH</v>
      </c>
      <c r="W95" t="str">
        <v>NASH</v>
      </c>
      <c r="X95" t="str">
        <v>NASH</v>
      </c>
    </row>
    <row r="96" spans="1:24" x14ac:dyDescent="0.25">
      <c r="S96" t="str">
        <v>SHAH, BRYNN A.</v>
      </c>
      <c r="T96" t="str">
        <v>SHAH</v>
      </c>
      <c r="U96" t="str">
        <v>SHAH</v>
      </c>
      <c r="V96" t="str">
        <v>SHAH</v>
      </c>
      <c r="W96" t="str">
        <v>SHAH</v>
      </c>
      <c r="X96" t="str">
        <v>SHAH</v>
      </c>
    </row>
    <row r="97" spans="19:24" x14ac:dyDescent="0.25">
      <c r="S97" t="str">
        <v>WEISS, BRAXTON A.</v>
      </c>
      <c r="T97" t="str">
        <v>WEISS</v>
      </c>
      <c r="U97" t="str">
        <v>WEISS</v>
      </c>
      <c r="V97" t="str">
        <v>WEISS</v>
      </c>
      <c r="W97" t="str">
        <v>WEISS</v>
      </c>
      <c r="X97" t="str">
        <v>WEISS</v>
      </c>
    </row>
    <row r="98" spans="19:24" x14ac:dyDescent="0.25">
      <c r="S98" t="str">
        <v>HOPKINS, NICK A.</v>
      </c>
      <c r="T98" t="str">
        <v>HOPKINS</v>
      </c>
      <c r="U98" t="str">
        <v>HOPKINS</v>
      </c>
      <c r="V98" t="str">
        <v>HOPKINS</v>
      </c>
      <c r="W98" t="str">
        <v>HOPKINS</v>
      </c>
      <c r="X98" t="str">
        <v>HOPKINS</v>
      </c>
    </row>
    <row r="99" spans="19:24" x14ac:dyDescent="0.25">
      <c r="S99" t="str">
        <v>GIBBS, SANDRA A.</v>
      </c>
      <c r="T99" t="str">
        <v>GIBBS</v>
      </c>
      <c r="U99" t="str">
        <v>GIBBS</v>
      </c>
      <c r="V99" t="str">
        <v>GIBBS</v>
      </c>
      <c r="W99" t="str">
        <v>GIBBS</v>
      </c>
      <c r="X99" t="str">
        <v>GIBBS</v>
      </c>
    </row>
    <row r="100" spans="19:24" x14ac:dyDescent="0.25">
      <c r="S100" t="str">
        <v>FRIEDMAN, ROHAN A.</v>
      </c>
      <c r="T100" t="str">
        <v>FRIEDMAN</v>
      </c>
      <c r="U100" t="str">
        <v>FRIEDMAN</v>
      </c>
      <c r="V100" t="str">
        <v>FRIEDMAN</v>
      </c>
      <c r="W100" t="str">
        <v>FRIEDMAN</v>
      </c>
      <c r="X100" t="str">
        <v>FRIEDMAN</v>
      </c>
    </row>
    <row r="101" spans="19:24" x14ac:dyDescent="0.25">
      <c r="S101" t="str">
        <v>SPEARS, TRIPP A.</v>
      </c>
      <c r="T101" t="str">
        <v>SPEARS</v>
      </c>
      <c r="U101" t="str">
        <v>SPEARS</v>
      </c>
      <c r="V101" t="str">
        <v>SPEARS</v>
      </c>
      <c r="W101" t="str">
        <v>SPEARS</v>
      </c>
      <c r="X101" t="str">
        <v>SPEARS</v>
      </c>
    </row>
    <row r="102" spans="19:24" x14ac:dyDescent="0.25">
      <c r="S102" t="str">
        <v>KENNEDY, RYAN A.</v>
      </c>
      <c r="T102" t="str">
        <v>KENNEDY</v>
      </c>
      <c r="U102" t="str">
        <v>KENNEDY</v>
      </c>
      <c r="V102" t="str">
        <v>KENNEDY</v>
      </c>
      <c r="W102" t="str">
        <v>KENNEDY</v>
      </c>
      <c r="X102" t="str">
        <v>KENNEDY</v>
      </c>
    </row>
    <row r="103" spans="19:24" x14ac:dyDescent="0.25">
      <c r="S103" t="str">
        <v>CHEN, ANGELINE A.</v>
      </c>
      <c r="T103" t="str">
        <v>CHEN</v>
      </c>
      <c r="U103" t="str">
        <v>CHEN</v>
      </c>
      <c r="V103" t="str">
        <v>CHEN</v>
      </c>
      <c r="W103" t="str">
        <v>CHEN</v>
      </c>
      <c r="X103" t="str">
        <v>CHEN</v>
      </c>
    </row>
    <row r="104" spans="19:24" x14ac:dyDescent="0.25">
      <c r="S104" t="str">
        <v>BUCHANAN, TIMOTHY A.</v>
      </c>
      <c r="T104" t="str">
        <v>BUCHANAN</v>
      </c>
      <c r="U104" t="str">
        <v>BUCHANAN</v>
      </c>
      <c r="V104" t="str">
        <v>BUCHANAN</v>
      </c>
      <c r="W104" t="str">
        <v>BUCHANAN</v>
      </c>
      <c r="X104" t="str">
        <v>BUCHANAN</v>
      </c>
    </row>
    <row r="105" spans="19:24" x14ac:dyDescent="0.25">
      <c r="S105" t="str">
        <v>LARSEN, JENSEN A.</v>
      </c>
      <c r="T105" t="str">
        <v>LARSEN</v>
      </c>
      <c r="U105" t="str">
        <v>LARSEN</v>
      </c>
      <c r="V105" t="str">
        <v>LARSEN</v>
      </c>
      <c r="W105" t="str">
        <v>LARSEN</v>
      </c>
      <c r="X105" t="str">
        <v>LARSEN</v>
      </c>
    </row>
    <row r="106" spans="19:24" x14ac:dyDescent="0.25">
      <c r="S106" t="str">
        <v>MCBRIDE, ZION A.</v>
      </c>
      <c r="T106" t="str">
        <v>MCBRIDE</v>
      </c>
      <c r="U106" t="str">
        <v>MCBRIDE</v>
      </c>
      <c r="V106" t="str">
        <v>MCBRIDE</v>
      </c>
      <c r="W106" t="str">
        <v>MCBRIDE</v>
      </c>
      <c r="X106" t="str">
        <v>MCBRIDE</v>
      </c>
    </row>
    <row r="107" spans="19:24" x14ac:dyDescent="0.25">
      <c r="S107" t="str">
        <v>CORDOVA, GRADY A.</v>
      </c>
      <c r="T107" t="str">
        <v>CORDOVA</v>
      </c>
      <c r="U107" t="str">
        <v>CORDOVA</v>
      </c>
      <c r="V107" t="str">
        <v>CORDOVA</v>
      </c>
      <c r="W107" t="str">
        <v>CORDOVA</v>
      </c>
      <c r="X107" t="str">
        <v>CORDOVA</v>
      </c>
    </row>
    <row r="108" spans="19:24" x14ac:dyDescent="0.25">
      <c r="S108" t="str">
        <v>HARRISON, FIONA A.</v>
      </c>
      <c r="T108" t="str">
        <v>HARRISON</v>
      </c>
      <c r="U108" t="str">
        <v>HARRISON</v>
      </c>
      <c r="V108" t="str">
        <v>HARRISON</v>
      </c>
      <c r="W108" t="str">
        <v>HARRISON</v>
      </c>
      <c r="X108" t="str">
        <v>HARRISON</v>
      </c>
    </row>
    <row r="109" spans="19:24" x14ac:dyDescent="0.25">
      <c r="S109" t="str">
        <v>HAAS, VALERY A.</v>
      </c>
      <c r="T109" t="str">
        <v>HAAS</v>
      </c>
      <c r="U109" t="str">
        <v>HAAS</v>
      </c>
      <c r="V109" t="str">
        <v>HAAS</v>
      </c>
      <c r="W109" t="str">
        <v>HAAS</v>
      </c>
      <c r="X109" t="str">
        <v>HAAS</v>
      </c>
    </row>
    <row r="110" spans="19:24" x14ac:dyDescent="0.25">
      <c r="S110" t="str">
        <v>BRADFORD, CADENCE A.</v>
      </c>
      <c r="T110" t="str">
        <v>BRADFORD</v>
      </c>
      <c r="U110" t="str">
        <v>BRADFORD</v>
      </c>
      <c r="V110" t="str">
        <v>BRADFORD</v>
      </c>
      <c r="W110" t="str">
        <v>BRADFORD</v>
      </c>
      <c r="X110" t="str">
        <v>BRADFORD</v>
      </c>
    </row>
    <row r="111" spans="19:24" x14ac:dyDescent="0.25">
      <c r="S111" t="str">
        <v>BERGER, PAYTON A.</v>
      </c>
      <c r="T111" t="str">
        <v>BERGER</v>
      </c>
      <c r="U111" t="str">
        <v>BERGER</v>
      </c>
      <c r="V111" t="str">
        <v>BERGER</v>
      </c>
      <c r="W111" t="str">
        <v>BERGER</v>
      </c>
      <c r="X111" t="str">
        <v>BERGER</v>
      </c>
    </row>
    <row r="112" spans="19:24" x14ac:dyDescent="0.25">
      <c r="S112" t="str">
        <v>MCCOY, EILEEN A.</v>
      </c>
      <c r="T112" t="str">
        <v>MCCOY</v>
      </c>
      <c r="U112" t="str">
        <v>MCCOY</v>
      </c>
      <c r="V112" t="str">
        <v>MCCOY</v>
      </c>
      <c r="W112" t="str">
        <v>MCCOY</v>
      </c>
      <c r="X112" t="str">
        <v>MCCOY</v>
      </c>
    </row>
    <row r="113" spans="19:24" x14ac:dyDescent="0.25">
      <c r="S113" t="str">
        <v>MALONE, DAMARION A.</v>
      </c>
      <c r="T113" t="str">
        <v>MALONE</v>
      </c>
      <c r="U113" t="str">
        <v>MALONE</v>
      </c>
      <c r="V113" t="str">
        <v>MALONE</v>
      </c>
      <c r="W113" t="str">
        <v>MALONE</v>
      </c>
      <c r="X113" t="str">
        <v>MALONE</v>
      </c>
    </row>
    <row r="114" spans="19:24" x14ac:dyDescent="0.25">
      <c r="S114" t="str">
        <v>GROSS, SHERLYN A.</v>
      </c>
      <c r="T114" t="str">
        <v>GROSS</v>
      </c>
      <c r="U114" t="str">
        <v>GROSS</v>
      </c>
      <c r="V114" t="str">
        <v>GROSS</v>
      </c>
      <c r="W114" t="str">
        <v>GROSS</v>
      </c>
      <c r="X114" t="str">
        <v>GROSS</v>
      </c>
    </row>
    <row r="115" spans="19:24" x14ac:dyDescent="0.25">
      <c r="S115" t="str">
        <v>BECK, LEVI A.</v>
      </c>
      <c r="T115" t="str">
        <v>BECK</v>
      </c>
      <c r="U115" t="str">
        <v>BECK</v>
      </c>
      <c r="V115" t="str">
        <v>BECK</v>
      </c>
      <c r="W115" t="str">
        <v>BECK</v>
      </c>
      <c r="X115" t="str">
        <v>BECK</v>
      </c>
    </row>
    <row r="116" spans="19:24" x14ac:dyDescent="0.25">
      <c r="S116" t="str">
        <v>SILVA, ABIGAIL A.</v>
      </c>
      <c r="T116" t="str">
        <v>SILVA</v>
      </c>
      <c r="U116" t="str">
        <v>SILVA</v>
      </c>
      <c r="V116" t="str">
        <v>SILVA</v>
      </c>
      <c r="W116" t="str">
        <v>SILVA</v>
      </c>
      <c r="X116" t="str">
        <v>SILVA</v>
      </c>
    </row>
    <row r="117" spans="19:24" x14ac:dyDescent="0.25">
      <c r="S117" t="str">
        <v>CONWAY, TATIANA A.</v>
      </c>
      <c r="T117" t="str">
        <v>CONWAY</v>
      </c>
      <c r="U117" t="str">
        <v>CONWAY</v>
      </c>
      <c r="V117" t="str">
        <v>CONWAY</v>
      </c>
      <c r="W117" t="str">
        <v>CONWAY</v>
      </c>
      <c r="X117" t="str">
        <v>CONWAY</v>
      </c>
    </row>
    <row r="118" spans="19:24" x14ac:dyDescent="0.25">
      <c r="S118" t="str">
        <v>HUGHES, GILBERTO A.</v>
      </c>
      <c r="T118" t="str">
        <v>HUGHES</v>
      </c>
      <c r="U118" t="str">
        <v>HUGHES</v>
      </c>
      <c r="V118" t="str">
        <v>HUGHES</v>
      </c>
      <c r="W118" t="str">
        <v>HUGHES</v>
      </c>
      <c r="X118" t="str">
        <v>HUGHES</v>
      </c>
    </row>
    <row r="119" spans="19:24" x14ac:dyDescent="0.25">
      <c r="S119" t="str">
        <v>NASH, LEONARDO A.</v>
      </c>
      <c r="T119" t="str">
        <v>NASH</v>
      </c>
      <c r="U119" t="str">
        <v>NASH</v>
      </c>
      <c r="V119" t="str">
        <v>NASH</v>
      </c>
      <c r="W119" t="str">
        <v>NASH</v>
      </c>
      <c r="X119" t="str">
        <v>NASH</v>
      </c>
    </row>
    <row r="120" spans="19:24" x14ac:dyDescent="0.25">
      <c r="S120" t="str">
        <v>MONROE, MARIAM A.</v>
      </c>
      <c r="T120" t="str">
        <v>MONROE</v>
      </c>
      <c r="U120" t="str">
        <v>MONROE</v>
      </c>
      <c r="V120" t="str">
        <v>MONROE</v>
      </c>
      <c r="W120" t="str">
        <v>MONROE</v>
      </c>
      <c r="X120" t="str">
        <v>MONROE</v>
      </c>
    </row>
    <row r="121" spans="19:24" x14ac:dyDescent="0.25">
      <c r="S121" t="str">
        <v>MCDONALD, DESIREE A.</v>
      </c>
      <c r="T121" t="str">
        <v>MCDONALD</v>
      </c>
      <c r="U121" t="str">
        <v>MCDONALD</v>
      </c>
      <c r="V121" t="str">
        <v>MCDONALD</v>
      </c>
      <c r="W121" t="str">
        <v>MCDONALD</v>
      </c>
      <c r="X121" t="str">
        <v>MCDONALD</v>
      </c>
    </row>
    <row r="122" spans="19:24" x14ac:dyDescent="0.25">
      <c r="S122" t="str">
        <v>FOWLER, DEVYN A.</v>
      </c>
      <c r="T122" t="str">
        <v>FOWLER</v>
      </c>
      <c r="U122" t="str">
        <v>FOWLER</v>
      </c>
      <c r="V122" t="str">
        <v>FOWLER</v>
      </c>
      <c r="W122" t="str">
        <v>FOWLER</v>
      </c>
      <c r="X122" t="str">
        <v>FOWLER</v>
      </c>
    </row>
    <row r="123" spans="19:24" x14ac:dyDescent="0.25">
      <c r="S123" t="str">
        <v>MCGEE, MAYRA A.</v>
      </c>
      <c r="T123" t="str">
        <v>MCGEE</v>
      </c>
      <c r="U123" t="str">
        <v>MCGEE</v>
      </c>
      <c r="V123" t="str">
        <v>MCGEE</v>
      </c>
      <c r="W123" t="str">
        <v>MCGEE</v>
      </c>
      <c r="X123" t="str">
        <v>MCGEE</v>
      </c>
    </row>
    <row r="124" spans="19:24" x14ac:dyDescent="0.25">
      <c r="S124" t="str">
        <v>SCHAEFER, JAYLA A.</v>
      </c>
      <c r="T124" t="str">
        <v>SCHAEFER</v>
      </c>
      <c r="U124" t="str">
        <v>SCHAEFER</v>
      </c>
      <c r="V124" t="str">
        <v>SCHAEFER</v>
      </c>
      <c r="W124" t="str">
        <v>SCHAEFER</v>
      </c>
      <c r="X124" t="str">
        <v>SCHAEFER</v>
      </c>
    </row>
    <row r="125" spans="19:24" x14ac:dyDescent="0.25">
      <c r="S125" t="str">
        <v>LARSON, TYREE A.</v>
      </c>
      <c r="T125" t="str">
        <v>LARSON</v>
      </c>
      <c r="U125" t="str">
        <v>LARSON</v>
      </c>
      <c r="V125" t="str">
        <v>LARSON</v>
      </c>
      <c r="W125" t="str">
        <v>LARSON</v>
      </c>
      <c r="X125" t="str">
        <v>LARSON</v>
      </c>
    </row>
    <row r="126" spans="19:24" x14ac:dyDescent="0.25">
      <c r="S126" t="str">
        <v>DAVID, HEATHER A.</v>
      </c>
      <c r="T126" t="str">
        <v>DAVID</v>
      </c>
      <c r="U126" t="str">
        <v>DAVID</v>
      </c>
      <c r="V126" t="str">
        <v>DAVID</v>
      </c>
      <c r="W126" t="str">
        <v>DAVID</v>
      </c>
      <c r="X126" t="str">
        <v>DAVID</v>
      </c>
    </row>
    <row r="127" spans="19:24" x14ac:dyDescent="0.25">
      <c r="S127" t="str">
        <v>DAWSON, DEMARION A.</v>
      </c>
      <c r="T127" t="str">
        <v>DAWSON</v>
      </c>
      <c r="U127" t="str">
        <v>DAWSON</v>
      </c>
      <c r="V127" t="str">
        <v>DAWSON</v>
      </c>
      <c r="W127" t="str">
        <v>DAWSON</v>
      </c>
      <c r="X127" t="str">
        <v>DAWSON</v>
      </c>
    </row>
    <row r="128" spans="19:24" x14ac:dyDescent="0.25">
      <c r="S128" t="str">
        <v>SOLOMON, DILLON A.</v>
      </c>
      <c r="T128" t="str">
        <v>SOLOMON</v>
      </c>
      <c r="U128" t="str">
        <v>SOLOMON</v>
      </c>
      <c r="V128" t="str">
        <v>SOLOMON</v>
      </c>
      <c r="W128" t="str">
        <v>SOLOMON</v>
      </c>
      <c r="X128" t="str">
        <v>SOLOMON</v>
      </c>
    </row>
    <row r="129" spans="19:24" x14ac:dyDescent="0.25">
      <c r="S129" t="str">
        <v>VELAZQUEZ, EMILIE A.</v>
      </c>
      <c r="T129" t="str">
        <v>VELAZQUEZ</v>
      </c>
      <c r="U129" t="str">
        <v>VELAZQUEZ</v>
      </c>
      <c r="V129" t="str">
        <v>VELAZQUEZ</v>
      </c>
      <c r="W129" t="str">
        <v>VELAZQUEZ</v>
      </c>
      <c r="X129" t="str">
        <v>VELAZQUEZ</v>
      </c>
    </row>
    <row r="130" spans="19:24" x14ac:dyDescent="0.25">
      <c r="S130" t="str">
        <v>WALKER, ANAYA A.</v>
      </c>
      <c r="T130" t="str">
        <v>WALKER</v>
      </c>
      <c r="U130" t="str">
        <v>WALKER</v>
      </c>
      <c r="V130" t="str">
        <v>WALKER</v>
      </c>
      <c r="W130" t="str">
        <v>WALKER</v>
      </c>
      <c r="X130" t="str">
        <v>WALKER</v>
      </c>
    </row>
    <row r="131" spans="19:24" x14ac:dyDescent="0.25">
      <c r="S131" t="str">
        <v>HEBERT, MAYRA A.</v>
      </c>
      <c r="T131" t="str">
        <v>HEBERT</v>
      </c>
      <c r="U131" t="str">
        <v>HEBERT</v>
      </c>
      <c r="V131" t="str">
        <v>HEBERT</v>
      </c>
      <c r="W131" t="str">
        <v>HEBERT</v>
      </c>
      <c r="X131" t="str">
        <v>HEBERT</v>
      </c>
    </row>
    <row r="132" spans="19:24" x14ac:dyDescent="0.25">
      <c r="S132" t="str">
        <v>JOSEPH, GUADALUPE A.</v>
      </c>
      <c r="T132" t="str">
        <v>JOSEPH</v>
      </c>
      <c r="U132" t="str">
        <v>JOSEPH</v>
      </c>
      <c r="V132" t="str">
        <v>JOSEPH</v>
      </c>
      <c r="W132" t="str">
        <v>JOSEPH</v>
      </c>
      <c r="X132" t="str">
        <v>JOSEPH</v>
      </c>
    </row>
    <row r="133" spans="19:24" x14ac:dyDescent="0.25">
      <c r="S133" t="str">
        <v>TODD, GLENN A.</v>
      </c>
      <c r="T133" t="str">
        <v>TODD</v>
      </c>
      <c r="U133" t="str">
        <v>TODD</v>
      </c>
      <c r="V133" t="str">
        <v>TODD</v>
      </c>
      <c r="W133" t="str">
        <v>TODD</v>
      </c>
      <c r="X133" t="str">
        <v>TODD</v>
      </c>
    </row>
    <row r="134" spans="19:24" x14ac:dyDescent="0.25">
      <c r="S134" t="str">
        <v>RIOS, LEWIS A.</v>
      </c>
      <c r="T134" t="str">
        <v>RIOS</v>
      </c>
      <c r="U134" t="str">
        <v>RIOS</v>
      </c>
      <c r="V134" t="str">
        <v>RIOS</v>
      </c>
      <c r="W134" t="str">
        <v>RIOS</v>
      </c>
      <c r="X134" t="str">
        <v>RIOS</v>
      </c>
    </row>
    <row r="135" spans="19:24" x14ac:dyDescent="0.25">
      <c r="S135" t="str">
        <v>MAXWELL, COBY A.</v>
      </c>
      <c r="T135" t="str">
        <v>MAXWELL</v>
      </c>
      <c r="U135" t="str">
        <v>MAXWELL</v>
      </c>
      <c r="V135" t="str">
        <v>MAXWELL</v>
      </c>
      <c r="W135" t="str">
        <v>MAXWELL</v>
      </c>
      <c r="X135" t="str">
        <v>MAXWELL</v>
      </c>
    </row>
    <row r="136" spans="19:24" x14ac:dyDescent="0.25">
      <c r="S136" t="str">
        <v>DAVENPORT, ANYA A.</v>
      </c>
      <c r="T136" t="str">
        <v>DAVENPORT</v>
      </c>
      <c r="U136" t="str">
        <v>DAVENPORT</v>
      </c>
      <c r="V136" t="str">
        <v>DAVENPORT</v>
      </c>
      <c r="W136" t="str">
        <v>DAVENPORT</v>
      </c>
      <c r="X136" t="str">
        <v>DAVENPORT</v>
      </c>
    </row>
    <row r="137" spans="19:24" x14ac:dyDescent="0.25">
      <c r="S137" t="str">
        <v>ALVAREZ, KIANA A.</v>
      </c>
      <c r="T137" t="str">
        <v>ALVAREZ</v>
      </c>
      <c r="U137" t="str">
        <v>ALVAREZ</v>
      </c>
      <c r="V137" t="str">
        <v>ALVAREZ</v>
      </c>
      <c r="W137" t="str">
        <v>ALVAREZ</v>
      </c>
      <c r="X137" t="str">
        <v>ALVAREZ</v>
      </c>
    </row>
    <row r="138" spans="19:24" x14ac:dyDescent="0.25">
      <c r="S138" t="str">
        <v>TRAVIS, ANGELINA A.</v>
      </c>
      <c r="T138" t="str">
        <v>TRAVIS</v>
      </c>
      <c r="U138" t="str">
        <v>TRAVIS</v>
      </c>
      <c r="V138" t="str">
        <v>TRAVIS</v>
      </c>
      <c r="W138" t="str">
        <v>TRAVIS</v>
      </c>
      <c r="X138" t="str">
        <v>TRAVIS</v>
      </c>
    </row>
    <row r="139" spans="19:24" x14ac:dyDescent="0.25">
      <c r="S139" t="str">
        <v>BLEVINS, TOBIAS A.</v>
      </c>
      <c r="T139" t="str">
        <v>BLEVINS</v>
      </c>
      <c r="U139" t="str">
        <v>BLEVINS</v>
      </c>
      <c r="V139" t="str">
        <v>BLEVINS</v>
      </c>
      <c r="W139" t="str">
        <v>BLEVINS</v>
      </c>
      <c r="X139" t="str">
        <v>BLEVINS</v>
      </c>
    </row>
    <row r="140" spans="19:24" x14ac:dyDescent="0.25">
      <c r="S140" t="str">
        <v>ROSE, YUSUF A.</v>
      </c>
      <c r="T140" t="str">
        <v>ROSE</v>
      </c>
      <c r="U140" t="str">
        <v>ROSE</v>
      </c>
      <c r="V140" t="str">
        <v>ROSE</v>
      </c>
      <c r="W140" t="str">
        <v>ROSE</v>
      </c>
      <c r="X140" t="str">
        <v>ROSE</v>
      </c>
    </row>
    <row r="141" spans="19:24" x14ac:dyDescent="0.25">
      <c r="S141" t="str">
        <v>HARRINGTON, TODD A.</v>
      </c>
      <c r="T141" t="str">
        <v>HARRINGTON</v>
      </c>
      <c r="U141" t="str">
        <v>HARRINGTON</v>
      </c>
      <c r="V141" t="str">
        <v>HARRINGTON</v>
      </c>
      <c r="W141" t="str">
        <v>HARRINGTON</v>
      </c>
      <c r="X141" t="str">
        <v>HARRINGTON</v>
      </c>
    </row>
    <row r="142" spans="19:24" x14ac:dyDescent="0.25">
      <c r="S142" t="str">
        <v>STAFFORD, ALLYSON A.</v>
      </c>
      <c r="T142" t="str">
        <v>STAFFORD</v>
      </c>
      <c r="U142" t="str">
        <v>STAFFORD</v>
      </c>
      <c r="V142" t="str">
        <v>STAFFORD</v>
      </c>
      <c r="W142" t="str">
        <v>STAFFORD</v>
      </c>
      <c r="X142" t="str">
        <v>STAFFORD</v>
      </c>
    </row>
    <row r="143" spans="19:24" x14ac:dyDescent="0.25">
      <c r="S143" t="str">
        <v>THOMAS, AVA A.</v>
      </c>
      <c r="T143" t="str">
        <v>THOMAS</v>
      </c>
      <c r="U143" t="str">
        <v>THOMAS</v>
      </c>
      <c r="V143" t="str">
        <v>THOMAS</v>
      </c>
      <c r="W143" t="str">
        <v>THOMAS</v>
      </c>
      <c r="X143" t="str">
        <v>THOMAS</v>
      </c>
    </row>
    <row r="144" spans="19:24" x14ac:dyDescent="0.25">
      <c r="S144" t="str">
        <v>POWERS, BLAKE A.</v>
      </c>
      <c r="T144" t="str">
        <v>POWERS</v>
      </c>
      <c r="U144" t="str">
        <v>POWERS</v>
      </c>
      <c r="V144" t="str">
        <v>POWERS</v>
      </c>
      <c r="W144" t="str">
        <v>POWERS</v>
      </c>
      <c r="X144" t="str">
        <v>POWERS</v>
      </c>
    </row>
  </sheetData>
  <mergeCells count="20">
    <mergeCell ref="J1:M1"/>
    <mergeCell ref="J2:K2"/>
    <mergeCell ref="L2:M2"/>
    <mergeCell ref="A26:H26"/>
    <mergeCell ref="A28:H28"/>
    <mergeCell ref="C33:D33"/>
    <mergeCell ref="E33:F33"/>
    <mergeCell ref="A33:B33"/>
    <mergeCell ref="A29:B29"/>
    <mergeCell ref="C29:D29"/>
    <mergeCell ref="E29:F29"/>
    <mergeCell ref="A32:B32"/>
    <mergeCell ref="C32:D32"/>
    <mergeCell ref="E32:F32"/>
    <mergeCell ref="A30:B30"/>
    <mergeCell ref="C30:D30"/>
    <mergeCell ref="E30:F30"/>
    <mergeCell ref="A31:B31"/>
    <mergeCell ref="C31:D31"/>
    <mergeCell ref="E31:F31"/>
  </mergeCells>
  <conditionalFormatting sqref="G2:G25 C30:F32">
    <cfRule type="cellIs" dxfId="99" priority="13" operator="greaterThan">
      <formula>0.84</formula>
    </cfRule>
  </conditionalFormatting>
  <conditionalFormatting sqref="C30:F32">
    <cfRule type="cellIs" dxfId="98" priority="5" operator="equal">
      <formula>0</formula>
    </cfRule>
  </conditionalFormatting>
  <conditionalFormatting sqref="C30:F33">
    <cfRule type="cellIs" dxfId="97" priority="4" operator="between">
      <formula>0.01</formula>
      <formula>0.35</formula>
    </cfRule>
  </conditionalFormatting>
  <conditionalFormatting sqref="C30:F33">
    <cfRule type="cellIs" dxfId="96" priority="3" operator="between">
      <formula>0.7</formula>
      <formula>0.84</formula>
    </cfRule>
  </conditionalFormatting>
  <conditionalFormatting sqref="C30:F33">
    <cfRule type="cellIs" dxfId="95" priority="2" operator="greaterThan">
      <formula>0.85</formula>
    </cfRule>
  </conditionalFormatting>
  <conditionalFormatting sqref="S66:X175">
    <cfRule type="uniqueValues" dxfId="94" priority="1"/>
  </conditionalFormatting>
  <conditionalFormatting sqref="G2:G25 C30:F32">
    <cfRule type="cellIs" dxfId="93" priority="10" operator="equal">
      <formula>0</formula>
    </cfRule>
  </conditionalFormatting>
  <conditionalFormatting sqref="G2:G25 C30:F32">
    <cfRule type="cellIs" dxfId="92" priority="11" operator="between">
      <formula>0.01</formula>
      <formula>0.69</formula>
    </cfRule>
  </conditionalFormatting>
  <conditionalFormatting sqref="G2:G25 C30:F32">
    <cfRule type="cellIs" dxfId="91" priority="12" operator="between">
      <formula>0.7</formula>
      <formula>0.84</formula>
    </cfRule>
  </conditionalFormatting>
  <dataValidations count="1">
    <dataValidation type="whole" errorStyle="warning" allowBlank="1" showInputMessage="1" showErrorMessage="1" errorTitle="Mess with these formulas and I will fight you" error="You litterally have no reason to mess with these. " sqref="N62:N63 G33 A1:H32" xr:uid="{866C216D-9AF9-4EE1-951B-DF67035302F1}">
      <formula1>500</formula1>
      <formula2>501</formula2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D03E-43CB-471A-9D82-2DD5FBFE903F}">
  <sheetPr>
    <tabColor rgb="FF0070C0"/>
  </sheetPr>
  <dimension ref="A1:BJ91"/>
  <sheetViews>
    <sheetView tabSelected="1" workbookViewId="0">
      <selection activeCell="W4" sqref="W4"/>
    </sheetView>
  </sheetViews>
  <sheetFormatPr defaultColWidth="9.140625" defaultRowHeight="15" x14ac:dyDescent="0.25"/>
  <cols>
    <col min="1" max="1" width="12" style="137" bestFit="1" customWidth="1"/>
    <col min="2" max="2" width="8.85546875" style="137" customWidth="1"/>
    <col min="3" max="3" width="25.140625" style="137" bestFit="1" customWidth="1"/>
    <col min="4" max="4" width="10" style="137" bestFit="1" customWidth="1"/>
    <col min="5" max="5" width="7.7109375" style="50" bestFit="1" customWidth="1"/>
    <col min="6" max="7" width="10.42578125" style="51" customWidth="1"/>
    <col min="8" max="8" width="9.85546875" style="51" customWidth="1"/>
    <col min="9" max="9" width="7.7109375" style="51" customWidth="1"/>
    <col min="10" max="12" width="10.7109375" style="51" customWidth="1"/>
    <col min="13" max="13" width="8.7109375" style="50" bestFit="1" customWidth="1"/>
    <col min="14" max="14" width="14.140625" style="51" customWidth="1"/>
    <col min="15" max="15" width="8.42578125" style="51" customWidth="1"/>
    <col min="16" max="17" width="11.140625" style="51" customWidth="1"/>
    <col min="18" max="18" width="12.5703125" style="51" customWidth="1"/>
    <col min="19" max="19" width="8.140625" style="51" customWidth="1"/>
    <col min="20" max="20" width="13.5703125" style="51" customWidth="1"/>
    <col min="21" max="21" width="11.5703125" style="50" customWidth="1"/>
    <col min="22" max="22" width="11.5703125" style="51" hidden="1" customWidth="1"/>
    <col min="23" max="23" width="12.28515625" style="51" customWidth="1"/>
    <col min="24" max="24" width="12.28515625" style="51" hidden="1" customWidth="1"/>
    <col min="25" max="26" width="10.42578125" style="51" customWidth="1"/>
    <col min="27" max="27" width="8.42578125" style="51" customWidth="1"/>
    <col min="28" max="28" width="17.5703125" style="138" bestFit="1" customWidth="1"/>
    <col min="29" max="29" width="15.140625" style="49" bestFit="1" customWidth="1"/>
    <col min="30" max="30" width="21" style="49" bestFit="1" customWidth="1"/>
    <col min="31" max="32" width="9.140625" style="49"/>
    <col min="33" max="33" width="12" style="49" bestFit="1" customWidth="1"/>
    <col min="34" max="54" width="9.140625" style="49"/>
    <col min="55" max="55" width="12" style="49" bestFit="1" customWidth="1"/>
    <col min="56" max="56" width="11.85546875" style="49" bestFit="1" customWidth="1"/>
    <col min="57" max="57" width="15.5703125" style="49" bestFit="1" customWidth="1"/>
    <col min="58" max="58" width="7.5703125" style="49" bestFit="1" customWidth="1"/>
    <col min="59" max="59" width="7.85546875" style="49" bestFit="1" customWidth="1"/>
    <col min="60" max="60" width="15" style="49" bestFit="1" customWidth="1"/>
    <col min="61" max="61" width="9.140625" style="49"/>
    <col min="62" max="62" width="5.85546875" style="49" bestFit="1" customWidth="1"/>
    <col min="63" max="16384" width="9.140625" style="49"/>
  </cols>
  <sheetData>
    <row r="1" spans="1:62" x14ac:dyDescent="0.25">
      <c r="A1" s="209" t="s">
        <v>194</v>
      </c>
      <c r="B1" s="209"/>
      <c r="C1" s="209"/>
      <c r="D1" s="210"/>
      <c r="E1" s="211" t="s">
        <v>12</v>
      </c>
      <c r="F1" s="212"/>
      <c r="G1" s="212"/>
      <c r="H1" s="212"/>
      <c r="I1" s="212"/>
      <c r="J1" s="212"/>
      <c r="K1" s="212"/>
      <c r="L1" s="213"/>
      <c r="M1" s="203" t="s">
        <v>13</v>
      </c>
      <c r="N1" s="204"/>
      <c r="O1" s="204"/>
      <c r="P1" s="204"/>
      <c r="Q1" s="204"/>
      <c r="R1" s="204"/>
      <c r="S1" s="204"/>
      <c r="T1" s="205"/>
      <c r="U1" s="206" t="s">
        <v>195</v>
      </c>
      <c r="V1" s="207"/>
      <c r="W1" s="207"/>
      <c r="X1" s="207"/>
      <c r="Y1" s="207"/>
      <c r="Z1" s="207"/>
      <c r="AA1" s="208"/>
      <c r="AB1" s="142" t="s">
        <v>196</v>
      </c>
      <c r="AC1" s="143">
        <v>45108</v>
      </c>
      <c r="AD1" s="142" t="s">
        <v>197</v>
      </c>
      <c r="AE1" s="49" t="s">
        <v>198</v>
      </c>
      <c r="AG1" s="141"/>
    </row>
    <row r="2" spans="1:62" x14ac:dyDescent="0.25">
      <c r="A2" s="137" t="s">
        <v>199</v>
      </c>
      <c r="B2" s="137" t="s">
        <v>200</v>
      </c>
      <c r="C2" s="137" t="s">
        <v>201</v>
      </c>
      <c r="D2" s="137" t="s">
        <v>202</v>
      </c>
      <c r="E2" s="71" t="s">
        <v>142</v>
      </c>
      <c r="F2" s="72" t="s">
        <v>145</v>
      </c>
      <c r="G2" s="72" t="s">
        <v>162</v>
      </c>
      <c r="H2" s="72" t="s">
        <v>149</v>
      </c>
      <c r="I2" s="72" t="s">
        <v>153</v>
      </c>
      <c r="J2" s="72" t="s">
        <v>165</v>
      </c>
      <c r="K2" s="72" t="s">
        <v>156</v>
      </c>
      <c r="L2" s="72" t="s">
        <v>159</v>
      </c>
      <c r="M2" s="50" t="s">
        <v>168</v>
      </c>
      <c r="N2" s="51" t="s">
        <v>171</v>
      </c>
      <c r="O2" s="51" t="s">
        <v>174</v>
      </c>
      <c r="P2" s="51" t="s">
        <v>177</v>
      </c>
      <c r="Q2" s="51" t="s">
        <v>179</v>
      </c>
      <c r="R2" s="51" t="s">
        <v>182</v>
      </c>
      <c r="S2" s="51" t="s">
        <v>184</v>
      </c>
      <c r="T2" s="51" t="s">
        <v>186</v>
      </c>
      <c r="U2" s="71" t="s">
        <v>193</v>
      </c>
      <c r="V2" s="72" t="s">
        <v>187</v>
      </c>
      <c r="W2" s="72" t="s">
        <v>188</v>
      </c>
      <c r="X2" s="72" t="s">
        <v>203</v>
      </c>
      <c r="Y2" s="72" t="s">
        <v>189</v>
      </c>
      <c r="Z2" s="72" t="s">
        <v>190</v>
      </c>
      <c r="AA2" s="72" t="s">
        <v>139</v>
      </c>
      <c r="AB2" s="140" t="s">
        <v>204</v>
      </c>
      <c r="AC2" s="49" t="s">
        <v>205</v>
      </c>
      <c r="AD2" s="49" t="s">
        <v>206</v>
      </c>
      <c r="BC2" s="49" t="s">
        <v>199</v>
      </c>
      <c r="BD2" s="49" t="s">
        <v>207</v>
      </c>
      <c r="BE2" s="49" t="s">
        <v>201</v>
      </c>
      <c r="BF2" s="49" t="s">
        <v>202</v>
      </c>
      <c r="BG2" s="49" t="s">
        <v>168</v>
      </c>
      <c r="BH2" s="49" t="s">
        <v>204</v>
      </c>
    </row>
    <row r="3" spans="1:62" x14ac:dyDescent="0.25">
      <c r="A3" s="136">
        <v>4741999075</v>
      </c>
      <c r="B3" s="137" t="str">
        <f>_xlfn.XLOOKUP($A3,RecallTable[EDIPI],RecallTable[GRADE])</f>
        <v>O2</v>
      </c>
      <c r="C3" s="137" t="str">
        <f>_xlfn.XLOOKUP($A3,RecallTable[EDIPI],RecallTable[NAME], $AE$1)</f>
        <v>SUMMERS, DOMINIC A.</v>
      </c>
      <c r="D3" s="137" t="str">
        <f>_xlfn.XLOOKUP($A3,RecallTable[EDIPI],RecallTable[SECTION])</f>
        <v>1PLT</v>
      </c>
      <c r="E3" s="50">
        <f>_xlfn.XLOOKUP($A3,CYTable[DOD ID],CYTable[CIAR Trained / Untrained], $AE$1)</f>
        <v>0</v>
      </c>
      <c r="F3" s="51" cm="1">
        <f t="array" ref="F3">_xlfn.XLOOKUP($A3,CYTable[[DOD ID]:[DOD ID]],CYTable[AT Trained / Untrained], $AE$1)</f>
        <v>0</v>
      </c>
      <c r="G3" s="51" cm="1">
        <f t="array" ref="G3">_xlfn.XLOOKUP($A3,CYTable[[DOD ID]:[DOD ID]],CYTable[OPSEC Trained / Untrained], $AE$1)</f>
        <v>0</v>
      </c>
      <c r="H3" s="51" cm="1">
        <f t="array" ref="H3">_xlfn.XLOOKUP($A3,CYTable[[DOD ID]:[DOD ID]],CYTable[PAC Trained / Untrained], $AE$1)</f>
        <v>0</v>
      </c>
      <c r="I3" s="51">
        <f>_xlfn.XLOOKUP($A3,CYTable[DOD ID],CYTable[RM Trained / Untrained], $AE$1)</f>
        <v>0</v>
      </c>
      <c r="J3" s="51" cm="1">
        <f t="array" ref="J3">_xlfn.XLOOKUP($A3,CYTable[[DOD ID]:[DOD ID]],CYTable[UMAPIT Trained / Untrained], $AE$1)</f>
        <v>0</v>
      </c>
      <c r="K3" s="51">
        <f>_xlfn.XLOOKUP($A3,CYTable[DOD ID],CYTable[Sup Safety Trained / Untrained], $AE$1)</f>
        <v>0</v>
      </c>
      <c r="L3" s="51">
        <f>_xlfn.XLOOKUP($A3,CYTable[DOD ID],CYTable[Substances Trained / Untrained], $AE$1)</f>
        <v>0</v>
      </c>
      <c r="M3" s="50" cm="1">
        <f t="array" ref="M3">IF(COUNTIF(TrainingTable[[#This Row],[ARQ Comments]],"*Exempt*"),"Exempt", _xlfn.XLOOKUP($A3,FYTable[[DOD ID]:[DOD ID]],FYTable[ARQ MCTFS Status], $AE$1))</f>
        <v>0</v>
      </c>
      <c r="N3" s="51" cm="1">
        <f t="array" ref="N3">_xlfn.XLOOKUP($A3,FYTable[[DOD ID]:[DOD ID]],FYTable[CYBER Trained / Untrained], $AE$1)</f>
        <v>0</v>
      </c>
      <c r="O3" s="51">
        <f>_xlfn.XLOOKUP($A3,FYTable[DOD ID],FYTable[Pistol Classification], $AE$1)</f>
        <v>0</v>
      </c>
      <c r="P3" s="51" t="str" cm="1">
        <f t="array" ref="P3">_xlfn.XLOOKUP($A3,FYTable[[DOD ID]:[DOD ID]],FYTable[RM Trained / Untrained], $AE$1)</f>
        <v>Trained</v>
      </c>
      <c r="Q3" s="51" cm="1">
        <f t="array" ref="Q3">_xlfn.XLOOKUP($A3,FYTable[[DOD ID]:[DOD ID]],FYTable[Step Up Trained / Untrained], $AE$1)</f>
        <v>0</v>
      </c>
      <c r="R3" s="51" cm="1">
        <f t="array" ref="R3">_xlfn.XLOOKUP($A3,FYTable[[DOD ID]:[DOD ID]],FYTable[Take A Stand Trained / Untrained], $AE$1)</f>
        <v>0</v>
      </c>
      <c r="S3" s="51" cm="1">
        <f t="array" ref="S3">_xlfn.XLOOKUP($A3,FYTable[[DOD ID]:[DOD ID]],FYTable[SAPR Trained / Untrained], $AE$1)</f>
        <v>0</v>
      </c>
      <c r="T3" s="51" cm="1">
        <f t="array" ref="T3">_xlfn.XLOOKUP($A3,FYTable[[DOD ID]:[DOD ID]],FYTable[SAPR SNCO Trained / Untrained], $AE$1)</f>
        <v>0</v>
      </c>
      <c r="U3" s="77" t="str" cm="1">
        <f t="array" ref="U3">_xlfn.XLOOKUP($A3,CFTTable[[DOD ID]:[DOD ID]],CFTTable[Class CFT],"")</f>
        <v>FIRST CLASS</v>
      </c>
      <c r="V3" s="62" cm="1">
        <f t="array" ref="V3">_xlfn.XLOOKUP($A3,CFTTable[[DOD ID]:[DOD ID]],CFTTable[Event Date])</f>
        <v>45225</v>
      </c>
      <c r="W3" s="62">
        <f>_xlfn.XLOOKUP($A3,PFTTable[DOD ID],PFTTable[Class PFT],"")</f>
        <v>0</v>
      </c>
      <c r="X3" s="62" cm="1">
        <f t="array" ref="X3">_xlfn.XLOOKUP($A3,PFTTable[[DOD ID]:[DOD ID]],PFTTable[PFT Event Date])</f>
        <v>0</v>
      </c>
      <c r="Y3" s="62" t="str" cm="1">
        <f t="array" ref="Y3">_xlfn.XLOOKUP($A3,SwimTable[[DOD ID]:[DOD ID]],SwimTable[Swim MCTFS Status],"")</f>
        <v>Success</v>
      </c>
      <c r="Z3" s="51" cm="1">
        <f t="array" ref="Z3">_xlfn.XLOOKUP($A4,HTWTTable[[DOD ID]:[DOD ID]],HTWTTable[MCTFS Status],"")</f>
        <v>0</v>
      </c>
      <c r="AA3" s="51" cm="1">
        <f t="array" ref="AA3">_xlfn.XLOOKUP($A3,FYTable[[DOD ID]:[DOD ID]],FYTable[CBRN Trained / Untrained],"")</f>
        <v>0</v>
      </c>
      <c r="AC3" s="51"/>
      <c r="AD3" s="51" t="s">
        <v>208</v>
      </c>
      <c r="BC3" s="49">
        <v>1286856396</v>
      </c>
      <c r="BD3" s="49" t="s">
        <v>209</v>
      </c>
      <c r="BE3" s="49" t="s">
        <v>210</v>
      </c>
      <c r="BF3" s="49" t="s">
        <v>211</v>
      </c>
      <c r="BG3" s="49" t="s">
        <v>212</v>
      </c>
      <c r="BH3" s="49" t="s">
        <v>213</v>
      </c>
      <c r="BJ3" s="49" t="str">
        <f>IF(BH3=AB4,"Good","Bad")</f>
        <v>Bad</v>
      </c>
    </row>
    <row r="4" spans="1:62" x14ac:dyDescent="0.25">
      <c r="A4" s="136">
        <v>1538999384</v>
      </c>
      <c r="B4" s="137" t="str">
        <f>_xlfn.XLOOKUP($A4,RecallTable[EDIPI],RecallTable[GRADE])</f>
        <v>E7</v>
      </c>
      <c r="C4" s="137" t="str">
        <f>_xlfn.XLOOKUP($A4,RecallTable[EDIPI],RecallTable[NAME], $AE$1)</f>
        <v>LARA, SAMARA A.</v>
      </c>
      <c r="D4" s="137" t="str">
        <f>_xlfn.XLOOKUP($A4,RecallTable[EDIPI],RecallTable[SECTION])</f>
        <v>1PLT</v>
      </c>
      <c r="E4" s="50">
        <f>_xlfn.XLOOKUP($A4,CYTable[DOD ID],CYTable[CIAR Trained / Untrained], $AE$1)</f>
        <v>0</v>
      </c>
      <c r="F4" s="51" cm="1">
        <f t="array" ref="F4">_xlfn.XLOOKUP($A4,CYTable[[DOD ID]:[DOD ID]],CYTable[AT Trained / Untrained], $AE$1)</f>
        <v>0</v>
      </c>
      <c r="G4" s="51" cm="1">
        <f t="array" ref="G4">_xlfn.XLOOKUP($A4,CYTable[[DOD ID]:[DOD ID]],CYTable[OPSEC Trained / Untrained], $AE$1)</f>
        <v>0</v>
      </c>
      <c r="H4" s="51" cm="1">
        <f t="array" ref="H4">_xlfn.XLOOKUP($A4,CYTable[[DOD ID]:[DOD ID]],CYTable[PAC Trained / Untrained], $AE$1)</f>
        <v>0</v>
      </c>
      <c r="I4" s="51">
        <f>_xlfn.XLOOKUP($A4,CYTable[DOD ID],CYTable[RM Trained / Untrained], $AE$1)</f>
        <v>0</v>
      </c>
      <c r="J4" s="51" cm="1">
        <f t="array" ref="J4">_xlfn.XLOOKUP($A4,CYTable[[DOD ID]:[DOD ID]],CYTable[UMAPIT Trained / Untrained], $AE$1)</f>
        <v>0</v>
      </c>
      <c r="K4" s="51">
        <f>_xlfn.XLOOKUP($A4,CYTable[DOD ID],CYTable[Sup Safety Trained / Untrained], $AE$1)</f>
        <v>0</v>
      </c>
      <c r="L4" s="51">
        <f>_xlfn.XLOOKUP($A4,CYTable[DOD ID],CYTable[Substances Trained / Untrained], $AE$1)</f>
        <v>0</v>
      </c>
      <c r="M4" s="50" cm="1">
        <f t="array" ref="M4">IF(COUNTIF(TrainingTable[[#This Row],[ARQ Comments]],"*Exempt*"),"Exempt", _xlfn.XLOOKUP($A4,FYTable[[DOD ID]:[DOD ID]],FYTable[ARQ MCTFS Status], $AE$1))</f>
        <v>0</v>
      </c>
      <c r="N4" s="51" t="str" cm="1">
        <f t="array" ref="N4">_xlfn.XLOOKUP($A4,FYTable[[DOD ID]:[DOD ID]],FYTable[CYBER Trained / Untrained], $AE$1)</f>
        <v>Trained</v>
      </c>
      <c r="O4" s="51">
        <f>_xlfn.XLOOKUP($A4,FYTable[DOD ID],FYTable[Pistol Classification], $AE$1)</f>
        <v>0</v>
      </c>
      <c r="P4" s="51" t="str" cm="1">
        <f t="array" ref="P4">_xlfn.XLOOKUP($A4,FYTable[[DOD ID]:[DOD ID]],FYTable[RM Trained / Untrained], $AE$1)</f>
        <v>Trained</v>
      </c>
      <c r="Q4" s="51" cm="1">
        <f t="array" ref="Q4">_xlfn.XLOOKUP($A4,FYTable[[DOD ID]:[DOD ID]],FYTable[Step Up Trained / Untrained], $AE$1)</f>
        <v>0</v>
      </c>
      <c r="R4" s="51" t="str" cm="1">
        <f t="array" ref="R4">_xlfn.XLOOKUP($A4,FYTable[[DOD ID]:[DOD ID]],FYTable[Take A Stand Trained / Untrained], $AE$1)</f>
        <v>Trained</v>
      </c>
      <c r="S4" s="51" cm="1">
        <f t="array" ref="S4">_xlfn.XLOOKUP($A4,FYTable[[DOD ID]:[DOD ID]],FYTable[SAPR Trained / Untrained], $AE$1)</f>
        <v>0</v>
      </c>
      <c r="T4" s="51" cm="1">
        <f t="array" ref="T4">_xlfn.XLOOKUP($A4,FYTable[[DOD ID]:[DOD ID]],FYTable[SAPR SNCO Trained / Untrained], $AE$1)</f>
        <v>0</v>
      </c>
      <c r="U4" s="77" t="str" cm="1">
        <f t="array" ref="U4">_xlfn.XLOOKUP($A4,CFTTable[[DOD ID]:[DOD ID]],CFTTable[Class CFT],"")</f>
        <v>FIRST CLASS</v>
      </c>
      <c r="V4" s="62" cm="1">
        <f t="array" ref="V4">_xlfn.XLOOKUP($A4,CFTTable[[DOD ID]:[DOD ID]],CFTTable[Event Date])</f>
        <v>45224</v>
      </c>
      <c r="W4" s="62">
        <f>_xlfn.XLOOKUP($A4,PFTTable[DOD ID],PFTTable[Class PFT],"")</f>
        <v>0</v>
      </c>
      <c r="X4" s="62" cm="1">
        <f t="array" ref="X4">_xlfn.XLOOKUP($A4,PFTTable[[DOD ID]:[DOD ID]],PFTTable[PFT Event Date])</f>
        <v>0</v>
      </c>
      <c r="Y4" s="62" t="str" cm="1">
        <f t="array" ref="Y4">_xlfn.XLOOKUP($A4,SwimTable[[DOD ID]:[DOD ID]],SwimTable[Swim MCTFS Status],"")</f>
        <v>Success</v>
      </c>
      <c r="Z4" s="51" cm="1">
        <f t="array" ref="Z4">_xlfn.XLOOKUP($A5,HTWTTable[[DOD ID]:[DOD ID]],HTWTTable[MCTFS Status],"")</f>
        <v>0</v>
      </c>
      <c r="AA4" s="51" cm="1">
        <f t="array" ref="AA4">_xlfn.XLOOKUP($A4,FYTable[[DOD ID]:[DOD ID]],FYTable[CBRN Trained / Untrained],"")</f>
        <v>0</v>
      </c>
      <c r="AC4" s="51"/>
      <c r="AD4" s="51"/>
      <c r="BC4" s="49">
        <v>1388576894</v>
      </c>
      <c r="BD4" s="49" t="s">
        <v>214</v>
      </c>
      <c r="BE4" s="49" t="s">
        <v>210</v>
      </c>
      <c r="BF4" s="49" t="s">
        <v>215</v>
      </c>
      <c r="BG4" s="49" t="s">
        <v>36</v>
      </c>
      <c r="BH4" s="49" t="s">
        <v>216</v>
      </c>
      <c r="BJ4" s="49" t="str">
        <f>IF(BH4=AB3,"Good","Bad")</f>
        <v>Bad</v>
      </c>
    </row>
    <row r="5" spans="1:62" x14ac:dyDescent="0.25">
      <c r="A5" s="136">
        <v>1160110691</v>
      </c>
      <c r="B5" s="137" t="str">
        <f>_xlfn.XLOOKUP($A5,RecallTable[EDIPI],RecallTable[GRADE])</f>
        <v>E6</v>
      </c>
      <c r="C5" s="137" t="str">
        <f>_xlfn.XLOOKUP($A5,RecallTable[EDIPI],RecallTable[NAME], $AE$1)</f>
        <v>CARSON, BROOKS A.</v>
      </c>
      <c r="D5" s="137" t="str">
        <f>_xlfn.XLOOKUP($A5,RecallTable[EDIPI],RecallTable[SECTION])</f>
        <v>1PLT</v>
      </c>
      <c r="E5" s="50">
        <f>_xlfn.XLOOKUP($A5,CYTable[DOD ID],CYTable[CIAR Trained / Untrained], $AE$1)</f>
        <v>0</v>
      </c>
      <c r="F5" s="51" cm="1">
        <f t="array" ref="F5">_xlfn.XLOOKUP($A5,CYTable[[DOD ID]:[DOD ID]],CYTable[AT Trained / Untrained], $AE$1)</f>
        <v>0</v>
      </c>
      <c r="G5" s="51" cm="1">
        <f t="array" ref="G5">_xlfn.XLOOKUP($A5,CYTable[[DOD ID]:[DOD ID]],CYTable[OPSEC Trained / Untrained], $AE$1)</f>
        <v>0</v>
      </c>
      <c r="H5" s="51" cm="1">
        <f t="array" ref="H5">_xlfn.XLOOKUP($A5,CYTable[[DOD ID]:[DOD ID]],CYTable[PAC Trained / Untrained], $AE$1)</f>
        <v>0</v>
      </c>
      <c r="I5" s="51">
        <f>_xlfn.XLOOKUP($A5,CYTable[DOD ID],CYTable[RM Trained / Untrained], $AE$1)</f>
        <v>0</v>
      </c>
      <c r="J5" s="51" cm="1">
        <f t="array" ref="J5">_xlfn.XLOOKUP($A5,CYTable[[DOD ID]:[DOD ID]],CYTable[UMAPIT Trained / Untrained], $AE$1)</f>
        <v>0</v>
      </c>
      <c r="K5" s="51">
        <f>_xlfn.XLOOKUP($A5,CYTable[DOD ID],CYTable[Sup Safety Trained / Untrained], $AE$1)</f>
        <v>0</v>
      </c>
      <c r="L5" s="51">
        <f>_xlfn.XLOOKUP($A5,CYTable[DOD ID],CYTable[Substances Trained / Untrained], $AE$1)</f>
        <v>0</v>
      </c>
      <c r="M5" s="50" cm="1">
        <f t="array" ref="M5">IF(COUNTIF(TrainingTable[[#This Row],[ARQ Comments]],"*Exempt*"),"Exempt", _xlfn.XLOOKUP($A5,FYTable[[DOD ID]:[DOD ID]],FYTable[ARQ MCTFS Status], $AE$1))</f>
        <v>0</v>
      </c>
      <c r="N5" s="51" t="str" cm="1">
        <f t="array" ref="N5">_xlfn.XLOOKUP($A5,FYTable[[DOD ID]:[DOD ID]],FYTable[CYBER Trained / Untrained], $AE$1)</f>
        <v>Trained</v>
      </c>
      <c r="O5" s="51">
        <f>_xlfn.XLOOKUP($A5,FYTable[DOD ID],FYTable[Pistol Classification], $AE$1)</f>
        <v>0</v>
      </c>
      <c r="P5" s="51" cm="1">
        <f t="array" ref="P5">_xlfn.XLOOKUP($A5,FYTable[[DOD ID]:[DOD ID]],FYTable[RM Trained / Untrained], $AE$1)</f>
        <v>0</v>
      </c>
      <c r="Q5" s="51" t="str" cm="1">
        <f t="array" ref="Q5">_xlfn.XLOOKUP($A5,FYTable[[DOD ID]:[DOD ID]],FYTable[Step Up Trained / Untrained], $AE$1)</f>
        <v>Trained</v>
      </c>
      <c r="R5" s="51" cm="1">
        <f t="array" ref="R5">_xlfn.XLOOKUP($A5,FYTable[[DOD ID]:[DOD ID]],FYTable[Take A Stand Trained / Untrained], $AE$1)</f>
        <v>0</v>
      </c>
      <c r="S5" s="51" cm="1">
        <f t="array" ref="S5">_xlfn.XLOOKUP($A5,FYTable[[DOD ID]:[DOD ID]],FYTable[SAPR Trained / Untrained], $AE$1)</f>
        <v>0</v>
      </c>
      <c r="T5" s="51" cm="1">
        <f t="array" ref="T5">_xlfn.XLOOKUP($A5,FYTable[[DOD ID]:[DOD ID]],FYTable[SAPR SNCO Trained / Untrained], $AE$1)</f>
        <v>0</v>
      </c>
      <c r="U5" s="77" t="str" cm="1">
        <f t="array" ref="U5">_xlfn.XLOOKUP($A5,CFTTable[[DOD ID]:[DOD ID]],CFTTable[Class CFT],"")</f>
        <v>FIRST CLASS</v>
      </c>
      <c r="V5" s="62" cm="1">
        <f t="array" ref="V5">_xlfn.XLOOKUP($A5,CFTTable[[DOD ID]:[DOD ID]],CFTTable[Event Date])</f>
        <v>45225</v>
      </c>
      <c r="W5" s="62">
        <f>_xlfn.XLOOKUP($A5,PFTTable[DOD ID],PFTTable[Class PFT],"")</f>
        <v>0</v>
      </c>
      <c r="X5" s="62" cm="1">
        <f t="array" ref="X5">_xlfn.XLOOKUP($A5,PFTTable[[DOD ID]:[DOD ID]],PFTTable[PFT Event Date])</f>
        <v>0</v>
      </c>
      <c r="Y5" s="62" t="str" cm="1">
        <f t="array" ref="Y5">_xlfn.XLOOKUP($A5,SwimTable[[DOD ID]:[DOD ID]],SwimTable[Swim MCTFS Status],"")</f>
        <v>Success</v>
      </c>
      <c r="Z5" s="51" cm="1">
        <f t="array" ref="Z5">_xlfn.XLOOKUP($A6,HTWTTable[[DOD ID]:[DOD ID]],HTWTTable[MCTFS Status],"")</f>
        <v>0</v>
      </c>
      <c r="AA5" s="51" t="str" cm="1">
        <f t="array" ref="AA5">_xlfn.XLOOKUP($A5,FYTable[[DOD ID]:[DOD ID]],FYTable[CBRN Trained / Untrained],"")</f>
        <v>Trained</v>
      </c>
      <c r="BC5" s="49">
        <v>1409999570</v>
      </c>
      <c r="BD5" s="49" t="s">
        <v>217</v>
      </c>
      <c r="BE5" s="49" t="s">
        <v>218</v>
      </c>
      <c r="BF5" s="49" t="s">
        <v>211</v>
      </c>
      <c r="BG5" s="49" t="s">
        <v>36</v>
      </c>
      <c r="BH5" s="49" t="s">
        <v>219</v>
      </c>
      <c r="BJ5" s="49" t="str">
        <f t="shared" ref="BJ5:BJ34" si="0">IF(BH5=AB5,"Good","Bad")</f>
        <v>Bad</v>
      </c>
    </row>
    <row r="6" spans="1:62" x14ac:dyDescent="0.25">
      <c r="A6" s="136">
        <v>1520074788</v>
      </c>
      <c r="B6" s="137" t="str">
        <f>_xlfn.XLOOKUP($A6,RecallTable[EDIPI],RecallTable[GRADE])</f>
        <v>E6</v>
      </c>
      <c r="C6" s="137" t="str">
        <f>_xlfn.XLOOKUP($A6,RecallTable[EDIPI],RecallTable[NAME], $AE$1)</f>
        <v>COFFEY, GIOVANI A.</v>
      </c>
      <c r="D6" s="137" t="str">
        <f>_xlfn.XLOOKUP($A6,RecallTable[EDIPI],RecallTable[SECTION])</f>
        <v>1PLT</v>
      </c>
      <c r="E6" s="50" t="str">
        <f>_xlfn.XLOOKUP($A6,CYTable[DOD ID],CYTable[CIAR Trained / Untrained], $AE$1)</f>
        <v>Trained</v>
      </c>
      <c r="F6" s="51" cm="1">
        <f t="array" ref="F6">_xlfn.XLOOKUP($A6,CYTable[[DOD ID]:[DOD ID]],CYTable[AT Trained / Untrained], $AE$1)</f>
        <v>0</v>
      </c>
      <c r="G6" s="51" t="str" cm="1">
        <f t="array" ref="G6">_xlfn.XLOOKUP($A6,CYTable[[DOD ID]:[DOD ID]],CYTable[OPSEC Trained / Untrained], $AE$1)</f>
        <v>Trained</v>
      </c>
      <c r="H6" s="51" cm="1">
        <f t="array" ref="H6">_xlfn.XLOOKUP($A6,CYTable[[DOD ID]:[DOD ID]],CYTable[PAC Trained / Untrained], $AE$1)</f>
        <v>0</v>
      </c>
      <c r="I6" s="51" t="str">
        <f>_xlfn.XLOOKUP($A6,CYTable[DOD ID],CYTable[RM Trained / Untrained], $AE$1)</f>
        <v>Trained</v>
      </c>
      <c r="J6" s="51" cm="1">
        <f t="array" ref="J6">_xlfn.XLOOKUP($A6,CYTable[[DOD ID]:[DOD ID]],CYTable[UMAPIT Trained / Untrained], $AE$1)</f>
        <v>0</v>
      </c>
      <c r="K6" s="51" t="str">
        <f>_xlfn.XLOOKUP($A6,CYTable[DOD ID],CYTable[Sup Safety Trained / Untrained], $AE$1)</f>
        <v>Trained</v>
      </c>
      <c r="L6" s="51" t="str">
        <f>_xlfn.XLOOKUP($A6,CYTable[DOD ID],CYTable[Substances Trained / Untrained], $AE$1)</f>
        <v>Trained</v>
      </c>
      <c r="M6" s="50" cm="1">
        <f t="array" ref="M6">IF(COUNTIF(TrainingTable[[#This Row],[ARQ Comments]],"*Exempt*"),"Exempt", _xlfn.XLOOKUP($A6,FYTable[[DOD ID]:[DOD ID]],FYTable[ARQ MCTFS Status], $AE$1))</f>
        <v>0</v>
      </c>
      <c r="N6" s="51" cm="1">
        <f t="array" ref="N6">_xlfn.XLOOKUP($A6,FYTable[[DOD ID]:[DOD ID]],FYTable[CYBER Trained / Untrained], $AE$1)</f>
        <v>0</v>
      </c>
      <c r="O6" s="51" t="str">
        <f>_xlfn.XLOOKUP($A6,FYTable[DOD ID],FYTable[Pistol Classification], $AE$1)</f>
        <v>EXPERT</v>
      </c>
      <c r="P6" s="51" cm="1">
        <f t="array" ref="P6">_xlfn.XLOOKUP($A6,FYTable[[DOD ID]:[DOD ID]],FYTable[RM Trained / Untrained], $AE$1)</f>
        <v>0</v>
      </c>
      <c r="Q6" s="51" t="str" cm="1">
        <f t="array" ref="Q6">_xlfn.XLOOKUP($A6,FYTable[[DOD ID]:[DOD ID]],FYTable[Step Up Trained / Untrained], $AE$1)</f>
        <v>Trained</v>
      </c>
      <c r="R6" s="51" t="str" cm="1">
        <f t="array" ref="R6">_xlfn.XLOOKUP($A6,FYTable[[DOD ID]:[DOD ID]],FYTable[Take A Stand Trained / Untrained], $AE$1)</f>
        <v>Trained</v>
      </c>
      <c r="S6" s="51" t="str" cm="1">
        <f t="array" ref="S6">_xlfn.XLOOKUP($A6,FYTable[[DOD ID]:[DOD ID]],FYTable[SAPR Trained / Untrained], $AE$1)</f>
        <v>Trained</v>
      </c>
      <c r="T6" s="51" t="str" cm="1">
        <f t="array" ref="T6">_xlfn.XLOOKUP($A6,FYTable[[DOD ID]:[DOD ID]],FYTable[SAPR SNCO Trained / Untrained], $AE$1)</f>
        <v>Trained</v>
      </c>
      <c r="U6" s="77" t="str" cm="1">
        <f t="array" ref="U6">_xlfn.XLOOKUP($A6,CFTTable[[DOD ID]:[DOD ID]],CFTTable[Class CFT],"")</f>
        <v>FIRST CLASS</v>
      </c>
      <c r="V6" s="62" cm="1">
        <f t="array" ref="V6">_xlfn.XLOOKUP($A6,CFTTable[[DOD ID]:[DOD ID]],CFTTable[Event Date])</f>
        <v>45225</v>
      </c>
      <c r="W6" s="62">
        <f>_xlfn.XLOOKUP($A6,PFTTable[DOD ID],PFTTable[Class PFT],"")</f>
        <v>0</v>
      </c>
      <c r="X6" s="62" cm="1">
        <f t="array" ref="X6">_xlfn.XLOOKUP($A6,PFTTable[[DOD ID]:[DOD ID]],PFTTable[PFT Event Date])</f>
        <v>0</v>
      </c>
      <c r="Y6" s="62" t="str" cm="1">
        <f t="array" ref="Y6">_xlfn.XLOOKUP($A6,SwimTable[[DOD ID]:[DOD ID]],SwimTable[Swim MCTFS Status],"")</f>
        <v>Success</v>
      </c>
      <c r="Z6" s="51" cm="1">
        <f t="array" ref="Z6">_xlfn.XLOOKUP($A7,HTWTTable[[DOD ID]:[DOD ID]],HTWTTable[MCTFS Status],"")</f>
        <v>0</v>
      </c>
      <c r="AA6" s="51" cm="1">
        <f t="array" ref="AA6">_xlfn.XLOOKUP($A6,FYTable[[DOD ID]:[DOD ID]],FYTable[CBRN Trained / Untrained],"")</f>
        <v>0</v>
      </c>
      <c r="AC6" s="51"/>
      <c r="AD6" s="51"/>
      <c r="BC6" s="49">
        <v>1523204390</v>
      </c>
      <c r="BD6" s="49" t="s">
        <v>220</v>
      </c>
      <c r="BE6" s="49" t="s">
        <v>221</v>
      </c>
      <c r="BF6" s="49" t="s">
        <v>215</v>
      </c>
      <c r="BG6" s="49" t="s">
        <v>212</v>
      </c>
      <c r="BH6" s="49" t="s">
        <v>222</v>
      </c>
      <c r="BJ6" s="49" t="str">
        <f t="shared" si="0"/>
        <v>Bad</v>
      </c>
    </row>
    <row r="7" spans="1:62" ht="15" customHeight="1" x14ac:dyDescent="0.25">
      <c r="A7" s="136">
        <v>1220711349</v>
      </c>
      <c r="B7" s="137" t="str">
        <f>_xlfn.XLOOKUP($A7,RecallTable[EDIPI],RecallTable[GRADE])</f>
        <v>E5</v>
      </c>
      <c r="C7" s="137" t="str">
        <f>_xlfn.XLOOKUP($A7,RecallTable[EDIPI],RecallTable[NAME], $AE$1)</f>
        <v>BERG, JULIAN A.</v>
      </c>
      <c r="D7" s="137" t="str">
        <f>_xlfn.XLOOKUP($A7,RecallTable[EDIPI],RecallTable[SECTION])</f>
        <v>1PLT</v>
      </c>
      <c r="E7" s="50">
        <f>_xlfn.XLOOKUP($A7,CYTable[DOD ID],CYTable[CIAR Trained / Untrained], $AE$1)</f>
        <v>0</v>
      </c>
      <c r="F7" s="51" cm="1">
        <f t="array" ref="F7">_xlfn.XLOOKUP($A7,CYTable[[DOD ID]:[DOD ID]],CYTable[AT Trained / Untrained], $AE$1)</f>
        <v>0</v>
      </c>
      <c r="G7" s="51" cm="1">
        <f t="array" ref="G7">_xlfn.XLOOKUP($A7,CYTable[[DOD ID]:[DOD ID]],CYTable[OPSEC Trained / Untrained], $AE$1)</f>
        <v>0</v>
      </c>
      <c r="H7" s="51" cm="1">
        <f t="array" ref="H7">_xlfn.XLOOKUP($A7,CYTable[[DOD ID]:[DOD ID]],CYTable[PAC Trained / Untrained], $AE$1)</f>
        <v>0</v>
      </c>
      <c r="I7" s="51">
        <f>_xlfn.XLOOKUP($A7,CYTable[DOD ID],CYTable[RM Trained / Untrained], $AE$1)</f>
        <v>0</v>
      </c>
      <c r="J7" s="51" cm="1">
        <f t="array" ref="J7">_xlfn.XLOOKUP($A7,CYTable[[DOD ID]:[DOD ID]],CYTable[UMAPIT Trained / Untrained], $AE$1)</f>
        <v>0</v>
      </c>
      <c r="K7" s="51">
        <f>_xlfn.XLOOKUP($A7,CYTable[DOD ID],CYTable[Sup Safety Trained / Untrained], $AE$1)</f>
        <v>0</v>
      </c>
      <c r="L7" s="51">
        <f>_xlfn.XLOOKUP($A7,CYTable[DOD ID],CYTable[Substances Trained / Untrained], $AE$1)</f>
        <v>0</v>
      </c>
      <c r="M7" s="50" t="str" cm="1">
        <f t="array" ref="M7">IF(COUNTIF(TrainingTable[[#This Row],[ARQ Comments]],"*Exempt*"),"Exempt", _xlfn.XLOOKUP($A7,FYTable[[DOD ID]:[DOD ID]],FYTable[ARQ MCTFS Status], $AE$1))</f>
        <v>Success</v>
      </c>
      <c r="N7" s="51" cm="1">
        <f t="array" ref="N7">_xlfn.XLOOKUP($A7,FYTable[[DOD ID]:[DOD ID]],FYTable[CYBER Trained / Untrained], $AE$1)</f>
        <v>0</v>
      </c>
      <c r="O7" s="51">
        <f>_xlfn.XLOOKUP($A7,FYTable[DOD ID],FYTable[Pistol Classification], $AE$1)</f>
        <v>0</v>
      </c>
      <c r="P7" s="51" t="str" cm="1">
        <f t="array" ref="P7">_xlfn.XLOOKUP($A7,FYTable[[DOD ID]:[DOD ID]],FYTable[RM Trained / Untrained], $AE$1)</f>
        <v>Trained</v>
      </c>
      <c r="Q7" s="51" cm="1">
        <f t="array" ref="Q7">_xlfn.XLOOKUP($A7,FYTable[[DOD ID]:[DOD ID]],FYTable[Step Up Trained / Untrained], $AE$1)</f>
        <v>0</v>
      </c>
      <c r="R7" s="51" cm="1">
        <f t="array" ref="R7">_xlfn.XLOOKUP($A7,FYTable[[DOD ID]:[DOD ID]],FYTable[Take A Stand Trained / Untrained], $AE$1)</f>
        <v>0</v>
      </c>
      <c r="S7" s="51" cm="1">
        <f t="array" ref="S7">_xlfn.XLOOKUP($A7,FYTable[[DOD ID]:[DOD ID]],FYTable[SAPR Trained / Untrained], $AE$1)</f>
        <v>0</v>
      </c>
      <c r="T7" s="51" cm="1">
        <f t="array" ref="T7">_xlfn.XLOOKUP($A7,FYTable[[DOD ID]:[DOD ID]],FYTable[SAPR SNCO Trained / Untrained], $AE$1)</f>
        <v>0</v>
      </c>
      <c r="U7" s="77" t="str" cm="1">
        <f t="array" ref="U7">_xlfn.XLOOKUP($A7,CFTTable[[DOD ID]:[DOD ID]],CFTTable[Class CFT],"")</f>
        <v>FIRST CLASS</v>
      </c>
      <c r="V7" s="62" cm="1">
        <f t="array" ref="V7">_xlfn.XLOOKUP($A7,CFTTable[[DOD ID]:[DOD ID]],CFTTable[Event Date])</f>
        <v>45238</v>
      </c>
      <c r="W7" s="62">
        <f>_xlfn.XLOOKUP($A7,PFTTable[DOD ID],PFTTable[Class PFT],"")</f>
        <v>0</v>
      </c>
      <c r="X7" s="62" cm="1">
        <f t="array" ref="X7">_xlfn.XLOOKUP($A7,PFTTable[[DOD ID]:[DOD ID]],PFTTable[PFT Event Date])</f>
        <v>0</v>
      </c>
      <c r="Y7" s="62" t="str" cm="1">
        <f t="array" ref="Y7">_xlfn.XLOOKUP($A7,SwimTable[[DOD ID]:[DOD ID]],SwimTable[Swim MCTFS Status],"")</f>
        <v>Success</v>
      </c>
      <c r="Z7" s="51" cm="1">
        <f t="array" ref="Z7">_xlfn.XLOOKUP($A8,HTWTTable[[DOD ID]:[DOD ID]],HTWTTable[MCTFS Status],"")</f>
        <v>0</v>
      </c>
      <c r="AA7" s="51" cm="1">
        <f t="array" ref="AA7">_xlfn.XLOOKUP($A7,FYTable[[DOD ID]:[DOD ID]],FYTable[CBRN Trained / Untrained],"")</f>
        <v>0</v>
      </c>
      <c r="AC7" s="51"/>
      <c r="AD7" s="51" t="s">
        <v>223</v>
      </c>
      <c r="BC7" s="49">
        <v>1522352256</v>
      </c>
      <c r="BD7" s="49" t="s">
        <v>220</v>
      </c>
      <c r="BE7" s="49" t="s">
        <v>224</v>
      </c>
      <c r="BF7" s="49" t="s">
        <v>225</v>
      </c>
      <c r="BG7" s="49" t="s">
        <v>36</v>
      </c>
      <c r="BH7" s="49" t="s">
        <v>226</v>
      </c>
      <c r="BJ7" s="49" t="str">
        <f t="shared" si="0"/>
        <v>Bad</v>
      </c>
    </row>
    <row r="8" spans="1:62" x14ac:dyDescent="0.25">
      <c r="A8" s="136">
        <v>1534568011</v>
      </c>
      <c r="B8" s="137" t="str">
        <f>_xlfn.XLOOKUP($A8,RecallTable[EDIPI],RecallTable[GRADE])</f>
        <v>E5</v>
      </c>
      <c r="C8" s="137" t="str">
        <f>_xlfn.XLOOKUP($A8,RecallTable[EDIPI],RecallTable[NAME], $AE$1)</f>
        <v>MORRIS, RAELYNN A.</v>
      </c>
      <c r="D8" s="137" t="str">
        <f>_xlfn.XLOOKUP($A8,RecallTable[EDIPI],RecallTable[SECTION])</f>
        <v>1PLT</v>
      </c>
      <c r="E8" s="50">
        <f>_xlfn.XLOOKUP($A8,CYTable[DOD ID],CYTable[CIAR Trained / Untrained], $AE$1)</f>
        <v>0</v>
      </c>
      <c r="F8" s="51" cm="1">
        <f t="array" ref="F8">_xlfn.XLOOKUP($A8,CYTable[[DOD ID]:[DOD ID]],CYTable[AT Trained / Untrained], $AE$1)</f>
        <v>0</v>
      </c>
      <c r="G8" s="51" cm="1">
        <f t="array" ref="G8">_xlfn.XLOOKUP($A8,CYTable[[DOD ID]:[DOD ID]],CYTable[OPSEC Trained / Untrained], $AE$1)</f>
        <v>0</v>
      </c>
      <c r="H8" s="51" cm="1">
        <f t="array" ref="H8">_xlfn.XLOOKUP($A8,CYTable[[DOD ID]:[DOD ID]],CYTable[PAC Trained / Untrained], $AE$1)</f>
        <v>0</v>
      </c>
      <c r="I8" s="51">
        <f>_xlfn.XLOOKUP($A8,CYTable[DOD ID],CYTable[RM Trained / Untrained], $AE$1)</f>
        <v>0</v>
      </c>
      <c r="J8" s="51" cm="1">
        <f t="array" ref="J8">_xlfn.XLOOKUP($A8,CYTable[[DOD ID]:[DOD ID]],CYTable[UMAPIT Trained / Untrained], $AE$1)</f>
        <v>0</v>
      </c>
      <c r="K8" s="51">
        <f>_xlfn.XLOOKUP($A8,CYTable[DOD ID],CYTable[Sup Safety Trained / Untrained], $AE$1)</f>
        <v>0</v>
      </c>
      <c r="L8" s="51">
        <f>_xlfn.XLOOKUP($A8,CYTable[DOD ID],CYTable[Substances Trained / Untrained], $AE$1)</f>
        <v>0</v>
      </c>
      <c r="M8" s="50" cm="1">
        <f t="array" ref="M8">IF(COUNTIF(TrainingTable[[#This Row],[ARQ Comments]],"*Exempt*"),"Exempt", _xlfn.XLOOKUP($A8,FYTable[[DOD ID]:[DOD ID]],FYTable[ARQ MCTFS Status], $AE$1))</f>
        <v>0</v>
      </c>
      <c r="N8" s="51" t="str" cm="1">
        <f t="array" ref="N8">_xlfn.XLOOKUP($A8,FYTable[[DOD ID]:[DOD ID]],FYTable[CYBER Trained / Untrained], $AE$1)</f>
        <v>Trained</v>
      </c>
      <c r="O8" s="51">
        <f>_xlfn.XLOOKUP($A8,FYTable[DOD ID],FYTable[Pistol Classification], $AE$1)</f>
        <v>0</v>
      </c>
      <c r="P8" s="51" t="str" cm="1">
        <f t="array" ref="P8">_xlfn.XLOOKUP($A8,FYTable[[DOD ID]:[DOD ID]],FYTable[RM Trained / Untrained], $AE$1)</f>
        <v>Trained</v>
      </c>
      <c r="Q8" s="51" cm="1">
        <f t="array" ref="Q8">_xlfn.XLOOKUP($A8,FYTable[[DOD ID]:[DOD ID]],FYTable[Step Up Trained / Untrained], $AE$1)</f>
        <v>0</v>
      </c>
      <c r="R8" s="51" t="str" cm="1">
        <f t="array" ref="R8">_xlfn.XLOOKUP($A8,FYTable[[DOD ID]:[DOD ID]],FYTable[Take A Stand Trained / Untrained], $AE$1)</f>
        <v>Trained</v>
      </c>
      <c r="S8" s="51" cm="1">
        <f t="array" ref="S8">_xlfn.XLOOKUP($A8,FYTable[[DOD ID]:[DOD ID]],FYTable[SAPR Trained / Untrained], $AE$1)</f>
        <v>0</v>
      </c>
      <c r="T8" s="51" cm="1">
        <f t="array" ref="T8">_xlfn.XLOOKUP($A8,FYTable[[DOD ID]:[DOD ID]],FYTable[SAPR SNCO Trained / Untrained], $AE$1)</f>
        <v>0</v>
      </c>
      <c r="U8" s="77" t="str" cm="1">
        <f t="array" ref="U8">_xlfn.XLOOKUP($A8,CFTTable[[DOD ID]:[DOD ID]],CFTTable[Class CFT],"")</f>
        <v>FIRST CLASS</v>
      </c>
      <c r="V8" s="62" cm="1">
        <f t="array" ref="V8">_xlfn.XLOOKUP($A8,CFTTable[[DOD ID]:[DOD ID]],CFTTable[Event Date])</f>
        <v>45225</v>
      </c>
      <c r="W8" s="62">
        <f>_xlfn.XLOOKUP($A8,PFTTable[DOD ID],PFTTable[Class PFT],"")</f>
        <v>0</v>
      </c>
      <c r="X8" s="62" cm="1">
        <f t="array" ref="X8">_xlfn.XLOOKUP($A8,PFTTable[[DOD ID]:[DOD ID]],PFTTable[PFT Event Date])</f>
        <v>0</v>
      </c>
      <c r="Y8" s="62" t="str" cm="1">
        <f t="array" ref="Y8">_xlfn.XLOOKUP($A8,SwimTable[[DOD ID]:[DOD ID]],SwimTable[Swim MCTFS Status],"")</f>
        <v>Success</v>
      </c>
      <c r="Z8" s="51" t="str" cm="1">
        <f t="array" ref="Z8">_xlfn.XLOOKUP($A9,HTWTTable[[DOD ID]:[DOD ID]],HTWTTable[MCTFS Status],"")</f>
        <v>Success</v>
      </c>
      <c r="AA8" s="51" cm="1">
        <f t="array" ref="AA8">_xlfn.XLOOKUP($A8,FYTable[[DOD ID]:[DOD ID]],FYTable[CBRN Trained / Untrained],"")</f>
        <v>0</v>
      </c>
      <c r="AC8" s="51"/>
      <c r="AD8" s="51"/>
      <c r="BC8" s="49">
        <v>1574513274</v>
      </c>
      <c r="BD8" s="49" t="s">
        <v>209</v>
      </c>
      <c r="BE8" s="49" t="s">
        <v>227</v>
      </c>
      <c r="BF8" s="49" t="s">
        <v>211</v>
      </c>
      <c r="BG8" s="49" t="s">
        <v>36</v>
      </c>
      <c r="BH8" s="49" t="s">
        <v>228</v>
      </c>
      <c r="BJ8" s="49" t="str">
        <f t="shared" si="0"/>
        <v>Bad</v>
      </c>
    </row>
    <row r="9" spans="1:62" x14ac:dyDescent="0.25">
      <c r="A9" s="136">
        <v>1418134206</v>
      </c>
      <c r="B9" s="137" t="str">
        <f>_xlfn.XLOOKUP($A9,RecallTable[EDIPI],RecallTable[GRADE])</f>
        <v>E5</v>
      </c>
      <c r="C9" s="137" t="str">
        <f>_xlfn.XLOOKUP($A9,RecallTable[EDIPI],RecallTable[NAME], $AE$1)</f>
        <v>TRUJILLO, JULIEN A.</v>
      </c>
      <c r="D9" s="137" t="str">
        <f>_xlfn.XLOOKUP($A9,RecallTable[EDIPI],RecallTable[SECTION])</f>
        <v>1PLT</v>
      </c>
      <c r="E9" s="50">
        <f>_xlfn.XLOOKUP($A9,CYTable[DOD ID],CYTable[CIAR Trained / Untrained], $AE$1)</f>
        <v>0</v>
      </c>
      <c r="F9" s="51" cm="1">
        <f t="array" ref="F9">_xlfn.XLOOKUP($A9,CYTable[[DOD ID]:[DOD ID]],CYTable[AT Trained / Untrained], $AE$1)</f>
        <v>0</v>
      </c>
      <c r="G9" s="51" cm="1">
        <f t="array" ref="G9">_xlfn.XLOOKUP($A9,CYTable[[DOD ID]:[DOD ID]],CYTable[OPSEC Trained / Untrained], $AE$1)</f>
        <v>0</v>
      </c>
      <c r="H9" s="51" cm="1">
        <f t="array" ref="H9">_xlfn.XLOOKUP($A9,CYTable[[DOD ID]:[DOD ID]],CYTable[PAC Trained / Untrained], $AE$1)</f>
        <v>0</v>
      </c>
      <c r="I9" s="51">
        <f>_xlfn.XLOOKUP($A9,CYTable[DOD ID],CYTable[RM Trained / Untrained], $AE$1)</f>
        <v>0</v>
      </c>
      <c r="J9" s="51" cm="1">
        <f t="array" ref="J9">_xlfn.XLOOKUP($A9,CYTable[[DOD ID]:[DOD ID]],CYTable[UMAPIT Trained / Untrained], $AE$1)</f>
        <v>0</v>
      </c>
      <c r="K9" s="51">
        <f>_xlfn.XLOOKUP($A9,CYTable[DOD ID],CYTable[Sup Safety Trained / Untrained], $AE$1)</f>
        <v>0</v>
      </c>
      <c r="L9" s="51">
        <f>_xlfn.XLOOKUP($A9,CYTable[DOD ID],CYTable[Substances Trained / Untrained], $AE$1)</f>
        <v>0</v>
      </c>
      <c r="M9" s="50" cm="1">
        <f t="array" ref="M9">IF(COUNTIF(TrainingTable[[#This Row],[ARQ Comments]],"*Exempt*"),"Exempt", _xlfn.XLOOKUP($A9,FYTable[[DOD ID]:[DOD ID]],FYTable[ARQ MCTFS Status], $AE$1))</f>
        <v>0</v>
      </c>
      <c r="N9" s="51" t="str" cm="1">
        <f t="array" ref="N9">_xlfn.XLOOKUP($A9,FYTable[[DOD ID]:[DOD ID]],FYTable[CYBER Trained / Untrained], $AE$1)</f>
        <v>Trained</v>
      </c>
      <c r="O9" s="51">
        <f>_xlfn.XLOOKUP($A9,FYTable[DOD ID],FYTable[Pistol Classification], $AE$1)</f>
        <v>0</v>
      </c>
      <c r="P9" s="51" t="str" cm="1">
        <f t="array" ref="P9">_xlfn.XLOOKUP($A9,FYTable[[DOD ID]:[DOD ID]],FYTable[RM Trained / Untrained], $AE$1)</f>
        <v>Trained</v>
      </c>
      <c r="Q9" s="51" t="str" cm="1">
        <f t="array" ref="Q9">_xlfn.XLOOKUP($A9,FYTable[[DOD ID]:[DOD ID]],FYTable[Step Up Trained / Untrained], $AE$1)</f>
        <v>Trained</v>
      </c>
      <c r="R9" s="51" cm="1">
        <f t="array" ref="R9">_xlfn.XLOOKUP($A9,FYTable[[DOD ID]:[DOD ID]],FYTable[Take A Stand Trained / Untrained], $AE$1)</f>
        <v>0</v>
      </c>
      <c r="S9" s="51" cm="1">
        <f t="array" ref="S9">_xlfn.XLOOKUP($A9,FYTable[[DOD ID]:[DOD ID]],FYTable[SAPR Trained / Untrained], $AE$1)</f>
        <v>0</v>
      </c>
      <c r="T9" s="51" cm="1">
        <f t="array" ref="T9">_xlfn.XLOOKUP($A9,FYTable[[DOD ID]:[DOD ID]],FYTable[SAPR SNCO Trained / Untrained], $AE$1)</f>
        <v>0</v>
      </c>
      <c r="U9" s="77" t="str" cm="1">
        <f t="array" ref="U9">_xlfn.XLOOKUP($A9,CFTTable[[DOD ID]:[DOD ID]],CFTTable[Class CFT],"")</f>
        <v>FIRST CLASS</v>
      </c>
      <c r="V9" s="62" cm="1">
        <f t="array" ref="V9">_xlfn.XLOOKUP($A9,CFTTable[[DOD ID]:[DOD ID]],CFTTable[Event Date])</f>
        <v>45195</v>
      </c>
      <c r="W9" s="62">
        <f>_xlfn.XLOOKUP($A9,PFTTable[DOD ID],PFTTable[Class PFT],"")</f>
        <v>0</v>
      </c>
      <c r="X9" s="62" cm="1">
        <f t="array" ref="X9">_xlfn.XLOOKUP($A9,PFTTable[[DOD ID]:[DOD ID]],PFTTable[PFT Event Date])</f>
        <v>0</v>
      </c>
      <c r="Y9" s="62" t="str" cm="1">
        <f t="array" ref="Y9">_xlfn.XLOOKUP($A9,SwimTable[[DOD ID]:[DOD ID]],SwimTable[Swim MCTFS Status],"")</f>
        <v>Success</v>
      </c>
      <c r="Z9" s="51" cm="1">
        <f t="array" ref="Z9">_xlfn.XLOOKUP($A10,HTWTTable[[DOD ID]:[DOD ID]],HTWTTable[MCTFS Status],"")</f>
        <v>0</v>
      </c>
      <c r="AA9" s="51" t="str" cm="1">
        <f t="array" ref="AA9">_xlfn.XLOOKUP($A9,FYTable[[DOD ID]:[DOD ID]],FYTable[CBRN Trained / Untrained],"")</f>
        <v>Trained</v>
      </c>
      <c r="AC9" s="51"/>
      <c r="AD9" s="51"/>
      <c r="BJ9" s="49" t="str">
        <f t="shared" si="0"/>
        <v>Good</v>
      </c>
    </row>
    <row r="10" spans="1:62" x14ac:dyDescent="0.25">
      <c r="A10" s="136">
        <v>1007476454</v>
      </c>
      <c r="B10" s="137" t="str">
        <f>_xlfn.XLOOKUP($A10,RecallTable[EDIPI],RecallTable[GRADE])</f>
        <v>E4</v>
      </c>
      <c r="C10" s="137" t="str">
        <f>_xlfn.XLOOKUP($A10,RecallTable[EDIPI],RecallTable[NAME], $AE$1)</f>
        <v>LANDRY, REY A.</v>
      </c>
      <c r="D10" s="137" t="str">
        <f>_xlfn.XLOOKUP($A10,RecallTable[EDIPI],RecallTable[SECTION])</f>
        <v>1PLT</v>
      </c>
      <c r="E10" s="50" t="str">
        <f>_xlfn.XLOOKUP($A10,CYTable[DOD ID],CYTable[CIAR Trained / Untrained], $AE$1)</f>
        <v>Trained</v>
      </c>
      <c r="F10" s="51" cm="1">
        <f t="array" ref="F10">_xlfn.XLOOKUP($A10,CYTable[[DOD ID]:[DOD ID]],CYTable[AT Trained / Untrained], $AE$1)</f>
        <v>0</v>
      </c>
      <c r="G10" s="51" t="str" cm="1">
        <f t="array" ref="G10">_xlfn.XLOOKUP($A10,CYTable[[DOD ID]:[DOD ID]],CYTable[OPSEC Trained / Untrained], $AE$1)</f>
        <v>Trained</v>
      </c>
      <c r="H10" s="51" cm="1">
        <f t="array" ref="H10">_xlfn.XLOOKUP($A10,CYTable[[DOD ID]:[DOD ID]],CYTable[PAC Trained / Untrained], $AE$1)</f>
        <v>0</v>
      </c>
      <c r="I10" s="51" t="str">
        <f>_xlfn.XLOOKUP($A10,CYTable[DOD ID],CYTable[RM Trained / Untrained], $AE$1)</f>
        <v>Trained</v>
      </c>
      <c r="J10" s="51" cm="1">
        <f t="array" ref="J10">_xlfn.XLOOKUP($A10,CYTable[[DOD ID]:[DOD ID]],CYTable[UMAPIT Trained / Untrained], $AE$1)</f>
        <v>0</v>
      </c>
      <c r="K10" s="51" t="str">
        <f>_xlfn.XLOOKUP($A10,CYTable[DOD ID],CYTable[Sup Safety Trained / Untrained], $AE$1)</f>
        <v>Trained</v>
      </c>
      <c r="L10" s="51" t="str">
        <f>_xlfn.XLOOKUP($A10,CYTable[DOD ID],CYTable[Substances Trained / Untrained], $AE$1)</f>
        <v>Trained</v>
      </c>
      <c r="M10" s="50" cm="1">
        <f t="array" ref="M10">IF(COUNTIF(TrainingTable[[#This Row],[ARQ Comments]],"*Exempt*"),"Exempt", _xlfn.XLOOKUP($A10,FYTable[[DOD ID]:[DOD ID]],FYTable[ARQ MCTFS Status], $AE$1))</f>
        <v>0</v>
      </c>
      <c r="N10" s="51" t="str" cm="1">
        <f t="array" ref="N10">_xlfn.XLOOKUP($A10,FYTable[[DOD ID]:[DOD ID]],FYTable[CYBER Trained / Untrained], $AE$1)</f>
        <v>Trained</v>
      </c>
      <c r="O10" s="51">
        <f>_xlfn.XLOOKUP($A10,FYTable[DOD ID],FYTable[Pistol Classification], $AE$1)</f>
        <v>0</v>
      </c>
      <c r="P10" s="51" cm="1">
        <f t="array" ref="P10">_xlfn.XLOOKUP($A10,FYTable[[DOD ID]:[DOD ID]],FYTable[RM Trained / Untrained], $AE$1)</f>
        <v>0</v>
      </c>
      <c r="Q10" s="51" cm="1">
        <f t="array" ref="Q10">_xlfn.XLOOKUP($A10,FYTable[[DOD ID]:[DOD ID]],FYTable[Step Up Trained / Untrained], $AE$1)</f>
        <v>0</v>
      </c>
      <c r="R10" s="51" cm="1">
        <f t="array" ref="R10">_xlfn.XLOOKUP($A10,FYTable[[DOD ID]:[DOD ID]],FYTable[Take A Stand Trained / Untrained], $AE$1)</f>
        <v>0</v>
      </c>
      <c r="S10" s="51" cm="1">
        <f t="array" ref="S10">_xlfn.XLOOKUP($A10,FYTable[[DOD ID]:[DOD ID]],FYTable[SAPR Trained / Untrained], $AE$1)</f>
        <v>0</v>
      </c>
      <c r="T10" s="51" cm="1">
        <f t="array" ref="T10">_xlfn.XLOOKUP($A10,FYTable[[DOD ID]:[DOD ID]],FYTable[SAPR SNCO Trained / Untrained], $AE$1)</f>
        <v>0</v>
      </c>
      <c r="U10" s="77" t="str" cm="1">
        <f t="array" ref="U10">_xlfn.XLOOKUP($A10,CFTTable[[DOD ID]:[DOD ID]],CFTTable[Class CFT],"")</f>
        <v>FIRST CLASS</v>
      </c>
      <c r="V10" s="62" cm="1">
        <f t="array" ref="V10">_xlfn.XLOOKUP($A10,CFTTable[[DOD ID]:[DOD ID]],CFTTable[Event Date])</f>
        <v>45188</v>
      </c>
      <c r="W10" s="62">
        <f>_xlfn.XLOOKUP($A10,PFTTable[DOD ID],PFTTable[Class PFT],"")</f>
        <v>0</v>
      </c>
      <c r="X10" s="62" cm="1">
        <f t="array" ref="X10">_xlfn.XLOOKUP($A10,PFTTable[[DOD ID]:[DOD ID]],PFTTable[PFT Event Date])</f>
        <v>0</v>
      </c>
      <c r="Y10" s="62" t="str" cm="1">
        <f t="array" ref="Y10">_xlfn.XLOOKUP($A10,SwimTable[[DOD ID]:[DOD ID]],SwimTable[Swim MCTFS Status],"")</f>
        <v>Success</v>
      </c>
      <c r="Z10" s="51" cm="1">
        <f t="array" ref="Z10">_xlfn.XLOOKUP($A11,HTWTTable[[DOD ID]:[DOD ID]],HTWTTable[MCTFS Status],"")</f>
        <v>0</v>
      </c>
      <c r="AA10" s="51" t="str" cm="1">
        <f t="array" ref="AA10">_xlfn.XLOOKUP($A10,FYTable[[DOD ID]:[DOD ID]],FYTable[CBRN Trained / Untrained],"")</f>
        <v>Trained</v>
      </c>
      <c r="AC10" s="51"/>
      <c r="AD10" s="51"/>
      <c r="BC10" s="49">
        <v>1593912198</v>
      </c>
      <c r="BD10" s="49" t="s">
        <v>209</v>
      </c>
      <c r="BE10" s="49" t="s">
        <v>229</v>
      </c>
      <c r="BF10" s="49" t="s">
        <v>230</v>
      </c>
      <c r="BG10" s="49" t="s">
        <v>212</v>
      </c>
      <c r="BH10" s="49" t="s">
        <v>231</v>
      </c>
      <c r="BJ10" s="49" t="str">
        <f t="shared" si="0"/>
        <v>Bad</v>
      </c>
    </row>
    <row r="11" spans="1:62" x14ac:dyDescent="0.25">
      <c r="A11" s="136">
        <v>1245991266</v>
      </c>
      <c r="B11" s="137" t="str">
        <f>_xlfn.XLOOKUP($A11,RecallTable[EDIPI],RecallTable[GRADE])</f>
        <v>E4</v>
      </c>
      <c r="C11" s="137" t="str">
        <f>_xlfn.XLOOKUP($A11,RecallTable[EDIPI],RecallTable[NAME], $AE$1)</f>
        <v>DUARTE, SILAS A.</v>
      </c>
      <c r="D11" s="137" t="str">
        <f>_xlfn.XLOOKUP($A11,RecallTable[EDIPI],RecallTable[SECTION])</f>
        <v>1PLT</v>
      </c>
      <c r="E11" s="50" t="str">
        <f>_xlfn.XLOOKUP($A11,CYTable[DOD ID],CYTable[CIAR Trained / Untrained], $AE$1)</f>
        <v>Trained</v>
      </c>
      <c r="F11" s="51" cm="1">
        <f t="array" ref="F11">_xlfn.XLOOKUP($A11,CYTable[[DOD ID]:[DOD ID]],CYTable[AT Trained / Untrained], $AE$1)</f>
        <v>0</v>
      </c>
      <c r="G11" s="51" t="str" cm="1">
        <f t="array" ref="G11">_xlfn.XLOOKUP($A11,CYTable[[DOD ID]:[DOD ID]],CYTable[OPSEC Trained / Untrained], $AE$1)</f>
        <v>Trained</v>
      </c>
      <c r="H11" s="51" cm="1">
        <f t="array" ref="H11">_xlfn.XLOOKUP($A11,CYTable[[DOD ID]:[DOD ID]],CYTable[PAC Trained / Untrained], $AE$1)</f>
        <v>0</v>
      </c>
      <c r="I11" s="51" t="str">
        <f>_xlfn.XLOOKUP($A11,CYTable[DOD ID],CYTable[RM Trained / Untrained], $AE$1)</f>
        <v>Trained</v>
      </c>
      <c r="J11" s="51" cm="1">
        <f t="array" ref="J11">_xlfn.XLOOKUP($A11,CYTable[[DOD ID]:[DOD ID]],CYTable[UMAPIT Trained / Untrained], $AE$1)</f>
        <v>0</v>
      </c>
      <c r="K11" s="51" t="str">
        <f>_xlfn.XLOOKUP($A11,CYTable[DOD ID],CYTable[Sup Safety Trained / Untrained], $AE$1)</f>
        <v>Trained</v>
      </c>
      <c r="L11" s="51" t="str">
        <f>_xlfn.XLOOKUP($A11,CYTable[DOD ID],CYTable[Substances Trained / Untrained], $AE$1)</f>
        <v>Trained</v>
      </c>
      <c r="M11" s="50" cm="1">
        <f t="array" ref="M11">IF(COUNTIF(TrainingTable[[#This Row],[ARQ Comments]],"*Exempt*"),"Exempt", _xlfn.XLOOKUP($A11,FYTable[[DOD ID]:[DOD ID]],FYTable[ARQ MCTFS Status], $AE$1))</f>
        <v>0</v>
      </c>
      <c r="N11" s="51" t="str" cm="1">
        <f t="array" ref="N11">_xlfn.XLOOKUP($A11,FYTable[[DOD ID]:[DOD ID]],FYTable[CYBER Trained / Untrained], $AE$1)</f>
        <v>Trained</v>
      </c>
      <c r="O11" s="51">
        <f>_xlfn.XLOOKUP($A11,FYTable[DOD ID],FYTable[Pistol Classification], $AE$1)</f>
        <v>0</v>
      </c>
      <c r="P11" s="51" cm="1">
        <f t="array" ref="P11">_xlfn.XLOOKUP($A11,FYTable[[DOD ID]:[DOD ID]],FYTable[RM Trained / Untrained], $AE$1)</f>
        <v>0</v>
      </c>
      <c r="Q11" s="51" cm="1">
        <f t="array" ref="Q11">_xlfn.XLOOKUP($A11,FYTable[[DOD ID]:[DOD ID]],FYTable[Step Up Trained / Untrained], $AE$1)</f>
        <v>0</v>
      </c>
      <c r="R11" s="51" t="str" cm="1">
        <f t="array" ref="R11">_xlfn.XLOOKUP($A11,FYTable[[DOD ID]:[DOD ID]],FYTable[Take A Stand Trained / Untrained], $AE$1)</f>
        <v>Trained</v>
      </c>
      <c r="S11" s="51" cm="1">
        <f t="array" ref="S11">_xlfn.XLOOKUP($A11,FYTable[[DOD ID]:[DOD ID]],FYTable[SAPR Trained / Untrained], $AE$1)</f>
        <v>0</v>
      </c>
      <c r="T11" s="51" cm="1">
        <f t="array" ref="T11">_xlfn.XLOOKUP($A11,FYTable[[DOD ID]:[DOD ID]],FYTable[SAPR SNCO Trained / Untrained], $AE$1)</f>
        <v>0</v>
      </c>
      <c r="U11" s="77" t="str" cm="1">
        <f t="array" ref="U11">_xlfn.XLOOKUP($A11,CFTTable[[DOD ID]:[DOD ID]],CFTTable[Class CFT],"")</f>
        <v>FIRST CLASS</v>
      </c>
      <c r="V11" s="62" cm="1">
        <f t="array" ref="V11">_xlfn.XLOOKUP($A11,CFTTable[[DOD ID]:[DOD ID]],CFTTable[Event Date])</f>
        <v>45131</v>
      </c>
      <c r="W11" s="62" t="str">
        <f>_xlfn.XLOOKUP($A11,PFTTable[DOD ID],PFTTable[Class PFT],"")</f>
        <v>Second Class</v>
      </c>
      <c r="X11" s="62" cm="1">
        <f t="array" ref="X11">_xlfn.XLOOKUP($A11,PFTTable[[DOD ID]:[DOD ID]],PFTTable[PFT Event Date])</f>
        <v>45330</v>
      </c>
      <c r="Y11" s="62" t="str" cm="1">
        <f t="array" ref="Y11">_xlfn.XLOOKUP($A11,SwimTable[[DOD ID]:[DOD ID]],SwimTable[Swim MCTFS Status],"")</f>
        <v>Success</v>
      </c>
      <c r="Z11" s="51" cm="1">
        <f t="array" ref="Z11">_xlfn.XLOOKUP($A12,HTWTTable[[DOD ID]:[DOD ID]],HTWTTable[MCTFS Status],"")</f>
        <v>0</v>
      </c>
      <c r="AA11" s="51" cm="1">
        <f t="array" ref="AA11">_xlfn.XLOOKUP($A11,FYTable[[DOD ID]:[DOD ID]],FYTable[CBRN Trained / Untrained],"")</f>
        <v>0</v>
      </c>
      <c r="AC11" s="51"/>
      <c r="AD11" s="51"/>
      <c r="BC11" s="49">
        <v>1595635361</v>
      </c>
      <c r="BD11" s="49" t="s">
        <v>209</v>
      </c>
      <c r="BE11" s="49" t="s">
        <v>232</v>
      </c>
      <c r="BF11" s="49" t="s">
        <v>230</v>
      </c>
      <c r="BG11" s="49" t="s">
        <v>212</v>
      </c>
      <c r="BH11" s="49" t="s">
        <v>233</v>
      </c>
      <c r="BJ11" s="49" t="str">
        <f t="shared" si="0"/>
        <v>Bad</v>
      </c>
    </row>
    <row r="12" spans="1:62" x14ac:dyDescent="0.25">
      <c r="A12" s="136">
        <v>1019647482</v>
      </c>
      <c r="B12" s="137" t="str">
        <f>_xlfn.XLOOKUP($A12,RecallTable[EDIPI],RecallTable[GRADE])</f>
        <v>E4</v>
      </c>
      <c r="C12" s="137" t="str">
        <f>_xlfn.XLOOKUP($A12,RecallTable[EDIPI],RecallTable[NAME], $AE$1)</f>
        <v>KIDD, ADONIS A.</v>
      </c>
      <c r="D12" s="137" t="str">
        <f>_xlfn.XLOOKUP($A12,RecallTable[EDIPI],RecallTable[SECTION])</f>
        <v>1PLT</v>
      </c>
      <c r="E12" s="50">
        <f>_xlfn.XLOOKUP($A12,CYTable[DOD ID],CYTable[CIAR Trained / Untrained], $AE$1)</f>
        <v>0</v>
      </c>
      <c r="F12" s="51" cm="1">
        <f t="array" ref="F12">_xlfn.XLOOKUP($A12,CYTable[[DOD ID]:[DOD ID]],CYTable[AT Trained / Untrained], $AE$1)</f>
        <v>0</v>
      </c>
      <c r="G12" s="51" cm="1">
        <f t="array" ref="G12">_xlfn.XLOOKUP($A12,CYTable[[DOD ID]:[DOD ID]],CYTable[OPSEC Trained / Untrained], $AE$1)</f>
        <v>0</v>
      </c>
      <c r="H12" s="51" cm="1">
        <f t="array" ref="H12">_xlfn.XLOOKUP($A12,CYTable[[DOD ID]:[DOD ID]],CYTable[PAC Trained / Untrained], $AE$1)</f>
        <v>0</v>
      </c>
      <c r="I12" s="51">
        <f>_xlfn.XLOOKUP($A12,CYTable[DOD ID],CYTable[RM Trained / Untrained], $AE$1)</f>
        <v>0</v>
      </c>
      <c r="J12" s="51" cm="1">
        <f t="array" ref="J12">_xlfn.XLOOKUP($A12,CYTable[[DOD ID]:[DOD ID]],CYTable[UMAPIT Trained / Untrained], $AE$1)</f>
        <v>0</v>
      </c>
      <c r="K12" s="51">
        <f>_xlfn.XLOOKUP($A12,CYTable[DOD ID],CYTable[Sup Safety Trained / Untrained], $AE$1)</f>
        <v>0</v>
      </c>
      <c r="L12" s="51">
        <f>_xlfn.XLOOKUP($A12,CYTable[DOD ID],CYTable[Substances Trained / Untrained], $AE$1)</f>
        <v>0</v>
      </c>
      <c r="M12" s="50" cm="1">
        <f t="array" ref="M12">IF(COUNTIF(TrainingTable[[#This Row],[ARQ Comments]],"*Exempt*"),"Exempt", _xlfn.XLOOKUP($A12,FYTable[[DOD ID]:[DOD ID]],FYTable[ARQ MCTFS Status], $AE$1))</f>
        <v>0</v>
      </c>
      <c r="N12" s="51" t="str" cm="1">
        <f t="array" ref="N12">_xlfn.XLOOKUP($A12,FYTable[[DOD ID]:[DOD ID]],FYTable[CYBER Trained / Untrained], $AE$1)</f>
        <v>Trained</v>
      </c>
      <c r="O12" s="51">
        <f>_xlfn.XLOOKUP($A12,FYTable[DOD ID],FYTable[Pistol Classification], $AE$1)</f>
        <v>0</v>
      </c>
      <c r="P12" s="51" cm="1">
        <f t="array" ref="P12">_xlfn.XLOOKUP($A12,FYTable[[DOD ID]:[DOD ID]],FYTable[RM Trained / Untrained], $AE$1)</f>
        <v>0</v>
      </c>
      <c r="Q12" s="51" t="str" cm="1">
        <f t="array" ref="Q12">_xlfn.XLOOKUP($A12,FYTable[[DOD ID]:[DOD ID]],FYTable[Step Up Trained / Untrained], $AE$1)</f>
        <v>Trained</v>
      </c>
      <c r="R12" s="51" t="str" cm="1">
        <f t="array" ref="R12">_xlfn.XLOOKUP($A12,FYTable[[DOD ID]:[DOD ID]],FYTable[Take A Stand Trained / Untrained], $AE$1)</f>
        <v>Trained</v>
      </c>
      <c r="S12" s="51" t="str" cm="1">
        <f t="array" ref="S12">_xlfn.XLOOKUP($A12,FYTable[[DOD ID]:[DOD ID]],FYTable[SAPR Trained / Untrained], $AE$1)</f>
        <v>Trained</v>
      </c>
      <c r="T12" s="51" t="str" cm="1">
        <f t="array" ref="T12">_xlfn.XLOOKUP($A12,FYTable[[DOD ID]:[DOD ID]],FYTable[SAPR SNCO Trained / Untrained], $AE$1)</f>
        <v>Trained</v>
      </c>
      <c r="U12" s="77" t="str" cm="1">
        <f t="array" ref="U12">_xlfn.XLOOKUP($A12,CFTTable[[DOD ID]:[DOD ID]],CFTTable[Class CFT],"")</f>
        <v>FIRST CLASS</v>
      </c>
      <c r="V12" s="62" cm="1">
        <f t="array" ref="V12">_xlfn.XLOOKUP($A12,CFTTable[[DOD ID]:[DOD ID]],CFTTable[Event Date])</f>
        <v>45225</v>
      </c>
      <c r="W12" s="62">
        <f>_xlfn.XLOOKUP($A12,PFTTable[DOD ID],PFTTable[Class PFT],"")</f>
        <v>0</v>
      </c>
      <c r="X12" s="62" cm="1">
        <f t="array" ref="X12">_xlfn.XLOOKUP($A12,PFTTable[[DOD ID]:[DOD ID]],PFTTable[PFT Event Date])</f>
        <v>0</v>
      </c>
      <c r="Y12" s="62" t="str" cm="1">
        <f t="array" ref="Y12">_xlfn.XLOOKUP($A12,SwimTable[[DOD ID]:[DOD ID]],SwimTable[Swim MCTFS Status],"")</f>
        <v>Success</v>
      </c>
      <c r="Z12" s="51" t="str" cm="1">
        <f t="array" ref="Z12">_xlfn.XLOOKUP($A13,HTWTTable[[DOD ID]:[DOD ID]],HTWTTable[MCTFS Status],"")</f>
        <v>Success</v>
      </c>
      <c r="AA12" s="51" cm="1">
        <f t="array" ref="AA12">_xlfn.XLOOKUP($A12,FYTable[[DOD ID]:[DOD ID]],FYTable[CBRN Trained / Untrained],"")</f>
        <v>0</v>
      </c>
      <c r="AC12" s="51"/>
      <c r="AD12" s="51"/>
      <c r="BC12" s="49">
        <v>1501749768</v>
      </c>
      <c r="BD12" s="49" t="s">
        <v>217</v>
      </c>
      <c r="BE12" s="49" t="s">
        <v>234</v>
      </c>
      <c r="BF12" s="49" t="s">
        <v>211</v>
      </c>
      <c r="BG12" s="49" t="s">
        <v>36</v>
      </c>
      <c r="BH12" s="49" t="s">
        <v>226</v>
      </c>
      <c r="BJ12" s="49" t="str">
        <f t="shared" si="0"/>
        <v>Bad</v>
      </c>
    </row>
    <row r="13" spans="1:62" x14ac:dyDescent="0.25">
      <c r="A13" s="136">
        <v>1216965036</v>
      </c>
      <c r="B13" s="137" t="str">
        <f>_xlfn.XLOOKUP($A13,RecallTable[EDIPI],RecallTable[GRADE])</f>
        <v>E4</v>
      </c>
      <c r="C13" s="137" t="str">
        <f>_xlfn.XLOOKUP($A13,RecallTable[EDIPI],RecallTable[NAME], $AE$1)</f>
        <v>BREWER, VALENTINA A.</v>
      </c>
      <c r="D13" s="137" t="str">
        <f>_xlfn.XLOOKUP($A13,RecallTable[EDIPI],RecallTable[SECTION])</f>
        <v>1PLT</v>
      </c>
      <c r="E13" s="50">
        <f>_xlfn.XLOOKUP($A13,CYTable[DOD ID],CYTable[CIAR Trained / Untrained], $AE$1)</f>
        <v>0</v>
      </c>
      <c r="F13" s="51" cm="1">
        <f t="array" ref="F13">_xlfn.XLOOKUP($A13,CYTable[[DOD ID]:[DOD ID]],CYTable[AT Trained / Untrained], $AE$1)</f>
        <v>0</v>
      </c>
      <c r="G13" s="51" cm="1">
        <f t="array" ref="G13">_xlfn.XLOOKUP($A13,CYTable[[DOD ID]:[DOD ID]],CYTable[OPSEC Trained / Untrained], $AE$1)</f>
        <v>0</v>
      </c>
      <c r="H13" s="51" cm="1">
        <f t="array" ref="H13">_xlfn.XLOOKUP($A13,CYTable[[DOD ID]:[DOD ID]],CYTable[PAC Trained / Untrained], $AE$1)</f>
        <v>0</v>
      </c>
      <c r="I13" s="51">
        <f>_xlfn.XLOOKUP($A13,CYTable[DOD ID],CYTable[RM Trained / Untrained], $AE$1)</f>
        <v>0</v>
      </c>
      <c r="J13" s="51" cm="1">
        <f t="array" ref="J13">_xlfn.XLOOKUP($A13,CYTable[[DOD ID]:[DOD ID]],CYTable[UMAPIT Trained / Untrained], $AE$1)</f>
        <v>0</v>
      </c>
      <c r="K13" s="51">
        <f>_xlfn.XLOOKUP($A13,CYTable[DOD ID],CYTable[Sup Safety Trained / Untrained], $AE$1)</f>
        <v>0</v>
      </c>
      <c r="L13" s="51">
        <f>_xlfn.XLOOKUP($A13,CYTable[DOD ID],CYTable[Substances Trained / Untrained], $AE$1)</f>
        <v>0</v>
      </c>
      <c r="M13" s="50" t="str" cm="1">
        <f t="array" ref="M13">IF(COUNTIF(TrainingTable[[#This Row],[ARQ Comments]],"*Exempt*"),"Exempt", _xlfn.XLOOKUP($A13,FYTable[[DOD ID]:[DOD ID]],FYTable[ARQ MCTFS Status], $AE$1))</f>
        <v>Success</v>
      </c>
      <c r="N13" s="51" t="str" cm="1">
        <f t="array" ref="N13">_xlfn.XLOOKUP($A13,FYTable[[DOD ID]:[DOD ID]],FYTable[CYBER Trained / Untrained], $AE$1)</f>
        <v>Trained</v>
      </c>
      <c r="O13" s="51" t="str">
        <f>_xlfn.XLOOKUP($A13,FYTable[DOD ID],FYTable[Pistol Classification], $AE$1)</f>
        <v>EXPERT</v>
      </c>
      <c r="P13" s="51" cm="1">
        <f t="array" ref="P13">_xlfn.XLOOKUP($A13,FYTable[[DOD ID]:[DOD ID]],FYTable[RM Trained / Untrained], $AE$1)</f>
        <v>0</v>
      </c>
      <c r="Q13" s="51" cm="1">
        <f t="array" ref="Q13">_xlfn.XLOOKUP($A13,FYTable[[DOD ID]:[DOD ID]],FYTable[Step Up Trained / Untrained], $AE$1)</f>
        <v>0</v>
      </c>
      <c r="R13" s="51" t="str" cm="1">
        <f t="array" ref="R13">_xlfn.XLOOKUP($A13,FYTable[[DOD ID]:[DOD ID]],FYTable[Take A Stand Trained / Untrained], $AE$1)</f>
        <v>Trained</v>
      </c>
      <c r="S13" s="51" cm="1">
        <f t="array" ref="S13">_xlfn.XLOOKUP($A13,FYTable[[DOD ID]:[DOD ID]],FYTable[SAPR Trained / Untrained], $AE$1)</f>
        <v>0</v>
      </c>
      <c r="T13" s="51" cm="1">
        <f t="array" ref="T13">_xlfn.XLOOKUP($A13,FYTable[[DOD ID]:[DOD ID]],FYTable[SAPR SNCO Trained / Untrained], $AE$1)</f>
        <v>0</v>
      </c>
      <c r="U13" s="77" t="str" cm="1">
        <f t="array" ref="U13">_xlfn.XLOOKUP($A13,CFTTable[[DOD ID]:[DOD ID]],CFTTable[Class CFT],"")</f>
        <v>FIRST CLASS</v>
      </c>
      <c r="V13" s="62" cm="1">
        <f t="array" ref="V13">_xlfn.XLOOKUP($A13,CFTTable[[DOD ID]:[DOD ID]],CFTTable[Event Date])</f>
        <v>45195</v>
      </c>
      <c r="W13" s="62" t="str">
        <f>_xlfn.XLOOKUP($A13,PFTTable[DOD ID],PFTTable[Class PFT],"")</f>
        <v>First Class</v>
      </c>
      <c r="X13" s="62" cm="1">
        <f t="array" ref="X13">_xlfn.XLOOKUP($A13,PFTTable[[DOD ID]:[DOD ID]],PFTTable[PFT Event Date])</f>
        <v>45376</v>
      </c>
      <c r="Y13" s="62" t="str" cm="1">
        <f t="array" ref="Y13">_xlfn.XLOOKUP($A13,SwimTable[[DOD ID]:[DOD ID]],SwimTable[Swim MCTFS Status],"")</f>
        <v>Success</v>
      </c>
      <c r="Z13" s="51" t="str" cm="1">
        <f t="array" ref="Z13">_xlfn.XLOOKUP($A14,HTWTTable[[DOD ID]:[DOD ID]],HTWTTable[MCTFS Status],"")</f>
        <v>Success</v>
      </c>
      <c r="AA13" s="51" t="str" cm="1">
        <f t="array" ref="AA13">_xlfn.XLOOKUP($A13,FYTable[[DOD ID]:[DOD ID]],FYTable[CBRN Trained / Untrained],"")</f>
        <v>Trained</v>
      </c>
      <c r="AC13" s="51"/>
      <c r="AD13" s="51"/>
      <c r="BC13" s="49">
        <v>1161621605</v>
      </c>
      <c r="BD13" s="49" t="s">
        <v>235</v>
      </c>
      <c r="BE13" s="49" t="s">
        <v>236</v>
      </c>
      <c r="BF13" s="49" t="s">
        <v>211</v>
      </c>
      <c r="BG13" s="49" t="s">
        <v>212</v>
      </c>
      <c r="BH13" s="49" t="s">
        <v>237</v>
      </c>
      <c r="BJ13" s="49" t="str">
        <f t="shared" si="0"/>
        <v>Bad</v>
      </c>
    </row>
    <row r="14" spans="1:62" x14ac:dyDescent="0.25">
      <c r="A14" s="136">
        <v>1014426852</v>
      </c>
      <c r="B14" s="137" t="str">
        <f>_xlfn.XLOOKUP($A14,RecallTable[EDIPI],RecallTable[GRADE])</f>
        <v>E4</v>
      </c>
      <c r="C14" s="137" t="str">
        <f>_xlfn.XLOOKUP($A14,RecallTable[EDIPI],RecallTable[NAME], $AE$1)</f>
        <v>CABRERA, HAILIE A.</v>
      </c>
      <c r="D14" s="137" t="str">
        <f>_xlfn.XLOOKUP($A14,RecallTable[EDIPI],RecallTable[SECTION])</f>
        <v>1PLT</v>
      </c>
      <c r="E14" s="50">
        <f>_xlfn.XLOOKUP($A14,CYTable[DOD ID],CYTable[CIAR Trained / Untrained], $AE$1)</f>
        <v>0</v>
      </c>
      <c r="F14" s="51" cm="1">
        <f t="array" ref="F14">_xlfn.XLOOKUP($A14,CYTable[[DOD ID]:[DOD ID]],CYTable[AT Trained / Untrained], $AE$1)</f>
        <v>0</v>
      </c>
      <c r="G14" s="51" cm="1">
        <f t="array" ref="G14">_xlfn.XLOOKUP($A14,CYTable[[DOD ID]:[DOD ID]],CYTable[OPSEC Trained / Untrained], $AE$1)</f>
        <v>0</v>
      </c>
      <c r="H14" s="51" cm="1">
        <f t="array" ref="H14">_xlfn.XLOOKUP($A14,CYTable[[DOD ID]:[DOD ID]],CYTable[PAC Trained / Untrained], $AE$1)</f>
        <v>0</v>
      </c>
      <c r="I14" s="51">
        <f>_xlfn.XLOOKUP($A14,CYTable[DOD ID],CYTable[RM Trained / Untrained], $AE$1)</f>
        <v>0</v>
      </c>
      <c r="J14" s="51" cm="1">
        <f t="array" ref="J14">_xlfn.XLOOKUP($A14,CYTable[[DOD ID]:[DOD ID]],CYTable[UMAPIT Trained / Untrained], $AE$1)</f>
        <v>0</v>
      </c>
      <c r="K14" s="51">
        <f>_xlfn.XLOOKUP($A14,CYTable[DOD ID],CYTable[Sup Safety Trained / Untrained], $AE$1)</f>
        <v>0</v>
      </c>
      <c r="L14" s="51">
        <f>_xlfn.XLOOKUP($A14,CYTable[DOD ID],CYTable[Substances Trained / Untrained], $AE$1)</f>
        <v>0</v>
      </c>
      <c r="M14" s="50" cm="1">
        <f t="array" ref="M14">IF(COUNTIF(TrainingTable[[#This Row],[ARQ Comments]],"*Exempt*"),"Exempt", _xlfn.XLOOKUP($A14,FYTable[[DOD ID]:[DOD ID]],FYTable[ARQ MCTFS Status], $AE$1))</f>
        <v>0</v>
      </c>
      <c r="N14" s="51" cm="1">
        <f t="array" ref="N14">_xlfn.XLOOKUP($A14,FYTable[[DOD ID]:[DOD ID]],FYTable[CYBER Trained / Untrained], $AE$1)</f>
        <v>0</v>
      </c>
      <c r="O14" s="51" t="str">
        <f>_xlfn.XLOOKUP($A14,FYTable[DOD ID],FYTable[Pistol Classification], $AE$1)</f>
        <v>EXPERT</v>
      </c>
      <c r="P14" s="51" cm="1">
        <f t="array" ref="P14">_xlfn.XLOOKUP($A14,FYTable[[DOD ID]:[DOD ID]],FYTable[RM Trained / Untrained], $AE$1)</f>
        <v>0</v>
      </c>
      <c r="Q14" s="51" cm="1">
        <f t="array" ref="Q14">_xlfn.XLOOKUP($A14,FYTable[[DOD ID]:[DOD ID]],FYTable[Step Up Trained / Untrained], $AE$1)</f>
        <v>0</v>
      </c>
      <c r="R14" s="51" cm="1">
        <f t="array" ref="R14">_xlfn.XLOOKUP($A14,FYTable[[DOD ID]:[DOD ID]],FYTable[Take A Stand Trained / Untrained], $AE$1)</f>
        <v>0</v>
      </c>
      <c r="S14" s="51" cm="1">
        <f t="array" ref="S14">_xlfn.XLOOKUP($A14,FYTable[[DOD ID]:[DOD ID]],FYTable[SAPR Trained / Untrained], $AE$1)</f>
        <v>0</v>
      </c>
      <c r="T14" s="51" cm="1">
        <f t="array" ref="T14">_xlfn.XLOOKUP($A14,FYTable[[DOD ID]:[DOD ID]],FYTable[SAPR SNCO Trained / Untrained], $AE$1)</f>
        <v>0</v>
      </c>
      <c r="U14" s="77" t="str" cm="1">
        <f t="array" ref="U14">_xlfn.XLOOKUP($A14,CFTTable[[DOD ID]:[DOD ID]],CFTTable[Class CFT],"")</f>
        <v>SECOND CLASS</v>
      </c>
      <c r="V14" s="62" cm="1">
        <f t="array" ref="V14">_xlfn.XLOOKUP($A14,CFTTable[[DOD ID]:[DOD ID]],CFTTable[Event Date])</f>
        <v>45226</v>
      </c>
      <c r="W14" s="62">
        <f>_xlfn.XLOOKUP($A14,PFTTable[DOD ID],PFTTable[Class PFT],"")</f>
        <v>0</v>
      </c>
      <c r="X14" s="62" cm="1">
        <f t="array" ref="X14">_xlfn.XLOOKUP($A14,PFTTable[[DOD ID]:[DOD ID]],PFTTable[PFT Event Date])</f>
        <v>0</v>
      </c>
      <c r="Y14" s="62" t="str" cm="1">
        <f t="array" ref="Y14">_xlfn.XLOOKUP($A14,SwimTable[[DOD ID]:[DOD ID]],SwimTable[Swim MCTFS Status],"")</f>
        <v>Success</v>
      </c>
      <c r="Z14" s="51" cm="1">
        <f t="array" ref="Z14">_xlfn.XLOOKUP($A15,HTWTTable[[DOD ID]:[DOD ID]],HTWTTable[MCTFS Status],"")</f>
        <v>0</v>
      </c>
      <c r="AA14" s="51" t="str" cm="1">
        <f t="array" ref="AA14">_xlfn.XLOOKUP($A14,FYTable[[DOD ID]:[DOD ID]],FYTable[CBRN Trained / Untrained],"")</f>
        <v>Trained</v>
      </c>
      <c r="AC14" s="51"/>
      <c r="AD14" s="51"/>
      <c r="BC14" s="49">
        <v>1540176236</v>
      </c>
      <c r="BD14" s="49" t="s">
        <v>220</v>
      </c>
      <c r="BE14" s="49" t="s">
        <v>238</v>
      </c>
      <c r="BF14" s="49" t="s">
        <v>239</v>
      </c>
      <c r="BG14" s="49" t="s">
        <v>36</v>
      </c>
      <c r="BH14" s="49" t="s">
        <v>240</v>
      </c>
      <c r="BJ14" s="49" t="str">
        <f t="shared" si="0"/>
        <v>Bad</v>
      </c>
    </row>
    <row r="15" spans="1:62" x14ac:dyDescent="0.25">
      <c r="A15" s="136">
        <v>1342870108</v>
      </c>
      <c r="B15" s="137" t="str">
        <f>_xlfn.XLOOKUP($A15,RecallTable[EDIPI],RecallTable[GRADE])</f>
        <v>E4</v>
      </c>
      <c r="C15" s="137" t="str">
        <f>_xlfn.XLOOKUP($A15,RecallTable[EDIPI],RecallTable[NAME], $AE$1)</f>
        <v>HODGES, ROSELYN A.</v>
      </c>
      <c r="D15" s="137" t="str">
        <f>_xlfn.XLOOKUP($A15,RecallTable[EDIPI],RecallTable[SECTION])</f>
        <v>1PLT</v>
      </c>
      <c r="E15" s="50">
        <f>_xlfn.XLOOKUP($A15,CYTable[DOD ID],CYTable[CIAR Trained / Untrained], $AE$1)</f>
        <v>0</v>
      </c>
      <c r="F15" s="51" cm="1">
        <f t="array" ref="F15">_xlfn.XLOOKUP($A15,CYTable[[DOD ID]:[DOD ID]],CYTable[AT Trained / Untrained], $AE$1)</f>
        <v>0</v>
      </c>
      <c r="G15" s="51" cm="1">
        <f t="array" ref="G15">_xlfn.XLOOKUP($A15,CYTable[[DOD ID]:[DOD ID]],CYTable[OPSEC Trained / Untrained], $AE$1)</f>
        <v>0</v>
      </c>
      <c r="H15" s="51" cm="1">
        <f t="array" ref="H15">_xlfn.XLOOKUP($A15,CYTable[[DOD ID]:[DOD ID]],CYTable[PAC Trained / Untrained], $AE$1)</f>
        <v>0</v>
      </c>
      <c r="I15" s="51">
        <f>_xlfn.XLOOKUP($A15,CYTable[DOD ID],CYTable[RM Trained / Untrained], $AE$1)</f>
        <v>0</v>
      </c>
      <c r="J15" s="51" cm="1">
        <f t="array" ref="J15">_xlfn.XLOOKUP($A15,CYTable[[DOD ID]:[DOD ID]],CYTable[UMAPIT Trained / Untrained], $AE$1)</f>
        <v>0</v>
      </c>
      <c r="K15" s="51">
        <f>_xlfn.XLOOKUP($A15,CYTable[DOD ID],CYTable[Sup Safety Trained / Untrained], $AE$1)</f>
        <v>0</v>
      </c>
      <c r="L15" s="51">
        <f>_xlfn.XLOOKUP($A15,CYTable[DOD ID],CYTable[Substances Trained / Untrained], $AE$1)</f>
        <v>0</v>
      </c>
      <c r="M15" s="50" cm="1">
        <f t="array" ref="M15">IF(COUNTIF(TrainingTable[[#This Row],[ARQ Comments]],"*Exempt*"),"Exempt", _xlfn.XLOOKUP($A15,FYTable[[DOD ID]:[DOD ID]],FYTable[ARQ MCTFS Status], $AE$1))</f>
        <v>0</v>
      </c>
      <c r="N15" s="51" t="str" cm="1">
        <f t="array" ref="N15">_xlfn.XLOOKUP($A15,FYTable[[DOD ID]:[DOD ID]],FYTable[CYBER Trained / Untrained], $AE$1)</f>
        <v>Trained</v>
      </c>
      <c r="O15" s="51">
        <f>_xlfn.XLOOKUP($A15,FYTable[DOD ID],FYTable[Pistol Classification], $AE$1)</f>
        <v>0</v>
      </c>
      <c r="P15" s="51" cm="1">
        <f t="array" ref="P15">_xlfn.XLOOKUP($A15,FYTable[[DOD ID]:[DOD ID]],FYTable[RM Trained / Untrained], $AE$1)</f>
        <v>0</v>
      </c>
      <c r="Q15" s="51" cm="1">
        <f t="array" ref="Q15">_xlfn.XLOOKUP($A15,FYTable[[DOD ID]:[DOD ID]],FYTable[Step Up Trained / Untrained], $AE$1)</f>
        <v>0</v>
      </c>
      <c r="R15" s="51" t="str" cm="1">
        <f t="array" ref="R15">_xlfn.XLOOKUP($A15,FYTable[[DOD ID]:[DOD ID]],FYTable[Take A Stand Trained / Untrained], $AE$1)</f>
        <v>Trained</v>
      </c>
      <c r="S15" s="51" cm="1">
        <f t="array" ref="S15">_xlfn.XLOOKUP($A15,FYTable[[DOD ID]:[DOD ID]],FYTable[SAPR Trained / Untrained], $AE$1)</f>
        <v>0</v>
      </c>
      <c r="T15" s="51" cm="1">
        <f t="array" ref="T15">_xlfn.XLOOKUP($A15,FYTable[[DOD ID]:[DOD ID]],FYTable[SAPR SNCO Trained / Untrained], $AE$1)</f>
        <v>0</v>
      </c>
      <c r="U15" s="77" t="str" cm="1">
        <f t="array" ref="U15">_xlfn.XLOOKUP($A15,CFTTable[[DOD ID]:[DOD ID]],CFTTable[Class CFT],"")</f>
        <v>FIRST CLASS</v>
      </c>
      <c r="V15" s="62" cm="1">
        <f t="array" ref="V15">_xlfn.XLOOKUP($A15,CFTTable[[DOD ID]:[DOD ID]],CFTTable[Event Date])</f>
        <v>45205</v>
      </c>
      <c r="W15" s="62">
        <f>_xlfn.XLOOKUP($A15,PFTTable[DOD ID],PFTTable[Class PFT],"")</f>
        <v>0</v>
      </c>
      <c r="X15" s="62" cm="1">
        <f t="array" ref="X15">_xlfn.XLOOKUP($A15,PFTTable[[DOD ID]:[DOD ID]],PFTTable[PFT Event Date])</f>
        <v>0</v>
      </c>
      <c r="Y15" s="62" t="str" cm="1">
        <f t="array" ref="Y15">_xlfn.XLOOKUP($A15,SwimTable[[DOD ID]:[DOD ID]],SwimTable[Swim MCTFS Status],"")</f>
        <v>Success</v>
      </c>
      <c r="Z15" s="51" cm="1">
        <f t="array" ref="Z15">_xlfn.XLOOKUP($A16,HTWTTable[[DOD ID]:[DOD ID]],HTWTTable[MCTFS Status],"")</f>
        <v>0</v>
      </c>
      <c r="AA15" s="51" cm="1">
        <f t="array" ref="AA15">_xlfn.XLOOKUP($A15,FYTable[[DOD ID]:[DOD ID]],FYTable[CBRN Trained / Untrained],"")</f>
        <v>0</v>
      </c>
      <c r="AC15" s="51"/>
      <c r="AD15" s="51"/>
      <c r="BC15" s="49">
        <v>1553129601</v>
      </c>
      <c r="BD15" s="49" t="s">
        <v>209</v>
      </c>
      <c r="BE15" s="49" t="s">
        <v>241</v>
      </c>
      <c r="BF15" s="49" t="s">
        <v>225</v>
      </c>
      <c r="BG15" s="49" t="s">
        <v>212</v>
      </c>
      <c r="BH15" s="49" t="s">
        <v>242</v>
      </c>
      <c r="BJ15" s="49" t="str">
        <f t="shared" si="0"/>
        <v>Bad</v>
      </c>
    </row>
    <row r="16" spans="1:62" x14ac:dyDescent="0.25">
      <c r="A16" s="136">
        <v>1563539788</v>
      </c>
      <c r="B16" s="137" t="str">
        <f>_xlfn.XLOOKUP($A16,RecallTable[EDIPI],RecallTable[GRADE])</f>
        <v>E4</v>
      </c>
      <c r="C16" s="137" t="str">
        <f>_xlfn.XLOOKUP($A16,RecallTable[EDIPI],RecallTable[NAME], $AE$1)</f>
        <v>ACEVEDO, GRIFFIN A.</v>
      </c>
      <c r="D16" s="137" t="str">
        <f>_xlfn.XLOOKUP($A16,RecallTable[EDIPI],RecallTable[SECTION])</f>
        <v>1PLT</v>
      </c>
      <c r="E16" s="50">
        <f>_xlfn.XLOOKUP($A16,CYTable[DOD ID],CYTable[CIAR Trained / Untrained], $AE$1)</f>
        <v>0</v>
      </c>
      <c r="F16" s="51" cm="1">
        <f t="array" ref="F16">_xlfn.XLOOKUP($A16,CYTable[[DOD ID]:[DOD ID]],CYTable[AT Trained / Untrained], $AE$1)</f>
        <v>0</v>
      </c>
      <c r="G16" s="51" cm="1">
        <f t="array" ref="G16">_xlfn.XLOOKUP($A16,CYTable[[DOD ID]:[DOD ID]],CYTable[OPSEC Trained / Untrained], $AE$1)</f>
        <v>0</v>
      </c>
      <c r="H16" s="51" cm="1">
        <f t="array" ref="H16">_xlfn.XLOOKUP($A16,CYTable[[DOD ID]:[DOD ID]],CYTable[PAC Trained / Untrained], $AE$1)</f>
        <v>0</v>
      </c>
      <c r="I16" s="51">
        <f>_xlfn.XLOOKUP($A16,CYTable[DOD ID],CYTable[RM Trained / Untrained], $AE$1)</f>
        <v>0</v>
      </c>
      <c r="J16" s="51" cm="1">
        <f t="array" ref="J16">_xlfn.XLOOKUP($A16,CYTable[[DOD ID]:[DOD ID]],CYTable[UMAPIT Trained / Untrained], $AE$1)</f>
        <v>0</v>
      </c>
      <c r="K16" s="51">
        <f>_xlfn.XLOOKUP($A16,CYTable[DOD ID],CYTable[Sup Safety Trained / Untrained], $AE$1)</f>
        <v>0</v>
      </c>
      <c r="L16" s="51">
        <f>_xlfn.XLOOKUP($A16,CYTable[DOD ID],CYTable[Substances Trained / Untrained], $AE$1)</f>
        <v>0</v>
      </c>
      <c r="M16" s="50" cm="1">
        <f t="array" ref="M16">IF(COUNTIF(TrainingTable[[#This Row],[ARQ Comments]],"*Exempt*"),"Exempt", _xlfn.XLOOKUP($A16,FYTable[[DOD ID]:[DOD ID]],FYTable[ARQ MCTFS Status], $AE$1))</f>
        <v>0</v>
      </c>
      <c r="N16" s="51" t="str" cm="1">
        <f t="array" ref="N16">_xlfn.XLOOKUP($A16,FYTable[[DOD ID]:[DOD ID]],FYTable[CYBER Trained / Untrained], $AE$1)</f>
        <v>Trained</v>
      </c>
      <c r="O16" s="51">
        <f>_xlfn.XLOOKUP($A16,FYTable[DOD ID],FYTable[Pistol Classification], $AE$1)</f>
        <v>0</v>
      </c>
      <c r="P16" s="51" t="str" cm="1">
        <f t="array" ref="P16">_xlfn.XLOOKUP($A16,FYTable[[DOD ID]:[DOD ID]],FYTable[RM Trained / Untrained], $AE$1)</f>
        <v>Trained</v>
      </c>
      <c r="Q16" s="51" t="str" cm="1">
        <f t="array" ref="Q16">_xlfn.XLOOKUP($A16,FYTable[[DOD ID]:[DOD ID]],FYTable[Step Up Trained / Untrained], $AE$1)</f>
        <v>Trained</v>
      </c>
      <c r="R16" s="51" t="str" cm="1">
        <f t="array" ref="R16">_xlfn.XLOOKUP($A16,FYTable[[DOD ID]:[DOD ID]],FYTable[Take A Stand Trained / Untrained], $AE$1)</f>
        <v>Trained</v>
      </c>
      <c r="S16" s="51" cm="1">
        <f t="array" ref="S16">_xlfn.XLOOKUP($A16,FYTable[[DOD ID]:[DOD ID]],FYTable[SAPR Trained / Untrained], $AE$1)</f>
        <v>0</v>
      </c>
      <c r="T16" s="51" t="str" cm="1">
        <f t="array" ref="T16">_xlfn.XLOOKUP($A16,FYTable[[DOD ID]:[DOD ID]],FYTable[SAPR SNCO Trained / Untrained], $AE$1)</f>
        <v>Trained</v>
      </c>
      <c r="U16" s="77" t="str" cm="1">
        <f t="array" ref="U16">_xlfn.XLOOKUP($A16,CFTTable[[DOD ID]:[DOD ID]],CFTTable[Class CFT],"")</f>
        <v>FIRST CLASS</v>
      </c>
      <c r="V16" s="62" cm="1">
        <f t="array" ref="V16">_xlfn.XLOOKUP($A16,CFTTable[[DOD ID]:[DOD ID]],CFTTable[Event Date])</f>
        <v>45225</v>
      </c>
      <c r="W16" s="62" t="str">
        <f>_xlfn.XLOOKUP($A16,PFTTable[DOD ID],PFTTable[Class PFT],"")</f>
        <v>Second Class</v>
      </c>
      <c r="X16" s="62" cm="1">
        <f t="array" ref="X16">_xlfn.XLOOKUP($A16,PFTTable[[DOD ID]:[DOD ID]],PFTTable[PFT Event Date])</f>
        <v>45373</v>
      </c>
      <c r="Y16" s="62" t="str" cm="1">
        <f t="array" ref="Y16">_xlfn.XLOOKUP($A16,SwimTable[[DOD ID]:[DOD ID]],SwimTable[Swim MCTFS Status],"")</f>
        <v>Success</v>
      </c>
      <c r="Z16" s="51" cm="1">
        <f t="array" ref="Z16">_xlfn.XLOOKUP($A17,HTWTTable[[DOD ID]:[DOD ID]],HTWTTable[MCTFS Status],"")</f>
        <v>0</v>
      </c>
      <c r="AA16" s="51" cm="1">
        <f t="array" ref="AA16">_xlfn.XLOOKUP($A16,FYTable[[DOD ID]:[DOD ID]],FYTable[CBRN Trained / Untrained],"")</f>
        <v>0</v>
      </c>
      <c r="AC16" s="51"/>
      <c r="AD16" s="51"/>
      <c r="BC16" s="49">
        <v>1543438908</v>
      </c>
      <c r="BD16" s="49" t="s">
        <v>243</v>
      </c>
      <c r="BE16" s="49" t="s">
        <v>244</v>
      </c>
      <c r="BF16" s="49" t="s">
        <v>225</v>
      </c>
      <c r="BG16" s="49" t="s">
        <v>36</v>
      </c>
      <c r="BH16" s="49" t="s">
        <v>219</v>
      </c>
      <c r="BJ16" s="49" t="str">
        <f t="shared" si="0"/>
        <v>Bad</v>
      </c>
    </row>
    <row r="17" spans="1:62" x14ac:dyDescent="0.25">
      <c r="A17" s="136">
        <v>1243619874</v>
      </c>
      <c r="B17" s="137" t="str">
        <f>_xlfn.XLOOKUP($A17,RecallTable[EDIPI],RecallTable[GRADE])</f>
        <v>E3</v>
      </c>
      <c r="C17" s="137" t="str">
        <f>_xlfn.XLOOKUP($A17,RecallTable[EDIPI],RecallTable[NAME], $AE$1)</f>
        <v>ALLEN, KALE A.</v>
      </c>
      <c r="D17" s="137" t="str">
        <f>_xlfn.XLOOKUP($A17,RecallTable[EDIPI],RecallTable[SECTION])</f>
        <v>1PLT</v>
      </c>
      <c r="E17" s="50">
        <f>_xlfn.XLOOKUP($A17,CYTable[DOD ID],CYTable[CIAR Trained / Untrained], $AE$1)</f>
        <v>0</v>
      </c>
      <c r="F17" s="51" cm="1">
        <f t="array" ref="F17">_xlfn.XLOOKUP($A17,CYTable[[DOD ID]:[DOD ID]],CYTable[AT Trained / Untrained], $AE$1)</f>
        <v>0</v>
      </c>
      <c r="G17" s="51" cm="1">
        <f t="array" ref="G17">_xlfn.XLOOKUP($A17,CYTable[[DOD ID]:[DOD ID]],CYTable[OPSEC Trained / Untrained], $AE$1)</f>
        <v>0</v>
      </c>
      <c r="H17" s="51" cm="1">
        <f t="array" ref="H17">_xlfn.XLOOKUP($A17,CYTable[[DOD ID]:[DOD ID]],CYTable[PAC Trained / Untrained], $AE$1)</f>
        <v>0</v>
      </c>
      <c r="I17" s="51">
        <f>_xlfn.XLOOKUP($A17,CYTable[DOD ID],CYTable[RM Trained / Untrained], $AE$1)</f>
        <v>0</v>
      </c>
      <c r="J17" s="51" cm="1">
        <f t="array" ref="J17">_xlfn.XLOOKUP($A17,CYTable[[DOD ID]:[DOD ID]],CYTable[UMAPIT Trained / Untrained], $AE$1)</f>
        <v>0</v>
      </c>
      <c r="K17" s="51">
        <f>_xlfn.XLOOKUP($A17,CYTable[DOD ID],CYTable[Sup Safety Trained / Untrained], $AE$1)</f>
        <v>0</v>
      </c>
      <c r="L17" s="51">
        <f>_xlfn.XLOOKUP($A17,CYTable[DOD ID],CYTable[Substances Trained / Untrained], $AE$1)</f>
        <v>0</v>
      </c>
      <c r="M17" s="50" t="str" cm="1">
        <f t="array" ref="M17">IF(COUNTIF(TrainingTable[[#This Row],[ARQ Comments]],"*Exempt*"),"Exempt", _xlfn.XLOOKUP($A17,FYTable[[DOD ID]:[DOD ID]],FYTable[ARQ MCTFS Status], $AE$1))</f>
        <v>Success</v>
      </c>
      <c r="N17" s="51" cm="1">
        <f t="array" ref="N17">_xlfn.XLOOKUP($A17,FYTable[[DOD ID]:[DOD ID]],FYTable[CYBER Trained / Untrained], $AE$1)</f>
        <v>0</v>
      </c>
      <c r="O17" s="51">
        <f>_xlfn.XLOOKUP($A17,FYTable[DOD ID],FYTable[Pistol Classification], $AE$1)</f>
        <v>0</v>
      </c>
      <c r="P17" s="51" t="str" cm="1">
        <f t="array" ref="P17">_xlfn.XLOOKUP($A17,FYTable[[DOD ID]:[DOD ID]],FYTable[RM Trained / Untrained], $AE$1)</f>
        <v>Trained</v>
      </c>
      <c r="Q17" s="51" cm="1">
        <f t="array" ref="Q17">_xlfn.XLOOKUP($A17,FYTable[[DOD ID]:[DOD ID]],FYTable[Step Up Trained / Untrained], $AE$1)</f>
        <v>0</v>
      </c>
      <c r="R17" s="51" t="str" cm="1">
        <f t="array" ref="R17">_xlfn.XLOOKUP($A17,FYTable[[DOD ID]:[DOD ID]],FYTable[Take A Stand Trained / Untrained], $AE$1)</f>
        <v>Trained</v>
      </c>
      <c r="S17" s="51" cm="1">
        <f t="array" ref="S17">_xlfn.XLOOKUP($A17,FYTable[[DOD ID]:[DOD ID]],FYTable[SAPR Trained / Untrained], $AE$1)</f>
        <v>0</v>
      </c>
      <c r="T17" s="51" cm="1">
        <f t="array" ref="T17">_xlfn.XLOOKUP($A17,FYTable[[DOD ID]:[DOD ID]],FYTable[SAPR SNCO Trained / Untrained], $AE$1)</f>
        <v>0</v>
      </c>
      <c r="U17" s="77" t="str" cm="1">
        <f t="array" ref="U17">_xlfn.XLOOKUP($A17,CFTTable[[DOD ID]:[DOD ID]],CFTTable[Class CFT],"")</f>
        <v>FIRST CLASS</v>
      </c>
      <c r="V17" s="62" cm="1">
        <f t="array" ref="V17">_xlfn.XLOOKUP($A17,CFTTable[[DOD ID]:[DOD ID]],CFTTable[Event Date])</f>
        <v>45210</v>
      </c>
      <c r="W17" s="62">
        <f>_xlfn.XLOOKUP($A17,PFTTable[DOD ID],PFTTable[Class PFT],"")</f>
        <v>0</v>
      </c>
      <c r="X17" s="62" cm="1">
        <f t="array" ref="X17">_xlfn.XLOOKUP($A17,PFTTable[[DOD ID]:[DOD ID]],PFTTable[PFT Event Date])</f>
        <v>0</v>
      </c>
      <c r="Y17" s="62" t="str" cm="1">
        <f t="array" ref="Y17">_xlfn.XLOOKUP($A17,SwimTable[[DOD ID]:[DOD ID]],SwimTable[Swim MCTFS Status],"")</f>
        <v>Success</v>
      </c>
      <c r="Z17" s="51" t="str" cm="1">
        <f t="array" ref="Z17">_xlfn.XLOOKUP($A18,HTWTTable[[DOD ID]:[DOD ID]],HTWTTable[MCTFS Status],"")</f>
        <v>Success</v>
      </c>
      <c r="AA17" s="51" cm="1">
        <f t="array" ref="AA17">_xlfn.XLOOKUP($A17,FYTable[[DOD ID]:[DOD ID]],FYTable[CBRN Trained / Untrained],"")</f>
        <v>0</v>
      </c>
      <c r="AC17" s="51"/>
      <c r="AD17" s="51"/>
      <c r="BC17" s="49">
        <v>1535935455</v>
      </c>
      <c r="BD17" s="49" t="s">
        <v>243</v>
      </c>
      <c r="BE17" s="49" t="s">
        <v>245</v>
      </c>
      <c r="BF17" s="49" t="s">
        <v>225</v>
      </c>
      <c r="BG17" s="49" t="s">
        <v>212</v>
      </c>
      <c r="BH17" s="49" t="s">
        <v>246</v>
      </c>
      <c r="BJ17" s="49" t="str">
        <f t="shared" si="0"/>
        <v>Bad</v>
      </c>
    </row>
    <row r="18" spans="1:62" x14ac:dyDescent="0.25">
      <c r="A18" s="136">
        <v>1204889319</v>
      </c>
      <c r="B18" s="137" t="str">
        <f>_xlfn.XLOOKUP($A18,RecallTable[EDIPI],RecallTable[GRADE])</f>
        <v>O2</v>
      </c>
      <c r="C18" s="137" t="str">
        <f>_xlfn.XLOOKUP($A18,RecallTable[EDIPI],RecallTable[NAME], $AE$1)</f>
        <v>DAVENPORT, IMMANUEL A.</v>
      </c>
      <c r="D18" s="137" t="str">
        <f>_xlfn.XLOOKUP($A18,RecallTable[EDIPI],RecallTable[SECTION])</f>
        <v>2PLT</v>
      </c>
      <c r="E18" s="50">
        <f>_xlfn.XLOOKUP($A18,CYTable[DOD ID],CYTable[CIAR Trained / Untrained], $AE$1)</f>
        <v>0</v>
      </c>
      <c r="F18" s="51" cm="1">
        <f t="array" ref="F18">_xlfn.XLOOKUP($A18,CYTable[[DOD ID]:[DOD ID]],CYTable[AT Trained / Untrained], $AE$1)</f>
        <v>0</v>
      </c>
      <c r="G18" s="51" cm="1">
        <f t="array" ref="G18">_xlfn.XLOOKUP($A18,CYTable[[DOD ID]:[DOD ID]],CYTable[OPSEC Trained / Untrained], $AE$1)</f>
        <v>0</v>
      </c>
      <c r="H18" s="51" cm="1">
        <f t="array" ref="H18">_xlfn.XLOOKUP($A18,CYTable[[DOD ID]:[DOD ID]],CYTable[PAC Trained / Untrained], $AE$1)</f>
        <v>0</v>
      </c>
      <c r="I18" s="51">
        <f>_xlfn.XLOOKUP($A18,CYTable[DOD ID],CYTable[RM Trained / Untrained], $AE$1)</f>
        <v>0</v>
      </c>
      <c r="J18" s="51" cm="1">
        <f t="array" ref="J18">_xlfn.XLOOKUP($A18,CYTable[[DOD ID]:[DOD ID]],CYTable[UMAPIT Trained / Untrained], $AE$1)</f>
        <v>0</v>
      </c>
      <c r="K18" s="51">
        <f>_xlfn.XLOOKUP($A18,CYTable[DOD ID],CYTable[Sup Safety Trained / Untrained], $AE$1)</f>
        <v>0</v>
      </c>
      <c r="L18" s="51">
        <f>_xlfn.XLOOKUP($A18,CYTable[DOD ID],CYTable[Substances Trained / Untrained], $AE$1)</f>
        <v>0</v>
      </c>
      <c r="M18" s="50" cm="1">
        <f t="array" ref="M18">IF(COUNTIF(TrainingTable[[#This Row],[ARQ Comments]],"*Exempt*"),"Exempt", _xlfn.XLOOKUP($A18,FYTable[[DOD ID]:[DOD ID]],FYTable[ARQ MCTFS Status], $AE$1))</f>
        <v>0</v>
      </c>
      <c r="N18" s="51" t="str" cm="1">
        <f t="array" ref="N18">_xlfn.XLOOKUP($A18,FYTable[[DOD ID]:[DOD ID]],FYTable[CYBER Trained / Untrained], $AE$1)</f>
        <v>Trained</v>
      </c>
      <c r="O18" s="51">
        <f>_xlfn.XLOOKUP($A18,FYTable[DOD ID],FYTable[Pistol Classification], $AE$1)</f>
        <v>0</v>
      </c>
      <c r="P18" s="51" t="str" cm="1">
        <f t="array" ref="P18">_xlfn.XLOOKUP($A18,FYTable[[DOD ID]:[DOD ID]],FYTable[RM Trained / Untrained], $AE$1)</f>
        <v>Trained</v>
      </c>
      <c r="Q18" s="51" cm="1">
        <f t="array" ref="Q18">_xlfn.XLOOKUP($A18,FYTable[[DOD ID]:[DOD ID]],FYTable[Step Up Trained / Untrained], $AE$1)</f>
        <v>0</v>
      </c>
      <c r="R18" s="51" t="str" cm="1">
        <f t="array" ref="R18">_xlfn.XLOOKUP($A18,FYTable[[DOD ID]:[DOD ID]],FYTable[Take A Stand Trained / Untrained], $AE$1)</f>
        <v>Trained</v>
      </c>
      <c r="S18" s="51" cm="1">
        <f t="array" ref="S18">_xlfn.XLOOKUP($A18,FYTable[[DOD ID]:[DOD ID]],FYTable[SAPR Trained / Untrained], $AE$1)</f>
        <v>0</v>
      </c>
      <c r="T18" s="51" cm="1">
        <f t="array" ref="T18">_xlfn.XLOOKUP($A18,FYTable[[DOD ID]:[DOD ID]],FYTable[SAPR SNCO Trained / Untrained], $AE$1)</f>
        <v>0</v>
      </c>
      <c r="U18" s="77" t="str" cm="1">
        <f t="array" ref="U18">_xlfn.XLOOKUP($A18,CFTTable[[DOD ID]:[DOD ID]],CFTTable[Class CFT],"")</f>
        <v>FIRST CLASS</v>
      </c>
      <c r="V18" s="62" cm="1">
        <f t="array" ref="V18">_xlfn.XLOOKUP($A18,CFTTable[[DOD ID]:[DOD ID]],CFTTable[Event Date])</f>
        <v>45184</v>
      </c>
      <c r="W18" s="62" t="str">
        <f>_xlfn.XLOOKUP($A18,PFTTable[DOD ID],PFTTable[Class PFT],"")</f>
        <v>First Class</v>
      </c>
      <c r="X18" s="62" cm="1">
        <f t="array" ref="X18">_xlfn.XLOOKUP($A18,PFTTable[[DOD ID]:[DOD ID]],PFTTable[PFT Event Date])</f>
        <v>45328</v>
      </c>
      <c r="Y18" s="62" t="str" cm="1">
        <f t="array" ref="Y18">_xlfn.XLOOKUP($A18,SwimTable[[DOD ID]:[DOD ID]],SwimTable[Swim MCTFS Status],"")</f>
        <v>Success</v>
      </c>
      <c r="Z18" s="51" t="str" cm="1">
        <f t="array" ref="Z18">_xlfn.XLOOKUP($A19,HTWTTable[[DOD ID]:[DOD ID]],HTWTTable[MCTFS Status],"")</f>
        <v>Success</v>
      </c>
      <c r="AA18" s="51" cm="1">
        <f t="array" ref="AA18">_xlfn.XLOOKUP($A18,FYTable[[DOD ID]:[DOD ID]],FYTable[CBRN Trained / Untrained],"")</f>
        <v>0</v>
      </c>
      <c r="AC18" s="51"/>
      <c r="AD18" s="51"/>
      <c r="BC18" s="49">
        <v>1505356434</v>
      </c>
      <c r="BD18" s="49" t="s">
        <v>217</v>
      </c>
      <c r="BE18" s="49" t="s">
        <v>247</v>
      </c>
      <c r="BF18" s="49" t="s">
        <v>215</v>
      </c>
      <c r="BG18" s="49" t="s">
        <v>36</v>
      </c>
      <c r="BH18" s="49" t="s">
        <v>248</v>
      </c>
      <c r="BJ18" s="49" t="str">
        <f t="shared" si="0"/>
        <v>Bad</v>
      </c>
    </row>
    <row r="19" spans="1:62" x14ac:dyDescent="0.25">
      <c r="A19" s="136">
        <v>1598039312</v>
      </c>
      <c r="B19" s="137" t="str">
        <f>_xlfn.XLOOKUP($A19,RecallTable[EDIPI],RecallTable[GRADE])</f>
        <v>E7</v>
      </c>
      <c r="C19" s="137" t="str">
        <f>_xlfn.XLOOKUP($A19,RecallTable[EDIPI],RecallTable[NAME], $AE$1)</f>
        <v>CHANDLER, TREVON A.</v>
      </c>
      <c r="D19" s="137" t="str">
        <f>_xlfn.XLOOKUP($A19,RecallTable[EDIPI],RecallTable[SECTION])</f>
        <v>2PLT</v>
      </c>
      <c r="E19" s="50">
        <f>_xlfn.XLOOKUP($A19,CYTable[DOD ID],CYTable[CIAR Trained / Untrained], $AE$1)</f>
        <v>0</v>
      </c>
      <c r="F19" s="51" cm="1">
        <f t="array" ref="F19">_xlfn.XLOOKUP($A19,CYTable[[DOD ID]:[DOD ID]],CYTable[AT Trained / Untrained], $AE$1)</f>
        <v>0</v>
      </c>
      <c r="G19" s="51" cm="1">
        <f t="array" ref="G19">_xlfn.XLOOKUP($A19,CYTable[[DOD ID]:[DOD ID]],CYTable[OPSEC Trained / Untrained], $AE$1)</f>
        <v>0</v>
      </c>
      <c r="H19" s="51" cm="1">
        <f t="array" ref="H19">_xlfn.XLOOKUP($A19,CYTable[[DOD ID]:[DOD ID]],CYTable[PAC Trained / Untrained], $AE$1)</f>
        <v>0</v>
      </c>
      <c r="I19" s="51">
        <f>_xlfn.XLOOKUP($A19,CYTable[DOD ID],CYTable[RM Trained / Untrained], $AE$1)</f>
        <v>0</v>
      </c>
      <c r="J19" s="51" cm="1">
        <f t="array" ref="J19">_xlfn.XLOOKUP($A19,CYTable[[DOD ID]:[DOD ID]],CYTable[UMAPIT Trained / Untrained], $AE$1)</f>
        <v>0</v>
      </c>
      <c r="K19" s="51">
        <f>_xlfn.XLOOKUP($A19,CYTable[DOD ID],CYTable[Sup Safety Trained / Untrained], $AE$1)</f>
        <v>0</v>
      </c>
      <c r="L19" s="51">
        <f>_xlfn.XLOOKUP($A19,CYTable[DOD ID],CYTable[Substances Trained / Untrained], $AE$1)</f>
        <v>0</v>
      </c>
      <c r="M19" s="50" cm="1">
        <f t="array" ref="M19">IF(COUNTIF(TrainingTable[[#This Row],[ARQ Comments]],"*Exempt*"),"Exempt", _xlfn.XLOOKUP($A19,FYTable[[DOD ID]:[DOD ID]],FYTable[ARQ MCTFS Status], $AE$1))</f>
        <v>0</v>
      </c>
      <c r="N19" s="51" t="str" cm="1">
        <f t="array" ref="N19">_xlfn.XLOOKUP($A19,FYTable[[DOD ID]:[DOD ID]],FYTable[CYBER Trained / Untrained], $AE$1)</f>
        <v>Trained</v>
      </c>
      <c r="O19" s="51">
        <f>_xlfn.XLOOKUP($A19,FYTable[DOD ID],FYTable[Pistol Classification], $AE$1)</f>
        <v>0</v>
      </c>
      <c r="P19" s="51" cm="1">
        <f t="array" ref="P19">_xlfn.XLOOKUP($A19,FYTable[[DOD ID]:[DOD ID]],FYTable[RM Trained / Untrained], $AE$1)</f>
        <v>0</v>
      </c>
      <c r="Q19" s="51" cm="1">
        <f t="array" ref="Q19">_xlfn.XLOOKUP($A19,FYTable[[DOD ID]:[DOD ID]],FYTable[Step Up Trained / Untrained], $AE$1)</f>
        <v>0</v>
      </c>
      <c r="R19" s="51" cm="1">
        <f t="array" ref="R19">_xlfn.XLOOKUP($A19,FYTable[[DOD ID]:[DOD ID]],FYTable[Take A Stand Trained / Untrained], $AE$1)</f>
        <v>0</v>
      </c>
      <c r="S19" s="51" cm="1">
        <f t="array" ref="S19">_xlfn.XLOOKUP($A19,FYTable[[DOD ID]:[DOD ID]],FYTable[SAPR Trained / Untrained], $AE$1)</f>
        <v>0</v>
      </c>
      <c r="T19" s="51" cm="1">
        <f t="array" ref="T19">_xlfn.XLOOKUP($A19,FYTable[[DOD ID]:[DOD ID]],FYTable[SAPR SNCO Trained / Untrained], $AE$1)</f>
        <v>0</v>
      </c>
      <c r="U19" s="77" t="str" cm="1">
        <f t="array" ref="U19">_xlfn.XLOOKUP($A19,CFTTable[[DOD ID]:[DOD ID]],CFTTable[Class CFT],"")</f>
        <v>FIRST CLASS</v>
      </c>
      <c r="V19" s="62" cm="1">
        <f t="array" ref="V19">_xlfn.XLOOKUP($A19,CFTTable[[DOD ID]:[DOD ID]],CFTTable[Event Date])</f>
        <v>45189</v>
      </c>
      <c r="W19" s="62">
        <f>_xlfn.XLOOKUP($A19,PFTTable[DOD ID],PFTTable[Class PFT],"")</f>
        <v>0</v>
      </c>
      <c r="X19" s="62" cm="1">
        <f t="array" ref="X19">_xlfn.XLOOKUP($A19,PFTTable[[DOD ID]:[DOD ID]],PFTTable[PFT Event Date])</f>
        <v>0</v>
      </c>
      <c r="Y19" s="62" t="str" cm="1">
        <f t="array" ref="Y19">_xlfn.XLOOKUP($A19,SwimTable[[DOD ID]:[DOD ID]],SwimTable[Swim MCTFS Status],"")</f>
        <v>Success</v>
      </c>
      <c r="Z19" s="51" cm="1">
        <f t="array" ref="Z19">_xlfn.XLOOKUP($A20,HTWTTable[[DOD ID]:[DOD ID]],HTWTTable[MCTFS Status],"")</f>
        <v>0</v>
      </c>
      <c r="AA19" s="51" cm="1">
        <f t="array" ref="AA19">_xlfn.XLOOKUP($A19,FYTable[[DOD ID]:[DOD ID]],FYTable[CBRN Trained / Untrained],"")</f>
        <v>0</v>
      </c>
      <c r="AC19" s="51"/>
      <c r="AD19" s="51"/>
      <c r="BC19" s="49">
        <v>1568300374</v>
      </c>
      <c r="BD19" s="49" t="s">
        <v>209</v>
      </c>
      <c r="BE19" s="49" t="s">
        <v>249</v>
      </c>
      <c r="BF19" s="49" t="s">
        <v>225</v>
      </c>
      <c r="BG19" s="49" t="s">
        <v>212</v>
      </c>
      <c r="BH19" s="49" t="s">
        <v>222</v>
      </c>
      <c r="BJ19" s="49" t="str">
        <f t="shared" si="0"/>
        <v>Bad</v>
      </c>
    </row>
    <row r="20" spans="1:62" x14ac:dyDescent="0.25">
      <c r="A20" s="136">
        <v>1057200841</v>
      </c>
      <c r="B20" s="137" t="str">
        <f>_xlfn.XLOOKUP($A20,RecallTable[EDIPI],RecallTable[GRADE])</f>
        <v>E6</v>
      </c>
      <c r="C20" s="137" t="str">
        <f>_xlfn.XLOOKUP($A20,RecallTable[EDIPI],RecallTable[NAME], $AE$1)</f>
        <v>CLEMENTS, ALISSON A.</v>
      </c>
      <c r="D20" s="137" t="str">
        <f>_xlfn.XLOOKUP($A20,RecallTable[EDIPI],RecallTable[SECTION])</f>
        <v>2PLT</v>
      </c>
      <c r="E20" s="50" t="str">
        <f>_xlfn.XLOOKUP($A20,CYTable[DOD ID],CYTable[CIAR Trained / Untrained], $AE$1)</f>
        <v>Trained</v>
      </c>
      <c r="F20" s="51" cm="1">
        <f t="array" ref="F20">_xlfn.XLOOKUP($A20,CYTable[[DOD ID]:[DOD ID]],CYTable[AT Trained / Untrained], $AE$1)</f>
        <v>0</v>
      </c>
      <c r="G20" s="51" t="str" cm="1">
        <f t="array" ref="G20">_xlfn.XLOOKUP($A20,CYTable[[DOD ID]:[DOD ID]],CYTable[OPSEC Trained / Untrained], $AE$1)</f>
        <v>Trained</v>
      </c>
      <c r="H20" s="51" cm="1">
        <f t="array" ref="H20">_xlfn.XLOOKUP($A20,CYTable[[DOD ID]:[DOD ID]],CYTable[PAC Trained / Untrained], $AE$1)</f>
        <v>0</v>
      </c>
      <c r="I20" s="51" t="str">
        <f>_xlfn.XLOOKUP($A20,CYTable[DOD ID],CYTable[RM Trained / Untrained], $AE$1)</f>
        <v>Trained</v>
      </c>
      <c r="J20" s="51" cm="1">
        <f t="array" ref="J20">_xlfn.XLOOKUP($A20,CYTable[[DOD ID]:[DOD ID]],CYTable[UMAPIT Trained / Untrained], $AE$1)</f>
        <v>0</v>
      </c>
      <c r="K20" s="51" t="str">
        <f>_xlfn.XLOOKUP($A20,CYTable[DOD ID],CYTable[Sup Safety Trained / Untrained], $AE$1)</f>
        <v>Trained</v>
      </c>
      <c r="L20" s="51" t="str">
        <f>_xlfn.XLOOKUP($A20,CYTable[DOD ID],CYTable[Substances Trained / Untrained], $AE$1)</f>
        <v>Trained</v>
      </c>
      <c r="M20" s="50" t="str" cm="1">
        <f t="array" ref="M20">IF(COUNTIF(TrainingTable[[#This Row],[ARQ Comments]],"*Exempt*"),"Exempt", _xlfn.XLOOKUP($A20,FYTable[[DOD ID]:[DOD ID]],FYTable[ARQ MCTFS Status], $AE$1))</f>
        <v>Success</v>
      </c>
      <c r="N20" s="51" cm="1">
        <f t="array" ref="N20">_xlfn.XLOOKUP($A20,FYTable[[DOD ID]:[DOD ID]],FYTable[CYBER Trained / Untrained], $AE$1)</f>
        <v>0</v>
      </c>
      <c r="O20" s="51">
        <f>_xlfn.XLOOKUP($A20,FYTable[DOD ID],FYTable[Pistol Classification], $AE$1)</f>
        <v>0</v>
      </c>
      <c r="P20" s="51" t="str" cm="1">
        <f t="array" ref="P20">_xlfn.XLOOKUP($A20,FYTable[[DOD ID]:[DOD ID]],FYTable[RM Trained / Untrained], $AE$1)</f>
        <v>Trained</v>
      </c>
      <c r="Q20" s="51" cm="1">
        <f t="array" ref="Q20">_xlfn.XLOOKUP($A20,FYTable[[DOD ID]:[DOD ID]],FYTable[Step Up Trained / Untrained], $AE$1)</f>
        <v>0</v>
      </c>
      <c r="R20" s="51" t="str" cm="1">
        <f t="array" ref="R20">_xlfn.XLOOKUP($A20,FYTable[[DOD ID]:[DOD ID]],FYTable[Take A Stand Trained / Untrained], $AE$1)</f>
        <v>Trained</v>
      </c>
      <c r="S20" s="51" cm="1">
        <f t="array" ref="S20">_xlfn.XLOOKUP($A20,FYTable[[DOD ID]:[DOD ID]],FYTable[SAPR Trained / Untrained], $AE$1)</f>
        <v>0</v>
      </c>
      <c r="T20" s="51" cm="1">
        <f t="array" ref="T20">_xlfn.XLOOKUP($A20,FYTable[[DOD ID]:[DOD ID]],FYTable[SAPR SNCO Trained / Untrained], $AE$1)</f>
        <v>0</v>
      </c>
      <c r="U20" s="77" t="str" cm="1">
        <f t="array" ref="U20">_xlfn.XLOOKUP($A20,CFTTable[[DOD ID]:[DOD ID]],CFTTable[Class CFT],"")</f>
        <v>FIRST CLASS</v>
      </c>
      <c r="V20" s="62" cm="1">
        <f t="array" ref="V20">_xlfn.XLOOKUP($A20,CFTTable[[DOD ID]:[DOD ID]],CFTTable[Event Date])</f>
        <v>45238</v>
      </c>
      <c r="W20" s="62">
        <f>_xlfn.XLOOKUP($A20,PFTTable[DOD ID],PFTTable[Class PFT],"")</f>
        <v>0</v>
      </c>
      <c r="X20" s="62" cm="1">
        <f t="array" ref="X20">_xlfn.XLOOKUP($A20,PFTTable[[DOD ID]:[DOD ID]],PFTTable[PFT Event Date])</f>
        <v>0</v>
      </c>
      <c r="Y20" s="62" t="str" cm="1">
        <f t="array" ref="Y20">_xlfn.XLOOKUP($A20,SwimTable[[DOD ID]:[DOD ID]],SwimTable[Swim MCTFS Status],"")</f>
        <v>Success</v>
      </c>
      <c r="Z20" s="51" cm="1">
        <f t="array" ref="Z20">_xlfn.XLOOKUP($A21,HTWTTable[[DOD ID]:[DOD ID]],HTWTTable[MCTFS Status],"")</f>
        <v>0</v>
      </c>
      <c r="AA20" s="51" cm="1">
        <f t="array" ref="AA20">_xlfn.XLOOKUP($A20,FYTable[[DOD ID]:[DOD ID]],FYTable[CBRN Trained / Untrained],"")</f>
        <v>0</v>
      </c>
      <c r="AC20" s="51"/>
      <c r="AD20" s="51"/>
      <c r="BC20" s="49">
        <v>1274473270</v>
      </c>
      <c r="BD20" s="49" t="s">
        <v>214</v>
      </c>
      <c r="BE20" s="49" t="s">
        <v>250</v>
      </c>
      <c r="BF20" s="49" t="s">
        <v>239</v>
      </c>
      <c r="BG20" s="49" t="s">
        <v>36</v>
      </c>
      <c r="BH20" s="49" t="s">
        <v>216</v>
      </c>
      <c r="BJ20" s="49" t="str">
        <f t="shared" si="0"/>
        <v>Bad</v>
      </c>
    </row>
    <row r="21" spans="1:62" x14ac:dyDescent="0.25">
      <c r="A21" s="136">
        <v>1605838371</v>
      </c>
      <c r="B21" s="137" t="str">
        <f>_xlfn.XLOOKUP($A21,RecallTable[EDIPI],RecallTable[GRADE])</f>
        <v>E6</v>
      </c>
      <c r="C21" s="137" t="str">
        <f>_xlfn.XLOOKUP($A21,RecallTable[EDIPI],RecallTable[NAME], $AE$1)</f>
        <v>MULLEN, LILLIE A.</v>
      </c>
      <c r="D21" s="137" t="str">
        <f>_xlfn.XLOOKUP($A21,RecallTable[EDIPI],RecallTable[SECTION])</f>
        <v>2PLT</v>
      </c>
      <c r="E21" s="50">
        <f>_xlfn.XLOOKUP($A21,CYTable[DOD ID],CYTable[CIAR Trained / Untrained], $AE$1)</f>
        <v>0</v>
      </c>
      <c r="F21" s="51" cm="1">
        <f t="array" ref="F21">_xlfn.XLOOKUP($A21,CYTable[[DOD ID]:[DOD ID]],CYTable[AT Trained / Untrained], $AE$1)</f>
        <v>0</v>
      </c>
      <c r="G21" s="51" cm="1">
        <f t="array" ref="G21">_xlfn.XLOOKUP($A21,CYTable[[DOD ID]:[DOD ID]],CYTable[OPSEC Trained / Untrained], $AE$1)</f>
        <v>0</v>
      </c>
      <c r="H21" s="51" cm="1">
        <f t="array" ref="H21">_xlfn.XLOOKUP($A21,CYTable[[DOD ID]:[DOD ID]],CYTable[PAC Trained / Untrained], $AE$1)</f>
        <v>0</v>
      </c>
      <c r="I21" s="51">
        <f>_xlfn.XLOOKUP($A21,CYTable[DOD ID],CYTable[RM Trained / Untrained], $AE$1)</f>
        <v>0</v>
      </c>
      <c r="J21" s="51" cm="1">
        <f t="array" ref="J21">_xlfn.XLOOKUP($A21,CYTable[[DOD ID]:[DOD ID]],CYTable[UMAPIT Trained / Untrained], $AE$1)</f>
        <v>0</v>
      </c>
      <c r="K21" s="51">
        <f>_xlfn.XLOOKUP($A21,CYTable[DOD ID],CYTable[Sup Safety Trained / Untrained], $AE$1)</f>
        <v>0</v>
      </c>
      <c r="L21" s="51">
        <f>_xlfn.XLOOKUP($A21,CYTable[DOD ID],CYTable[Substances Trained / Untrained], $AE$1)</f>
        <v>0</v>
      </c>
      <c r="M21" s="50" cm="1">
        <f t="array" ref="M21">IF(COUNTIF(TrainingTable[[#This Row],[ARQ Comments]],"*Exempt*"),"Exempt", _xlfn.XLOOKUP($A21,FYTable[[DOD ID]:[DOD ID]],FYTable[ARQ MCTFS Status], $AE$1))</f>
        <v>0</v>
      </c>
      <c r="N21" s="51" t="str" cm="1">
        <f t="array" ref="N21">_xlfn.XLOOKUP($A21,FYTable[[DOD ID]:[DOD ID]],FYTable[CYBER Trained / Untrained], $AE$1)</f>
        <v>Trained</v>
      </c>
      <c r="O21" s="51" t="str">
        <f>_xlfn.XLOOKUP($A21,FYTable[DOD ID],FYTable[Pistol Classification], $AE$1)</f>
        <v>EXPERT</v>
      </c>
      <c r="P21" s="51" t="str" cm="1">
        <f t="array" ref="P21">_xlfn.XLOOKUP($A21,FYTable[[DOD ID]:[DOD ID]],FYTable[RM Trained / Untrained], $AE$1)</f>
        <v>Trained</v>
      </c>
      <c r="Q21" s="51" t="str" cm="1">
        <f t="array" ref="Q21">_xlfn.XLOOKUP($A21,FYTable[[DOD ID]:[DOD ID]],FYTable[Step Up Trained / Untrained], $AE$1)</f>
        <v>Trained</v>
      </c>
      <c r="R21" s="51" t="str" cm="1">
        <f t="array" ref="R21">_xlfn.XLOOKUP($A21,FYTable[[DOD ID]:[DOD ID]],FYTable[Take A Stand Trained / Untrained], $AE$1)</f>
        <v>Trained</v>
      </c>
      <c r="S21" s="51" t="str" cm="1">
        <f t="array" ref="S21">_xlfn.XLOOKUP($A21,FYTable[[DOD ID]:[DOD ID]],FYTable[SAPR Trained / Untrained], $AE$1)</f>
        <v>Trained</v>
      </c>
      <c r="T21" s="51" t="str" cm="1">
        <f t="array" ref="T21">_xlfn.XLOOKUP($A21,FYTable[[DOD ID]:[DOD ID]],FYTable[SAPR SNCO Trained / Untrained], $AE$1)</f>
        <v>Trained</v>
      </c>
      <c r="U21" s="77" t="str" cm="1">
        <f t="array" ref="U21">_xlfn.XLOOKUP($A21,CFTTable[[DOD ID]:[DOD ID]],CFTTable[Class CFT],"")</f>
        <v>FIRST CLASS</v>
      </c>
      <c r="V21" s="62" cm="1">
        <f t="array" ref="V21">_xlfn.XLOOKUP($A21,CFTTable[[DOD ID]:[DOD ID]],CFTTable[Event Date])</f>
        <v>45229</v>
      </c>
      <c r="W21" s="62" t="str">
        <f>_xlfn.XLOOKUP($A21,PFTTable[DOD ID],PFTTable[Class PFT],"")</f>
        <v>First Class</v>
      </c>
      <c r="X21" s="62" cm="1">
        <f t="array" ref="X21">_xlfn.XLOOKUP($A21,PFTTable[[DOD ID]:[DOD ID]],PFTTable[PFT Event Date])</f>
        <v>45330</v>
      </c>
      <c r="Y21" s="62" t="str" cm="1">
        <f t="array" ref="Y21">_xlfn.XLOOKUP($A21,SwimTable[[DOD ID]:[DOD ID]],SwimTable[Swim MCTFS Status],"")</f>
        <v>Success</v>
      </c>
      <c r="Z21" s="51" t="str" cm="1">
        <f t="array" ref="Z21">_xlfn.XLOOKUP($A22,HTWTTable[[DOD ID]:[DOD ID]],HTWTTable[MCTFS Status],"")</f>
        <v>Success</v>
      </c>
      <c r="AA21" s="51" t="str" cm="1">
        <f t="array" ref="AA21">_xlfn.XLOOKUP($A21,FYTable[[DOD ID]:[DOD ID]],FYTable[CBRN Trained / Untrained],"")</f>
        <v>Trained</v>
      </c>
      <c r="AC21" s="51"/>
      <c r="AD21" s="51"/>
      <c r="BC21" s="49">
        <v>1455985435</v>
      </c>
      <c r="BD21" s="49" t="s">
        <v>217</v>
      </c>
      <c r="BE21" s="49" t="s">
        <v>251</v>
      </c>
      <c r="BF21" s="49" t="s">
        <v>225</v>
      </c>
      <c r="BG21" s="49" t="s">
        <v>212</v>
      </c>
      <c r="BH21" s="49" t="s">
        <v>242</v>
      </c>
      <c r="BJ21" s="49" t="str">
        <f t="shared" si="0"/>
        <v>Bad</v>
      </c>
    </row>
    <row r="22" spans="1:62" x14ac:dyDescent="0.25">
      <c r="A22" s="136">
        <v>1583777566</v>
      </c>
      <c r="B22" s="137" t="str">
        <f>_xlfn.XLOOKUP($A22,RecallTable[EDIPI],RecallTable[GRADE])</f>
        <v>E5</v>
      </c>
      <c r="C22" s="137" t="str">
        <f>_xlfn.XLOOKUP($A22,RecallTable[EDIPI],RecallTable[NAME], $AE$1)</f>
        <v>WONG, KATELYNN A.</v>
      </c>
      <c r="D22" s="137" t="str">
        <f>_xlfn.XLOOKUP($A22,RecallTable[EDIPI],RecallTable[SECTION])</f>
        <v>2PLT</v>
      </c>
      <c r="E22" s="50">
        <f>_xlfn.XLOOKUP($A22,CYTable[DOD ID],CYTable[CIAR Trained / Untrained], $AE$1)</f>
        <v>0</v>
      </c>
      <c r="F22" s="51" cm="1">
        <f t="array" ref="F22">_xlfn.XLOOKUP($A22,CYTable[[DOD ID]:[DOD ID]],CYTable[AT Trained / Untrained], $AE$1)</f>
        <v>0</v>
      </c>
      <c r="G22" s="51" cm="1">
        <f t="array" ref="G22">_xlfn.XLOOKUP($A22,CYTable[[DOD ID]:[DOD ID]],CYTable[OPSEC Trained / Untrained], $AE$1)</f>
        <v>0</v>
      </c>
      <c r="H22" s="51" cm="1">
        <f t="array" ref="H22">_xlfn.XLOOKUP($A22,CYTable[[DOD ID]:[DOD ID]],CYTable[PAC Trained / Untrained], $AE$1)</f>
        <v>0</v>
      </c>
      <c r="I22" s="51">
        <f>_xlfn.XLOOKUP($A22,CYTable[DOD ID],CYTable[RM Trained / Untrained], $AE$1)</f>
        <v>0</v>
      </c>
      <c r="J22" s="51" cm="1">
        <f t="array" ref="J22">_xlfn.XLOOKUP($A22,CYTable[[DOD ID]:[DOD ID]],CYTable[UMAPIT Trained / Untrained], $AE$1)</f>
        <v>0</v>
      </c>
      <c r="K22" s="51">
        <f>_xlfn.XLOOKUP($A22,CYTable[DOD ID],CYTable[Sup Safety Trained / Untrained], $AE$1)</f>
        <v>0</v>
      </c>
      <c r="L22" s="51">
        <f>_xlfn.XLOOKUP($A22,CYTable[DOD ID],CYTable[Substances Trained / Untrained], $AE$1)</f>
        <v>0</v>
      </c>
      <c r="M22" s="50" cm="1">
        <f t="array" ref="M22">IF(COUNTIF(TrainingTable[[#This Row],[ARQ Comments]],"*Exempt*"),"Exempt", _xlfn.XLOOKUP($A22,FYTable[[DOD ID]:[DOD ID]],FYTable[ARQ MCTFS Status], $AE$1))</f>
        <v>0</v>
      </c>
      <c r="N22" s="51" t="str" cm="1">
        <f t="array" ref="N22">_xlfn.XLOOKUP($A22,FYTable[[DOD ID]:[DOD ID]],FYTable[CYBER Trained / Untrained], $AE$1)</f>
        <v>Trained</v>
      </c>
      <c r="O22" s="51">
        <f>_xlfn.XLOOKUP($A22,FYTable[DOD ID],FYTable[Pistol Classification], $AE$1)</f>
        <v>0</v>
      </c>
      <c r="P22" s="51" cm="1">
        <f t="array" ref="P22">_xlfn.XLOOKUP($A22,FYTable[[DOD ID]:[DOD ID]],FYTable[RM Trained / Untrained], $AE$1)</f>
        <v>0</v>
      </c>
      <c r="Q22" s="51" cm="1">
        <f t="array" ref="Q22">_xlfn.XLOOKUP($A22,FYTable[[DOD ID]:[DOD ID]],FYTable[Step Up Trained / Untrained], $AE$1)</f>
        <v>0</v>
      </c>
      <c r="R22" s="51" cm="1">
        <f t="array" ref="R22">_xlfn.XLOOKUP($A22,FYTable[[DOD ID]:[DOD ID]],FYTable[Take A Stand Trained / Untrained], $AE$1)</f>
        <v>0</v>
      </c>
      <c r="S22" s="51" cm="1">
        <f t="array" ref="S22">_xlfn.XLOOKUP($A22,FYTable[[DOD ID]:[DOD ID]],FYTable[SAPR Trained / Untrained], $AE$1)</f>
        <v>0</v>
      </c>
      <c r="T22" s="51" cm="1">
        <f t="array" ref="T22">_xlfn.XLOOKUP($A22,FYTable[[DOD ID]:[DOD ID]],FYTable[SAPR SNCO Trained / Untrained], $AE$1)</f>
        <v>0</v>
      </c>
      <c r="U22" s="77" t="str" cm="1">
        <f t="array" ref="U22">_xlfn.XLOOKUP($A22,CFTTable[[DOD ID]:[DOD ID]],CFTTable[Class CFT],"")</f>
        <v>FIRST CLASS</v>
      </c>
      <c r="V22" s="62" cm="1">
        <f t="array" ref="V22">_xlfn.XLOOKUP($A22,CFTTable[[DOD ID]:[DOD ID]],CFTTable[Event Date])</f>
        <v>45237</v>
      </c>
      <c r="W22" s="62">
        <f>_xlfn.XLOOKUP($A22,PFTTable[DOD ID],PFTTable[Class PFT],"")</f>
        <v>0</v>
      </c>
      <c r="X22" s="62" cm="1">
        <f t="array" ref="X22">_xlfn.XLOOKUP($A22,PFTTable[[DOD ID]:[DOD ID]],PFTTable[PFT Event Date])</f>
        <v>0</v>
      </c>
      <c r="Y22" s="62" t="str" cm="1">
        <f t="array" ref="Y22">_xlfn.XLOOKUP($A22,SwimTable[[DOD ID]:[DOD ID]],SwimTable[Swim MCTFS Status],"")</f>
        <v>Success</v>
      </c>
      <c r="Z22" s="51" cm="1">
        <f t="array" ref="Z22">_xlfn.XLOOKUP($A23,HTWTTable[[DOD ID]:[DOD ID]],HTWTTable[MCTFS Status],"")</f>
        <v>0</v>
      </c>
      <c r="AA22" s="51" cm="1">
        <f t="array" ref="AA22">_xlfn.XLOOKUP($A22,FYTable[[DOD ID]:[DOD ID]],FYTable[CBRN Trained / Untrained],"")</f>
        <v>0</v>
      </c>
      <c r="AC22" s="51"/>
      <c r="AD22" s="51"/>
      <c r="BC22" s="49">
        <v>1548836634</v>
      </c>
      <c r="BD22" s="49" t="s">
        <v>243</v>
      </c>
      <c r="BE22" s="49" t="s">
        <v>252</v>
      </c>
      <c r="BF22" s="49" t="s">
        <v>230</v>
      </c>
      <c r="BG22" s="49" t="s">
        <v>36</v>
      </c>
      <c r="BH22" s="49" t="s">
        <v>253</v>
      </c>
      <c r="BJ22" s="49" t="str">
        <f t="shared" si="0"/>
        <v>Bad</v>
      </c>
    </row>
    <row r="23" spans="1:62" x14ac:dyDescent="0.25">
      <c r="A23" s="136">
        <v>1309210629</v>
      </c>
      <c r="B23" s="137" t="str">
        <f>_xlfn.XLOOKUP($A23,RecallTable[EDIPI],RecallTable[GRADE])</f>
        <v>E5</v>
      </c>
      <c r="C23" s="137" t="str">
        <f>_xlfn.XLOOKUP($A23,RecallTable[EDIPI],RecallTable[NAME], $AE$1)</f>
        <v>FRANK, DAVIN A.</v>
      </c>
      <c r="D23" s="137" t="str">
        <f>_xlfn.XLOOKUP($A23,RecallTable[EDIPI],RecallTable[SECTION])</f>
        <v>2PLT</v>
      </c>
      <c r="E23" s="50">
        <f>_xlfn.XLOOKUP($A23,CYTable[DOD ID],CYTable[CIAR Trained / Untrained], $AE$1)</f>
        <v>0</v>
      </c>
      <c r="F23" s="51" cm="1">
        <f t="array" ref="F23">_xlfn.XLOOKUP($A23,CYTable[[DOD ID]:[DOD ID]],CYTable[AT Trained / Untrained], $AE$1)</f>
        <v>0</v>
      </c>
      <c r="G23" s="51" cm="1">
        <f t="array" ref="G23">_xlfn.XLOOKUP($A23,CYTable[[DOD ID]:[DOD ID]],CYTable[OPSEC Trained / Untrained], $AE$1)</f>
        <v>0</v>
      </c>
      <c r="H23" s="51" cm="1">
        <f t="array" ref="H23">_xlfn.XLOOKUP($A23,CYTable[[DOD ID]:[DOD ID]],CYTable[PAC Trained / Untrained], $AE$1)</f>
        <v>0</v>
      </c>
      <c r="I23" s="51">
        <f>_xlfn.XLOOKUP($A23,CYTable[DOD ID],CYTable[RM Trained / Untrained], $AE$1)</f>
        <v>0</v>
      </c>
      <c r="J23" s="51" cm="1">
        <f t="array" ref="J23">_xlfn.XLOOKUP($A23,CYTable[[DOD ID]:[DOD ID]],CYTable[UMAPIT Trained / Untrained], $AE$1)</f>
        <v>0</v>
      </c>
      <c r="K23" s="51">
        <f>_xlfn.XLOOKUP($A23,CYTable[DOD ID],CYTable[Sup Safety Trained / Untrained], $AE$1)</f>
        <v>0</v>
      </c>
      <c r="L23" s="51">
        <f>_xlfn.XLOOKUP($A23,CYTable[DOD ID],CYTable[Substances Trained / Untrained], $AE$1)</f>
        <v>0</v>
      </c>
      <c r="M23" s="50" cm="1">
        <f t="array" ref="M23">IF(COUNTIF(TrainingTable[[#This Row],[ARQ Comments]],"*Exempt*"),"Exempt", _xlfn.XLOOKUP($A23,FYTable[[DOD ID]:[DOD ID]],FYTable[ARQ MCTFS Status], $AE$1))</f>
        <v>0</v>
      </c>
      <c r="N23" s="51" t="str" cm="1">
        <f t="array" ref="N23">_xlfn.XLOOKUP($A23,FYTable[[DOD ID]:[DOD ID]],FYTable[CYBER Trained / Untrained], $AE$1)</f>
        <v>Trained</v>
      </c>
      <c r="O23" s="51">
        <f>_xlfn.XLOOKUP($A23,FYTable[DOD ID],FYTable[Pistol Classification], $AE$1)</f>
        <v>0</v>
      </c>
      <c r="P23" s="51" cm="1">
        <f t="array" ref="P23">_xlfn.XLOOKUP($A23,FYTable[[DOD ID]:[DOD ID]],FYTable[RM Trained / Untrained], $AE$1)</f>
        <v>0</v>
      </c>
      <c r="Q23" s="51" cm="1">
        <f t="array" ref="Q23">_xlfn.XLOOKUP($A23,FYTable[[DOD ID]:[DOD ID]],FYTable[Step Up Trained / Untrained], $AE$1)</f>
        <v>0</v>
      </c>
      <c r="R23" s="51" cm="1">
        <f t="array" ref="R23">_xlfn.XLOOKUP($A23,FYTable[[DOD ID]:[DOD ID]],FYTable[Take A Stand Trained / Untrained], $AE$1)</f>
        <v>0</v>
      </c>
      <c r="S23" s="51" cm="1">
        <f t="array" ref="S23">_xlfn.XLOOKUP($A23,FYTable[[DOD ID]:[DOD ID]],FYTable[SAPR Trained / Untrained], $AE$1)</f>
        <v>0</v>
      </c>
      <c r="T23" s="51" cm="1">
        <f t="array" ref="T23">_xlfn.XLOOKUP($A23,FYTable[[DOD ID]:[DOD ID]],FYTable[SAPR SNCO Trained / Untrained], $AE$1)</f>
        <v>0</v>
      </c>
      <c r="U23" s="77" t="str" cm="1">
        <f t="array" ref="U23">_xlfn.XLOOKUP($A23,CFTTable[[DOD ID]:[DOD ID]],CFTTable[Class CFT],"")</f>
        <v>FIRST CLASS</v>
      </c>
      <c r="V23" s="62" cm="1">
        <f t="array" ref="V23">_xlfn.XLOOKUP($A23,CFTTable[[DOD ID]:[DOD ID]],CFTTable[Event Date])</f>
        <v>45261</v>
      </c>
      <c r="W23" s="62">
        <f>_xlfn.XLOOKUP($A23,PFTTable[DOD ID],PFTTable[Class PFT],"")</f>
        <v>0</v>
      </c>
      <c r="X23" s="62" cm="1">
        <f t="array" ref="X23">_xlfn.XLOOKUP($A23,PFTTable[[DOD ID]:[DOD ID]],PFTTable[PFT Event Date])</f>
        <v>0</v>
      </c>
      <c r="Y23" s="62" t="str" cm="1">
        <f t="array" ref="Y23">_xlfn.XLOOKUP($A23,SwimTable[[DOD ID]:[DOD ID]],SwimTable[Swim MCTFS Status],"")</f>
        <v>Success</v>
      </c>
      <c r="Z23" s="51" t="str" cm="1">
        <f t="array" ref="Z23">_xlfn.XLOOKUP($A24,HTWTTable[[DOD ID]:[DOD ID]],HTWTTable[MCTFS Status],"")</f>
        <v>Success</v>
      </c>
      <c r="AA23" s="51" cm="1">
        <f t="array" ref="AA23">_xlfn.XLOOKUP($A23,FYTable[[DOD ID]:[DOD ID]],FYTable[CBRN Trained / Untrained],"")</f>
        <v>0</v>
      </c>
      <c r="AC23" s="51"/>
      <c r="AD23" s="51"/>
      <c r="BC23" s="49">
        <v>1586707589</v>
      </c>
      <c r="BD23" s="49" t="s">
        <v>209</v>
      </c>
      <c r="BE23" s="49" t="s">
        <v>254</v>
      </c>
      <c r="BF23" s="49" t="s">
        <v>225</v>
      </c>
      <c r="BG23" s="49" t="s">
        <v>212</v>
      </c>
      <c r="BH23" s="49" t="s">
        <v>255</v>
      </c>
      <c r="BJ23" s="49" t="str">
        <f t="shared" si="0"/>
        <v>Bad</v>
      </c>
    </row>
    <row r="24" spans="1:62" x14ac:dyDescent="0.25">
      <c r="A24" s="136">
        <v>1068605275</v>
      </c>
      <c r="B24" s="137" t="str">
        <f>_xlfn.XLOOKUP($A24,RecallTable[EDIPI],RecallTable[GRADE])</f>
        <v>E5</v>
      </c>
      <c r="C24" s="137" t="str">
        <f>_xlfn.XLOOKUP($A24,RecallTable[EDIPI],RecallTable[NAME], $AE$1)</f>
        <v>MOODY, TIANNA A.</v>
      </c>
      <c r="D24" s="137" t="str">
        <f>_xlfn.XLOOKUP($A24,RecallTable[EDIPI],RecallTable[SECTION])</f>
        <v>2PLT</v>
      </c>
      <c r="E24" s="50">
        <f>_xlfn.XLOOKUP($A24,CYTable[DOD ID],CYTable[CIAR Trained / Untrained], $AE$1)</f>
        <v>0</v>
      </c>
      <c r="F24" s="51" cm="1">
        <f t="array" ref="F24">_xlfn.XLOOKUP($A24,CYTable[[DOD ID]:[DOD ID]],CYTable[AT Trained / Untrained], $AE$1)</f>
        <v>0</v>
      </c>
      <c r="G24" s="51" cm="1">
        <f t="array" ref="G24">_xlfn.XLOOKUP($A24,CYTable[[DOD ID]:[DOD ID]],CYTable[OPSEC Trained / Untrained], $AE$1)</f>
        <v>0</v>
      </c>
      <c r="H24" s="51" cm="1">
        <f t="array" ref="H24">_xlfn.XLOOKUP($A24,CYTable[[DOD ID]:[DOD ID]],CYTable[PAC Trained / Untrained], $AE$1)</f>
        <v>0</v>
      </c>
      <c r="I24" s="51">
        <f>_xlfn.XLOOKUP($A24,CYTable[DOD ID],CYTable[RM Trained / Untrained], $AE$1)</f>
        <v>0</v>
      </c>
      <c r="J24" s="51" cm="1">
        <f t="array" ref="J24">_xlfn.XLOOKUP($A24,CYTable[[DOD ID]:[DOD ID]],CYTable[UMAPIT Trained / Untrained], $AE$1)</f>
        <v>0</v>
      </c>
      <c r="K24" s="51">
        <f>_xlfn.XLOOKUP($A24,CYTable[DOD ID],CYTable[Sup Safety Trained / Untrained], $AE$1)</f>
        <v>0</v>
      </c>
      <c r="L24" s="51">
        <f>_xlfn.XLOOKUP($A24,CYTable[DOD ID],CYTable[Substances Trained / Untrained], $AE$1)</f>
        <v>0</v>
      </c>
      <c r="M24" s="50" t="str" cm="1">
        <f t="array" ref="M24">IF(COUNTIF(TrainingTable[[#This Row],[ARQ Comments]],"*Exempt*"),"Exempt", _xlfn.XLOOKUP($A24,FYTable[[DOD ID]:[DOD ID]],FYTable[ARQ MCTFS Status], $AE$1))</f>
        <v>Success</v>
      </c>
      <c r="N24" s="51" t="str" cm="1">
        <f t="array" ref="N24">_xlfn.XLOOKUP($A24,FYTable[[DOD ID]:[DOD ID]],FYTable[CYBER Trained / Untrained], $AE$1)</f>
        <v>Trained</v>
      </c>
      <c r="O24" s="51">
        <f>_xlfn.XLOOKUP($A24,FYTable[DOD ID],FYTable[Pistol Classification], $AE$1)</f>
        <v>0</v>
      </c>
      <c r="P24" s="51" t="str" cm="1">
        <f t="array" ref="P24">_xlfn.XLOOKUP($A24,FYTable[[DOD ID]:[DOD ID]],FYTable[RM Trained / Untrained], $AE$1)</f>
        <v>Trained</v>
      </c>
      <c r="Q24" s="51" cm="1">
        <f t="array" ref="Q24">_xlfn.XLOOKUP($A24,FYTable[[DOD ID]:[DOD ID]],FYTable[Step Up Trained / Untrained], $AE$1)</f>
        <v>0</v>
      </c>
      <c r="R24" s="51" cm="1">
        <f t="array" ref="R24">_xlfn.XLOOKUP($A24,FYTable[[DOD ID]:[DOD ID]],FYTable[Take A Stand Trained / Untrained], $AE$1)</f>
        <v>0</v>
      </c>
      <c r="S24" s="51" cm="1">
        <f t="array" ref="S24">_xlfn.XLOOKUP($A24,FYTable[[DOD ID]:[DOD ID]],FYTable[SAPR Trained / Untrained], $AE$1)</f>
        <v>0</v>
      </c>
      <c r="T24" s="51" cm="1">
        <f t="array" ref="T24">_xlfn.XLOOKUP($A24,FYTable[[DOD ID]:[DOD ID]],FYTable[SAPR SNCO Trained / Untrained], $AE$1)</f>
        <v>0</v>
      </c>
      <c r="U24" s="77" t="str" cm="1">
        <f t="array" ref="U24">_xlfn.XLOOKUP($A24,CFTTable[[DOD ID]:[DOD ID]],CFTTable[Class CFT],"")</f>
        <v>FIRST CLASS</v>
      </c>
      <c r="V24" s="62" cm="1">
        <f t="array" ref="V24">_xlfn.XLOOKUP($A24,CFTTable[[DOD ID]:[DOD ID]],CFTTable[Event Date])</f>
        <v>45225</v>
      </c>
      <c r="W24" s="62">
        <f>_xlfn.XLOOKUP($A24,PFTTable[DOD ID],PFTTable[Class PFT],"")</f>
        <v>0</v>
      </c>
      <c r="X24" s="62" cm="1">
        <f t="array" ref="X24">_xlfn.XLOOKUP($A24,PFTTable[[DOD ID]:[DOD ID]],PFTTable[PFT Event Date])</f>
        <v>0</v>
      </c>
      <c r="Y24" s="62" t="str" cm="1">
        <f t="array" ref="Y24">_xlfn.XLOOKUP($A24,SwimTable[[DOD ID]:[DOD ID]],SwimTable[Swim MCTFS Status],"")</f>
        <v>Success</v>
      </c>
      <c r="Z24" s="51" cm="1">
        <f t="array" ref="Z24">_xlfn.XLOOKUP($A25,HTWTTable[[DOD ID]:[DOD ID]],HTWTTable[MCTFS Status],"")</f>
        <v>0</v>
      </c>
      <c r="AA24" s="51" cm="1">
        <f t="array" ref="AA24">_xlfn.XLOOKUP($A24,FYTable[[DOD ID]:[DOD ID]],FYTable[CBRN Trained / Untrained],"")</f>
        <v>0</v>
      </c>
      <c r="AC24" s="51"/>
      <c r="AD24" s="51"/>
      <c r="BC24" s="49">
        <v>1128723559</v>
      </c>
      <c r="BD24" s="49" t="s">
        <v>220</v>
      </c>
      <c r="BE24" s="49" t="s">
        <v>256</v>
      </c>
      <c r="BF24" s="49" t="s">
        <v>215</v>
      </c>
      <c r="BG24" s="49" t="s">
        <v>212</v>
      </c>
      <c r="BH24" s="49" t="s">
        <v>257</v>
      </c>
      <c r="BJ24" s="49" t="str">
        <f t="shared" si="0"/>
        <v>Bad</v>
      </c>
    </row>
    <row r="25" spans="1:62" x14ac:dyDescent="0.25">
      <c r="A25" s="136">
        <v>1504022008</v>
      </c>
      <c r="B25" s="137" t="str">
        <f>_xlfn.XLOOKUP($A25,RecallTable[EDIPI],RecallTable[GRADE])</f>
        <v>E4</v>
      </c>
      <c r="C25" s="137" t="str">
        <f>_xlfn.XLOOKUP($A25,RecallTable[EDIPI],RecallTable[NAME], $AE$1)</f>
        <v>MAYO, SANIYAH A.</v>
      </c>
      <c r="D25" s="137" t="str">
        <f>_xlfn.XLOOKUP($A25,RecallTable[EDIPI],RecallTable[SECTION])</f>
        <v>2PLT</v>
      </c>
      <c r="E25" s="50">
        <f>_xlfn.XLOOKUP($A25,CYTable[DOD ID],CYTable[CIAR Trained / Untrained], $AE$1)</f>
        <v>0</v>
      </c>
      <c r="F25" s="51" cm="1">
        <f t="array" ref="F25">_xlfn.XLOOKUP($A25,CYTable[[DOD ID]:[DOD ID]],CYTable[AT Trained / Untrained], $AE$1)</f>
        <v>0</v>
      </c>
      <c r="G25" s="51" cm="1">
        <f t="array" ref="G25">_xlfn.XLOOKUP($A25,CYTable[[DOD ID]:[DOD ID]],CYTable[OPSEC Trained / Untrained], $AE$1)</f>
        <v>0</v>
      </c>
      <c r="H25" s="51" cm="1">
        <f t="array" ref="H25">_xlfn.XLOOKUP($A25,CYTable[[DOD ID]:[DOD ID]],CYTable[PAC Trained / Untrained], $AE$1)</f>
        <v>0</v>
      </c>
      <c r="I25" s="51">
        <f>_xlfn.XLOOKUP($A25,CYTable[DOD ID],CYTable[RM Trained / Untrained], $AE$1)</f>
        <v>0</v>
      </c>
      <c r="J25" s="51" cm="1">
        <f t="array" ref="J25">_xlfn.XLOOKUP($A25,CYTable[[DOD ID]:[DOD ID]],CYTable[UMAPIT Trained / Untrained], $AE$1)</f>
        <v>0</v>
      </c>
      <c r="K25" s="51">
        <f>_xlfn.XLOOKUP($A25,CYTable[DOD ID],CYTable[Sup Safety Trained / Untrained], $AE$1)</f>
        <v>0</v>
      </c>
      <c r="L25" s="51">
        <f>_xlfn.XLOOKUP($A25,CYTable[DOD ID],CYTable[Substances Trained / Untrained], $AE$1)</f>
        <v>0</v>
      </c>
      <c r="M25" s="50" cm="1">
        <f t="array" ref="M25">IF(COUNTIF(TrainingTable[[#This Row],[ARQ Comments]],"*Exempt*"),"Exempt", _xlfn.XLOOKUP($A25,FYTable[[DOD ID]:[DOD ID]],FYTable[ARQ MCTFS Status], $AE$1))</f>
        <v>0</v>
      </c>
      <c r="N25" s="51" cm="1">
        <f t="array" ref="N25">_xlfn.XLOOKUP($A25,FYTable[[DOD ID]:[DOD ID]],FYTable[CYBER Trained / Untrained], $AE$1)</f>
        <v>0</v>
      </c>
      <c r="O25" s="51">
        <f>_xlfn.XLOOKUP($A25,FYTable[DOD ID],FYTable[Pistol Classification], $AE$1)</f>
        <v>0</v>
      </c>
      <c r="P25" s="51" t="str" cm="1">
        <f t="array" ref="P25">_xlfn.XLOOKUP($A25,FYTable[[DOD ID]:[DOD ID]],FYTable[RM Trained / Untrained], $AE$1)</f>
        <v>Trained</v>
      </c>
      <c r="Q25" s="51" cm="1">
        <f t="array" ref="Q25">_xlfn.XLOOKUP($A25,FYTable[[DOD ID]:[DOD ID]],FYTable[Step Up Trained / Untrained], $AE$1)</f>
        <v>0</v>
      </c>
      <c r="R25" s="51" t="str" cm="1">
        <f t="array" ref="R25">_xlfn.XLOOKUP($A25,FYTable[[DOD ID]:[DOD ID]],FYTable[Take A Stand Trained / Untrained], $AE$1)</f>
        <v>Trained</v>
      </c>
      <c r="S25" s="51" cm="1">
        <f t="array" ref="S25">_xlfn.XLOOKUP($A25,FYTable[[DOD ID]:[DOD ID]],FYTable[SAPR Trained / Untrained], $AE$1)</f>
        <v>0</v>
      </c>
      <c r="T25" s="51" cm="1">
        <f t="array" ref="T25">_xlfn.XLOOKUP($A25,FYTable[[DOD ID]:[DOD ID]],FYTable[SAPR SNCO Trained / Untrained], $AE$1)</f>
        <v>0</v>
      </c>
      <c r="U25" s="77" t="str" cm="1">
        <f t="array" ref="U25">_xlfn.XLOOKUP($A25,CFTTable[[DOD ID]:[DOD ID]],CFTTable[Class CFT],"")</f>
        <v>SECOND CLASS</v>
      </c>
      <c r="V25" s="62" cm="1">
        <f t="array" ref="V25">_xlfn.XLOOKUP($A25,CFTTable[[DOD ID]:[DOD ID]],CFTTable[Event Date])</f>
        <v>45250</v>
      </c>
      <c r="W25" s="62">
        <f>_xlfn.XLOOKUP($A25,PFTTable[DOD ID],PFTTable[Class PFT],"")</f>
        <v>0</v>
      </c>
      <c r="X25" s="62" cm="1">
        <f t="array" ref="X25">_xlfn.XLOOKUP($A25,PFTTable[[DOD ID]:[DOD ID]],PFTTable[PFT Event Date])</f>
        <v>0</v>
      </c>
      <c r="Y25" s="62" t="str" cm="1">
        <f t="array" ref="Y25">_xlfn.XLOOKUP($A25,SwimTable[[DOD ID]:[DOD ID]],SwimTable[Swim MCTFS Status],"")</f>
        <v>Success</v>
      </c>
      <c r="Z25" s="51" cm="1">
        <f t="array" ref="Z25">_xlfn.XLOOKUP($A26,HTWTTable[[DOD ID]:[DOD ID]],HTWTTable[MCTFS Status],"")</f>
        <v>0</v>
      </c>
      <c r="AA25" s="51" t="str" cm="1">
        <f t="array" ref="AA25">_xlfn.XLOOKUP($A25,FYTable[[DOD ID]:[DOD ID]],FYTable[CBRN Trained / Untrained],"")</f>
        <v>Trained</v>
      </c>
      <c r="AC25" s="51"/>
      <c r="AD25" s="51"/>
      <c r="BC25" s="49">
        <v>1276929344</v>
      </c>
      <c r="BD25" s="49" t="s">
        <v>164</v>
      </c>
      <c r="BE25" s="49" t="s">
        <v>258</v>
      </c>
      <c r="BF25" s="49" t="s">
        <v>239</v>
      </c>
      <c r="BG25" s="49" t="s">
        <v>36</v>
      </c>
      <c r="BH25" s="49" t="s">
        <v>216</v>
      </c>
      <c r="BJ25" s="49" t="str">
        <f t="shared" si="0"/>
        <v>Bad</v>
      </c>
    </row>
    <row r="26" spans="1:62" x14ac:dyDescent="0.25">
      <c r="A26" s="136">
        <v>1306349386</v>
      </c>
      <c r="B26" s="137" t="str">
        <f>_xlfn.XLOOKUP($A26,RecallTable[EDIPI],RecallTable[GRADE])</f>
        <v>E4</v>
      </c>
      <c r="C26" s="137" t="str">
        <f>_xlfn.XLOOKUP($A26,RecallTable[EDIPI],RecallTable[NAME], $AE$1)</f>
        <v>TERRELL, KAMORA A.</v>
      </c>
      <c r="D26" s="137" t="str">
        <f>_xlfn.XLOOKUP($A26,RecallTable[EDIPI],RecallTable[SECTION])</f>
        <v>2PLT</v>
      </c>
      <c r="E26" s="50">
        <f>_xlfn.XLOOKUP($A26,CYTable[DOD ID],CYTable[CIAR Trained / Untrained], $AE$1)</f>
        <v>0</v>
      </c>
      <c r="F26" s="51" cm="1">
        <f t="array" ref="F26">_xlfn.XLOOKUP($A26,CYTable[[DOD ID]:[DOD ID]],CYTable[AT Trained / Untrained], $AE$1)</f>
        <v>0</v>
      </c>
      <c r="G26" s="51" cm="1">
        <f t="array" ref="G26">_xlfn.XLOOKUP($A26,CYTable[[DOD ID]:[DOD ID]],CYTable[OPSEC Trained / Untrained], $AE$1)</f>
        <v>0</v>
      </c>
      <c r="H26" s="51" cm="1">
        <f t="array" ref="H26">_xlfn.XLOOKUP($A26,CYTable[[DOD ID]:[DOD ID]],CYTable[PAC Trained / Untrained], $AE$1)</f>
        <v>0</v>
      </c>
      <c r="I26" s="51">
        <f>_xlfn.XLOOKUP($A26,CYTable[DOD ID],CYTable[RM Trained / Untrained], $AE$1)</f>
        <v>0</v>
      </c>
      <c r="J26" s="51" cm="1">
        <f t="array" ref="J26">_xlfn.XLOOKUP($A26,CYTable[[DOD ID]:[DOD ID]],CYTable[UMAPIT Trained / Untrained], $AE$1)</f>
        <v>0</v>
      </c>
      <c r="K26" s="51">
        <f>_xlfn.XLOOKUP($A26,CYTable[DOD ID],CYTable[Sup Safety Trained / Untrained], $AE$1)</f>
        <v>0</v>
      </c>
      <c r="L26" s="51">
        <f>_xlfn.XLOOKUP($A26,CYTable[DOD ID],CYTable[Substances Trained / Untrained], $AE$1)</f>
        <v>0</v>
      </c>
      <c r="M26" s="50" cm="1">
        <f t="array" ref="M26">IF(COUNTIF(TrainingTable[[#This Row],[ARQ Comments]],"*Exempt*"),"Exempt", _xlfn.XLOOKUP($A26,FYTable[[DOD ID]:[DOD ID]],FYTable[ARQ MCTFS Status], $AE$1))</f>
        <v>0</v>
      </c>
      <c r="N26" s="51" cm="1">
        <f t="array" ref="N26">_xlfn.XLOOKUP($A26,FYTable[[DOD ID]:[DOD ID]],FYTable[CYBER Trained / Untrained], $AE$1)</f>
        <v>0</v>
      </c>
      <c r="O26" s="51">
        <f>_xlfn.XLOOKUP($A26,FYTable[DOD ID],FYTable[Pistol Classification], $AE$1)</f>
        <v>0</v>
      </c>
      <c r="P26" s="51" cm="1">
        <f t="array" ref="P26">_xlfn.XLOOKUP($A26,FYTable[[DOD ID]:[DOD ID]],FYTable[RM Trained / Untrained], $AE$1)</f>
        <v>0</v>
      </c>
      <c r="Q26" s="51" t="str" cm="1">
        <f t="array" ref="Q26">_xlfn.XLOOKUP($A26,FYTable[[DOD ID]:[DOD ID]],FYTable[Step Up Trained / Untrained], $AE$1)</f>
        <v>Trained</v>
      </c>
      <c r="R26" s="51" t="str" cm="1">
        <f t="array" ref="R26">_xlfn.XLOOKUP($A26,FYTable[[DOD ID]:[DOD ID]],FYTable[Take A Stand Trained / Untrained], $AE$1)</f>
        <v>Trained</v>
      </c>
      <c r="S26" s="51" t="str" cm="1">
        <f t="array" ref="S26">_xlfn.XLOOKUP($A26,FYTable[[DOD ID]:[DOD ID]],FYTable[SAPR Trained / Untrained], $AE$1)</f>
        <v>Trained</v>
      </c>
      <c r="T26" s="51" t="str" cm="1">
        <f t="array" ref="T26">_xlfn.XLOOKUP($A26,FYTable[[DOD ID]:[DOD ID]],FYTable[SAPR SNCO Trained / Untrained], $AE$1)</f>
        <v>Trained</v>
      </c>
      <c r="U26" s="77" t="str" cm="1">
        <f t="array" ref="U26">_xlfn.XLOOKUP($A26,CFTTable[[DOD ID]:[DOD ID]],CFTTable[Class CFT],"")</f>
        <v>FIRST CLASS</v>
      </c>
      <c r="V26" s="62" cm="1">
        <f t="array" ref="V26">_xlfn.XLOOKUP($A26,CFTTable[[DOD ID]:[DOD ID]],CFTTable[Event Date])</f>
        <v>45225</v>
      </c>
      <c r="W26" s="62">
        <f>_xlfn.XLOOKUP($A26,PFTTable[DOD ID],PFTTable[Class PFT],"")</f>
        <v>0</v>
      </c>
      <c r="X26" s="62" cm="1">
        <f t="array" ref="X26">_xlfn.XLOOKUP($A26,PFTTable[[DOD ID]:[DOD ID]],PFTTable[PFT Event Date])</f>
        <v>0</v>
      </c>
      <c r="Y26" s="62" t="str" cm="1">
        <f t="array" ref="Y26">_xlfn.XLOOKUP($A26,SwimTable[[DOD ID]:[DOD ID]],SwimTable[Swim MCTFS Status],"")</f>
        <v>Success</v>
      </c>
      <c r="Z26" s="51" cm="1">
        <f t="array" ref="Z26">_xlfn.XLOOKUP($A27,HTWTTable[[DOD ID]:[DOD ID]],HTWTTable[MCTFS Status],"")</f>
        <v>0</v>
      </c>
      <c r="AA26" s="51" cm="1">
        <f t="array" ref="AA26">_xlfn.XLOOKUP($A26,FYTable[[DOD ID]:[DOD ID]],FYTable[CBRN Trained / Untrained],"")</f>
        <v>0</v>
      </c>
      <c r="AC26" s="51"/>
      <c r="AD26" s="51"/>
      <c r="BC26" s="49">
        <v>1593999960</v>
      </c>
      <c r="BD26" s="49" t="s">
        <v>209</v>
      </c>
      <c r="BE26" s="49" t="s">
        <v>259</v>
      </c>
      <c r="BF26" s="49" t="s">
        <v>225</v>
      </c>
      <c r="BG26" s="49" t="s">
        <v>212</v>
      </c>
      <c r="BH26" s="49" t="s">
        <v>237</v>
      </c>
      <c r="BJ26" s="49" t="str">
        <f t="shared" si="0"/>
        <v>Bad</v>
      </c>
    </row>
    <row r="27" spans="1:62" x14ac:dyDescent="0.25">
      <c r="A27" s="136">
        <v>1320652076</v>
      </c>
      <c r="B27" s="137" t="str">
        <f>_xlfn.XLOOKUP($A27,RecallTable[EDIPI],RecallTable[GRADE])</f>
        <v>E4</v>
      </c>
      <c r="C27" s="137" t="str">
        <f>_xlfn.XLOOKUP($A27,RecallTable[EDIPI],RecallTable[NAME], $AE$1)</f>
        <v>ARNOLD, MARY A.</v>
      </c>
      <c r="D27" s="137" t="str">
        <f>_xlfn.XLOOKUP($A27,RecallTable[EDIPI],RecallTable[SECTION])</f>
        <v>2PLT</v>
      </c>
      <c r="E27" s="50">
        <f>_xlfn.XLOOKUP($A27,CYTable[DOD ID],CYTable[CIAR Trained / Untrained], $AE$1)</f>
        <v>0</v>
      </c>
      <c r="F27" s="51" cm="1">
        <f t="array" ref="F27">_xlfn.XLOOKUP($A27,CYTable[[DOD ID]:[DOD ID]],CYTable[AT Trained / Untrained], $AE$1)</f>
        <v>0</v>
      </c>
      <c r="G27" s="51" cm="1">
        <f t="array" ref="G27">_xlfn.XLOOKUP($A27,CYTable[[DOD ID]:[DOD ID]],CYTable[OPSEC Trained / Untrained], $AE$1)</f>
        <v>0</v>
      </c>
      <c r="H27" s="51" cm="1">
        <f t="array" ref="H27">_xlfn.XLOOKUP($A27,CYTable[[DOD ID]:[DOD ID]],CYTable[PAC Trained / Untrained], $AE$1)</f>
        <v>0</v>
      </c>
      <c r="I27" s="51">
        <f>_xlfn.XLOOKUP($A27,CYTable[DOD ID],CYTable[RM Trained / Untrained], $AE$1)</f>
        <v>0</v>
      </c>
      <c r="J27" s="51" cm="1">
        <f t="array" ref="J27">_xlfn.XLOOKUP($A27,CYTable[[DOD ID]:[DOD ID]],CYTable[UMAPIT Trained / Untrained], $AE$1)</f>
        <v>0</v>
      </c>
      <c r="K27" s="51">
        <f>_xlfn.XLOOKUP($A27,CYTable[DOD ID],CYTable[Sup Safety Trained / Untrained], $AE$1)</f>
        <v>0</v>
      </c>
      <c r="L27" s="51">
        <f>_xlfn.XLOOKUP($A27,CYTable[DOD ID],CYTable[Substances Trained / Untrained], $AE$1)</f>
        <v>0</v>
      </c>
      <c r="M27" s="50" cm="1">
        <f t="array" ref="M27">IF(COUNTIF(TrainingTable[[#This Row],[ARQ Comments]],"*Exempt*"),"Exempt", _xlfn.XLOOKUP($A27,FYTable[[DOD ID]:[DOD ID]],FYTable[ARQ MCTFS Status], $AE$1))</f>
        <v>0</v>
      </c>
      <c r="N27" s="51" t="str" cm="1">
        <f t="array" ref="N27">_xlfn.XLOOKUP($A27,FYTable[[DOD ID]:[DOD ID]],FYTable[CYBER Trained / Untrained], $AE$1)</f>
        <v>Trained</v>
      </c>
      <c r="O27" s="51">
        <f>_xlfn.XLOOKUP($A27,FYTable[DOD ID],FYTable[Pistol Classification], $AE$1)</f>
        <v>0</v>
      </c>
      <c r="P27" s="51" t="str" cm="1">
        <f t="array" ref="P27">_xlfn.XLOOKUP($A27,FYTable[[DOD ID]:[DOD ID]],FYTable[RM Trained / Untrained], $AE$1)</f>
        <v>Trained</v>
      </c>
      <c r="Q27" s="51" cm="1">
        <f t="array" ref="Q27">_xlfn.XLOOKUP($A27,FYTable[[DOD ID]:[DOD ID]],FYTable[Step Up Trained / Untrained], $AE$1)</f>
        <v>0</v>
      </c>
      <c r="R27" s="51" t="str" cm="1">
        <f t="array" ref="R27">_xlfn.XLOOKUP($A27,FYTable[[DOD ID]:[DOD ID]],FYTable[Take A Stand Trained / Untrained], $AE$1)</f>
        <v>Trained</v>
      </c>
      <c r="S27" s="51" cm="1">
        <f t="array" ref="S27">_xlfn.XLOOKUP($A27,FYTable[[DOD ID]:[DOD ID]],FYTable[SAPR Trained / Untrained], $AE$1)</f>
        <v>0</v>
      </c>
      <c r="T27" s="51" cm="1">
        <f t="array" ref="T27">_xlfn.XLOOKUP($A27,FYTable[[DOD ID]:[DOD ID]],FYTable[SAPR SNCO Trained / Untrained], $AE$1)</f>
        <v>0</v>
      </c>
      <c r="U27" s="77" t="str" cm="1">
        <f t="array" ref="U27">_xlfn.XLOOKUP($A27,CFTTable[[DOD ID]:[DOD ID]],CFTTable[Class CFT],"")</f>
        <v>FIRST CLASS</v>
      </c>
      <c r="V27" s="62" cm="1">
        <f t="array" ref="V27">_xlfn.XLOOKUP($A27,CFTTable[[DOD ID]:[DOD ID]],CFTTable[Event Date])</f>
        <v>45180</v>
      </c>
      <c r="W27" s="62">
        <f>_xlfn.XLOOKUP($A27,PFTTable[DOD ID],PFTTable[Class PFT],"")</f>
        <v>0</v>
      </c>
      <c r="X27" s="62" cm="1">
        <f t="array" ref="X27">_xlfn.XLOOKUP($A27,PFTTable[[DOD ID]:[DOD ID]],PFTTable[PFT Event Date])</f>
        <v>0</v>
      </c>
      <c r="Y27" s="62" t="str" cm="1">
        <f t="array" ref="Y27">_xlfn.XLOOKUP($A27,SwimTable[[DOD ID]:[DOD ID]],SwimTable[Swim MCTFS Status],"")</f>
        <v>Success</v>
      </c>
      <c r="Z27" s="51" cm="1">
        <f t="array" ref="Z27">_xlfn.XLOOKUP($A28,HTWTTable[[DOD ID]:[DOD ID]],HTWTTable[MCTFS Status],"")</f>
        <v>0</v>
      </c>
      <c r="AA27" s="51" cm="1">
        <f t="array" ref="AA27">_xlfn.XLOOKUP($A27,FYTable[[DOD ID]:[DOD ID]],FYTable[CBRN Trained / Untrained],"")</f>
        <v>0</v>
      </c>
      <c r="AC27" s="51"/>
      <c r="AD27" s="51"/>
      <c r="BC27" s="49">
        <v>1505610845</v>
      </c>
      <c r="BD27" s="49" t="s">
        <v>217</v>
      </c>
      <c r="BE27" s="49" t="s">
        <v>260</v>
      </c>
      <c r="BF27" s="49" t="s">
        <v>230</v>
      </c>
      <c r="BG27" s="49" t="s">
        <v>36</v>
      </c>
      <c r="BH27" s="49" t="s">
        <v>261</v>
      </c>
      <c r="BJ27" s="49" t="str">
        <f t="shared" si="0"/>
        <v>Bad</v>
      </c>
    </row>
    <row r="28" spans="1:62" x14ac:dyDescent="0.25">
      <c r="A28" s="136">
        <v>1478966980</v>
      </c>
      <c r="B28" s="137" t="str">
        <f>_xlfn.XLOOKUP($A28,RecallTable[EDIPI],RecallTable[GRADE])</f>
        <v>E4</v>
      </c>
      <c r="C28" s="137" t="str">
        <f>_xlfn.XLOOKUP($A28,RecallTable[EDIPI],RecallTable[NAME], $AE$1)</f>
        <v>WILLIS, AKIRA A.</v>
      </c>
      <c r="D28" s="137" t="str">
        <f>_xlfn.XLOOKUP($A28,RecallTable[EDIPI],RecallTable[SECTION])</f>
        <v>2PLT</v>
      </c>
      <c r="E28" s="50">
        <f>_xlfn.XLOOKUP($A28,CYTable[DOD ID],CYTable[CIAR Trained / Untrained], $AE$1)</f>
        <v>0</v>
      </c>
      <c r="F28" s="51" cm="1">
        <f t="array" ref="F28">_xlfn.XLOOKUP($A28,CYTable[[DOD ID]:[DOD ID]],CYTable[AT Trained / Untrained], $AE$1)</f>
        <v>0</v>
      </c>
      <c r="G28" s="51" cm="1">
        <f t="array" ref="G28">_xlfn.XLOOKUP($A28,CYTable[[DOD ID]:[DOD ID]],CYTable[OPSEC Trained / Untrained], $AE$1)</f>
        <v>0</v>
      </c>
      <c r="H28" s="51" cm="1">
        <f t="array" ref="H28">_xlfn.XLOOKUP($A28,CYTable[[DOD ID]:[DOD ID]],CYTable[PAC Trained / Untrained], $AE$1)</f>
        <v>0</v>
      </c>
      <c r="I28" s="51">
        <f>_xlfn.XLOOKUP($A28,CYTable[DOD ID],CYTable[RM Trained / Untrained], $AE$1)</f>
        <v>0</v>
      </c>
      <c r="J28" s="51" cm="1">
        <f t="array" ref="J28">_xlfn.XLOOKUP($A28,CYTable[[DOD ID]:[DOD ID]],CYTable[UMAPIT Trained / Untrained], $AE$1)</f>
        <v>0</v>
      </c>
      <c r="K28" s="51">
        <f>_xlfn.XLOOKUP($A28,CYTable[DOD ID],CYTable[Sup Safety Trained / Untrained], $AE$1)</f>
        <v>0</v>
      </c>
      <c r="L28" s="51">
        <f>_xlfn.XLOOKUP($A28,CYTable[DOD ID],CYTable[Substances Trained / Untrained], $AE$1)</f>
        <v>0</v>
      </c>
      <c r="M28" s="50" cm="1">
        <f t="array" ref="M28">IF(COUNTIF(TrainingTable[[#This Row],[ARQ Comments]],"*Exempt*"),"Exempt", _xlfn.XLOOKUP($A28,FYTable[[DOD ID]:[DOD ID]],FYTable[ARQ MCTFS Status], $AE$1))</f>
        <v>0</v>
      </c>
      <c r="N28" s="51" t="str" cm="1">
        <f t="array" ref="N28">_xlfn.XLOOKUP($A28,FYTable[[DOD ID]:[DOD ID]],FYTable[CYBER Trained / Untrained], $AE$1)</f>
        <v>Trained</v>
      </c>
      <c r="O28" s="51">
        <f>_xlfn.XLOOKUP($A28,FYTable[DOD ID],FYTable[Pistol Classification], $AE$1)</f>
        <v>0</v>
      </c>
      <c r="P28" s="51" t="str" cm="1">
        <f t="array" ref="P28">_xlfn.XLOOKUP($A28,FYTable[[DOD ID]:[DOD ID]],FYTable[RM Trained / Untrained], $AE$1)</f>
        <v>Trained</v>
      </c>
      <c r="Q28" s="51" t="str" cm="1">
        <f t="array" ref="Q28">_xlfn.XLOOKUP($A28,FYTable[[DOD ID]:[DOD ID]],FYTable[Step Up Trained / Untrained], $AE$1)</f>
        <v>Trained</v>
      </c>
      <c r="R28" s="51" t="str" cm="1">
        <f t="array" ref="R28">_xlfn.XLOOKUP($A28,FYTable[[DOD ID]:[DOD ID]],FYTable[Take A Stand Trained / Untrained], $AE$1)</f>
        <v>Trained</v>
      </c>
      <c r="S28" s="51" cm="1">
        <f t="array" ref="S28">_xlfn.XLOOKUP($A28,FYTable[[DOD ID]:[DOD ID]],FYTable[SAPR Trained / Untrained], $AE$1)</f>
        <v>0</v>
      </c>
      <c r="T28" s="51" t="str" cm="1">
        <f t="array" ref="T28">_xlfn.XLOOKUP($A28,FYTable[[DOD ID]:[DOD ID]],FYTable[SAPR SNCO Trained / Untrained], $AE$1)</f>
        <v>Trained</v>
      </c>
      <c r="U28" s="77" t="str" cm="1">
        <f t="array" ref="U28">_xlfn.XLOOKUP($A28,CFTTable[[DOD ID]:[DOD ID]],CFTTable[Class CFT],"")</f>
        <v>FIRST CLASS</v>
      </c>
      <c r="V28" s="62" cm="1">
        <f t="array" ref="V28">_xlfn.XLOOKUP($A28,CFTTable[[DOD ID]:[DOD ID]],CFTTable[Event Date])</f>
        <v>45250</v>
      </c>
      <c r="W28" s="62">
        <f>_xlfn.XLOOKUP($A28,PFTTable[DOD ID],PFTTable[Class PFT],"")</f>
        <v>0</v>
      </c>
      <c r="X28" s="62" cm="1">
        <f t="array" ref="X28">_xlfn.XLOOKUP($A28,PFTTable[[DOD ID]:[DOD ID]],PFTTable[PFT Event Date])</f>
        <v>0</v>
      </c>
      <c r="Y28" s="62" t="str" cm="1">
        <f t="array" ref="Y28">_xlfn.XLOOKUP($A28,SwimTable[[DOD ID]:[DOD ID]],SwimTable[Swim MCTFS Status],"")</f>
        <v>Success</v>
      </c>
      <c r="Z28" s="51" cm="1">
        <f t="array" ref="Z28">_xlfn.XLOOKUP($A29,HTWTTable[[DOD ID]:[DOD ID]],HTWTTable[MCTFS Status],"")</f>
        <v>0</v>
      </c>
      <c r="AA28" s="51" cm="1">
        <f t="array" ref="AA28">_xlfn.XLOOKUP($A28,FYTable[[DOD ID]:[DOD ID]],FYTable[CBRN Trained / Untrained],"")</f>
        <v>0</v>
      </c>
      <c r="AC28" s="51"/>
      <c r="AD28" s="51" t="s">
        <v>262</v>
      </c>
      <c r="BC28" s="49">
        <v>1458838352</v>
      </c>
      <c r="BD28" s="49" t="s">
        <v>217</v>
      </c>
      <c r="BE28" s="49" t="s">
        <v>263</v>
      </c>
      <c r="BF28" s="49" t="s">
        <v>239</v>
      </c>
      <c r="BG28" s="49" t="s">
        <v>36</v>
      </c>
      <c r="BH28" s="49" t="s">
        <v>248</v>
      </c>
      <c r="BJ28" s="49" t="str">
        <f t="shared" si="0"/>
        <v>Bad</v>
      </c>
    </row>
    <row r="29" spans="1:62" x14ac:dyDescent="0.25">
      <c r="A29" s="136">
        <v>1308481514</v>
      </c>
      <c r="B29" s="137" t="str">
        <f>_xlfn.XLOOKUP($A29,RecallTable[EDIPI],RecallTable[GRADE])</f>
        <v>E4</v>
      </c>
      <c r="C29" s="137" t="str">
        <f>_xlfn.XLOOKUP($A29,RecallTable[EDIPI],RecallTable[NAME], $AE$1)</f>
        <v>RITTER, DEMETRIUS A.</v>
      </c>
      <c r="D29" s="137" t="str">
        <f>_xlfn.XLOOKUP($A29,RecallTable[EDIPI],RecallTable[SECTION])</f>
        <v>2PLT</v>
      </c>
      <c r="E29" s="50">
        <f>_xlfn.XLOOKUP($A29,CYTable[DOD ID],CYTable[CIAR Trained / Untrained], $AE$1)</f>
        <v>0</v>
      </c>
      <c r="F29" s="51" cm="1">
        <f t="array" ref="F29">_xlfn.XLOOKUP($A29,CYTable[[DOD ID]:[DOD ID]],CYTable[AT Trained / Untrained], $AE$1)</f>
        <v>0</v>
      </c>
      <c r="G29" s="51" cm="1">
        <f t="array" ref="G29">_xlfn.XLOOKUP($A29,CYTable[[DOD ID]:[DOD ID]],CYTable[OPSEC Trained / Untrained], $AE$1)</f>
        <v>0</v>
      </c>
      <c r="H29" s="51" cm="1">
        <f t="array" ref="H29">_xlfn.XLOOKUP($A29,CYTable[[DOD ID]:[DOD ID]],CYTable[PAC Trained / Untrained], $AE$1)</f>
        <v>0</v>
      </c>
      <c r="I29" s="51">
        <f>_xlfn.XLOOKUP($A29,CYTable[DOD ID],CYTable[RM Trained / Untrained], $AE$1)</f>
        <v>0</v>
      </c>
      <c r="J29" s="51" cm="1">
        <f t="array" ref="J29">_xlfn.XLOOKUP($A29,CYTable[[DOD ID]:[DOD ID]],CYTable[UMAPIT Trained / Untrained], $AE$1)</f>
        <v>0</v>
      </c>
      <c r="K29" s="51">
        <f>_xlfn.XLOOKUP($A29,CYTable[DOD ID],CYTable[Sup Safety Trained / Untrained], $AE$1)</f>
        <v>0</v>
      </c>
      <c r="L29" s="51">
        <f>_xlfn.XLOOKUP($A29,CYTable[DOD ID],CYTable[Substances Trained / Untrained], $AE$1)</f>
        <v>0</v>
      </c>
      <c r="M29" s="50" cm="1">
        <f t="array" ref="M29">IF(COUNTIF(TrainingTable[[#This Row],[ARQ Comments]],"*Exempt*"),"Exempt", _xlfn.XLOOKUP($A29,FYTable[[DOD ID]:[DOD ID]],FYTable[ARQ MCTFS Status], $AE$1))</f>
        <v>0</v>
      </c>
      <c r="N29" s="51" t="str" cm="1">
        <f t="array" ref="N29">_xlfn.XLOOKUP($A29,FYTable[[DOD ID]:[DOD ID]],FYTable[CYBER Trained / Untrained], $AE$1)</f>
        <v>Trained</v>
      </c>
      <c r="O29" s="51">
        <f>_xlfn.XLOOKUP($A29,FYTable[DOD ID],FYTable[Pistol Classification], $AE$1)</f>
        <v>0</v>
      </c>
      <c r="P29" s="51" cm="1">
        <f t="array" ref="P29">_xlfn.XLOOKUP($A29,FYTable[[DOD ID]:[DOD ID]],FYTable[RM Trained / Untrained], $AE$1)</f>
        <v>0</v>
      </c>
      <c r="Q29" s="51" t="str" cm="1">
        <f t="array" ref="Q29">_xlfn.XLOOKUP($A29,FYTable[[DOD ID]:[DOD ID]],FYTable[Step Up Trained / Untrained], $AE$1)</f>
        <v>Trained</v>
      </c>
      <c r="R29" s="51" t="str" cm="1">
        <f t="array" ref="R29">_xlfn.XLOOKUP($A29,FYTable[[DOD ID]:[DOD ID]],FYTable[Take A Stand Trained / Untrained], $AE$1)</f>
        <v>Trained</v>
      </c>
      <c r="S29" s="51" t="str" cm="1">
        <f t="array" ref="S29">_xlfn.XLOOKUP($A29,FYTable[[DOD ID]:[DOD ID]],FYTable[SAPR Trained / Untrained], $AE$1)</f>
        <v>Trained</v>
      </c>
      <c r="T29" s="51" t="str" cm="1">
        <f t="array" ref="T29">_xlfn.XLOOKUP($A29,FYTable[[DOD ID]:[DOD ID]],FYTable[SAPR SNCO Trained / Untrained], $AE$1)</f>
        <v>Trained</v>
      </c>
      <c r="U29" s="77" t="str" cm="1">
        <f t="array" ref="U29">_xlfn.XLOOKUP($A29,CFTTable[[DOD ID]:[DOD ID]],CFTTable[Class CFT],"")</f>
        <v>FIRST CLASS</v>
      </c>
      <c r="V29" s="62" cm="1">
        <f t="array" ref="V29">_xlfn.XLOOKUP($A29,CFTTable[[DOD ID]:[DOD ID]],CFTTable[Event Date])</f>
        <v>45225</v>
      </c>
      <c r="W29" s="62">
        <f>_xlfn.XLOOKUP($A29,PFTTable[DOD ID],PFTTable[Class PFT],"")</f>
        <v>0</v>
      </c>
      <c r="X29" s="62" cm="1">
        <f t="array" ref="X29">_xlfn.XLOOKUP($A29,PFTTable[[DOD ID]:[DOD ID]],PFTTable[PFT Event Date])</f>
        <v>0</v>
      </c>
      <c r="Y29" s="62" t="str" cm="1">
        <f t="array" ref="Y29">_xlfn.XLOOKUP($A29,SwimTable[[DOD ID]:[DOD ID]],SwimTable[Swim MCTFS Status],"")</f>
        <v>Success</v>
      </c>
      <c r="Z29" s="51" cm="1">
        <f t="array" ref="Z29">_xlfn.XLOOKUP($A30,HTWTTable[[DOD ID]:[DOD ID]],HTWTTable[MCTFS Status],"")</f>
        <v>0</v>
      </c>
      <c r="AA29" s="51" cm="1">
        <f t="array" ref="AA29">_xlfn.XLOOKUP($A29,FYTable[[DOD ID]:[DOD ID]],FYTable[CBRN Trained / Untrained],"")</f>
        <v>0</v>
      </c>
      <c r="AC29" s="52"/>
      <c r="AD29" s="51"/>
      <c r="BC29" s="49">
        <v>1294868590</v>
      </c>
      <c r="BD29" s="49" t="s">
        <v>264</v>
      </c>
      <c r="BE29" s="49" t="s">
        <v>265</v>
      </c>
      <c r="BF29" s="49" t="s">
        <v>239</v>
      </c>
      <c r="BG29" s="49" t="s">
        <v>212</v>
      </c>
      <c r="BH29" s="49" t="s">
        <v>216</v>
      </c>
      <c r="BJ29" s="49" t="str">
        <f t="shared" si="0"/>
        <v>Bad</v>
      </c>
    </row>
    <row r="30" spans="1:62" x14ac:dyDescent="0.25">
      <c r="A30" s="136">
        <v>1511922179</v>
      </c>
      <c r="B30" s="137" t="str">
        <f>_xlfn.XLOOKUP($A30,RecallTable[EDIPI],RecallTable[GRADE])</f>
        <v>E4</v>
      </c>
      <c r="C30" s="137" t="str">
        <f>_xlfn.XLOOKUP($A30,RecallTable[EDIPI],RecallTable[NAME], $AE$1)</f>
        <v>HARTMAN, DANE A.</v>
      </c>
      <c r="D30" s="137" t="str">
        <f>_xlfn.XLOOKUP($A30,RecallTable[EDIPI],RecallTable[SECTION])</f>
        <v>2PLT</v>
      </c>
      <c r="E30" s="50" t="str">
        <f>_xlfn.XLOOKUP($A30,CYTable[DOD ID],CYTable[CIAR Trained / Untrained], $AE$1)</f>
        <v>Trained</v>
      </c>
      <c r="F30" s="51" cm="1">
        <f t="array" ref="F30">_xlfn.XLOOKUP($A30,CYTable[[DOD ID]:[DOD ID]],CYTable[AT Trained / Untrained], $AE$1)</f>
        <v>0</v>
      </c>
      <c r="G30" s="51" t="str" cm="1">
        <f t="array" ref="G30">_xlfn.XLOOKUP($A30,CYTable[[DOD ID]:[DOD ID]],CYTable[OPSEC Trained / Untrained], $AE$1)</f>
        <v>Trained</v>
      </c>
      <c r="H30" s="51" cm="1">
        <f t="array" ref="H30">_xlfn.XLOOKUP($A30,CYTable[[DOD ID]:[DOD ID]],CYTable[PAC Trained / Untrained], $AE$1)</f>
        <v>0</v>
      </c>
      <c r="I30" s="51" t="str">
        <f>_xlfn.XLOOKUP($A30,CYTable[DOD ID],CYTable[RM Trained / Untrained], $AE$1)</f>
        <v>Trained</v>
      </c>
      <c r="J30" s="51" cm="1">
        <f t="array" ref="J30">_xlfn.XLOOKUP($A30,CYTable[[DOD ID]:[DOD ID]],CYTable[UMAPIT Trained / Untrained], $AE$1)</f>
        <v>0</v>
      </c>
      <c r="K30" s="51" t="str">
        <f>_xlfn.XLOOKUP($A30,CYTable[DOD ID],CYTable[Sup Safety Trained / Untrained], $AE$1)</f>
        <v>Trained</v>
      </c>
      <c r="L30" s="51" t="str">
        <f>_xlfn.XLOOKUP($A30,CYTable[DOD ID],CYTable[Substances Trained / Untrained], $AE$1)</f>
        <v>Trained</v>
      </c>
      <c r="M30" s="50" t="str" cm="1">
        <f t="array" ref="M30">IF(COUNTIF(TrainingTable[[#This Row],[ARQ Comments]],"*Exempt*"),"Exempt", _xlfn.XLOOKUP($A30,FYTable[[DOD ID]:[DOD ID]],FYTable[ARQ MCTFS Status], $AE$1))</f>
        <v>Success</v>
      </c>
      <c r="N30" s="51" t="str" cm="1">
        <f t="array" ref="N30">_xlfn.XLOOKUP($A30,FYTable[[DOD ID]:[DOD ID]],FYTable[CYBER Trained / Untrained], $AE$1)</f>
        <v>Trained</v>
      </c>
      <c r="O30" s="51">
        <f>_xlfn.XLOOKUP($A30,FYTable[DOD ID],FYTable[Pistol Classification], $AE$1)</f>
        <v>0</v>
      </c>
      <c r="P30" s="51" cm="1">
        <f t="array" ref="P30">_xlfn.XLOOKUP($A30,FYTable[[DOD ID]:[DOD ID]],FYTable[RM Trained / Untrained], $AE$1)</f>
        <v>0</v>
      </c>
      <c r="Q30" s="51" t="str" cm="1">
        <f t="array" ref="Q30">_xlfn.XLOOKUP($A30,FYTable[[DOD ID]:[DOD ID]],FYTable[Step Up Trained / Untrained], $AE$1)</f>
        <v>Trained</v>
      </c>
      <c r="R30" s="51" t="str" cm="1">
        <f t="array" ref="R30">_xlfn.XLOOKUP($A30,FYTable[[DOD ID]:[DOD ID]],FYTable[Take A Stand Trained / Untrained], $AE$1)</f>
        <v>Trained</v>
      </c>
      <c r="S30" s="51" t="str" cm="1">
        <f t="array" ref="S30">_xlfn.XLOOKUP($A30,FYTable[[DOD ID]:[DOD ID]],FYTable[SAPR Trained / Untrained], $AE$1)</f>
        <v>Trained</v>
      </c>
      <c r="T30" s="51" t="str" cm="1">
        <f t="array" ref="T30">_xlfn.XLOOKUP($A30,FYTable[[DOD ID]:[DOD ID]],FYTable[SAPR SNCO Trained / Untrained], $AE$1)</f>
        <v>Trained</v>
      </c>
      <c r="U30" s="77" t="str" cm="1">
        <f t="array" ref="U30">_xlfn.XLOOKUP($A30,CFTTable[[DOD ID]:[DOD ID]],CFTTable[Class CFT],"")</f>
        <v>FIRST CLASS</v>
      </c>
      <c r="V30" s="62" cm="1">
        <f t="array" ref="V30">_xlfn.XLOOKUP($A30,CFTTable[[DOD ID]:[DOD ID]],CFTTable[Event Date])</f>
        <v>45225</v>
      </c>
      <c r="W30" s="62">
        <f>_xlfn.XLOOKUP($A30,PFTTable[DOD ID],PFTTable[Class PFT],"")</f>
        <v>0</v>
      </c>
      <c r="X30" s="62" cm="1">
        <f t="array" ref="X30">_xlfn.XLOOKUP($A30,PFTTable[[DOD ID]:[DOD ID]],PFTTable[PFT Event Date])</f>
        <v>0</v>
      </c>
      <c r="Y30" s="62" t="str" cm="1">
        <f t="array" ref="Y30">_xlfn.XLOOKUP($A30,SwimTable[[DOD ID]:[DOD ID]],SwimTable[Swim MCTFS Status],"")</f>
        <v>Success</v>
      </c>
      <c r="Z30" s="51" cm="1">
        <f t="array" ref="Z30">_xlfn.XLOOKUP($A31,HTWTTable[[DOD ID]:[DOD ID]],HTWTTable[MCTFS Status],"")</f>
        <v>0</v>
      </c>
      <c r="AA30" s="51" t="str" cm="1">
        <f t="array" ref="AA30">_xlfn.XLOOKUP($A30,FYTable[[DOD ID]:[DOD ID]],FYTable[CBRN Trained / Untrained],"")</f>
        <v>Trained</v>
      </c>
      <c r="AC30" s="51"/>
      <c r="AD30" s="51"/>
      <c r="BC30" s="49">
        <v>1554141109</v>
      </c>
      <c r="BD30" s="49" t="s">
        <v>209</v>
      </c>
      <c r="BE30" s="49" t="s">
        <v>265</v>
      </c>
      <c r="BF30" s="49" t="s">
        <v>239</v>
      </c>
      <c r="BG30" s="49" t="s">
        <v>212</v>
      </c>
      <c r="BH30" s="49" t="s">
        <v>213</v>
      </c>
      <c r="BJ30" s="49" t="str">
        <f t="shared" si="0"/>
        <v>Bad</v>
      </c>
    </row>
    <row r="31" spans="1:62" x14ac:dyDescent="0.25">
      <c r="A31" s="136">
        <v>1363966758</v>
      </c>
      <c r="B31" s="137" t="str">
        <f>_xlfn.XLOOKUP($A31,RecallTable[EDIPI],RecallTable[GRADE])</f>
        <v>E4</v>
      </c>
      <c r="C31" s="137" t="str">
        <f>_xlfn.XLOOKUP($A31,RecallTable[EDIPI],RecallTable[NAME], $AE$1)</f>
        <v>FRY, DARIUS A.</v>
      </c>
      <c r="D31" s="137" t="str">
        <f>_xlfn.XLOOKUP($A31,RecallTable[EDIPI],RecallTable[SECTION])</f>
        <v>2PLT</v>
      </c>
      <c r="E31" s="50">
        <f>_xlfn.XLOOKUP($A31,CYTable[DOD ID],CYTable[CIAR Trained / Untrained], $AE$1)</f>
        <v>0</v>
      </c>
      <c r="F31" s="51" cm="1">
        <f t="array" ref="F31">_xlfn.XLOOKUP($A31,CYTable[[DOD ID]:[DOD ID]],CYTable[AT Trained / Untrained], $AE$1)</f>
        <v>0</v>
      </c>
      <c r="G31" s="51" cm="1">
        <f t="array" ref="G31">_xlfn.XLOOKUP($A31,CYTable[[DOD ID]:[DOD ID]],CYTable[OPSEC Trained / Untrained], $AE$1)</f>
        <v>0</v>
      </c>
      <c r="H31" s="51" cm="1">
        <f t="array" ref="H31">_xlfn.XLOOKUP($A31,CYTable[[DOD ID]:[DOD ID]],CYTable[PAC Trained / Untrained], $AE$1)</f>
        <v>0</v>
      </c>
      <c r="I31" s="51">
        <f>_xlfn.XLOOKUP($A31,CYTable[DOD ID],CYTable[RM Trained / Untrained], $AE$1)</f>
        <v>0</v>
      </c>
      <c r="J31" s="51" cm="1">
        <f t="array" ref="J31">_xlfn.XLOOKUP($A31,CYTable[[DOD ID]:[DOD ID]],CYTable[UMAPIT Trained / Untrained], $AE$1)</f>
        <v>0</v>
      </c>
      <c r="K31" s="51">
        <f>_xlfn.XLOOKUP($A31,CYTable[DOD ID],CYTable[Sup Safety Trained / Untrained], $AE$1)</f>
        <v>0</v>
      </c>
      <c r="L31" s="51">
        <f>_xlfn.XLOOKUP($A31,CYTable[DOD ID],CYTable[Substances Trained / Untrained], $AE$1)</f>
        <v>0</v>
      </c>
      <c r="M31" s="50" cm="1">
        <f t="array" ref="M31">IF(COUNTIF(TrainingTable[[#This Row],[ARQ Comments]],"*Exempt*"),"Exempt", _xlfn.XLOOKUP($A31,FYTable[[DOD ID]:[DOD ID]],FYTable[ARQ MCTFS Status], $AE$1))</f>
        <v>0</v>
      </c>
      <c r="N31" s="51" t="str" cm="1">
        <f t="array" ref="N31">_xlfn.XLOOKUP($A31,FYTable[[DOD ID]:[DOD ID]],FYTable[CYBER Trained / Untrained], $AE$1)</f>
        <v>Trained</v>
      </c>
      <c r="O31" s="51">
        <f>_xlfn.XLOOKUP($A31,FYTable[DOD ID],FYTable[Pistol Classification], $AE$1)</f>
        <v>0</v>
      </c>
      <c r="P31" s="51" cm="1">
        <f t="array" ref="P31">_xlfn.XLOOKUP($A31,FYTable[[DOD ID]:[DOD ID]],FYTable[RM Trained / Untrained], $AE$1)</f>
        <v>0</v>
      </c>
      <c r="Q31" s="51" cm="1">
        <f t="array" ref="Q31">_xlfn.XLOOKUP($A31,FYTable[[DOD ID]:[DOD ID]],FYTable[Step Up Trained / Untrained], $AE$1)</f>
        <v>0</v>
      </c>
      <c r="R31" s="51" cm="1">
        <f t="array" ref="R31">_xlfn.XLOOKUP($A31,FYTable[[DOD ID]:[DOD ID]],FYTable[Take A Stand Trained / Untrained], $AE$1)</f>
        <v>0</v>
      </c>
      <c r="S31" s="51" cm="1">
        <f t="array" ref="S31">_xlfn.XLOOKUP($A31,FYTable[[DOD ID]:[DOD ID]],FYTable[SAPR Trained / Untrained], $AE$1)</f>
        <v>0</v>
      </c>
      <c r="T31" s="51" cm="1">
        <f t="array" ref="T31">_xlfn.XLOOKUP($A31,FYTable[[DOD ID]:[DOD ID]],FYTable[SAPR SNCO Trained / Untrained], $AE$1)</f>
        <v>0</v>
      </c>
      <c r="U31" s="77" t="str" cm="1">
        <f t="array" ref="U31">_xlfn.XLOOKUP($A31,CFTTable[[DOD ID]:[DOD ID]],CFTTable[Class CFT],"")</f>
        <v>FIRST CLASS</v>
      </c>
      <c r="V31" s="62" cm="1">
        <f t="array" ref="V31">_xlfn.XLOOKUP($A31,CFTTable[[DOD ID]:[DOD ID]],CFTTable[Event Date])</f>
        <v>45131</v>
      </c>
      <c r="W31" s="62" t="str">
        <f>_xlfn.XLOOKUP($A31,PFTTable[DOD ID],PFTTable[Class PFT],"")</f>
        <v>First Class</v>
      </c>
      <c r="X31" s="62" cm="1">
        <f t="array" ref="X31">_xlfn.XLOOKUP($A31,PFTTable[[DOD ID]:[DOD ID]],PFTTable[PFT Event Date])</f>
        <v>45376</v>
      </c>
      <c r="Y31" s="62" t="str" cm="1">
        <f t="array" ref="Y31">_xlfn.XLOOKUP($A31,SwimTable[[DOD ID]:[DOD ID]],SwimTable[Swim MCTFS Status],"")</f>
        <v>Success</v>
      </c>
      <c r="Z31" s="51" cm="1">
        <f t="array" ref="Z31">_xlfn.XLOOKUP($A32,HTWTTable[[DOD ID]:[DOD ID]],HTWTTable[MCTFS Status],"")</f>
        <v>0</v>
      </c>
      <c r="AA31" s="51" t="str" cm="1">
        <f t="array" ref="AA31">_xlfn.XLOOKUP($A31,FYTable[[DOD ID]:[DOD ID]],FYTable[CBRN Trained / Untrained],"")</f>
        <v>Trained</v>
      </c>
      <c r="AC31" s="51"/>
      <c r="AD31" s="51"/>
      <c r="BC31" s="49">
        <v>1376484978</v>
      </c>
      <c r="BD31" s="49" t="s">
        <v>214</v>
      </c>
      <c r="BE31" s="49" t="s">
        <v>265</v>
      </c>
      <c r="BF31" s="49" t="s">
        <v>239</v>
      </c>
      <c r="BG31" s="49" t="s">
        <v>212</v>
      </c>
      <c r="BH31" s="49" t="s">
        <v>266</v>
      </c>
      <c r="BJ31" s="49" t="str">
        <f t="shared" si="0"/>
        <v>Bad</v>
      </c>
    </row>
    <row r="32" spans="1:62" x14ac:dyDescent="0.25">
      <c r="A32" s="136">
        <v>1212075255</v>
      </c>
      <c r="B32" s="137" t="str">
        <f>_xlfn.XLOOKUP($A32,RecallTable[EDIPI],RecallTable[GRADE])</f>
        <v>E3</v>
      </c>
      <c r="C32" s="137" t="str">
        <f>_xlfn.XLOOKUP($A32,RecallTable[EDIPI],RecallTable[NAME], $AE$1)</f>
        <v>NASH, KIERAN A.</v>
      </c>
      <c r="D32" s="137" t="str">
        <f>_xlfn.XLOOKUP($A32,RecallTable[EDIPI],RecallTable[SECTION])</f>
        <v>2PLT</v>
      </c>
      <c r="E32" s="50">
        <f>_xlfn.XLOOKUP($A32,CYTable[DOD ID],CYTable[CIAR Trained / Untrained], $AE$1)</f>
        <v>0</v>
      </c>
      <c r="F32" s="51" cm="1">
        <f t="array" ref="F32">_xlfn.XLOOKUP($A32,CYTable[[DOD ID]:[DOD ID]],CYTable[AT Trained / Untrained], $AE$1)</f>
        <v>0</v>
      </c>
      <c r="G32" s="51" cm="1">
        <f t="array" ref="G32">_xlfn.XLOOKUP($A32,CYTable[[DOD ID]:[DOD ID]],CYTable[OPSEC Trained / Untrained], $AE$1)</f>
        <v>0</v>
      </c>
      <c r="H32" s="51" cm="1">
        <f t="array" ref="H32">_xlfn.XLOOKUP($A32,CYTable[[DOD ID]:[DOD ID]],CYTable[PAC Trained / Untrained], $AE$1)</f>
        <v>0</v>
      </c>
      <c r="I32" s="51">
        <f>_xlfn.XLOOKUP($A32,CYTable[DOD ID],CYTable[RM Trained / Untrained], $AE$1)</f>
        <v>0</v>
      </c>
      <c r="J32" s="51" cm="1">
        <f t="array" ref="J32">_xlfn.XLOOKUP($A32,CYTable[[DOD ID]:[DOD ID]],CYTable[UMAPIT Trained / Untrained], $AE$1)</f>
        <v>0</v>
      </c>
      <c r="K32" s="51">
        <f>_xlfn.XLOOKUP($A32,CYTable[DOD ID],CYTable[Sup Safety Trained / Untrained], $AE$1)</f>
        <v>0</v>
      </c>
      <c r="L32" s="51">
        <f>_xlfn.XLOOKUP($A32,CYTable[DOD ID],CYTable[Substances Trained / Untrained], $AE$1)</f>
        <v>0</v>
      </c>
      <c r="M32" s="50" cm="1">
        <f t="array" ref="M32">IF(COUNTIF(TrainingTable[[#This Row],[ARQ Comments]],"*Exempt*"),"Exempt", _xlfn.XLOOKUP($A32,FYTable[[DOD ID]:[DOD ID]],FYTable[ARQ MCTFS Status], $AE$1))</f>
        <v>0</v>
      </c>
      <c r="N32" s="51" t="str" cm="1">
        <f t="array" ref="N32">_xlfn.XLOOKUP($A32,FYTable[[DOD ID]:[DOD ID]],FYTable[CYBER Trained / Untrained], $AE$1)</f>
        <v>Trained</v>
      </c>
      <c r="O32" s="51">
        <f>_xlfn.XLOOKUP($A32,FYTable[DOD ID],FYTable[Pistol Classification], $AE$1)</f>
        <v>0</v>
      </c>
      <c r="P32" s="51" t="str" cm="1">
        <f t="array" ref="P32">_xlfn.XLOOKUP($A32,FYTable[[DOD ID]:[DOD ID]],FYTable[RM Trained / Untrained], $AE$1)</f>
        <v>Trained</v>
      </c>
      <c r="Q32" s="51" cm="1">
        <f t="array" ref="Q32">_xlfn.XLOOKUP($A32,FYTable[[DOD ID]:[DOD ID]],FYTable[Step Up Trained / Untrained], $AE$1)</f>
        <v>0</v>
      </c>
      <c r="R32" s="51" cm="1">
        <f t="array" ref="R32">_xlfn.XLOOKUP($A32,FYTable[[DOD ID]:[DOD ID]],FYTable[Take A Stand Trained / Untrained], $AE$1)</f>
        <v>0</v>
      </c>
      <c r="S32" s="51" cm="1">
        <f t="array" ref="S32">_xlfn.XLOOKUP($A32,FYTable[[DOD ID]:[DOD ID]],FYTable[SAPR Trained / Untrained], $AE$1)</f>
        <v>0</v>
      </c>
      <c r="T32" s="51" cm="1">
        <f t="array" ref="T32">_xlfn.XLOOKUP($A32,FYTable[[DOD ID]:[DOD ID]],FYTable[SAPR SNCO Trained / Untrained], $AE$1)</f>
        <v>0</v>
      </c>
      <c r="U32" s="77" t="str" cm="1">
        <f t="array" ref="U32">_xlfn.XLOOKUP($A32,CFTTable[[DOD ID]:[DOD ID]],CFTTable[Class CFT],"")</f>
        <v>FIRST CLASS</v>
      </c>
      <c r="V32" s="62" cm="1">
        <f t="array" ref="V32">_xlfn.XLOOKUP($A32,CFTTable[[DOD ID]:[DOD ID]],CFTTable[Event Date])</f>
        <v>45225</v>
      </c>
      <c r="W32" s="62">
        <f>_xlfn.XLOOKUP($A32,PFTTable[DOD ID],PFTTable[Class PFT],"")</f>
        <v>0</v>
      </c>
      <c r="X32" s="62" cm="1">
        <f t="array" ref="X32">_xlfn.XLOOKUP($A32,PFTTable[[DOD ID]:[DOD ID]],PFTTable[PFT Event Date])</f>
        <v>0</v>
      </c>
      <c r="Y32" s="62" t="str" cm="1">
        <f t="array" ref="Y32">_xlfn.XLOOKUP($A32,SwimTable[[DOD ID]:[DOD ID]],SwimTable[Swim MCTFS Status],"")</f>
        <v>Success</v>
      </c>
      <c r="Z32" s="51" cm="1">
        <f t="array" ref="Z32">_xlfn.XLOOKUP($A33,HTWTTable[[DOD ID]:[DOD ID]],HTWTTable[MCTFS Status],"")</f>
        <v>0</v>
      </c>
      <c r="AA32" s="51" t="str" cm="1">
        <f t="array" ref="AA32">_xlfn.XLOOKUP($A32,FYTable[[DOD ID]:[DOD ID]],FYTable[CBRN Trained / Untrained],"")</f>
        <v>Trained</v>
      </c>
      <c r="AC32" s="51"/>
      <c r="AD32" s="51"/>
      <c r="BC32" s="49">
        <v>1090261831</v>
      </c>
      <c r="BD32" s="49" t="s">
        <v>209</v>
      </c>
      <c r="BE32" s="49" t="s">
        <v>267</v>
      </c>
      <c r="BF32" s="49" t="s">
        <v>239</v>
      </c>
      <c r="BG32" s="49" t="s">
        <v>36</v>
      </c>
      <c r="BH32" s="49" t="s">
        <v>268</v>
      </c>
      <c r="BJ32" s="49" t="str">
        <f t="shared" si="0"/>
        <v>Bad</v>
      </c>
    </row>
    <row r="33" spans="1:62" x14ac:dyDescent="0.25">
      <c r="A33" s="136">
        <v>1039148847</v>
      </c>
      <c r="B33" s="137" t="str">
        <f>_xlfn.XLOOKUP($A33,RecallTable[EDIPI],RecallTable[GRADE])</f>
        <v>O2</v>
      </c>
      <c r="C33" s="137" t="str">
        <f>_xlfn.XLOOKUP($A33,RecallTable[EDIPI],RecallTable[NAME], $AE$1)</f>
        <v>SHAH, BRYNN A.</v>
      </c>
      <c r="D33" s="137" t="str">
        <f>_xlfn.XLOOKUP($A33,RecallTable[EDIPI],RecallTable[SECTION])</f>
        <v>3PLT</v>
      </c>
      <c r="E33" s="50">
        <f>_xlfn.XLOOKUP($A33,CYTable[DOD ID],CYTable[CIAR Trained / Untrained], $AE$1)</f>
        <v>0</v>
      </c>
      <c r="F33" s="51" cm="1">
        <f t="array" ref="F33">_xlfn.XLOOKUP($A33,CYTable[[DOD ID]:[DOD ID]],CYTable[AT Trained / Untrained], $AE$1)</f>
        <v>0</v>
      </c>
      <c r="G33" s="51" cm="1">
        <f t="array" ref="G33">_xlfn.XLOOKUP($A33,CYTable[[DOD ID]:[DOD ID]],CYTable[OPSEC Trained / Untrained], $AE$1)</f>
        <v>0</v>
      </c>
      <c r="H33" s="51" t="str" cm="1">
        <f t="array" ref="H33">_xlfn.XLOOKUP($A33,CYTable[[DOD ID]:[DOD ID]],CYTable[PAC Trained / Untrained], $AE$1)</f>
        <v>Trained</v>
      </c>
      <c r="I33" s="51">
        <f>_xlfn.XLOOKUP($A33,CYTable[DOD ID],CYTable[RM Trained / Untrained], $AE$1)</f>
        <v>0</v>
      </c>
      <c r="J33" s="51" t="str" cm="1">
        <f t="array" ref="J33">_xlfn.XLOOKUP($A33,CYTable[[DOD ID]:[DOD ID]],CYTable[UMAPIT Trained / Untrained], $AE$1)</f>
        <v>Trained</v>
      </c>
      <c r="K33" s="51">
        <f>_xlfn.XLOOKUP($A33,CYTable[DOD ID],CYTable[Sup Safety Trained / Untrained], $AE$1)</f>
        <v>0</v>
      </c>
      <c r="L33" s="51">
        <f>_xlfn.XLOOKUP($A33,CYTable[DOD ID],CYTable[Substances Trained / Untrained], $AE$1)</f>
        <v>0</v>
      </c>
      <c r="M33" s="50" cm="1">
        <f t="array" ref="M33">IF(COUNTIF(TrainingTable[[#This Row],[ARQ Comments]],"*Exempt*"),"Exempt", _xlfn.XLOOKUP($A33,FYTable[[DOD ID]:[DOD ID]],FYTable[ARQ MCTFS Status], $AE$1))</f>
        <v>0</v>
      </c>
      <c r="N33" s="51" t="str" cm="1">
        <f t="array" ref="N33">_xlfn.XLOOKUP($A33,FYTable[[DOD ID]:[DOD ID]],FYTable[CYBER Trained / Untrained], $AE$1)</f>
        <v>Trained</v>
      </c>
      <c r="O33" s="51">
        <f>_xlfn.XLOOKUP($A33,FYTable[DOD ID],FYTable[Pistol Classification], $AE$1)</f>
        <v>0</v>
      </c>
      <c r="P33" s="51" cm="1">
        <f t="array" ref="P33">_xlfn.XLOOKUP($A33,FYTable[[DOD ID]:[DOD ID]],FYTable[RM Trained / Untrained], $AE$1)</f>
        <v>0</v>
      </c>
      <c r="Q33" s="51" cm="1">
        <f t="array" ref="Q33">_xlfn.XLOOKUP($A33,FYTable[[DOD ID]:[DOD ID]],FYTable[Step Up Trained / Untrained], $AE$1)</f>
        <v>0</v>
      </c>
      <c r="R33" s="51" cm="1">
        <f t="array" ref="R33">_xlfn.XLOOKUP($A33,FYTable[[DOD ID]:[DOD ID]],FYTable[Take A Stand Trained / Untrained], $AE$1)</f>
        <v>0</v>
      </c>
      <c r="S33" s="51" t="str" cm="1">
        <f t="array" ref="S33">_xlfn.XLOOKUP($A33,FYTable[[DOD ID]:[DOD ID]],FYTable[SAPR Trained / Untrained], $AE$1)</f>
        <v>Trained</v>
      </c>
      <c r="T33" s="51" cm="1">
        <f t="array" ref="T33">_xlfn.XLOOKUP($A33,FYTable[[DOD ID]:[DOD ID]],FYTable[SAPR SNCO Trained / Untrained], $AE$1)</f>
        <v>0</v>
      </c>
      <c r="U33" s="77" t="str" cm="1">
        <f t="array" ref="U33">_xlfn.XLOOKUP($A33,CFTTable[[DOD ID]:[DOD ID]],CFTTable[Class CFT],"")</f>
        <v>FIRST CLASS</v>
      </c>
      <c r="V33" s="62" cm="1">
        <f t="array" ref="V33">_xlfn.XLOOKUP($A33,CFTTable[[DOD ID]:[DOD ID]],CFTTable[Event Date])</f>
        <v>45250</v>
      </c>
      <c r="W33" s="62">
        <f>_xlfn.XLOOKUP($A33,PFTTable[DOD ID],PFTTable[Class PFT],"")</f>
        <v>0</v>
      </c>
      <c r="X33" s="62" cm="1">
        <f t="array" ref="X33">_xlfn.XLOOKUP($A33,PFTTable[[DOD ID]:[DOD ID]],PFTTable[PFT Event Date])</f>
        <v>0</v>
      </c>
      <c r="Y33" s="62" t="str" cm="1">
        <f t="array" ref="Y33">_xlfn.XLOOKUP($A33,SwimTable[[DOD ID]:[DOD ID]],SwimTable[Swim MCTFS Status],"")</f>
        <v>Success</v>
      </c>
      <c r="Z33" s="51" cm="1">
        <f t="array" ref="Z33">_xlfn.XLOOKUP($A34,HTWTTable[[DOD ID]:[DOD ID]],HTWTTable[MCTFS Status],"")</f>
        <v>0</v>
      </c>
      <c r="AA33" s="51" cm="1">
        <f t="array" ref="AA33">_xlfn.XLOOKUP($A33,FYTable[[DOD ID]:[DOD ID]],FYTable[CBRN Trained / Untrained],"")</f>
        <v>0</v>
      </c>
      <c r="AC33" s="51"/>
      <c r="AD33" s="51" t="s">
        <v>269</v>
      </c>
      <c r="BC33" s="49">
        <v>1517141328</v>
      </c>
      <c r="BD33" s="49" t="s">
        <v>217</v>
      </c>
      <c r="BE33" s="49" t="s">
        <v>270</v>
      </c>
      <c r="BF33" s="49" t="s">
        <v>230</v>
      </c>
      <c r="BG33" s="49" t="s">
        <v>212</v>
      </c>
      <c r="BH33" s="49" t="s">
        <v>246</v>
      </c>
      <c r="BJ33" s="49" t="str">
        <f t="shared" si="0"/>
        <v>Bad</v>
      </c>
    </row>
    <row r="34" spans="1:62" x14ac:dyDescent="0.25">
      <c r="A34" s="136">
        <v>1282303798</v>
      </c>
      <c r="B34" s="137" t="str">
        <f>_xlfn.XLOOKUP($A34,RecallTable[EDIPI],RecallTable[GRADE])</f>
        <v>E7</v>
      </c>
      <c r="C34" s="137" t="str">
        <f>_xlfn.XLOOKUP($A34,RecallTable[EDIPI],RecallTable[NAME], $AE$1)</f>
        <v>WEISS, BRAXTON A.</v>
      </c>
      <c r="D34" s="137" t="str">
        <f>_xlfn.XLOOKUP($A34,RecallTable[EDIPI],RecallTable[SECTION])</f>
        <v>3PLT</v>
      </c>
      <c r="E34" s="50">
        <f>_xlfn.XLOOKUP($A34,CYTable[DOD ID],CYTable[CIAR Trained / Untrained], $AE$1)</f>
        <v>0</v>
      </c>
      <c r="F34" s="51" cm="1">
        <f t="array" ref="F34">_xlfn.XLOOKUP($A34,CYTable[[DOD ID]:[DOD ID]],CYTable[AT Trained / Untrained], $AE$1)</f>
        <v>0</v>
      </c>
      <c r="G34" s="51" cm="1">
        <f t="array" ref="G34">_xlfn.XLOOKUP($A34,CYTable[[DOD ID]:[DOD ID]],CYTable[OPSEC Trained / Untrained], $AE$1)</f>
        <v>0</v>
      </c>
      <c r="H34" s="51" cm="1">
        <f t="array" ref="H34">_xlfn.XLOOKUP($A34,CYTable[[DOD ID]:[DOD ID]],CYTable[PAC Trained / Untrained], $AE$1)</f>
        <v>0</v>
      </c>
      <c r="I34" s="51">
        <f>_xlfn.XLOOKUP($A34,CYTable[DOD ID],CYTable[RM Trained / Untrained], $AE$1)</f>
        <v>0</v>
      </c>
      <c r="J34" s="51" cm="1">
        <f t="array" ref="J34">_xlfn.XLOOKUP($A34,CYTable[[DOD ID]:[DOD ID]],CYTable[UMAPIT Trained / Untrained], $AE$1)</f>
        <v>0</v>
      </c>
      <c r="K34" s="51">
        <f>_xlfn.XLOOKUP($A34,CYTable[DOD ID],CYTable[Sup Safety Trained / Untrained], $AE$1)</f>
        <v>0</v>
      </c>
      <c r="L34" s="51">
        <f>_xlfn.XLOOKUP($A34,CYTable[DOD ID],CYTable[Substances Trained / Untrained], $AE$1)</f>
        <v>0</v>
      </c>
      <c r="M34" s="50" cm="1">
        <f t="array" ref="M34">IF(COUNTIF(TrainingTable[[#This Row],[ARQ Comments]],"*Exempt*"),"Exempt", _xlfn.XLOOKUP($A34,FYTable[[DOD ID]:[DOD ID]],FYTable[ARQ MCTFS Status], $AE$1))</f>
        <v>0</v>
      </c>
      <c r="N34" s="51" t="str" cm="1">
        <f t="array" ref="N34">_xlfn.XLOOKUP($A34,FYTable[[DOD ID]:[DOD ID]],FYTable[CYBER Trained / Untrained], $AE$1)</f>
        <v>Trained</v>
      </c>
      <c r="O34" s="51">
        <f>_xlfn.XLOOKUP($A34,FYTable[DOD ID],FYTable[Pistol Classification], $AE$1)</f>
        <v>0</v>
      </c>
      <c r="P34" s="51" t="str" cm="1">
        <f t="array" ref="P34">_xlfn.XLOOKUP($A34,FYTable[[DOD ID]:[DOD ID]],FYTable[RM Trained / Untrained], $AE$1)</f>
        <v>Trained</v>
      </c>
      <c r="Q34" s="51" t="str" cm="1">
        <f t="array" ref="Q34">_xlfn.XLOOKUP($A34,FYTable[[DOD ID]:[DOD ID]],FYTable[Step Up Trained / Untrained], $AE$1)</f>
        <v>Trained</v>
      </c>
      <c r="R34" s="51" t="str" cm="1">
        <f t="array" ref="R34">_xlfn.XLOOKUP($A34,FYTable[[DOD ID]:[DOD ID]],FYTable[Take A Stand Trained / Untrained], $AE$1)</f>
        <v>Trained</v>
      </c>
      <c r="S34" s="51" t="str" cm="1">
        <f t="array" ref="S34">_xlfn.XLOOKUP($A34,FYTable[[DOD ID]:[DOD ID]],FYTable[SAPR Trained / Untrained], $AE$1)</f>
        <v>Trained</v>
      </c>
      <c r="T34" s="51" t="str" cm="1">
        <f t="array" ref="T34">_xlfn.XLOOKUP($A34,FYTable[[DOD ID]:[DOD ID]],FYTable[SAPR SNCO Trained / Untrained], $AE$1)</f>
        <v>Trained</v>
      </c>
      <c r="U34" s="77" t="str" cm="1">
        <f t="array" ref="U34">_xlfn.XLOOKUP($A34,CFTTable[[DOD ID]:[DOD ID]],CFTTable[Class CFT],"")</f>
        <v>FIRST CLASS</v>
      </c>
      <c r="V34" s="62" cm="1">
        <f t="array" ref="V34">_xlfn.XLOOKUP($A34,CFTTable[[DOD ID]:[DOD ID]],CFTTable[Event Date])</f>
        <v>45231</v>
      </c>
      <c r="W34" s="62">
        <f>_xlfn.XLOOKUP($A34,PFTTable[DOD ID],PFTTable[Class PFT],"")</f>
        <v>0</v>
      </c>
      <c r="X34" s="62" cm="1">
        <f t="array" ref="X34">_xlfn.XLOOKUP($A34,PFTTable[[DOD ID]:[DOD ID]],PFTTable[PFT Event Date])</f>
        <v>0</v>
      </c>
      <c r="Y34" s="62" t="str" cm="1">
        <f t="array" ref="Y34">_xlfn.XLOOKUP($A34,SwimTable[[DOD ID]:[DOD ID]],SwimTable[Swim MCTFS Status],"")</f>
        <v>Success</v>
      </c>
      <c r="Z34" s="51" t="str" cm="1">
        <f t="array" ref="Z34">_xlfn.XLOOKUP($A35,HTWTTable[[DOD ID]:[DOD ID]],HTWTTable[MCTFS Status],"")</f>
        <v>Success</v>
      </c>
      <c r="AA34" s="51" cm="1">
        <f t="array" ref="AA34">_xlfn.XLOOKUP($A34,FYTable[[DOD ID]:[DOD ID]],FYTable[CBRN Trained / Untrained],"")</f>
        <v>0</v>
      </c>
      <c r="AC34" s="51"/>
      <c r="AD34" s="51"/>
      <c r="BC34" s="49">
        <v>1589757110</v>
      </c>
      <c r="BD34" s="49" t="s">
        <v>209</v>
      </c>
      <c r="BE34" s="49" t="s">
        <v>271</v>
      </c>
      <c r="BF34" s="49" t="s">
        <v>211</v>
      </c>
      <c r="BG34" s="49" t="s">
        <v>212</v>
      </c>
      <c r="BH34" s="49" t="s">
        <v>213</v>
      </c>
      <c r="BJ34" s="49" t="str">
        <f t="shared" si="0"/>
        <v>Bad</v>
      </c>
    </row>
    <row r="35" spans="1:62" x14ac:dyDescent="0.25">
      <c r="A35" s="136">
        <v>1456272150</v>
      </c>
      <c r="B35" s="137" t="str">
        <f>_xlfn.XLOOKUP($A35,RecallTable[EDIPI],RecallTable[GRADE])</f>
        <v>E6</v>
      </c>
      <c r="C35" s="137" t="str">
        <f>_xlfn.XLOOKUP($A35,RecallTable[EDIPI],RecallTable[NAME], $AE$1)</f>
        <v>HOPKINS, NICK A.</v>
      </c>
      <c r="D35" s="137" t="str">
        <f>_xlfn.XLOOKUP($A35,RecallTable[EDIPI],RecallTable[SECTION])</f>
        <v>3PLT</v>
      </c>
      <c r="E35" s="50">
        <f>_xlfn.XLOOKUP($A35,CYTable[DOD ID],CYTable[CIAR Trained / Untrained], $AE$1)</f>
        <v>0</v>
      </c>
      <c r="F35" s="51" cm="1">
        <f t="array" ref="F35">_xlfn.XLOOKUP($A35,CYTable[[DOD ID]:[DOD ID]],CYTable[AT Trained / Untrained], $AE$1)</f>
        <v>0</v>
      </c>
      <c r="G35" s="51" cm="1">
        <f t="array" ref="G35">_xlfn.XLOOKUP($A35,CYTable[[DOD ID]:[DOD ID]],CYTable[OPSEC Trained / Untrained], $AE$1)</f>
        <v>0</v>
      </c>
      <c r="H35" s="51" cm="1">
        <f t="array" ref="H35">_xlfn.XLOOKUP($A35,CYTable[[DOD ID]:[DOD ID]],CYTable[PAC Trained / Untrained], $AE$1)</f>
        <v>0</v>
      </c>
      <c r="I35" s="51">
        <f>_xlfn.XLOOKUP($A35,CYTable[DOD ID],CYTable[RM Trained / Untrained], $AE$1)</f>
        <v>0</v>
      </c>
      <c r="J35" s="51" cm="1">
        <f t="array" ref="J35">_xlfn.XLOOKUP($A35,CYTable[[DOD ID]:[DOD ID]],CYTable[UMAPIT Trained / Untrained], $AE$1)</f>
        <v>0</v>
      </c>
      <c r="K35" s="51">
        <f>_xlfn.XLOOKUP($A35,CYTable[DOD ID],CYTable[Sup Safety Trained / Untrained], $AE$1)</f>
        <v>0</v>
      </c>
      <c r="L35" s="51">
        <f>_xlfn.XLOOKUP($A35,CYTable[DOD ID],CYTable[Substances Trained / Untrained], $AE$1)</f>
        <v>0</v>
      </c>
      <c r="M35" s="50" t="str" cm="1">
        <f t="array" ref="M35">IF(COUNTIF(TrainingTable[[#This Row],[ARQ Comments]],"*Exempt*"),"Exempt", _xlfn.XLOOKUP($A35,FYTable[[DOD ID]:[DOD ID]],FYTable[ARQ MCTFS Status], $AE$1))</f>
        <v>Success</v>
      </c>
      <c r="N35" s="51" cm="1">
        <f t="array" ref="N35">_xlfn.XLOOKUP($A35,FYTable[[DOD ID]:[DOD ID]],FYTable[CYBER Trained / Untrained], $AE$1)</f>
        <v>0</v>
      </c>
      <c r="O35" s="51">
        <f>_xlfn.XLOOKUP($A35,FYTable[DOD ID],FYTable[Pistol Classification], $AE$1)</f>
        <v>0</v>
      </c>
      <c r="P35" s="51" t="str" cm="1">
        <f t="array" ref="P35">_xlfn.XLOOKUP($A35,FYTable[[DOD ID]:[DOD ID]],FYTable[RM Trained / Untrained], $AE$1)</f>
        <v>Trained</v>
      </c>
      <c r="Q35" s="51" cm="1">
        <f t="array" ref="Q35">_xlfn.XLOOKUP($A35,FYTable[[DOD ID]:[DOD ID]],FYTable[Step Up Trained / Untrained], $AE$1)</f>
        <v>0</v>
      </c>
      <c r="R35" s="51" t="str" cm="1">
        <f t="array" ref="R35">_xlfn.XLOOKUP($A35,FYTable[[DOD ID]:[DOD ID]],FYTable[Take A Stand Trained / Untrained], $AE$1)</f>
        <v>Trained</v>
      </c>
      <c r="S35" s="51" cm="1">
        <f t="array" ref="S35">_xlfn.XLOOKUP($A35,FYTable[[DOD ID]:[DOD ID]],FYTable[SAPR Trained / Untrained], $AE$1)</f>
        <v>0</v>
      </c>
      <c r="T35" s="51" cm="1">
        <f t="array" ref="T35">_xlfn.XLOOKUP($A35,FYTable[[DOD ID]:[DOD ID]],FYTable[SAPR SNCO Trained / Untrained], $AE$1)</f>
        <v>0</v>
      </c>
      <c r="U35" s="77" t="str" cm="1">
        <f t="array" ref="U35">_xlfn.XLOOKUP($A35,CFTTable[[DOD ID]:[DOD ID]],CFTTable[Class CFT],"")</f>
        <v>FIRST CLASS</v>
      </c>
      <c r="V35" s="62" cm="1">
        <f t="array" ref="V35">_xlfn.XLOOKUP($A35,CFTTable[[DOD ID]:[DOD ID]],CFTTable[Event Date])</f>
        <v>45225</v>
      </c>
      <c r="W35" s="62">
        <f>_xlfn.XLOOKUP($A35,PFTTable[DOD ID],PFTTable[Class PFT],"")</f>
        <v>0</v>
      </c>
      <c r="X35" s="62" cm="1">
        <f t="array" ref="X35">_xlfn.XLOOKUP($A35,PFTTable[[DOD ID]:[DOD ID]],PFTTable[PFT Event Date])</f>
        <v>0</v>
      </c>
      <c r="Y35" s="62" t="str" cm="1">
        <f t="array" ref="Y35">_xlfn.XLOOKUP($A35,SwimTable[[DOD ID]:[DOD ID]],SwimTable[Swim MCTFS Status],"")</f>
        <v>Success</v>
      </c>
      <c r="Z35" s="51" cm="1">
        <f t="array" ref="Z35">_xlfn.XLOOKUP($A36,HTWTTable[[DOD ID]:[DOD ID]],HTWTTable[MCTFS Status],"")</f>
        <v>0</v>
      </c>
      <c r="AA35" s="51" t="str" cm="1">
        <f t="array" ref="AA35">_xlfn.XLOOKUP($A35,FYTable[[DOD ID]:[DOD ID]],FYTable[CBRN Trained / Untrained],"")</f>
        <v>Trained</v>
      </c>
      <c r="AC35" s="51"/>
      <c r="AD35" s="51"/>
      <c r="BC35" s="49">
        <v>1558523286</v>
      </c>
      <c r="BD35" s="49" t="s">
        <v>235</v>
      </c>
      <c r="BE35" s="49" t="s">
        <v>272</v>
      </c>
      <c r="BF35" s="49" t="s">
        <v>230</v>
      </c>
      <c r="BG35" s="49" t="s">
        <v>212</v>
      </c>
      <c r="BH35" s="49" t="s">
        <v>273</v>
      </c>
      <c r="BJ35" s="49" t="str">
        <f t="shared" ref="BJ35:BJ65" si="1">IF(BH35=AB35,"Good","Bad")</f>
        <v>Bad</v>
      </c>
    </row>
    <row r="36" spans="1:62" x14ac:dyDescent="0.25">
      <c r="A36" s="136">
        <v>1364104581</v>
      </c>
      <c r="B36" s="137" t="str">
        <f>_xlfn.XLOOKUP($A36,RecallTable[EDIPI],RecallTable[GRADE])</f>
        <v>E6</v>
      </c>
      <c r="C36" s="137" t="str">
        <f>_xlfn.XLOOKUP($A36,RecallTable[EDIPI],RecallTable[NAME], $AE$1)</f>
        <v>GIBBS, SANDRA A.</v>
      </c>
      <c r="D36" s="137" t="str">
        <f>_xlfn.XLOOKUP($A36,RecallTable[EDIPI],RecallTable[SECTION])</f>
        <v>3PLT</v>
      </c>
      <c r="E36" s="50">
        <f>_xlfn.XLOOKUP($A36,CYTable[DOD ID],CYTable[CIAR Trained / Untrained], $AE$1)</f>
        <v>0</v>
      </c>
      <c r="F36" s="51" cm="1">
        <f t="array" ref="F36">_xlfn.XLOOKUP($A36,CYTable[[DOD ID]:[DOD ID]],CYTable[AT Trained / Untrained], $AE$1)</f>
        <v>0</v>
      </c>
      <c r="G36" s="51" cm="1">
        <f t="array" ref="G36">_xlfn.XLOOKUP($A36,CYTable[[DOD ID]:[DOD ID]],CYTable[OPSEC Trained / Untrained], $AE$1)</f>
        <v>0</v>
      </c>
      <c r="H36" s="51" cm="1">
        <f t="array" ref="H36">_xlfn.XLOOKUP($A36,CYTable[[DOD ID]:[DOD ID]],CYTable[PAC Trained / Untrained], $AE$1)</f>
        <v>0</v>
      </c>
      <c r="I36" s="51">
        <f>_xlfn.XLOOKUP($A36,CYTable[DOD ID],CYTable[RM Trained / Untrained], $AE$1)</f>
        <v>0</v>
      </c>
      <c r="J36" s="51" cm="1">
        <f t="array" ref="J36">_xlfn.XLOOKUP($A36,CYTable[[DOD ID]:[DOD ID]],CYTable[UMAPIT Trained / Untrained], $AE$1)</f>
        <v>0</v>
      </c>
      <c r="K36" s="51">
        <f>_xlfn.XLOOKUP($A36,CYTable[DOD ID],CYTable[Sup Safety Trained / Untrained], $AE$1)</f>
        <v>0</v>
      </c>
      <c r="L36" s="51">
        <f>_xlfn.XLOOKUP($A36,CYTable[DOD ID],CYTable[Substances Trained / Untrained], $AE$1)</f>
        <v>0</v>
      </c>
      <c r="M36" s="50" cm="1">
        <f t="array" ref="M36">IF(COUNTIF(TrainingTable[[#This Row],[ARQ Comments]],"*Exempt*"),"Exempt", _xlfn.XLOOKUP($A36,FYTable[[DOD ID]:[DOD ID]],FYTable[ARQ MCTFS Status], $AE$1))</f>
        <v>0</v>
      </c>
      <c r="N36" s="51" t="str" cm="1">
        <f t="array" ref="N36">_xlfn.XLOOKUP($A36,FYTable[[DOD ID]:[DOD ID]],FYTable[CYBER Trained / Untrained], $AE$1)</f>
        <v>Trained</v>
      </c>
      <c r="O36" s="51">
        <f>_xlfn.XLOOKUP($A36,FYTable[DOD ID],FYTable[Pistol Classification], $AE$1)</f>
        <v>0</v>
      </c>
      <c r="P36" s="51" cm="1">
        <f t="array" ref="P36">_xlfn.XLOOKUP($A36,FYTable[[DOD ID]:[DOD ID]],FYTable[RM Trained / Untrained], $AE$1)</f>
        <v>0</v>
      </c>
      <c r="Q36" s="51" cm="1">
        <f t="array" ref="Q36">_xlfn.XLOOKUP($A36,FYTable[[DOD ID]:[DOD ID]],FYTable[Step Up Trained / Untrained], $AE$1)</f>
        <v>0</v>
      </c>
      <c r="R36" s="51" cm="1">
        <f t="array" ref="R36">_xlfn.XLOOKUP($A36,FYTable[[DOD ID]:[DOD ID]],FYTable[Take A Stand Trained / Untrained], $AE$1)</f>
        <v>0</v>
      </c>
      <c r="S36" s="51" cm="1">
        <f t="array" ref="S36">_xlfn.XLOOKUP($A36,FYTable[[DOD ID]:[DOD ID]],FYTable[SAPR Trained / Untrained], $AE$1)</f>
        <v>0</v>
      </c>
      <c r="T36" s="51" cm="1">
        <f t="array" ref="T36">_xlfn.XLOOKUP($A36,FYTable[[DOD ID]:[DOD ID]],FYTable[SAPR SNCO Trained / Untrained], $AE$1)</f>
        <v>0</v>
      </c>
      <c r="U36" s="77" t="str" cm="1">
        <f t="array" ref="U36">_xlfn.XLOOKUP($A36,CFTTable[[DOD ID]:[DOD ID]],CFTTable[Class CFT],"")</f>
        <v>FIRST CLASS</v>
      </c>
      <c r="V36" s="62" cm="1">
        <f t="array" ref="V36">_xlfn.XLOOKUP($A36,CFTTable[[DOD ID]:[DOD ID]],CFTTable[Event Date])</f>
        <v>45210</v>
      </c>
      <c r="W36" s="62">
        <f>_xlfn.XLOOKUP($A36,PFTTable[DOD ID],PFTTable[Class PFT],"")</f>
        <v>0</v>
      </c>
      <c r="X36" s="62" cm="1">
        <f t="array" ref="X36">_xlfn.XLOOKUP($A36,PFTTable[[DOD ID]:[DOD ID]],PFTTable[PFT Event Date])</f>
        <v>0</v>
      </c>
      <c r="Y36" s="62" t="str" cm="1">
        <f t="array" ref="Y36">_xlfn.XLOOKUP($A36,SwimTable[[DOD ID]:[DOD ID]],SwimTable[Swim MCTFS Status],"")</f>
        <v>Success</v>
      </c>
      <c r="Z36" s="51" cm="1">
        <f t="array" ref="Z36">_xlfn.XLOOKUP($A37,HTWTTable[[DOD ID]:[DOD ID]],HTWTTable[MCTFS Status],"")</f>
        <v>0</v>
      </c>
      <c r="AA36" s="51" cm="1">
        <f t="array" ref="AA36">_xlfn.XLOOKUP($A36,FYTable[[DOD ID]:[DOD ID]],FYTable[CBRN Trained / Untrained],"")</f>
        <v>0</v>
      </c>
      <c r="AC36" s="51"/>
      <c r="AD36" s="51"/>
      <c r="BJ36" s="49" t="str">
        <f t="shared" si="1"/>
        <v>Good</v>
      </c>
    </row>
    <row r="37" spans="1:62" x14ac:dyDescent="0.25">
      <c r="A37" s="136">
        <v>1599673202</v>
      </c>
      <c r="B37" s="137" t="str">
        <f>_xlfn.XLOOKUP($A37,RecallTable[EDIPI],RecallTable[GRADE])</f>
        <v>E5</v>
      </c>
      <c r="C37" s="137" t="str">
        <f>_xlfn.XLOOKUP($A37,RecallTable[EDIPI],RecallTable[NAME], $AE$1)</f>
        <v>FRIEDMAN, ROHAN A.</v>
      </c>
      <c r="D37" s="137" t="str">
        <f>_xlfn.XLOOKUP($A37,RecallTable[EDIPI],RecallTable[SECTION])</f>
        <v>3PLT</v>
      </c>
      <c r="E37" s="50">
        <f>_xlfn.XLOOKUP($A37,CYTable[DOD ID],CYTable[CIAR Trained / Untrained], $AE$1)</f>
        <v>0</v>
      </c>
      <c r="F37" s="51" cm="1">
        <f t="array" ref="F37">_xlfn.XLOOKUP($A37,CYTable[[DOD ID]:[DOD ID]],CYTable[AT Trained / Untrained], $AE$1)</f>
        <v>0</v>
      </c>
      <c r="G37" s="51" cm="1">
        <f t="array" ref="G37">_xlfn.XLOOKUP($A37,CYTable[[DOD ID]:[DOD ID]],CYTable[OPSEC Trained / Untrained], $AE$1)</f>
        <v>0</v>
      </c>
      <c r="H37" s="51" cm="1">
        <f t="array" ref="H37">_xlfn.XLOOKUP($A37,CYTable[[DOD ID]:[DOD ID]],CYTable[PAC Trained / Untrained], $AE$1)</f>
        <v>0</v>
      </c>
      <c r="I37" s="51">
        <f>_xlfn.XLOOKUP($A37,CYTable[DOD ID],CYTable[RM Trained / Untrained], $AE$1)</f>
        <v>0</v>
      </c>
      <c r="J37" s="51" cm="1">
        <f t="array" ref="J37">_xlfn.XLOOKUP($A37,CYTable[[DOD ID]:[DOD ID]],CYTable[UMAPIT Trained / Untrained], $AE$1)</f>
        <v>0</v>
      </c>
      <c r="K37" s="51">
        <f>_xlfn.XLOOKUP($A37,CYTable[DOD ID],CYTable[Sup Safety Trained / Untrained], $AE$1)</f>
        <v>0</v>
      </c>
      <c r="L37" s="51">
        <f>_xlfn.XLOOKUP($A37,CYTable[DOD ID],CYTable[Substances Trained / Untrained], $AE$1)</f>
        <v>0</v>
      </c>
      <c r="M37" s="50" cm="1">
        <f t="array" ref="M37">IF(COUNTIF(TrainingTable[[#This Row],[ARQ Comments]],"*Exempt*"),"Exempt", _xlfn.XLOOKUP($A37,FYTable[[DOD ID]:[DOD ID]],FYTable[ARQ MCTFS Status], $AE$1))</f>
        <v>0</v>
      </c>
      <c r="N37" s="51" t="str" cm="1">
        <f t="array" ref="N37">_xlfn.XLOOKUP($A37,FYTable[[DOD ID]:[DOD ID]],FYTable[CYBER Trained / Untrained], $AE$1)</f>
        <v>Trained</v>
      </c>
      <c r="O37" s="51">
        <f>_xlfn.XLOOKUP($A37,FYTable[DOD ID],FYTable[Pistol Classification], $AE$1)</f>
        <v>0</v>
      </c>
      <c r="P37" s="51" cm="1">
        <f t="array" ref="P37">_xlfn.XLOOKUP($A37,FYTable[[DOD ID]:[DOD ID]],FYTable[RM Trained / Untrained], $AE$1)</f>
        <v>0</v>
      </c>
      <c r="Q37" s="51" cm="1">
        <f t="array" ref="Q37">_xlfn.XLOOKUP($A37,FYTable[[DOD ID]:[DOD ID]],FYTable[Step Up Trained / Untrained], $AE$1)</f>
        <v>0</v>
      </c>
      <c r="R37" s="51" cm="1">
        <f t="array" ref="R37">_xlfn.XLOOKUP($A37,FYTable[[DOD ID]:[DOD ID]],FYTable[Take A Stand Trained / Untrained], $AE$1)</f>
        <v>0</v>
      </c>
      <c r="S37" s="51" cm="1">
        <f t="array" ref="S37">_xlfn.XLOOKUP($A37,FYTable[[DOD ID]:[DOD ID]],FYTable[SAPR Trained / Untrained], $AE$1)</f>
        <v>0</v>
      </c>
      <c r="T37" s="51" cm="1">
        <f t="array" ref="T37">_xlfn.XLOOKUP($A37,FYTable[[DOD ID]:[DOD ID]],FYTable[SAPR SNCO Trained / Untrained], $AE$1)</f>
        <v>0</v>
      </c>
      <c r="U37" s="77" t="str" cm="1">
        <f t="array" ref="U37">_xlfn.XLOOKUP($A37,CFTTable[[DOD ID]:[DOD ID]],CFTTable[Class CFT],"")</f>
        <v>SECOND CLASS</v>
      </c>
      <c r="V37" s="62" cm="1">
        <f t="array" ref="V37">_xlfn.XLOOKUP($A37,CFTTable[[DOD ID]:[DOD ID]],CFTTable[Event Date])</f>
        <v>45250</v>
      </c>
      <c r="W37" s="62">
        <f>_xlfn.XLOOKUP($A37,PFTTable[DOD ID],PFTTable[Class PFT],"")</f>
        <v>0</v>
      </c>
      <c r="X37" s="62" cm="1">
        <f t="array" ref="X37">_xlfn.XLOOKUP($A37,PFTTable[[DOD ID]:[DOD ID]],PFTTable[PFT Event Date])</f>
        <v>0</v>
      </c>
      <c r="Y37" s="62" t="str" cm="1">
        <f t="array" ref="Y37">_xlfn.XLOOKUP($A37,SwimTable[[DOD ID]:[DOD ID]],SwimTable[Swim MCTFS Status],"")</f>
        <v>Success</v>
      </c>
      <c r="Z37" s="51" cm="1">
        <f t="array" ref="Z37">_xlfn.XLOOKUP($A38,HTWTTable[[DOD ID]:[DOD ID]],HTWTTable[MCTFS Status],"")</f>
        <v>0</v>
      </c>
      <c r="AA37" s="51" cm="1">
        <f t="array" ref="AA37">_xlfn.XLOOKUP($A37,FYTable[[DOD ID]:[DOD ID]],FYTable[CBRN Trained / Untrained],"")</f>
        <v>0</v>
      </c>
      <c r="AC37" s="51"/>
      <c r="AD37" s="51"/>
      <c r="BC37" s="49">
        <v>1535120117</v>
      </c>
      <c r="BD37" s="49" t="s">
        <v>217</v>
      </c>
      <c r="BE37" s="49" t="s">
        <v>274</v>
      </c>
      <c r="BF37" s="49" t="s">
        <v>230</v>
      </c>
      <c r="BG37" s="49" t="s">
        <v>36</v>
      </c>
      <c r="BH37" s="49" t="s">
        <v>268</v>
      </c>
      <c r="BJ37" s="49" t="str">
        <f t="shared" si="1"/>
        <v>Bad</v>
      </c>
    </row>
    <row r="38" spans="1:62" x14ac:dyDescent="0.25">
      <c r="A38" s="136">
        <v>1163508456</v>
      </c>
      <c r="B38" s="137" t="str">
        <f>_xlfn.XLOOKUP($A38,RecallTable[EDIPI],RecallTable[GRADE])</f>
        <v>E5</v>
      </c>
      <c r="C38" s="137" t="str">
        <f>_xlfn.XLOOKUP($A38,RecallTable[EDIPI],RecallTable[NAME], $AE$1)</f>
        <v>SPEARS, TRIPP A.</v>
      </c>
      <c r="D38" s="137" t="str">
        <f>_xlfn.XLOOKUP($A38,RecallTable[EDIPI],RecallTable[SECTION])</f>
        <v>3PLT</v>
      </c>
      <c r="E38" s="50">
        <f>_xlfn.XLOOKUP($A38,CYTable[DOD ID],CYTable[CIAR Trained / Untrained], $AE$1)</f>
        <v>0</v>
      </c>
      <c r="F38" s="51" cm="1">
        <f t="array" ref="F38">_xlfn.XLOOKUP($A38,CYTable[[DOD ID]:[DOD ID]],CYTable[AT Trained / Untrained], $AE$1)</f>
        <v>0</v>
      </c>
      <c r="G38" s="51" cm="1">
        <f t="array" ref="G38">_xlfn.XLOOKUP($A38,CYTable[[DOD ID]:[DOD ID]],CYTable[OPSEC Trained / Untrained], $AE$1)</f>
        <v>0</v>
      </c>
      <c r="H38" s="51" cm="1">
        <f t="array" ref="H38">_xlfn.XLOOKUP($A38,CYTable[[DOD ID]:[DOD ID]],CYTable[PAC Trained / Untrained], $AE$1)</f>
        <v>0</v>
      </c>
      <c r="I38" s="51">
        <f>_xlfn.XLOOKUP($A38,CYTable[DOD ID],CYTable[RM Trained / Untrained], $AE$1)</f>
        <v>0</v>
      </c>
      <c r="J38" s="51" cm="1">
        <f t="array" ref="J38">_xlfn.XLOOKUP($A38,CYTable[[DOD ID]:[DOD ID]],CYTable[UMAPIT Trained / Untrained], $AE$1)</f>
        <v>0</v>
      </c>
      <c r="K38" s="51">
        <f>_xlfn.XLOOKUP($A38,CYTable[DOD ID],CYTable[Sup Safety Trained / Untrained], $AE$1)</f>
        <v>0</v>
      </c>
      <c r="L38" s="51">
        <f>_xlfn.XLOOKUP($A38,CYTable[DOD ID],CYTable[Substances Trained / Untrained], $AE$1)</f>
        <v>0</v>
      </c>
      <c r="M38" s="50" t="str" cm="1">
        <f t="array" ref="M38">IF(COUNTIF(TrainingTable[[#This Row],[ARQ Comments]],"*Exempt*"),"Exempt", _xlfn.XLOOKUP($A38,FYTable[[DOD ID]:[DOD ID]],FYTable[ARQ MCTFS Status], $AE$1))</f>
        <v>Success</v>
      </c>
      <c r="N38" s="51" cm="1">
        <f t="array" ref="N38">_xlfn.XLOOKUP($A38,FYTable[[DOD ID]:[DOD ID]],FYTable[CYBER Trained / Untrained], $AE$1)</f>
        <v>0</v>
      </c>
      <c r="O38" s="51">
        <f>_xlfn.XLOOKUP($A38,FYTable[DOD ID],FYTable[Pistol Classification], $AE$1)</f>
        <v>0</v>
      </c>
      <c r="P38" s="51" cm="1">
        <f t="array" ref="P38">_xlfn.XLOOKUP($A38,FYTable[[DOD ID]:[DOD ID]],FYTable[RM Trained / Untrained], $AE$1)</f>
        <v>0</v>
      </c>
      <c r="Q38" s="51" cm="1">
        <f t="array" ref="Q38">_xlfn.XLOOKUP($A38,FYTable[[DOD ID]:[DOD ID]],FYTable[Step Up Trained / Untrained], $AE$1)</f>
        <v>0</v>
      </c>
      <c r="R38" s="51" cm="1">
        <f t="array" ref="R38">_xlfn.XLOOKUP($A38,FYTable[[DOD ID]:[DOD ID]],FYTable[Take A Stand Trained / Untrained], $AE$1)</f>
        <v>0</v>
      </c>
      <c r="S38" s="51" cm="1">
        <f t="array" ref="S38">_xlfn.XLOOKUP($A38,FYTable[[DOD ID]:[DOD ID]],FYTable[SAPR Trained / Untrained], $AE$1)</f>
        <v>0</v>
      </c>
      <c r="T38" s="51" cm="1">
        <f t="array" ref="T38">_xlfn.XLOOKUP($A38,FYTable[[DOD ID]:[DOD ID]],FYTable[SAPR SNCO Trained / Untrained], $AE$1)</f>
        <v>0</v>
      </c>
      <c r="U38" s="77" t="str" cm="1">
        <f t="array" ref="U38">_xlfn.XLOOKUP($A38,CFTTable[[DOD ID]:[DOD ID]],CFTTable[Class CFT],"")</f>
        <v>FIRST CLASS</v>
      </c>
      <c r="V38" s="62" cm="1">
        <f t="array" ref="V38">_xlfn.XLOOKUP($A38,CFTTable[[DOD ID]:[DOD ID]],CFTTable[Event Date])</f>
        <v>45238</v>
      </c>
      <c r="W38" s="62" t="str">
        <f>_xlfn.XLOOKUP($A38,PFTTable[DOD ID],PFTTable[Class PFT],"")</f>
        <v>First Class</v>
      </c>
      <c r="X38" s="62" cm="1">
        <f t="array" ref="X38">_xlfn.XLOOKUP($A38,PFTTable[[DOD ID]:[DOD ID]],PFTTable[PFT Event Date])</f>
        <v>45328</v>
      </c>
      <c r="Y38" s="62" t="str" cm="1">
        <f t="array" ref="Y38">_xlfn.XLOOKUP($A38,SwimTable[[DOD ID]:[DOD ID]],SwimTable[Swim MCTFS Status],"")</f>
        <v>Success</v>
      </c>
      <c r="Z38" s="51" cm="1">
        <f t="array" ref="Z38">_xlfn.XLOOKUP($A39,HTWTTable[[DOD ID]:[DOD ID]],HTWTTable[MCTFS Status],"")</f>
        <v>0</v>
      </c>
      <c r="AA38" s="51" cm="1">
        <f t="array" ref="AA38">_xlfn.XLOOKUP($A38,FYTable[[DOD ID]:[DOD ID]],FYTable[CBRN Trained / Untrained],"")</f>
        <v>0</v>
      </c>
      <c r="AC38" s="51"/>
      <c r="AD38" s="51"/>
      <c r="BC38" s="49">
        <v>1571671669</v>
      </c>
      <c r="BD38" s="49" t="s">
        <v>209</v>
      </c>
      <c r="BE38" s="49" t="s">
        <v>275</v>
      </c>
      <c r="BF38" s="49" t="s">
        <v>230</v>
      </c>
      <c r="BG38" s="49" t="s">
        <v>36</v>
      </c>
      <c r="BH38" s="49" t="s">
        <v>268</v>
      </c>
      <c r="BJ38" s="49" t="str">
        <f t="shared" si="1"/>
        <v>Bad</v>
      </c>
    </row>
    <row r="39" spans="1:62" x14ac:dyDescent="0.25">
      <c r="A39" s="136">
        <v>1093026721</v>
      </c>
      <c r="B39" s="137" t="str">
        <f>_xlfn.XLOOKUP($A39,RecallTable[EDIPI],RecallTable[GRADE])</f>
        <v>E5</v>
      </c>
      <c r="C39" s="137" t="str">
        <f>_xlfn.XLOOKUP($A39,RecallTable[EDIPI],RecallTable[NAME], $AE$1)</f>
        <v>KENNEDY, RYAN A.</v>
      </c>
      <c r="D39" s="137" t="str">
        <f>_xlfn.XLOOKUP($A39,RecallTable[EDIPI],RecallTable[SECTION])</f>
        <v>3PLT</v>
      </c>
      <c r="E39" s="50">
        <f>_xlfn.XLOOKUP($A39,CYTable[DOD ID],CYTable[CIAR Trained / Untrained], $AE$1)</f>
        <v>0</v>
      </c>
      <c r="F39" s="51" cm="1">
        <f t="array" ref="F39">_xlfn.XLOOKUP($A39,CYTable[[DOD ID]:[DOD ID]],CYTable[AT Trained / Untrained], $AE$1)</f>
        <v>0</v>
      </c>
      <c r="G39" s="51" cm="1">
        <f t="array" ref="G39">_xlfn.XLOOKUP($A39,CYTable[[DOD ID]:[DOD ID]],CYTable[OPSEC Trained / Untrained], $AE$1)</f>
        <v>0</v>
      </c>
      <c r="H39" s="51" cm="1">
        <f t="array" ref="H39">_xlfn.XLOOKUP($A39,CYTable[[DOD ID]:[DOD ID]],CYTable[PAC Trained / Untrained], $AE$1)</f>
        <v>0</v>
      </c>
      <c r="I39" s="51">
        <f>_xlfn.XLOOKUP($A39,CYTable[DOD ID],CYTable[RM Trained / Untrained], $AE$1)</f>
        <v>0</v>
      </c>
      <c r="J39" s="51" cm="1">
        <f t="array" ref="J39">_xlfn.XLOOKUP($A39,CYTable[[DOD ID]:[DOD ID]],CYTable[UMAPIT Trained / Untrained], $AE$1)</f>
        <v>0</v>
      </c>
      <c r="K39" s="51">
        <f>_xlfn.XLOOKUP($A39,CYTable[DOD ID],CYTable[Sup Safety Trained / Untrained], $AE$1)</f>
        <v>0</v>
      </c>
      <c r="L39" s="51">
        <f>_xlfn.XLOOKUP($A39,CYTable[DOD ID],CYTable[Substances Trained / Untrained], $AE$1)</f>
        <v>0</v>
      </c>
      <c r="M39" s="50" cm="1">
        <f t="array" ref="M39">IF(COUNTIF(TrainingTable[[#This Row],[ARQ Comments]],"*Exempt*"),"Exempt", _xlfn.XLOOKUP($A39,FYTable[[DOD ID]:[DOD ID]],FYTable[ARQ MCTFS Status], $AE$1))</f>
        <v>0</v>
      </c>
      <c r="N39" s="51" cm="1">
        <f t="array" ref="N39">_xlfn.XLOOKUP($A39,FYTable[[DOD ID]:[DOD ID]],FYTable[CYBER Trained / Untrained], $AE$1)</f>
        <v>0</v>
      </c>
      <c r="O39" s="51" t="str">
        <f>_xlfn.XLOOKUP($A39,FYTable[DOD ID],FYTable[Pistol Classification], $AE$1)</f>
        <v>EXPERT</v>
      </c>
      <c r="P39" s="51" cm="1">
        <f t="array" ref="P39">_xlfn.XLOOKUP($A39,FYTable[[DOD ID]:[DOD ID]],FYTable[RM Trained / Untrained], $AE$1)</f>
        <v>0</v>
      </c>
      <c r="Q39" s="51" cm="1">
        <f t="array" ref="Q39">_xlfn.XLOOKUP($A39,FYTable[[DOD ID]:[DOD ID]],FYTable[Step Up Trained / Untrained], $AE$1)</f>
        <v>0</v>
      </c>
      <c r="R39" s="51" cm="1">
        <f t="array" ref="R39">_xlfn.XLOOKUP($A39,FYTable[[DOD ID]:[DOD ID]],FYTable[Take A Stand Trained / Untrained], $AE$1)</f>
        <v>0</v>
      </c>
      <c r="S39" s="51" cm="1">
        <f t="array" ref="S39">_xlfn.XLOOKUP($A39,FYTable[[DOD ID]:[DOD ID]],FYTable[SAPR Trained / Untrained], $AE$1)</f>
        <v>0</v>
      </c>
      <c r="T39" s="51" cm="1">
        <f t="array" ref="T39">_xlfn.XLOOKUP($A39,FYTable[[DOD ID]:[DOD ID]],FYTable[SAPR SNCO Trained / Untrained], $AE$1)</f>
        <v>0</v>
      </c>
      <c r="U39" s="77" t="str" cm="1">
        <f t="array" ref="U39">_xlfn.XLOOKUP($A39,CFTTable[[DOD ID]:[DOD ID]],CFTTable[Class CFT],"")</f>
        <v>FIRST CLASS</v>
      </c>
      <c r="V39" s="62" cm="1">
        <f t="array" ref="V39">_xlfn.XLOOKUP($A39,CFTTable[[DOD ID]:[DOD ID]],CFTTable[Event Date])</f>
        <v>45225</v>
      </c>
      <c r="W39" s="62">
        <f>_xlfn.XLOOKUP($A39,PFTTable[DOD ID],PFTTable[Class PFT],"")</f>
        <v>0</v>
      </c>
      <c r="X39" s="62" cm="1">
        <f t="array" ref="X39">_xlfn.XLOOKUP($A39,PFTTable[[DOD ID]:[DOD ID]],PFTTable[PFT Event Date])</f>
        <v>0</v>
      </c>
      <c r="Y39" s="62" t="str" cm="1">
        <f t="array" ref="Y39">_xlfn.XLOOKUP($A39,SwimTable[[DOD ID]:[DOD ID]],SwimTable[Swim MCTFS Status],"")</f>
        <v>Success</v>
      </c>
      <c r="Z39" s="51" t="str" cm="1">
        <f t="array" ref="Z39">_xlfn.XLOOKUP($A40,HTWTTable[[DOD ID]:[DOD ID]],HTWTTable[MCTFS Status],"")</f>
        <v>Success</v>
      </c>
      <c r="AA39" s="51" cm="1">
        <f t="array" ref="AA39">_xlfn.XLOOKUP($A39,FYTable[[DOD ID]:[DOD ID]],FYTable[CBRN Trained / Untrained],"")</f>
        <v>0</v>
      </c>
      <c r="AC39" s="51"/>
      <c r="AD39" s="51" t="s">
        <v>269</v>
      </c>
      <c r="BC39" s="49">
        <v>1250553133</v>
      </c>
      <c r="BD39" s="49" t="s">
        <v>243</v>
      </c>
      <c r="BE39" s="49" t="s">
        <v>276</v>
      </c>
      <c r="BF39" s="49" t="s">
        <v>225</v>
      </c>
      <c r="BG39" s="49" t="s">
        <v>212</v>
      </c>
      <c r="BH39" s="49" t="s">
        <v>277</v>
      </c>
      <c r="BJ39" s="49" t="str">
        <f t="shared" si="1"/>
        <v>Bad</v>
      </c>
    </row>
    <row r="40" spans="1:62" x14ac:dyDescent="0.25">
      <c r="A40" s="136">
        <v>1523342542</v>
      </c>
      <c r="B40" s="137" t="str">
        <f>_xlfn.XLOOKUP($A40,RecallTable[EDIPI],RecallTable[GRADE])</f>
        <v>E4</v>
      </c>
      <c r="C40" s="137" t="str">
        <f>_xlfn.XLOOKUP($A40,RecallTable[EDIPI],RecallTable[NAME], $AE$1)</f>
        <v>CHEN, ANGELINE A.</v>
      </c>
      <c r="D40" s="137" t="str">
        <f>_xlfn.XLOOKUP($A40,RecallTable[EDIPI],RecallTable[SECTION])</f>
        <v>3PLT</v>
      </c>
      <c r="E40" s="50">
        <f>_xlfn.XLOOKUP($A40,CYTable[DOD ID],CYTable[CIAR Trained / Untrained], $AE$1)</f>
        <v>0</v>
      </c>
      <c r="F40" s="51" cm="1">
        <f t="array" ref="F40">_xlfn.XLOOKUP($A40,CYTable[[DOD ID]:[DOD ID]],CYTable[AT Trained / Untrained], $AE$1)</f>
        <v>0</v>
      </c>
      <c r="G40" s="51" cm="1">
        <f t="array" ref="G40">_xlfn.XLOOKUP($A40,CYTable[[DOD ID]:[DOD ID]],CYTable[OPSEC Trained / Untrained], $AE$1)</f>
        <v>0</v>
      </c>
      <c r="H40" s="51" cm="1">
        <f t="array" ref="H40">_xlfn.XLOOKUP($A40,CYTable[[DOD ID]:[DOD ID]],CYTable[PAC Trained / Untrained], $AE$1)</f>
        <v>0</v>
      </c>
      <c r="I40" s="51">
        <f>_xlfn.XLOOKUP($A40,CYTable[DOD ID],CYTable[RM Trained / Untrained], $AE$1)</f>
        <v>0</v>
      </c>
      <c r="J40" s="51" cm="1">
        <f t="array" ref="J40">_xlfn.XLOOKUP($A40,CYTable[[DOD ID]:[DOD ID]],CYTable[UMAPIT Trained / Untrained], $AE$1)</f>
        <v>0</v>
      </c>
      <c r="K40" s="51">
        <f>_xlfn.XLOOKUP($A40,CYTable[DOD ID],CYTable[Sup Safety Trained / Untrained], $AE$1)</f>
        <v>0</v>
      </c>
      <c r="L40" s="51">
        <f>_xlfn.XLOOKUP($A40,CYTable[DOD ID],CYTable[Substances Trained / Untrained], $AE$1)</f>
        <v>0</v>
      </c>
      <c r="M40" s="50" cm="1">
        <f t="array" ref="M40">IF(COUNTIF(TrainingTable[[#This Row],[ARQ Comments]],"*Exempt*"),"Exempt", _xlfn.XLOOKUP($A40,FYTable[[DOD ID]:[DOD ID]],FYTable[ARQ MCTFS Status], $AE$1))</f>
        <v>0</v>
      </c>
      <c r="N40" s="51" t="str" cm="1">
        <f t="array" ref="N40">_xlfn.XLOOKUP($A40,FYTable[[DOD ID]:[DOD ID]],FYTable[CYBER Trained / Untrained], $AE$1)</f>
        <v>Trained</v>
      </c>
      <c r="O40" s="51">
        <f>_xlfn.XLOOKUP($A40,FYTable[DOD ID],FYTable[Pistol Classification], $AE$1)</f>
        <v>0</v>
      </c>
      <c r="P40" s="51" t="str" cm="1">
        <f t="array" ref="P40">_xlfn.XLOOKUP($A40,FYTable[[DOD ID]:[DOD ID]],FYTable[RM Trained / Untrained], $AE$1)</f>
        <v>Trained</v>
      </c>
      <c r="Q40" s="51" cm="1">
        <f t="array" ref="Q40">_xlfn.XLOOKUP($A40,FYTable[[DOD ID]:[DOD ID]],FYTable[Step Up Trained / Untrained], $AE$1)</f>
        <v>0</v>
      </c>
      <c r="R40" s="51" t="str" cm="1">
        <f t="array" ref="R40">_xlfn.XLOOKUP($A40,FYTable[[DOD ID]:[DOD ID]],FYTable[Take A Stand Trained / Untrained], $AE$1)</f>
        <v>Trained</v>
      </c>
      <c r="S40" s="51" cm="1">
        <f t="array" ref="S40">_xlfn.XLOOKUP($A40,FYTable[[DOD ID]:[DOD ID]],FYTable[SAPR Trained / Untrained], $AE$1)</f>
        <v>0</v>
      </c>
      <c r="T40" s="51" cm="1">
        <f t="array" ref="T40">_xlfn.XLOOKUP($A40,FYTable[[DOD ID]:[DOD ID]],FYTable[SAPR SNCO Trained / Untrained], $AE$1)</f>
        <v>0</v>
      </c>
      <c r="U40" s="77" t="str" cm="1">
        <f t="array" ref="U40">_xlfn.XLOOKUP($A40,CFTTable[[DOD ID]:[DOD ID]],CFTTable[Class CFT],"")</f>
        <v>FIRST CLASS</v>
      </c>
      <c r="V40" s="62" cm="1">
        <f t="array" ref="V40">_xlfn.XLOOKUP($A40,CFTTable[[DOD ID]:[DOD ID]],CFTTable[Event Date])</f>
        <v>45225</v>
      </c>
      <c r="W40" s="62">
        <f>_xlfn.XLOOKUP($A40,PFTTable[DOD ID],PFTTable[Class PFT],"")</f>
        <v>0</v>
      </c>
      <c r="X40" s="62" cm="1">
        <f t="array" ref="X40">_xlfn.XLOOKUP($A40,PFTTable[[DOD ID]:[DOD ID]],PFTTable[PFT Event Date])</f>
        <v>0</v>
      </c>
      <c r="Y40" s="62" t="str" cm="1">
        <f t="array" ref="Y40">_xlfn.XLOOKUP($A40,SwimTable[[DOD ID]:[DOD ID]],SwimTable[Swim MCTFS Status],"")</f>
        <v>Success</v>
      </c>
      <c r="Z40" s="51" t="str" cm="1">
        <f t="array" ref="Z40">_xlfn.XLOOKUP($A41,HTWTTable[[DOD ID]:[DOD ID]],HTWTTable[MCTFS Status],"")</f>
        <v>Success</v>
      </c>
      <c r="AA40" s="51" cm="1">
        <f t="array" ref="AA40">_xlfn.XLOOKUP($A40,FYTable[[DOD ID]:[DOD ID]],FYTable[CBRN Trained / Untrained],"")</f>
        <v>0</v>
      </c>
      <c r="AC40" s="51"/>
      <c r="AD40" s="51"/>
      <c r="BC40" s="49">
        <v>1138745372</v>
      </c>
      <c r="BD40" s="49" t="s">
        <v>278</v>
      </c>
      <c r="BE40" s="49" t="s">
        <v>279</v>
      </c>
      <c r="BF40" s="49" t="s">
        <v>215</v>
      </c>
      <c r="BG40" s="49" t="s">
        <v>36</v>
      </c>
      <c r="BH40" s="49" t="s">
        <v>216</v>
      </c>
      <c r="BJ40" s="49" t="str">
        <f t="shared" si="1"/>
        <v>Bad</v>
      </c>
    </row>
    <row r="41" spans="1:62" x14ac:dyDescent="0.25">
      <c r="A41" s="136">
        <v>1128365853</v>
      </c>
      <c r="B41" s="137" t="str">
        <f>_xlfn.XLOOKUP($A41,RecallTable[EDIPI],RecallTable[GRADE])</f>
        <v>E4</v>
      </c>
      <c r="C41" s="137" t="str">
        <f>_xlfn.XLOOKUP($A41,RecallTable[EDIPI],RecallTable[NAME], $AE$1)</f>
        <v>BUCHANAN, TIMOTHY A.</v>
      </c>
      <c r="D41" s="137" t="str">
        <f>_xlfn.XLOOKUP($A41,RecallTable[EDIPI],RecallTable[SECTION])</f>
        <v>3PLT</v>
      </c>
      <c r="E41" s="50">
        <f>_xlfn.XLOOKUP($A41,CYTable[DOD ID],CYTable[CIAR Trained / Untrained], $AE$1)</f>
        <v>0</v>
      </c>
      <c r="F41" s="51" cm="1">
        <f t="array" ref="F41">_xlfn.XLOOKUP($A41,CYTable[[DOD ID]:[DOD ID]],CYTable[AT Trained / Untrained], $AE$1)</f>
        <v>0</v>
      </c>
      <c r="G41" s="51" cm="1">
        <f t="array" ref="G41">_xlfn.XLOOKUP($A41,CYTable[[DOD ID]:[DOD ID]],CYTable[OPSEC Trained / Untrained], $AE$1)</f>
        <v>0</v>
      </c>
      <c r="H41" s="51" cm="1">
        <f t="array" ref="H41">_xlfn.XLOOKUP($A41,CYTable[[DOD ID]:[DOD ID]],CYTable[PAC Trained / Untrained], $AE$1)</f>
        <v>0</v>
      </c>
      <c r="I41" s="51">
        <f>_xlfn.XLOOKUP($A41,CYTable[DOD ID],CYTable[RM Trained / Untrained], $AE$1)</f>
        <v>0</v>
      </c>
      <c r="J41" s="51" cm="1">
        <f t="array" ref="J41">_xlfn.XLOOKUP($A41,CYTable[[DOD ID]:[DOD ID]],CYTable[UMAPIT Trained / Untrained], $AE$1)</f>
        <v>0</v>
      </c>
      <c r="K41" s="51">
        <f>_xlfn.XLOOKUP($A41,CYTable[DOD ID],CYTable[Sup Safety Trained / Untrained], $AE$1)</f>
        <v>0</v>
      </c>
      <c r="L41" s="51">
        <f>_xlfn.XLOOKUP($A41,CYTable[DOD ID],CYTable[Substances Trained / Untrained], $AE$1)</f>
        <v>0</v>
      </c>
      <c r="M41" s="50" cm="1">
        <f t="array" ref="M41">IF(COUNTIF(TrainingTable[[#This Row],[ARQ Comments]],"*Exempt*"),"Exempt", _xlfn.XLOOKUP($A41,FYTable[[DOD ID]:[DOD ID]],FYTable[ARQ MCTFS Status], $AE$1))</f>
        <v>0</v>
      </c>
      <c r="N41" s="51" t="str" cm="1">
        <f t="array" ref="N41">_xlfn.XLOOKUP($A41,FYTable[[DOD ID]:[DOD ID]],FYTable[CYBER Trained / Untrained], $AE$1)</f>
        <v>Trained</v>
      </c>
      <c r="O41" s="51">
        <f>_xlfn.XLOOKUP($A41,FYTable[DOD ID],FYTable[Pistol Classification], $AE$1)</f>
        <v>0</v>
      </c>
      <c r="P41" s="51" cm="1">
        <f t="array" ref="P41">_xlfn.XLOOKUP($A41,FYTable[[DOD ID]:[DOD ID]],FYTable[RM Trained / Untrained], $AE$1)</f>
        <v>0</v>
      </c>
      <c r="Q41" s="51" cm="1">
        <f t="array" ref="Q41">_xlfn.XLOOKUP($A41,FYTable[[DOD ID]:[DOD ID]],FYTable[Step Up Trained / Untrained], $AE$1)</f>
        <v>0</v>
      </c>
      <c r="R41" s="51" cm="1">
        <f t="array" ref="R41">_xlfn.XLOOKUP($A41,FYTable[[DOD ID]:[DOD ID]],FYTable[Take A Stand Trained / Untrained], $AE$1)</f>
        <v>0</v>
      </c>
      <c r="S41" s="51" cm="1">
        <f t="array" ref="S41">_xlfn.XLOOKUP($A41,FYTable[[DOD ID]:[DOD ID]],FYTable[SAPR Trained / Untrained], $AE$1)</f>
        <v>0</v>
      </c>
      <c r="T41" s="51" cm="1">
        <f t="array" ref="T41">_xlfn.XLOOKUP($A41,FYTable[[DOD ID]:[DOD ID]],FYTable[SAPR SNCO Trained / Untrained], $AE$1)</f>
        <v>0</v>
      </c>
      <c r="U41" s="77" t="str" cm="1">
        <f t="array" ref="U41">_xlfn.XLOOKUP($A41,CFTTable[[DOD ID]:[DOD ID]],CFTTable[Class CFT],"")</f>
        <v>FIRST CLASS</v>
      </c>
      <c r="V41" s="62" cm="1">
        <f t="array" ref="V41">_xlfn.XLOOKUP($A41,CFTTable[[DOD ID]:[DOD ID]],CFTTable[Event Date])</f>
        <v>45250</v>
      </c>
      <c r="W41" s="62">
        <f>_xlfn.XLOOKUP($A41,PFTTable[DOD ID],PFTTable[Class PFT],"")</f>
        <v>0</v>
      </c>
      <c r="X41" s="62" cm="1">
        <f t="array" ref="X41">_xlfn.XLOOKUP($A41,PFTTable[[DOD ID]:[DOD ID]],PFTTable[PFT Event Date])</f>
        <v>0</v>
      </c>
      <c r="Y41" s="62" t="str" cm="1">
        <f t="array" ref="Y41">_xlfn.XLOOKUP($A41,SwimTable[[DOD ID]:[DOD ID]],SwimTable[Swim MCTFS Status],"")</f>
        <v>Success</v>
      </c>
      <c r="Z41" s="51" cm="1">
        <f t="array" ref="Z41">_xlfn.XLOOKUP($A42,HTWTTable[[DOD ID]:[DOD ID]],HTWTTable[MCTFS Status],"")</f>
        <v>0</v>
      </c>
      <c r="AA41" s="51" cm="1">
        <f t="array" ref="AA41">_xlfn.XLOOKUP($A41,FYTable[[DOD ID]:[DOD ID]],FYTable[CBRN Trained / Untrained],"")</f>
        <v>0</v>
      </c>
      <c r="AC41" s="51"/>
      <c r="AD41" s="51"/>
      <c r="BC41" s="49">
        <v>1538493119</v>
      </c>
      <c r="BD41" s="49" t="s">
        <v>243</v>
      </c>
      <c r="BE41" s="49" t="s">
        <v>280</v>
      </c>
      <c r="BF41" s="49" t="s">
        <v>225</v>
      </c>
      <c r="BG41" s="49" t="s">
        <v>212</v>
      </c>
      <c r="BH41" s="49" t="s">
        <v>242</v>
      </c>
      <c r="BJ41" s="49" t="str">
        <f t="shared" si="1"/>
        <v>Bad</v>
      </c>
    </row>
    <row r="42" spans="1:62" x14ac:dyDescent="0.25">
      <c r="A42" s="136">
        <v>1164109197</v>
      </c>
      <c r="B42" s="137" t="str">
        <f>_xlfn.XLOOKUP($A42,RecallTable[EDIPI],RecallTable[GRADE])</f>
        <v>E4</v>
      </c>
      <c r="C42" s="137" t="str">
        <f>_xlfn.XLOOKUP($A42,RecallTable[EDIPI],RecallTable[NAME], $AE$1)</f>
        <v>LARSEN, JENSEN A.</v>
      </c>
      <c r="D42" s="137" t="str">
        <f>_xlfn.XLOOKUP($A42,RecallTable[EDIPI],RecallTable[SECTION])</f>
        <v>3PLT</v>
      </c>
      <c r="E42" s="50">
        <f>_xlfn.XLOOKUP($A42,CYTable[DOD ID],CYTable[CIAR Trained / Untrained], $AE$1)</f>
        <v>0</v>
      </c>
      <c r="F42" s="51" cm="1">
        <f t="array" ref="F42">_xlfn.XLOOKUP($A42,CYTable[[DOD ID]:[DOD ID]],CYTable[AT Trained / Untrained], $AE$1)</f>
        <v>0</v>
      </c>
      <c r="G42" s="51" cm="1">
        <f t="array" ref="G42">_xlfn.XLOOKUP($A42,CYTable[[DOD ID]:[DOD ID]],CYTable[OPSEC Trained / Untrained], $AE$1)</f>
        <v>0</v>
      </c>
      <c r="H42" s="51" cm="1">
        <f t="array" ref="H42">_xlfn.XLOOKUP($A42,CYTable[[DOD ID]:[DOD ID]],CYTable[PAC Trained / Untrained], $AE$1)</f>
        <v>0</v>
      </c>
      <c r="I42" s="51">
        <f>_xlfn.XLOOKUP($A42,CYTable[DOD ID],CYTable[RM Trained / Untrained], $AE$1)</f>
        <v>0</v>
      </c>
      <c r="J42" s="51" cm="1">
        <f t="array" ref="J42">_xlfn.XLOOKUP($A42,CYTable[[DOD ID]:[DOD ID]],CYTable[UMAPIT Trained / Untrained], $AE$1)</f>
        <v>0</v>
      </c>
      <c r="K42" s="51">
        <f>_xlfn.XLOOKUP($A42,CYTable[DOD ID],CYTable[Sup Safety Trained / Untrained], $AE$1)</f>
        <v>0</v>
      </c>
      <c r="L42" s="51">
        <f>_xlfn.XLOOKUP($A42,CYTable[DOD ID],CYTable[Substances Trained / Untrained], $AE$1)</f>
        <v>0</v>
      </c>
      <c r="M42" s="50" cm="1">
        <f t="array" ref="M42">IF(COUNTIF(TrainingTable[[#This Row],[ARQ Comments]],"*Exempt*"),"Exempt", _xlfn.XLOOKUP($A42,FYTable[[DOD ID]:[DOD ID]],FYTable[ARQ MCTFS Status], $AE$1))</f>
        <v>0</v>
      </c>
      <c r="N42" s="51" t="str" cm="1">
        <f t="array" ref="N42">_xlfn.XLOOKUP($A42,FYTable[[DOD ID]:[DOD ID]],FYTable[CYBER Trained / Untrained], $AE$1)</f>
        <v>Trained</v>
      </c>
      <c r="O42" s="51">
        <f>_xlfn.XLOOKUP($A42,FYTable[DOD ID],FYTable[Pistol Classification], $AE$1)</f>
        <v>0</v>
      </c>
      <c r="P42" s="51" cm="1">
        <f t="array" ref="P42">_xlfn.XLOOKUP($A42,FYTable[[DOD ID]:[DOD ID]],FYTable[RM Trained / Untrained], $AE$1)</f>
        <v>0</v>
      </c>
      <c r="Q42" s="51" cm="1">
        <f t="array" ref="Q42">_xlfn.XLOOKUP($A42,FYTable[[DOD ID]:[DOD ID]],FYTable[Step Up Trained / Untrained], $AE$1)</f>
        <v>0</v>
      </c>
      <c r="R42" s="51" cm="1">
        <f t="array" ref="R42">_xlfn.XLOOKUP($A42,FYTable[[DOD ID]:[DOD ID]],FYTable[Take A Stand Trained / Untrained], $AE$1)</f>
        <v>0</v>
      </c>
      <c r="S42" s="51" cm="1">
        <f t="array" ref="S42">_xlfn.XLOOKUP($A42,FYTable[[DOD ID]:[DOD ID]],FYTable[SAPR Trained / Untrained], $AE$1)</f>
        <v>0</v>
      </c>
      <c r="T42" s="51" cm="1">
        <f t="array" ref="T42">_xlfn.XLOOKUP($A42,FYTable[[DOD ID]:[DOD ID]],FYTable[SAPR SNCO Trained / Untrained], $AE$1)</f>
        <v>0</v>
      </c>
      <c r="U42" s="77" t="str" cm="1">
        <f t="array" ref="U42">_xlfn.XLOOKUP($A42,CFTTable[[DOD ID]:[DOD ID]],CFTTable[Class CFT],"")</f>
        <v>FIRST CLASS</v>
      </c>
      <c r="V42" s="62" cm="1">
        <f t="array" ref="V42">_xlfn.XLOOKUP($A42,CFTTable[[DOD ID]:[DOD ID]],CFTTable[Event Date])</f>
        <v>45195</v>
      </c>
      <c r="W42" s="62">
        <f>_xlfn.XLOOKUP($A42,PFTTable[DOD ID],PFTTable[Class PFT],"")</f>
        <v>0</v>
      </c>
      <c r="X42" s="62" cm="1">
        <f t="array" ref="X42">_xlfn.XLOOKUP($A42,PFTTable[[DOD ID]:[DOD ID]],PFTTable[PFT Event Date])</f>
        <v>0</v>
      </c>
      <c r="Y42" s="62" t="str" cm="1">
        <f t="array" ref="Y42">_xlfn.XLOOKUP($A42,SwimTable[[DOD ID]:[DOD ID]],SwimTable[Swim MCTFS Status],"")</f>
        <v>Success</v>
      </c>
      <c r="Z42" s="51" cm="1">
        <f t="array" ref="Z42">_xlfn.XLOOKUP($A43,HTWTTable[[DOD ID]:[DOD ID]],HTWTTable[MCTFS Status],"")</f>
        <v>0</v>
      </c>
      <c r="AA42" s="51" cm="1">
        <f t="array" ref="AA42">_xlfn.XLOOKUP($A42,FYTable[[DOD ID]:[DOD ID]],FYTable[CBRN Trained / Untrained],"")</f>
        <v>0</v>
      </c>
      <c r="AC42" s="51"/>
      <c r="AD42" s="51"/>
      <c r="BC42" s="49">
        <v>1596536375</v>
      </c>
      <c r="BD42" s="49" t="s">
        <v>209</v>
      </c>
      <c r="BE42" s="49" t="s">
        <v>281</v>
      </c>
      <c r="BF42" s="49" t="s">
        <v>225</v>
      </c>
      <c r="BG42" s="49" t="s">
        <v>212</v>
      </c>
      <c r="BH42" s="49" t="s">
        <v>237</v>
      </c>
      <c r="BJ42" s="49" t="str">
        <f t="shared" si="1"/>
        <v>Bad</v>
      </c>
    </row>
    <row r="43" spans="1:62" x14ac:dyDescent="0.25">
      <c r="A43" s="136">
        <v>1397980725</v>
      </c>
      <c r="B43" s="137" t="str">
        <f>_xlfn.XLOOKUP($A43,RecallTable[EDIPI],RecallTable[GRADE])</f>
        <v>E4</v>
      </c>
      <c r="C43" s="137" t="str">
        <f>_xlfn.XLOOKUP($A43,RecallTable[EDIPI],RecallTable[NAME], $AE$1)</f>
        <v>MCBRIDE, ZION A.</v>
      </c>
      <c r="D43" s="137" t="str">
        <f>_xlfn.XLOOKUP($A43,RecallTable[EDIPI],RecallTable[SECTION])</f>
        <v>3PLT</v>
      </c>
      <c r="E43" s="50">
        <f>_xlfn.XLOOKUP($A43,CYTable[DOD ID],CYTable[CIAR Trained / Untrained], $AE$1)</f>
        <v>0</v>
      </c>
      <c r="F43" s="51" cm="1">
        <f t="array" ref="F43">_xlfn.XLOOKUP($A43,CYTable[[DOD ID]:[DOD ID]],CYTable[AT Trained / Untrained], $AE$1)</f>
        <v>0</v>
      </c>
      <c r="G43" s="51" cm="1">
        <f t="array" ref="G43">_xlfn.XLOOKUP($A43,CYTable[[DOD ID]:[DOD ID]],CYTable[OPSEC Trained / Untrained], $AE$1)</f>
        <v>0</v>
      </c>
      <c r="H43" s="51" cm="1">
        <f t="array" ref="H43">_xlfn.XLOOKUP($A43,CYTable[[DOD ID]:[DOD ID]],CYTable[PAC Trained / Untrained], $AE$1)</f>
        <v>0</v>
      </c>
      <c r="I43" s="51">
        <f>_xlfn.XLOOKUP($A43,CYTable[DOD ID],CYTable[RM Trained / Untrained], $AE$1)</f>
        <v>0</v>
      </c>
      <c r="J43" s="51" cm="1">
        <f t="array" ref="J43">_xlfn.XLOOKUP($A43,CYTable[[DOD ID]:[DOD ID]],CYTable[UMAPIT Trained / Untrained], $AE$1)</f>
        <v>0</v>
      </c>
      <c r="K43" s="51">
        <f>_xlfn.XLOOKUP($A43,CYTable[DOD ID],CYTable[Sup Safety Trained / Untrained], $AE$1)</f>
        <v>0</v>
      </c>
      <c r="L43" s="51">
        <f>_xlfn.XLOOKUP($A43,CYTable[DOD ID],CYTable[Substances Trained / Untrained], $AE$1)</f>
        <v>0</v>
      </c>
      <c r="M43" s="50" cm="1">
        <f t="array" ref="M43">IF(COUNTIF(TrainingTable[[#This Row],[ARQ Comments]],"*Exempt*"),"Exempt", _xlfn.XLOOKUP($A43,FYTable[[DOD ID]:[DOD ID]],FYTable[ARQ MCTFS Status], $AE$1))</f>
        <v>0</v>
      </c>
      <c r="N43" s="51" t="str" cm="1">
        <f t="array" ref="N43">_xlfn.XLOOKUP($A43,FYTable[[DOD ID]:[DOD ID]],FYTable[CYBER Trained / Untrained], $AE$1)</f>
        <v>Trained</v>
      </c>
      <c r="O43" s="51">
        <f>_xlfn.XLOOKUP($A43,FYTable[DOD ID],FYTable[Pistol Classification], $AE$1)</f>
        <v>0</v>
      </c>
      <c r="P43" s="51" cm="1">
        <f t="array" ref="P43">_xlfn.XLOOKUP($A43,FYTable[[DOD ID]:[DOD ID]],FYTable[RM Trained / Untrained], $AE$1)</f>
        <v>0</v>
      </c>
      <c r="Q43" s="51" cm="1">
        <f t="array" ref="Q43">_xlfn.XLOOKUP($A43,FYTable[[DOD ID]:[DOD ID]],FYTable[Step Up Trained / Untrained], $AE$1)</f>
        <v>0</v>
      </c>
      <c r="R43" s="51" cm="1">
        <f t="array" ref="R43">_xlfn.XLOOKUP($A43,FYTable[[DOD ID]:[DOD ID]],FYTable[Take A Stand Trained / Untrained], $AE$1)</f>
        <v>0</v>
      </c>
      <c r="S43" s="51" cm="1">
        <f t="array" ref="S43">_xlfn.XLOOKUP($A43,FYTable[[DOD ID]:[DOD ID]],FYTable[SAPR Trained / Untrained], $AE$1)</f>
        <v>0</v>
      </c>
      <c r="T43" s="51" cm="1">
        <f t="array" ref="T43">_xlfn.XLOOKUP($A43,FYTable[[DOD ID]:[DOD ID]],FYTable[SAPR SNCO Trained / Untrained], $AE$1)</f>
        <v>0</v>
      </c>
      <c r="U43" s="77" t="str" cm="1">
        <f t="array" ref="U43">_xlfn.XLOOKUP($A43,CFTTable[[DOD ID]:[DOD ID]],CFTTable[Class CFT],"")</f>
        <v>FIRST CLASS</v>
      </c>
      <c r="V43" s="62" cm="1">
        <f t="array" ref="V43">_xlfn.XLOOKUP($A43,CFTTable[[DOD ID]:[DOD ID]],CFTTable[Event Date])</f>
        <v>45225</v>
      </c>
      <c r="W43" s="62">
        <f>_xlfn.XLOOKUP($A43,PFTTable[DOD ID],PFTTable[Class PFT],"")</f>
        <v>0</v>
      </c>
      <c r="X43" s="62" cm="1">
        <f t="array" ref="X43">_xlfn.XLOOKUP($A43,PFTTable[[DOD ID]:[DOD ID]],PFTTable[PFT Event Date])</f>
        <v>0</v>
      </c>
      <c r="Y43" s="62" t="str" cm="1">
        <f t="array" ref="Y43">_xlfn.XLOOKUP($A43,SwimTable[[DOD ID]:[DOD ID]],SwimTable[Swim MCTFS Status],"")</f>
        <v>Success</v>
      </c>
      <c r="Z43" s="51" cm="1">
        <f t="array" ref="Z43">_xlfn.XLOOKUP($A44,HTWTTable[[DOD ID]:[DOD ID]],HTWTTable[MCTFS Status],"")</f>
        <v>0</v>
      </c>
      <c r="AA43" s="51" cm="1">
        <f t="array" ref="AA43">_xlfn.XLOOKUP($A43,FYTable[[DOD ID]:[DOD ID]],FYTable[CBRN Trained / Untrained],"")</f>
        <v>0</v>
      </c>
      <c r="AC43" s="51"/>
      <c r="AD43" s="51"/>
      <c r="BC43" s="49">
        <v>1243927613</v>
      </c>
      <c r="BD43" s="49" t="s">
        <v>235</v>
      </c>
      <c r="BE43" s="49" t="s">
        <v>282</v>
      </c>
      <c r="BF43" s="49" t="s">
        <v>230</v>
      </c>
      <c r="BG43" s="49" t="s">
        <v>36</v>
      </c>
      <c r="BH43" s="49" t="s">
        <v>240</v>
      </c>
      <c r="BJ43" s="49" t="str">
        <f t="shared" si="1"/>
        <v>Bad</v>
      </c>
    </row>
    <row r="44" spans="1:62" x14ac:dyDescent="0.25">
      <c r="A44" s="136">
        <v>1135673321</v>
      </c>
      <c r="B44" s="137" t="str">
        <f>_xlfn.XLOOKUP($A44,RecallTable[EDIPI],RecallTable[GRADE])</f>
        <v>E4</v>
      </c>
      <c r="C44" s="137" t="str">
        <f>_xlfn.XLOOKUP($A44,RecallTable[EDIPI],RecallTable[NAME], $AE$1)</f>
        <v>CORDOVA, GRADY A.</v>
      </c>
      <c r="D44" s="137" t="str">
        <f>_xlfn.XLOOKUP($A44,RecallTable[EDIPI],RecallTable[SECTION])</f>
        <v>3PLT</v>
      </c>
      <c r="E44" s="50">
        <f>_xlfn.XLOOKUP($A44,CYTable[DOD ID],CYTable[CIAR Trained / Untrained], $AE$1)</f>
        <v>0</v>
      </c>
      <c r="F44" s="51" cm="1">
        <f t="array" ref="F44">_xlfn.XLOOKUP($A44,CYTable[[DOD ID]:[DOD ID]],CYTable[AT Trained / Untrained], $AE$1)</f>
        <v>0</v>
      </c>
      <c r="G44" s="51" cm="1">
        <f t="array" ref="G44">_xlfn.XLOOKUP($A44,CYTable[[DOD ID]:[DOD ID]],CYTable[OPSEC Trained / Untrained], $AE$1)</f>
        <v>0</v>
      </c>
      <c r="H44" s="51" cm="1">
        <f t="array" ref="H44">_xlfn.XLOOKUP($A44,CYTable[[DOD ID]:[DOD ID]],CYTable[PAC Trained / Untrained], $AE$1)</f>
        <v>0</v>
      </c>
      <c r="I44" s="51">
        <f>_xlfn.XLOOKUP($A44,CYTable[DOD ID],CYTable[RM Trained / Untrained], $AE$1)</f>
        <v>0</v>
      </c>
      <c r="J44" s="51" cm="1">
        <f t="array" ref="J44">_xlfn.XLOOKUP($A44,CYTable[[DOD ID]:[DOD ID]],CYTable[UMAPIT Trained / Untrained], $AE$1)</f>
        <v>0</v>
      </c>
      <c r="K44" s="51">
        <f>_xlfn.XLOOKUP($A44,CYTable[DOD ID],CYTable[Sup Safety Trained / Untrained], $AE$1)</f>
        <v>0</v>
      </c>
      <c r="L44" s="51">
        <f>_xlfn.XLOOKUP($A44,CYTable[DOD ID],CYTable[Substances Trained / Untrained], $AE$1)</f>
        <v>0</v>
      </c>
      <c r="M44" s="50" cm="1">
        <f t="array" ref="M44">IF(COUNTIF(TrainingTable[[#This Row],[ARQ Comments]],"*Exempt*"),"Exempt", _xlfn.XLOOKUP($A44,FYTable[[DOD ID]:[DOD ID]],FYTable[ARQ MCTFS Status], $AE$1))</f>
        <v>0</v>
      </c>
      <c r="N44" s="51" t="str" cm="1">
        <f t="array" ref="N44">_xlfn.XLOOKUP($A44,FYTable[[DOD ID]:[DOD ID]],FYTable[CYBER Trained / Untrained], $AE$1)</f>
        <v>Trained</v>
      </c>
      <c r="O44" s="51" t="str">
        <f>_xlfn.XLOOKUP($A44,FYTable[DOD ID],FYTable[Pistol Classification], $AE$1)</f>
        <v>EXPERT</v>
      </c>
      <c r="P44" s="51" cm="1">
        <f t="array" ref="P44">_xlfn.XLOOKUP($A44,FYTable[[DOD ID]:[DOD ID]],FYTable[RM Trained / Untrained], $AE$1)</f>
        <v>0</v>
      </c>
      <c r="Q44" s="51" t="str" cm="1">
        <f t="array" ref="Q44">_xlfn.XLOOKUP($A44,FYTable[[DOD ID]:[DOD ID]],FYTable[Step Up Trained / Untrained], $AE$1)</f>
        <v>Trained</v>
      </c>
      <c r="R44" s="51" t="str" cm="1">
        <f t="array" ref="R44">_xlfn.XLOOKUP($A44,FYTable[[DOD ID]:[DOD ID]],FYTable[Take A Stand Trained / Untrained], $AE$1)</f>
        <v>Trained</v>
      </c>
      <c r="S44" s="51" cm="1">
        <f t="array" ref="S44">_xlfn.XLOOKUP($A44,FYTable[[DOD ID]:[DOD ID]],FYTable[SAPR Trained / Untrained], $AE$1)</f>
        <v>0</v>
      </c>
      <c r="T44" s="51" t="str" cm="1">
        <f t="array" ref="T44">_xlfn.XLOOKUP($A44,FYTable[[DOD ID]:[DOD ID]],FYTable[SAPR SNCO Trained / Untrained], $AE$1)</f>
        <v>Trained</v>
      </c>
      <c r="U44" s="77" t="str" cm="1">
        <f t="array" ref="U44">_xlfn.XLOOKUP($A44,CFTTable[[DOD ID]:[DOD ID]],CFTTable[Class CFT],"")</f>
        <v>FIRST CLASS</v>
      </c>
      <c r="V44" s="62" cm="1">
        <f t="array" ref="V44">_xlfn.XLOOKUP($A44,CFTTable[[DOD ID]:[DOD ID]],CFTTable[Event Date])</f>
        <v>45224</v>
      </c>
      <c r="W44" s="62">
        <f>_xlfn.XLOOKUP($A44,PFTTable[DOD ID],PFTTable[Class PFT],"")</f>
        <v>0</v>
      </c>
      <c r="X44" s="62" cm="1">
        <f t="array" ref="X44">_xlfn.XLOOKUP($A44,PFTTable[[DOD ID]:[DOD ID]],PFTTable[PFT Event Date])</f>
        <v>0</v>
      </c>
      <c r="Y44" s="62" t="str" cm="1">
        <f t="array" ref="Y44">_xlfn.XLOOKUP($A44,SwimTable[[DOD ID]:[DOD ID]],SwimTable[Swim MCTFS Status],"")</f>
        <v>Success</v>
      </c>
      <c r="Z44" s="51" t="str" cm="1">
        <f t="array" ref="Z44">_xlfn.XLOOKUP($A45,HTWTTable[[DOD ID]:[DOD ID]],HTWTTable[MCTFS Status],"")</f>
        <v>Success</v>
      </c>
      <c r="AA44" s="51" t="str" cm="1">
        <f t="array" ref="AA44">_xlfn.XLOOKUP($A44,FYTable[[DOD ID]:[DOD ID]],FYTable[CBRN Trained / Untrained],"")</f>
        <v>Trained</v>
      </c>
      <c r="AC44" s="51"/>
      <c r="AD44" s="51"/>
      <c r="BJ44" s="49" t="str">
        <f t="shared" si="1"/>
        <v>Good</v>
      </c>
    </row>
    <row r="45" spans="1:62" x14ac:dyDescent="0.25">
      <c r="A45" s="136">
        <v>1502371969</v>
      </c>
      <c r="B45" s="137" t="str">
        <f>_xlfn.XLOOKUP($A45,RecallTable[EDIPI],RecallTable[GRADE])</f>
        <v>E4</v>
      </c>
      <c r="C45" s="137" t="str">
        <f>_xlfn.XLOOKUP($A45,RecallTable[EDIPI],RecallTable[NAME], $AE$1)</f>
        <v>HARRISON, FIONA A.</v>
      </c>
      <c r="D45" s="137" t="str">
        <f>_xlfn.XLOOKUP($A45,RecallTable[EDIPI],RecallTable[SECTION])</f>
        <v>3PLT</v>
      </c>
      <c r="E45" s="50" t="str">
        <f>_xlfn.XLOOKUP($A45,CYTable[DOD ID],CYTable[CIAR Trained / Untrained], $AE$1)</f>
        <v>Trained</v>
      </c>
      <c r="F45" s="51" cm="1">
        <f t="array" ref="F45">_xlfn.XLOOKUP($A45,CYTable[[DOD ID]:[DOD ID]],CYTable[AT Trained / Untrained], $AE$1)</f>
        <v>0</v>
      </c>
      <c r="G45" s="51" cm="1">
        <f t="array" ref="G45">_xlfn.XLOOKUP($A45,CYTable[[DOD ID]:[DOD ID]],CYTable[OPSEC Trained / Untrained], $AE$1)</f>
        <v>0</v>
      </c>
      <c r="H45" s="51" cm="1">
        <f t="array" ref="H45">_xlfn.XLOOKUP($A45,CYTable[[DOD ID]:[DOD ID]],CYTable[PAC Trained / Untrained], $AE$1)</f>
        <v>0</v>
      </c>
      <c r="I45" s="51">
        <f>_xlfn.XLOOKUP($A45,CYTable[DOD ID],CYTable[RM Trained / Untrained], $AE$1)</f>
        <v>0</v>
      </c>
      <c r="J45" s="51" cm="1">
        <f t="array" ref="J45">_xlfn.XLOOKUP($A45,CYTable[[DOD ID]:[DOD ID]],CYTable[UMAPIT Trained / Untrained], $AE$1)</f>
        <v>0</v>
      </c>
      <c r="K45" s="51">
        <f>_xlfn.XLOOKUP($A45,CYTable[DOD ID],CYTable[Sup Safety Trained / Untrained], $AE$1)</f>
        <v>0</v>
      </c>
      <c r="L45" s="51">
        <f>_xlfn.XLOOKUP($A45,CYTable[DOD ID],CYTable[Substances Trained / Untrained], $AE$1)</f>
        <v>0</v>
      </c>
      <c r="M45" s="50" cm="1">
        <f t="array" ref="M45">IF(COUNTIF(TrainingTable[[#This Row],[ARQ Comments]],"*Exempt*"),"Exempt", _xlfn.XLOOKUP($A45,FYTable[[DOD ID]:[DOD ID]],FYTable[ARQ MCTFS Status], $AE$1))</f>
        <v>0</v>
      </c>
      <c r="N45" s="51" t="str" cm="1">
        <f t="array" ref="N45">_xlfn.XLOOKUP($A45,FYTable[[DOD ID]:[DOD ID]],FYTable[CYBER Trained / Untrained], $AE$1)</f>
        <v>Trained</v>
      </c>
      <c r="O45" s="51">
        <f>_xlfn.XLOOKUP($A45,FYTable[DOD ID],FYTable[Pistol Classification], $AE$1)</f>
        <v>0</v>
      </c>
      <c r="P45" s="51" cm="1">
        <f t="array" ref="P45">_xlfn.XLOOKUP($A45,FYTable[[DOD ID]:[DOD ID]],FYTable[RM Trained / Untrained], $AE$1)</f>
        <v>0</v>
      </c>
      <c r="Q45" s="51" cm="1">
        <f t="array" ref="Q45">_xlfn.XLOOKUP($A45,FYTable[[DOD ID]:[DOD ID]],FYTable[Step Up Trained / Untrained], $AE$1)</f>
        <v>0</v>
      </c>
      <c r="R45" s="51" t="str" cm="1">
        <f t="array" ref="R45">_xlfn.XLOOKUP($A45,FYTable[[DOD ID]:[DOD ID]],FYTable[Take A Stand Trained / Untrained], $AE$1)</f>
        <v>Trained</v>
      </c>
      <c r="S45" s="51" cm="1">
        <f t="array" ref="S45">_xlfn.XLOOKUP($A45,FYTable[[DOD ID]:[DOD ID]],FYTable[SAPR Trained / Untrained], $AE$1)</f>
        <v>0</v>
      </c>
      <c r="T45" s="51" cm="1">
        <f t="array" ref="T45">_xlfn.XLOOKUP($A45,FYTable[[DOD ID]:[DOD ID]],FYTable[SAPR SNCO Trained / Untrained], $AE$1)</f>
        <v>0</v>
      </c>
      <c r="U45" s="77" t="str" cm="1">
        <f t="array" ref="U45">_xlfn.XLOOKUP($A45,CFTTable[[DOD ID]:[DOD ID]],CFTTable[Class CFT],"")</f>
        <v>FIRST CLASS</v>
      </c>
      <c r="V45" s="62" cm="1">
        <f t="array" ref="V45">_xlfn.XLOOKUP($A45,CFTTable[[DOD ID]:[DOD ID]],CFTTable[Event Date])</f>
        <v>45224</v>
      </c>
      <c r="W45" s="62">
        <f>_xlfn.XLOOKUP($A45,PFTTable[DOD ID],PFTTable[Class PFT],"")</f>
        <v>0</v>
      </c>
      <c r="X45" s="62" cm="1">
        <f t="array" ref="X45">_xlfn.XLOOKUP($A45,PFTTable[[DOD ID]:[DOD ID]],PFTTable[PFT Event Date])</f>
        <v>0</v>
      </c>
      <c r="Y45" s="62" cm="1">
        <f t="array" ref="Y45">_xlfn.XLOOKUP($A45,SwimTable[[DOD ID]:[DOD ID]],SwimTable[Swim MCTFS Status],"")</f>
        <v>0</v>
      </c>
      <c r="Z45" s="51" cm="1">
        <f t="array" ref="Z45">_xlfn.XLOOKUP($A46,HTWTTable[[DOD ID]:[DOD ID]],HTWTTable[MCTFS Status],"")</f>
        <v>0</v>
      </c>
      <c r="AA45" s="51" cm="1">
        <f t="array" ref="AA45">_xlfn.XLOOKUP($A45,FYTable[[DOD ID]:[DOD ID]],FYTable[CBRN Trained / Untrained],"")</f>
        <v>0</v>
      </c>
      <c r="AC45" s="51"/>
      <c r="AD45" s="51"/>
      <c r="BC45" s="49">
        <v>1289923035</v>
      </c>
      <c r="BD45" s="49" t="s">
        <v>283</v>
      </c>
      <c r="BE45" s="49" t="s">
        <v>284</v>
      </c>
      <c r="BF45" s="49" t="s">
        <v>211</v>
      </c>
      <c r="BG45" s="49" t="s">
        <v>212</v>
      </c>
      <c r="BH45" s="49" t="s">
        <v>216</v>
      </c>
      <c r="BJ45" s="49" t="str">
        <f t="shared" si="1"/>
        <v>Bad</v>
      </c>
    </row>
    <row r="46" spans="1:62" x14ac:dyDescent="0.25">
      <c r="A46" s="136">
        <v>1397447603</v>
      </c>
      <c r="B46" s="137" t="str">
        <f>_xlfn.XLOOKUP($A46,RecallTable[EDIPI],RecallTable[GRADE])</f>
        <v>E4</v>
      </c>
      <c r="C46" s="137" t="str">
        <f>_xlfn.XLOOKUP($A46,RecallTable[EDIPI],RecallTable[NAME], $AE$1)</f>
        <v>HAAS, VALERY A.</v>
      </c>
      <c r="D46" s="137" t="str">
        <f>_xlfn.XLOOKUP($A46,RecallTable[EDIPI],RecallTable[SECTION])</f>
        <v>3PLT</v>
      </c>
      <c r="E46" s="50">
        <f>_xlfn.XLOOKUP($A46,CYTable[DOD ID],CYTable[CIAR Trained / Untrained], $AE$1)</f>
        <v>0</v>
      </c>
      <c r="F46" s="51" cm="1">
        <f t="array" ref="F46">_xlfn.XLOOKUP($A46,CYTable[[DOD ID]:[DOD ID]],CYTable[AT Trained / Untrained], $AE$1)</f>
        <v>0</v>
      </c>
      <c r="G46" s="51" cm="1">
        <f t="array" ref="G46">_xlfn.XLOOKUP($A46,CYTable[[DOD ID]:[DOD ID]],CYTable[OPSEC Trained / Untrained], $AE$1)</f>
        <v>0</v>
      </c>
      <c r="H46" s="51" cm="1">
        <f t="array" ref="H46">_xlfn.XLOOKUP($A46,CYTable[[DOD ID]:[DOD ID]],CYTable[PAC Trained / Untrained], $AE$1)</f>
        <v>0</v>
      </c>
      <c r="I46" s="51">
        <f>_xlfn.XLOOKUP($A46,CYTable[DOD ID],CYTable[RM Trained / Untrained], $AE$1)</f>
        <v>0</v>
      </c>
      <c r="J46" s="51" cm="1">
        <f t="array" ref="J46">_xlfn.XLOOKUP($A46,CYTable[[DOD ID]:[DOD ID]],CYTable[UMAPIT Trained / Untrained], $AE$1)</f>
        <v>0</v>
      </c>
      <c r="K46" s="51">
        <f>_xlfn.XLOOKUP($A46,CYTable[DOD ID],CYTable[Sup Safety Trained / Untrained], $AE$1)</f>
        <v>0</v>
      </c>
      <c r="L46" s="51">
        <f>_xlfn.XLOOKUP($A46,CYTable[DOD ID],CYTable[Substances Trained / Untrained], $AE$1)</f>
        <v>0</v>
      </c>
      <c r="M46" s="50" cm="1">
        <f t="array" ref="M46">IF(COUNTIF(TrainingTable[[#This Row],[ARQ Comments]],"*Exempt*"),"Exempt", _xlfn.XLOOKUP($A46,FYTable[[DOD ID]:[DOD ID]],FYTable[ARQ MCTFS Status], $AE$1))</f>
        <v>0</v>
      </c>
      <c r="N46" s="51" t="str" cm="1">
        <f t="array" ref="N46">_xlfn.XLOOKUP($A46,FYTable[[DOD ID]:[DOD ID]],FYTable[CYBER Trained / Untrained], $AE$1)</f>
        <v>Trained</v>
      </c>
      <c r="O46" s="51">
        <f>_xlfn.XLOOKUP($A46,FYTable[DOD ID],FYTable[Pistol Classification], $AE$1)</f>
        <v>0</v>
      </c>
      <c r="P46" s="51" cm="1">
        <f t="array" ref="P46">_xlfn.XLOOKUP($A46,FYTable[[DOD ID]:[DOD ID]],FYTable[RM Trained / Untrained], $AE$1)</f>
        <v>0</v>
      </c>
      <c r="Q46" s="51" t="str" cm="1">
        <f t="array" ref="Q46">_xlfn.XLOOKUP($A46,FYTable[[DOD ID]:[DOD ID]],FYTable[Step Up Trained / Untrained], $AE$1)</f>
        <v>Trained</v>
      </c>
      <c r="R46" s="51" cm="1">
        <f t="array" ref="R46">_xlfn.XLOOKUP($A46,FYTable[[DOD ID]:[DOD ID]],FYTable[Take A Stand Trained / Untrained], $AE$1)</f>
        <v>0</v>
      </c>
      <c r="S46" s="51" cm="1">
        <f t="array" ref="S46">_xlfn.XLOOKUP($A46,FYTable[[DOD ID]:[DOD ID]],FYTable[SAPR Trained / Untrained], $AE$1)</f>
        <v>0</v>
      </c>
      <c r="T46" s="51" cm="1">
        <f t="array" ref="T46">_xlfn.XLOOKUP($A46,FYTable[[DOD ID]:[DOD ID]],FYTable[SAPR SNCO Trained / Untrained], $AE$1)</f>
        <v>0</v>
      </c>
      <c r="U46" s="77" t="str" cm="1">
        <f t="array" ref="U46">_xlfn.XLOOKUP($A46,CFTTable[[DOD ID]:[DOD ID]],CFTTable[Class CFT],"")</f>
        <v>FIRST CLASS</v>
      </c>
      <c r="V46" s="62" cm="1">
        <f t="array" ref="V46">_xlfn.XLOOKUP($A46,CFTTable[[DOD ID]:[DOD ID]],CFTTable[Event Date])</f>
        <v>45225</v>
      </c>
      <c r="W46" s="62">
        <f>_xlfn.XLOOKUP($A46,PFTTable[DOD ID],PFTTable[Class PFT],"")</f>
        <v>0</v>
      </c>
      <c r="X46" s="62" cm="1">
        <f t="array" ref="X46">_xlfn.XLOOKUP($A46,PFTTable[[DOD ID]:[DOD ID]],PFTTable[PFT Event Date])</f>
        <v>0</v>
      </c>
      <c r="Y46" s="62" cm="1">
        <f t="array" ref="Y46">_xlfn.XLOOKUP($A46,SwimTable[[DOD ID]:[DOD ID]],SwimTable[Swim MCTFS Status],"")</f>
        <v>0</v>
      </c>
      <c r="Z46" s="51" cm="1">
        <f t="array" ref="Z46">_xlfn.XLOOKUP($A47,HTWTTable[[DOD ID]:[DOD ID]],HTWTTable[MCTFS Status],"")</f>
        <v>0</v>
      </c>
      <c r="AA46" s="51" cm="1">
        <f t="array" ref="AA46">_xlfn.XLOOKUP($A46,FYTable[[DOD ID]:[DOD ID]],FYTable[CBRN Trained / Untrained],"")</f>
        <v>0</v>
      </c>
      <c r="AC46" s="51"/>
      <c r="AD46" s="51"/>
      <c r="BJ46" s="49" t="str">
        <f t="shared" si="1"/>
        <v>Good</v>
      </c>
    </row>
    <row r="47" spans="1:62" x14ac:dyDescent="0.25">
      <c r="A47" s="136">
        <v>1207085014</v>
      </c>
      <c r="B47" s="137" t="str">
        <f>_xlfn.XLOOKUP($A47,RecallTable[EDIPI],RecallTable[GRADE])</f>
        <v>E3</v>
      </c>
      <c r="C47" s="137" t="str">
        <f>_xlfn.XLOOKUP($A47,RecallTable[EDIPI],RecallTable[NAME], $AE$1)</f>
        <v>BRADFORD, CADENCE A.</v>
      </c>
      <c r="D47" s="137" t="str">
        <f>_xlfn.XLOOKUP($A47,RecallTable[EDIPI],RecallTable[SECTION])</f>
        <v>3PLT</v>
      </c>
      <c r="E47" s="50">
        <f>_xlfn.XLOOKUP($A47,CYTable[DOD ID],CYTable[CIAR Trained / Untrained], $AE$1)</f>
        <v>0</v>
      </c>
      <c r="F47" s="51" cm="1">
        <f t="array" ref="F47">_xlfn.XLOOKUP($A47,CYTable[[DOD ID]:[DOD ID]],CYTable[AT Trained / Untrained], $AE$1)</f>
        <v>0</v>
      </c>
      <c r="G47" s="51" cm="1">
        <f t="array" ref="G47">_xlfn.XLOOKUP($A47,CYTable[[DOD ID]:[DOD ID]],CYTable[OPSEC Trained / Untrained], $AE$1)</f>
        <v>0</v>
      </c>
      <c r="H47" s="51" cm="1">
        <f t="array" ref="H47">_xlfn.XLOOKUP($A47,CYTable[[DOD ID]:[DOD ID]],CYTable[PAC Trained / Untrained], $AE$1)</f>
        <v>0</v>
      </c>
      <c r="I47" s="51">
        <f>_xlfn.XLOOKUP($A47,CYTable[DOD ID],CYTable[RM Trained / Untrained], $AE$1)</f>
        <v>0</v>
      </c>
      <c r="J47" s="51" cm="1">
        <f t="array" ref="J47">_xlfn.XLOOKUP($A47,CYTable[[DOD ID]:[DOD ID]],CYTable[UMAPIT Trained / Untrained], $AE$1)</f>
        <v>0</v>
      </c>
      <c r="K47" s="51">
        <f>_xlfn.XLOOKUP($A47,CYTable[DOD ID],CYTable[Sup Safety Trained / Untrained], $AE$1)</f>
        <v>0</v>
      </c>
      <c r="L47" s="51">
        <f>_xlfn.XLOOKUP($A47,CYTable[DOD ID],CYTable[Substances Trained / Untrained], $AE$1)</f>
        <v>0</v>
      </c>
      <c r="M47" s="50" cm="1">
        <f t="array" ref="M47">IF(COUNTIF(TrainingTable[[#This Row],[ARQ Comments]],"*Exempt*"),"Exempt", _xlfn.XLOOKUP($A47,FYTable[[DOD ID]:[DOD ID]],FYTable[ARQ MCTFS Status], $AE$1))</f>
        <v>0</v>
      </c>
      <c r="N47" s="51" t="str" cm="1">
        <f t="array" ref="N47">_xlfn.XLOOKUP($A47,FYTable[[DOD ID]:[DOD ID]],FYTable[CYBER Trained / Untrained], $AE$1)</f>
        <v>Trained</v>
      </c>
      <c r="O47" s="51">
        <f>_xlfn.XLOOKUP($A47,FYTable[DOD ID],FYTable[Pistol Classification], $AE$1)</f>
        <v>0</v>
      </c>
      <c r="P47" s="51" t="str" cm="1">
        <f t="array" ref="P47">_xlfn.XLOOKUP($A47,FYTable[[DOD ID]:[DOD ID]],FYTable[RM Trained / Untrained], $AE$1)</f>
        <v>Trained</v>
      </c>
      <c r="Q47" s="51" cm="1">
        <f t="array" ref="Q47">_xlfn.XLOOKUP($A47,FYTable[[DOD ID]:[DOD ID]],FYTable[Step Up Trained / Untrained], $AE$1)</f>
        <v>0</v>
      </c>
      <c r="R47" s="51" t="str" cm="1">
        <f t="array" ref="R47">_xlfn.XLOOKUP($A47,FYTable[[DOD ID]:[DOD ID]],FYTable[Take A Stand Trained / Untrained], $AE$1)</f>
        <v>Trained</v>
      </c>
      <c r="S47" s="51" cm="1">
        <f t="array" ref="S47">_xlfn.XLOOKUP($A47,FYTable[[DOD ID]:[DOD ID]],FYTable[SAPR Trained / Untrained], $AE$1)</f>
        <v>0</v>
      </c>
      <c r="T47" s="51" cm="1">
        <f t="array" ref="T47">_xlfn.XLOOKUP($A47,FYTable[[DOD ID]:[DOD ID]],FYTable[SAPR SNCO Trained / Untrained], $AE$1)</f>
        <v>0</v>
      </c>
      <c r="U47" s="77" t="str" cm="1">
        <f t="array" ref="U47">_xlfn.XLOOKUP($A47,CFTTable[[DOD ID]:[DOD ID]],CFTTable[Class CFT],"")</f>
        <v>SECOND CLASS</v>
      </c>
      <c r="V47" s="62" cm="1">
        <f t="array" ref="V47">_xlfn.XLOOKUP($A47,CFTTable[[DOD ID]:[DOD ID]],CFTTable[Event Date])</f>
        <v>45245</v>
      </c>
      <c r="W47" s="62">
        <f>_xlfn.XLOOKUP($A47,PFTTable[DOD ID],PFTTable[Class PFT],"")</f>
        <v>0</v>
      </c>
      <c r="X47" s="62" cm="1">
        <f t="array" ref="X47">_xlfn.XLOOKUP($A47,PFTTable[[DOD ID]:[DOD ID]],PFTTable[PFT Event Date])</f>
        <v>0</v>
      </c>
      <c r="Y47" s="62" cm="1">
        <f t="array" ref="Y47">_xlfn.XLOOKUP($A47,SwimTable[[DOD ID]:[DOD ID]],SwimTable[Swim MCTFS Status],"")</f>
        <v>0</v>
      </c>
      <c r="Z47" s="51" t="str" cm="1">
        <f t="array" ref="Z47">_xlfn.XLOOKUP($A48,HTWTTable[[DOD ID]:[DOD ID]],HTWTTable[MCTFS Status],"")</f>
        <v>Success</v>
      </c>
      <c r="AA47" s="51" cm="1">
        <f t="array" ref="AA47">_xlfn.XLOOKUP($A47,FYTable[[DOD ID]:[DOD ID]],FYTable[CBRN Trained / Untrained],"")</f>
        <v>0</v>
      </c>
      <c r="AC47" s="51"/>
      <c r="AD47" s="51"/>
      <c r="BC47" s="49">
        <v>1543374390</v>
      </c>
      <c r="BD47" s="49" t="s">
        <v>220</v>
      </c>
      <c r="BE47" s="49" t="s">
        <v>285</v>
      </c>
      <c r="BF47" s="49" t="s">
        <v>230</v>
      </c>
      <c r="BG47" s="49" t="s">
        <v>36</v>
      </c>
      <c r="BH47" s="49" t="s">
        <v>240</v>
      </c>
      <c r="BJ47" s="49" t="str">
        <f t="shared" si="1"/>
        <v>Bad</v>
      </c>
    </row>
    <row r="48" spans="1:62" x14ac:dyDescent="0.25">
      <c r="A48" s="136">
        <v>1045261897</v>
      </c>
      <c r="B48" s="137" t="str">
        <f>_xlfn.XLOOKUP($A48,RecallTable[EDIPI],RecallTable[GRADE])</f>
        <v>E5</v>
      </c>
      <c r="C48" s="137" t="str">
        <f>_xlfn.XLOOKUP($A48,RecallTable[EDIPI],RecallTable[NAME], $AE$1)</f>
        <v>BERGER, PAYTON A.</v>
      </c>
      <c r="D48" s="137" t="str">
        <f>_xlfn.XLOOKUP($A48,RecallTable[EDIPI],RecallTable[SECTION])</f>
        <v>3PLT</v>
      </c>
      <c r="E48" s="50">
        <f>_xlfn.XLOOKUP($A48,CYTable[DOD ID],CYTable[CIAR Trained / Untrained], $AE$1)</f>
        <v>0</v>
      </c>
      <c r="F48" s="51" cm="1">
        <f t="array" ref="F48">_xlfn.XLOOKUP($A48,CYTable[[DOD ID]:[DOD ID]],CYTable[AT Trained / Untrained], $AE$1)</f>
        <v>0</v>
      </c>
      <c r="G48" s="51" cm="1">
        <f t="array" ref="G48">_xlfn.XLOOKUP($A48,CYTable[[DOD ID]:[DOD ID]],CYTable[OPSEC Trained / Untrained], $AE$1)</f>
        <v>0</v>
      </c>
      <c r="H48" s="51" cm="1">
        <f t="array" ref="H48">_xlfn.XLOOKUP($A48,CYTable[[DOD ID]:[DOD ID]],CYTable[PAC Trained / Untrained], $AE$1)</f>
        <v>0</v>
      </c>
      <c r="I48" s="51">
        <f>_xlfn.XLOOKUP($A48,CYTable[DOD ID],CYTable[RM Trained / Untrained], $AE$1)</f>
        <v>0</v>
      </c>
      <c r="J48" s="51" cm="1">
        <f t="array" ref="J48">_xlfn.XLOOKUP($A48,CYTable[[DOD ID]:[DOD ID]],CYTable[UMAPIT Trained / Untrained], $AE$1)</f>
        <v>0</v>
      </c>
      <c r="K48" s="51">
        <f>_xlfn.XLOOKUP($A48,CYTable[DOD ID],CYTable[Sup Safety Trained / Untrained], $AE$1)</f>
        <v>0</v>
      </c>
      <c r="L48" s="51">
        <f>_xlfn.XLOOKUP($A48,CYTable[DOD ID],CYTable[Substances Trained / Untrained], $AE$1)</f>
        <v>0</v>
      </c>
      <c r="M48" s="50" t="str" cm="1">
        <f t="array" ref="M48">IF(COUNTIF(TrainingTable[[#This Row],[ARQ Comments]],"*Exempt*"),"Exempt", _xlfn.XLOOKUP($A48,FYTable[[DOD ID]:[DOD ID]],FYTable[ARQ MCTFS Status], $AE$1))</f>
        <v>Success</v>
      </c>
      <c r="N48" s="51" t="str" cm="1">
        <f t="array" ref="N48">_xlfn.XLOOKUP($A48,FYTable[[DOD ID]:[DOD ID]],FYTable[CYBER Trained / Untrained], $AE$1)</f>
        <v>Trained</v>
      </c>
      <c r="O48" s="51">
        <f>_xlfn.XLOOKUP($A48,FYTable[DOD ID],FYTable[Pistol Classification], $AE$1)</f>
        <v>0</v>
      </c>
      <c r="P48" s="51" t="str" cm="1">
        <f t="array" ref="P48">_xlfn.XLOOKUP($A48,FYTable[[DOD ID]:[DOD ID]],FYTable[RM Trained / Untrained], $AE$1)</f>
        <v>Trained</v>
      </c>
      <c r="Q48" s="51" cm="1">
        <f t="array" ref="Q48">_xlfn.XLOOKUP($A48,FYTable[[DOD ID]:[DOD ID]],FYTable[Step Up Trained / Untrained], $AE$1)</f>
        <v>0</v>
      </c>
      <c r="R48" s="51" t="str" cm="1">
        <f t="array" ref="R48">_xlfn.XLOOKUP($A48,FYTable[[DOD ID]:[DOD ID]],FYTable[Take A Stand Trained / Untrained], $AE$1)</f>
        <v>Trained</v>
      </c>
      <c r="S48" s="51" cm="1">
        <f t="array" ref="S48">_xlfn.XLOOKUP($A48,FYTable[[DOD ID]:[DOD ID]],FYTable[SAPR Trained / Untrained], $AE$1)</f>
        <v>0</v>
      </c>
      <c r="T48" s="51" cm="1">
        <f t="array" ref="T48">_xlfn.XLOOKUP($A48,FYTable[[DOD ID]:[DOD ID]],FYTable[SAPR SNCO Trained / Untrained], $AE$1)</f>
        <v>0</v>
      </c>
      <c r="U48" s="77" t="str" cm="1">
        <f t="array" ref="U48">_xlfn.XLOOKUP($A48,CFTTable[[DOD ID]:[DOD ID]],CFTTable[Class CFT],"")</f>
        <v>FIRST CLASS</v>
      </c>
      <c r="V48" s="62" cm="1">
        <f t="array" ref="V48">_xlfn.XLOOKUP($A48,CFTTable[[DOD ID]:[DOD ID]],CFTTable[Event Date])</f>
        <v>45225</v>
      </c>
      <c r="W48" s="62">
        <f>_xlfn.XLOOKUP($A48,PFTTable[DOD ID],PFTTable[Class PFT],"")</f>
        <v>0</v>
      </c>
      <c r="X48" s="62" cm="1">
        <f t="array" ref="X48">_xlfn.XLOOKUP($A48,PFTTable[[DOD ID]:[DOD ID]],PFTTable[PFT Event Date])</f>
        <v>0</v>
      </c>
      <c r="Y48" s="62" cm="1">
        <f t="array" ref="Y48">_xlfn.XLOOKUP($A48,SwimTable[[DOD ID]:[DOD ID]],SwimTable[Swim MCTFS Status],"")</f>
        <v>0</v>
      </c>
      <c r="Z48" s="51" cm="1">
        <f t="array" ref="Z48">_xlfn.XLOOKUP($A49,HTWTTable[[DOD ID]:[DOD ID]],HTWTTable[MCTFS Status],"")</f>
        <v>0</v>
      </c>
      <c r="AA48" s="51" cm="1">
        <f t="array" ref="AA48">_xlfn.XLOOKUP($A48,FYTable[[DOD ID]:[DOD ID]],FYTable[CBRN Trained / Untrained],"")</f>
        <v>0</v>
      </c>
      <c r="AB48" s="138" t="s">
        <v>286</v>
      </c>
      <c r="AC48" s="51"/>
      <c r="AD48" s="51"/>
      <c r="BC48" s="49">
        <v>1260664200</v>
      </c>
      <c r="BD48" s="49" t="s">
        <v>235</v>
      </c>
      <c r="BE48" s="49" t="s">
        <v>287</v>
      </c>
      <c r="BF48" s="49" t="s">
        <v>230</v>
      </c>
      <c r="BG48" s="49" t="s">
        <v>212</v>
      </c>
      <c r="BH48" s="49" t="s">
        <v>288</v>
      </c>
      <c r="BJ48" s="49" t="str">
        <f t="shared" si="1"/>
        <v>Bad</v>
      </c>
    </row>
    <row r="49" spans="1:62" x14ac:dyDescent="0.25">
      <c r="A49" s="136">
        <v>1043584855</v>
      </c>
      <c r="B49" s="137" t="str">
        <f>_xlfn.XLOOKUP($A49,RecallTable[EDIPI],RecallTable[GRADE])</f>
        <v>E3</v>
      </c>
      <c r="C49" s="137" t="str">
        <f>_xlfn.XLOOKUP($A49,RecallTable[EDIPI],RecallTable[NAME], $AE$1)</f>
        <v>MCCOY, EILEEN A.</v>
      </c>
      <c r="D49" s="137" t="str">
        <f>_xlfn.XLOOKUP($A49,RecallTable[EDIPI],RecallTable[SECTION])</f>
        <v>3PLT</v>
      </c>
      <c r="E49" s="50">
        <f>_xlfn.XLOOKUP($A49,CYTable[DOD ID],CYTable[CIAR Trained / Untrained], $AE$1)</f>
        <v>0</v>
      </c>
      <c r="F49" s="51" cm="1">
        <f t="array" ref="F49">_xlfn.XLOOKUP($A49,CYTable[[DOD ID]:[DOD ID]],CYTable[AT Trained / Untrained], $AE$1)</f>
        <v>0</v>
      </c>
      <c r="G49" s="51" cm="1">
        <f t="array" ref="G49">_xlfn.XLOOKUP($A49,CYTable[[DOD ID]:[DOD ID]],CYTable[OPSEC Trained / Untrained], $AE$1)</f>
        <v>0</v>
      </c>
      <c r="H49" s="51" cm="1">
        <f t="array" ref="H49">_xlfn.XLOOKUP($A49,CYTable[[DOD ID]:[DOD ID]],CYTable[PAC Trained / Untrained], $AE$1)</f>
        <v>0</v>
      </c>
      <c r="I49" s="51">
        <f>_xlfn.XLOOKUP($A49,CYTable[DOD ID],CYTable[RM Trained / Untrained], $AE$1)</f>
        <v>0</v>
      </c>
      <c r="J49" s="51" cm="1">
        <f t="array" ref="J49">_xlfn.XLOOKUP($A49,CYTable[[DOD ID]:[DOD ID]],CYTable[UMAPIT Trained / Untrained], $AE$1)</f>
        <v>0</v>
      </c>
      <c r="K49" s="51">
        <f>_xlfn.XLOOKUP($A49,CYTable[DOD ID],CYTable[Sup Safety Trained / Untrained], $AE$1)</f>
        <v>0</v>
      </c>
      <c r="L49" s="51">
        <f>_xlfn.XLOOKUP($A49,CYTable[DOD ID],CYTable[Substances Trained / Untrained], $AE$1)</f>
        <v>0</v>
      </c>
      <c r="M49" s="50" t="str" cm="1">
        <f t="array" ref="M49">IF(COUNTIF(TrainingTable[[#This Row],[ARQ Comments]],"*Exempt*"),"Exempt", _xlfn.XLOOKUP($A49,FYTable[[DOD ID]:[DOD ID]],FYTable[ARQ MCTFS Status], $AE$1))</f>
        <v>Success</v>
      </c>
      <c r="N49" s="51" t="str" cm="1">
        <f t="array" ref="N49">_xlfn.XLOOKUP($A49,FYTable[[DOD ID]:[DOD ID]],FYTable[CYBER Trained / Untrained], $AE$1)</f>
        <v>Trained</v>
      </c>
      <c r="O49" s="51">
        <f>_xlfn.XLOOKUP($A49,FYTable[DOD ID],FYTable[Pistol Classification], $AE$1)</f>
        <v>0</v>
      </c>
      <c r="P49" s="51" t="str" cm="1">
        <f t="array" ref="P49">_xlfn.XLOOKUP($A49,FYTable[[DOD ID]:[DOD ID]],FYTable[RM Trained / Untrained], $AE$1)</f>
        <v>Trained</v>
      </c>
      <c r="Q49" s="51" cm="1">
        <f t="array" ref="Q49">_xlfn.XLOOKUP($A49,FYTable[[DOD ID]:[DOD ID]],FYTable[Step Up Trained / Untrained], $AE$1)</f>
        <v>0</v>
      </c>
      <c r="R49" s="51" cm="1">
        <f t="array" ref="R49">_xlfn.XLOOKUP($A49,FYTable[[DOD ID]:[DOD ID]],FYTable[Take A Stand Trained / Untrained], $AE$1)</f>
        <v>0</v>
      </c>
      <c r="S49" s="51" cm="1">
        <f t="array" ref="S49">_xlfn.XLOOKUP($A49,FYTable[[DOD ID]:[DOD ID]],FYTable[SAPR Trained / Untrained], $AE$1)</f>
        <v>0</v>
      </c>
      <c r="T49" s="51" cm="1">
        <f t="array" ref="T49">_xlfn.XLOOKUP($A49,FYTable[[DOD ID]:[DOD ID]],FYTable[SAPR SNCO Trained / Untrained], $AE$1)</f>
        <v>0</v>
      </c>
      <c r="U49" s="77" t="str" cm="1">
        <f t="array" ref="U49">_xlfn.XLOOKUP($A49,CFTTable[[DOD ID]:[DOD ID]],CFTTable[Class CFT],"")</f>
        <v>FIRST CLASS</v>
      </c>
      <c r="V49" s="62" cm="1">
        <f t="array" ref="V49">_xlfn.XLOOKUP($A49,CFTTable[[DOD ID]:[DOD ID]],CFTTable[Event Date])</f>
        <v>45225</v>
      </c>
      <c r="W49" s="62" t="str">
        <f>_xlfn.XLOOKUP($A49,PFTTable[DOD ID],PFTTable[Class PFT],"")</f>
        <v>First Class</v>
      </c>
      <c r="X49" s="62" cm="1">
        <f t="array" ref="X49">_xlfn.XLOOKUP($A49,PFTTable[[DOD ID]:[DOD ID]],PFTTable[PFT Event Date])</f>
        <v>45327</v>
      </c>
      <c r="Y49" s="62" cm="1">
        <f t="array" ref="Y49">_xlfn.XLOOKUP($A49,SwimTable[[DOD ID]:[DOD ID]],SwimTable[Swim MCTFS Status],"")</f>
        <v>0</v>
      </c>
      <c r="Z49" s="51" cm="1">
        <f t="array" ref="Z49">_xlfn.XLOOKUP($A50,HTWTTable[[DOD ID]:[DOD ID]],HTWTTable[MCTFS Status],"")</f>
        <v>0</v>
      </c>
      <c r="AA49" s="51" cm="1">
        <f t="array" ref="AA49">_xlfn.XLOOKUP($A49,FYTable[[DOD ID]:[DOD ID]],FYTable[CBRN Trained / Untrained],"")</f>
        <v>0</v>
      </c>
      <c r="AC49" s="51"/>
      <c r="AD49" s="51"/>
      <c r="BC49" s="49">
        <v>1588615061</v>
      </c>
      <c r="BD49" s="49" t="s">
        <v>235</v>
      </c>
      <c r="BE49" s="49" t="s">
        <v>289</v>
      </c>
      <c r="BF49" s="49" t="s">
        <v>239</v>
      </c>
      <c r="BG49" s="49" t="s">
        <v>36</v>
      </c>
      <c r="BH49" s="49" t="s">
        <v>277</v>
      </c>
      <c r="BJ49" s="49" t="str">
        <f t="shared" si="1"/>
        <v>Bad</v>
      </c>
    </row>
    <row r="50" spans="1:62" x14ac:dyDescent="0.25">
      <c r="A50" s="136">
        <v>1466955974</v>
      </c>
      <c r="B50" s="137" t="str">
        <f>_xlfn.XLOOKUP($A50,RecallTable[EDIPI],RecallTable[GRADE])</f>
        <v>O2</v>
      </c>
      <c r="C50" s="137" t="str">
        <f>_xlfn.XLOOKUP($A50,RecallTable[EDIPI],RecallTable[NAME], $AE$1)</f>
        <v>MALONE, DAMARION A.</v>
      </c>
      <c r="D50" s="137" t="str">
        <f>_xlfn.XLOOKUP($A50,RecallTable[EDIPI],RecallTable[SECTION])</f>
        <v>4PLT</v>
      </c>
      <c r="E50" s="50" t="str">
        <f>_xlfn.XLOOKUP($A50,CYTable[DOD ID],CYTable[CIAR Trained / Untrained], $AE$1)</f>
        <v>Trained</v>
      </c>
      <c r="F50" s="51" t="str" cm="1">
        <f t="array" ref="F50">_xlfn.XLOOKUP($A50,CYTable[[DOD ID]:[DOD ID]],CYTable[AT Trained / Untrained], $AE$1)</f>
        <v>Trained</v>
      </c>
      <c r="G50" s="51" t="str" cm="1">
        <f t="array" ref="G50">_xlfn.XLOOKUP($A50,CYTable[[DOD ID]:[DOD ID]],CYTable[OPSEC Trained / Untrained], $AE$1)</f>
        <v>Trained</v>
      </c>
      <c r="H50" s="51" cm="1">
        <f t="array" ref="H50">_xlfn.XLOOKUP($A50,CYTable[[DOD ID]:[DOD ID]],CYTable[PAC Trained / Untrained], $AE$1)</f>
        <v>0</v>
      </c>
      <c r="I50" s="51" t="str">
        <f>_xlfn.XLOOKUP($A50,CYTable[DOD ID],CYTable[RM Trained / Untrained], $AE$1)</f>
        <v>Trained</v>
      </c>
      <c r="J50" s="51" cm="1">
        <f t="array" ref="J50">_xlfn.XLOOKUP($A50,CYTable[[DOD ID]:[DOD ID]],CYTable[UMAPIT Trained / Untrained], $AE$1)</f>
        <v>0</v>
      </c>
      <c r="K50" s="51" t="str">
        <f>_xlfn.XLOOKUP($A50,CYTable[DOD ID],CYTable[Sup Safety Trained / Untrained], $AE$1)</f>
        <v>Trained</v>
      </c>
      <c r="L50" s="51" t="str">
        <f>_xlfn.XLOOKUP($A50,CYTable[DOD ID],CYTable[Substances Trained / Untrained], $AE$1)</f>
        <v>Trained</v>
      </c>
      <c r="M50" s="50" cm="1">
        <f t="array" ref="M50">IF(COUNTIF(TrainingTable[[#This Row],[ARQ Comments]],"*Exempt*"),"Exempt", _xlfn.XLOOKUP($A50,FYTable[[DOD ID]:[DOD ID]],FYTable[ARQ MCTFS Status], $AE$1))</f>
        <v>0</v>
      </c>
      <c r="N50" s="51" t="str" cm="1">
        <f t="array" ref="N50">_xlfn.XLOOKUP($A50,FYTable[[DOD ID]:[DOD ID]],FYTable[CYBER Trained / Untrained], $AE$1)</f>
        <v>Trained</v>
      </c>
      <c r="O50" s="51">
        <f>_xlfn.XLOOKUP($A50,FYTable[DOD ID],FYTable[Pistol Classification], $AE$1)</f>
        <v>0</v>
      </c>
      <c r="P50" s="51" t="str" cm="1">
        <f t="array" ref="P50">_xlfn.XLOOKUP($A50,FYTable[[DOD ID]:[DOD ID]],FYTable[RM Trained / Untrained], $AE$1)</f>
        <v>Trained</v>
      </c>
      <c r="Q50" s="51" cm="1">
        <f t="array" ref="Q50">_xlfn.XLOOKUP($A50,FYTable[[DOD ID]:[DOD ID]],FYTable[Step Up Trained / Untrained], $AE$1)</f>
        <v>0</v>
      </c>
      <c r="R50" s="51" t="str" cm="1">
        <f t="array" ref="R50">_xlfn.XLOOKUP($A50,FYTable[[DOD ID]:[DOD ID]],FYTable[Take A Stand Trained / Untrained], $AE$1)</f>
        <v>Trained</v>
      </c>
      <c r="S50" s="51" cm="1">
        <f t="array" ref="S50">_xlfn.XLOOKUP($A50,FYTable[[DOD ID]:[DOD ID]],FYTable[SAPR Trained / Untrained], $AE$1)</f>
        <v>0</v>
      </c>
      <c r="T50" s="51" cm="1">
        <f t="array" ref="T50">_xlfn.XLOOKUP($A50,FYTable[[DOD ID]:[DOD ID]],FYTable[SAPR SNCO Trained / Untrained], $AE$1)</f>
        <v>0</v>
      </c>
      <c r="U50" s="77" t="str" cm="1">
        <f t="array" ref="U50">_xlfn.XLOOKUP($A50,CFTTable[[DOD ID]:[DOD ID]],CFTTable[Class CFT],"")</f>
        <v>FIRST CLASS</v>
      </c>
      <c r="V50" s="62" cm="1">
        <f t="array" ref="V50">_xlfn.XLOOKUP($A50,CFTTable[[DOD ID]:[DOD ID]],CFTTable[Event Date])</f>
        <v>45246</v>
      </c>
      <c r="W50" s="62">
        <f>_xlfn.XLOOKUP($A50,PFTTable[DOD ID],PFTTable[Class PFT],"")</f>
        <v>0</v>
      </c>
      <c r="X50" s="62" cm="1">
        <f t="array" ref="X50">_xlfn.XLOOKUP($A50,PFTTable[[DOD ID]:[DOD ID]],PFTTable[PFT Event Date])</f>
        <v>0</v>
      </c>
      <c r="Y50" s="62" cm="1">
        <f t="array" ref="Y50">_xlfn.XLOOKUP($A50,SwimTable[[DOD ID]:[DOD ID]],SwimTable[Swim MCTFS Status],"")</f>
        <v>0</v>
      </c>
      <c r="Z50" s="51" t="str" cm="1">
        <f t="array" ref="Z50">_xlfn.XLOOKUP($A51,HTWTTable[[DOD ID]:[DOD ID]],HTWTTable[MCTFS Status],"")</f>
        <v>Success</v>
      </c>
      <c r="AA50" s="51" t="str" cm="1">
        <f t="array" ref="AA50">_xlfn.XLOOKUP($A50,FYTable[[DOD ID]:[DOD ID]],FYTable[CBRN Trained / Untrained],"")</f>
        <v>Trained</v>
      </c>
      <c r="AB50" s="139"/>
      <c r="AC50" s="51"/>
      <c r="AD50" s="51" t="s">
        <v>290</v>
      </c>
      <c r="BC50" s="49">
        <v>1590356510</v>
      </c>
      <c r="BD50" s="49" t="s">
        <v>243</v>
      </c>
      <c r="BE50" s="49" t="s">
        <v>291</v>
      </c>
      <c r="BF50" s="49" t="s">
        <v>211</v>
      </c>
      <c r="BG50" s="49" t="s">
        <v>212</v>
      </c>
      <c r="BH50" s="49" t="s">
        <v>292</v>
      </c>
      <c r="BJ50" s="49" t="str">
        <f t="shared" si="1"/>
        <v>Bad</v>
      </c>
    </row>
    <row r="51" spans="1:62" x14ac:dyDescent="0.25">
      <c r="A51" s="136">
        <v>1086482908</v>
      </c>
      <c r="B51" s="137" t="str">
        <f>_xlfn.XLOOKUP($A51,RecallTable[EDIPI],RecallTable[GRADE])</f>
        <v>E7</v>
      </c>
      <c r="C51" s="137" t="str">
        <f>_xlfn.XLOOKUP($A51,RecallTable[EDIPI],RecallTable[NAME], $AE$1)</f>
        <v>GROSS, SHERLYN A.</v>
      </c>
      <c r="D51" s="137" t="str">
        <f>_xlfn.XLOOKUP($A51,RecallTable[EDIPI],RecallTable[SECTION])</f>
        <v>4PLT</v>
      </c>
      <c r="E51" s="50">
        <f>_xlfn.XLOOKUP($A51,CYTable[DOD ID],CYTable[CIAR Trained / Untrained], $AE$1)</f>
        <v>0</v>
      </c>
      <c r="F51" s="51" cm="1">
        <f t="array" ref="F51">_xlfn.XLOOKUP($A51,CYTable[[DOD ID]:[DOD ID]],CYTable[AT Trained / Untrained], $AE$1)</f>
        <v>0</v>
      </c>
      <c r="G51" s="51" cm="1">
        <f t="array" ref="G51">_xlfn.XLOOKUP($A51,CYTable[[DOD ID]:[DOD ID]],CYTable[OPSEC Trained / Untrained], $AE$1)</f>
        <v>0</v>
      </c>
      <c r="H51" s="51" cm="1">
        <f t="array" ref="H51">_xlfn.XLOOKUP($A51,CYTable[[DOD ID]:[DOD ID]],CYTable[PAC Trained / Untrained], $AE$1)</f>
        <v>0</v>
      </c>
      <c r="I51" s="51">
        <f>_xlfn.XLOOKUP($A51,CYTable[DOD ID],CYTable[RM Trained / Untrained], $AE$1)</f>
        <v>0</v>
      </c>
      <c r="J51" s="51" cm="1">
        <f t="array" ref="J51">_xlfn.XLOOKUP($A51,CYTable[[DOD ID]:[DOD ID]],CYTable[UMAPIT Trained / Untrained], $AE$1)</f>
        <v>0</v>
      </c>
      <c r="K51" s="51">
        <f>_xlfn.XLOOKUP($A51,CYTable[DOD ID],CYTable[Sup Safety Trained / Untrained], $AE$1)</f>
        <v>0</v>
      </c>
      <c r="L51" s="51">
        <f>_xlfn.XLOOKUP($A51,CYTable[DOD ID],CYTable[Substances Trained / Untrained], $AE$1)</f>
        <v>0</v>
      </c>
      <c r="M51" s="50" cm="1">
        <f t="array" ref="M51">IF(COUNTIF(TrainingTable[[#This Row],[ARQ Comments]],"*Exempt*"),"Exempt", _xlfn.XLOOKUP($A51,FYTable[[DOD ID]:[DOD ID]],FYTable[ARQ MCTFS Status], $AE$1))</f>
        <v>0</v>
      </c>
      <c r="N51" s="51" t="str" cm="1">
        <f t="array" ref="N51">_xlfn.XLOOKUP($A51,FYTable[[DOD ID]:[DOD ID]],FYTable[CYBER Trained / Untrained], $AE$1)</f>
        <v>Trained</v>
      </c>
      <c r="O51" s="51">
        <f>_xlfn.XLOOKUP($A51,FYTable[DOD ID],FYTable[Pistol Classification], $AE$1)</f>
        <v>0</v>
      </c>
      <c r="P51" s="51" cm="1">
        <f t="array" ref="P51">_xlfn.XLOOKUP($A51,FYTable[[DOD ID]:[DOD ID]],FYTable[RM Trained / Untrained], $AE$1)</f>
        <v>0</v>
      </c>
      <c r="Q51" s="51" cm="1">
        <f t="array" ref="Q51">_xlfn.XLOOKUP($A51,FYTable[[DOD ID]:[DOD ID]],FYTable[Step Up Trained / Untrained], $AE$1)</f>
        <v>0</v>
      </c>
      <c r="R51" s="51" cm="1">
        <f t="array" ref="R51">_xlfn.XLOOKUP($A51,FYTable[[DOD ID]:[DOD ID]],FYTable[Take A Stand Trained / Untrained], $AE$1)</f>
        <v>0</v>
      </c>
      <c r="S51" s="51" cm="1">
        <f t="array" ref="S51">_xlfn.XLOOKUP($A51,FYTable[[DOD ID]:[DOD ID]],FYTable[SAPR Trained / Untrained], $AE$1)</f>
        <v>0</v>
      </c>
      <c r="T51" s="51" cm="1">
        <f t="array" ref="T51">_xlfn.XLOOKUP($A51,FYTable[[DOD ID]:[DOD ID]],FYTable[SAPR SNCO Trained / Untrained], $AE$1)</f>
        <v>0</v>
      </c>
      <c r="U51" s="77" t="str" cm="1">
        <f t="array" ref="U51">_xlfn.XLOOKUP($A51,CFTTable[[DOD ID]:[DOD ID]],CFTTable[Class CFT],"")</f>
        <v>FIRST CLASS</v>
      </c>
      <c r="V51" s="62" cm="1">
        <f t="array" ref="V51">_xlfn.XLOOKUP($A51,CFTTable[[DOD ID]:[DOD ID]],CFTTable[Event Date])</f>
        <v>45225</v>
      </c>
      <c r="W51" s="62">
        <f>_xlfn.XLOOKUP($A51,PFTTable[DOD ID],PFTTable[Class PFT],"")</f>
        <v>0</v>
      </c>
      <c r="X51" s="62" cm="1">
        <f t="array" ref="X51">_xlfn.XLOOKUP($A51,PFTTable[[DOD ID]:[DOD ID]],PFTTable[PFT Event Date])</f>
        <v>0</v>
      </c>
      <c r="Y51" s="62" cm="1">
        <f t="array" ref="Y51">_xlfn.XLOOKUP($A51,SwimTable[[DOD ID]:[DOD ID]],SwimTable[Swim MCTFS Status],"")</f>
        <v>0</v>
      </c>
      <c r="Z51" s="51" cm="1">
        <f t="array" ref="Z51">_xlfn.XLOOKUP($A52,HTWTTable[[DOD ID]:[DOD ID]],HTWTTable[MCTFS Status],"")</f>
        <v>0</v>
      </c>
      <c r="AA51" s="51" cm="1">
        <f t="array" ref="AA51">_xlfn.XLOOKUP($A51,FYTable[[DOD ID]:[DOD ID]],FYTable[CBRN Trained / Untrained],"")</f>
        <v>0</v>
      </c>
      <c r="AC51" s="51"/>
      <c r="AD51" s="51"/>
      <c r="BC51" s="49">
        <v>1550843915</v>
      </c>
      <c r="BD51" s="49" t="s">
        <v>243</v>
      </c>
      <c r="BE51" s="49" t="s">
        <v>293</v>
      </c>
      <c r="BF51" s="49" t="s">
        <v>230</v>
      </c>
      <c r="BG51" s="49" t="s">
        <v>212</v>
      </c>
      <c r="BH51" s="49" t="s">
        <v>228</v>
      </c>
      <c r="BJ51" s="49" t="str">
        <f t="shared" si="1"/>
        <v>Bad</v>
      </c>
    </row>
    <row r="52" spans="1:62" x14ac:dyDescent="0.25">
      <c r="A52" s="136">
        <v>1378280647</v>
      </c>
      <c r="B52" s="137" t="str">
        <f>_xlfn.XLOOKUP($A52,RecallTable[EDIPI],RecallTable[GRADE])</f>
        <v>E6</v>
      </c>
      <c r="C52" s="137" t="str">
        <f>_xlfn.XLOOKUP($A52,RecallTable[EDIPI],RecallTable[NAME], $AE$1)</f>
        <v>BECK, LEVI A.</v>
      </c>
      <c r="D52" s="137" t="str">
        <f>_xlfn.XLOOKUP($A52,RecallTable[EDIPI],RecallTable[SECTION])</f>
        <v>4PLT</v>
      </c>
      <c r="E52" s="50">
        <f>_xlfn.XLOOKUP($A52,CYTable[DOD ID],CYTable[CIAR Trained / Untrained], $AE$1)</f>
        <v>0</v>
      </c>
      <c r="F52" s="51" cm="1">
        <f t="array" ref="F52">_xlfn.XLOOKUP($A52,CYTable[[DOD ID]:[DOD ID]],CYTable[AT Trained / Untrained], $AE$1)</f>
        <v>0</v>
      </c>
      <c r="G52" s="51" cm="1">
        <f t="array" ref="G52">_xlfn.XLOOKUP($A52,CYTable[[DOD ID]:[DOD ID]],CYTable[OPSEC Trained / Untrained], $AE$1)</f>
        <v>0</v>
      </c>
      <c r="H52" s="51" cm="1">
        <f t="array" ref="H52">_xlfn.XLOOKUP($A52,CYTable[[DOD ID]:[DOD ID]],CYTable[PAC Trained / Untrained], $AE$1)</f>
        <v>0</v>
      </c>
      <c r="I52" s="51">
        <f>_xlfn.XLOOKUP($A52,CYTable[DOD ID],CYTable[RM Trained / Untrained], $AE$1)</f>
        <v>0</v>
      </c>
      <c r="J52" s="51" cm="1">
        <f t="array" ref="J52">_xlfn.XLOOKUP($A52,CYTable[[DOD ID]:[DOD ID]],CYTable[UMAPIT Trained / Untrained], $AE$1)</f>
        <v>0</v>
      </c>
      <c r="K52" s="51">
        <f>_xlfn.XLOOKUP($A52,CYTable[DOD ID],CYTable[Sup Safety Trained / Untrained], $AE$1)</f>
        <v>0</v>
      </c>
      <c r="L52" s="51">
        <f>_xlfn.XLOOKUP($A52,CYTable[DOD ID],CYTable[Substances Trained / Untrained], $AE$1)</f>
        <v>0</v>
      </c>
      <c r="M52" s="50" cm="1">
        <f t="array" ref="M52">IF(COUNTIF(TrainingTable[[#This Row],[ARQ Comments]],"*Exempt*"),"Exempt", _xlfn.XLOOKUP($A52,FYTable[[DOD ID]:[DOD ID]],FYTable[ARQ MCTFS Status], $AE$1))</f>
        <v>0</v>
      </c>
      <c r="N52" s="51" t="str" cm="1">
        <f t="array" ref="N52">_xlfn.XLOOKUP($A52,FYTable[[DOD ID]:[DOD ID]],FYTable[CYBER Trained / Untrained], $AE$1)</f>
        <v>Trained</v>
      </c>
      <c r="O52" s="51">
        <f>_xlfn.XLOOKUP($A52,FYTable[DOD ID],FYTable[Pistol Classification], $AE$1)</f>
        <v>0</v>
      </c>
      <c r="P52" s="51" cm="1">
        <f t="array" ref="P52">_xlfn.XLOOKUP($A52,FYTable[[DOD ID]:[DOD ID]],FYTable[RM Trained / Untrained], $AE$1)</f>
        <v>0</v>
      </c>
      <c r="Q52" s="51" cm="1">
        <f t="array" ref="Q52">_xlfn.XLOOKUP($A52,FYTable[[DOD ID]:[DOD ID]],FYTable[Step Up Trained / Untrained], $AE$1)</f>
        <v>0</v>
      </c>
      <c r="R52" s="51" cm="1">
        <f t="array" ref="R52">_xlfn.XLOOKUP($A52,FYTable[[DOD ID]:[DOD ID]],FYTable[Take A Stand Trained / Untrained], $AE$1)</f>
        <v>0</v>
      </c>
      <c r="S52" s="51" cm="1">
        <f t="array" ref="S52">_xlfn.XLOOKUP($A52,FYTable[[DOD ID]:[DOD ID]],FYTable[SAPR Trained / Untrained], $AE$1)</f>
        <v>0</v>
      </c>
      <c r="T52" s="51" cm="1">
        <f t="array" ref="T52">_xlfn.XLOOKUP($A52,FYTable[[DOD ID]:[DOD ID]],FYTable[SAPR SNCO Trained / Untrained], $AE$1)</f>
        <v>0</v>
      </c>
      <c r="U52" s="77" t="str" cm="1">
        <f t="array" ref="U52">_xlfn.XLOOKUP($A52,CFTTable[[DOD ID]:[DOD ID]],CFTTable[Class CFT],"")</f>
        <v>FIRST CLASS</v>
      </c>
      <c r="V52" s="62" cm="1">
        <f t="array" ref="V52">_xlfn.XLOOKUP($A52,CFTTable[[DOD ID]:[DOD ID]],CFTTable[Event Date])</f>
        <v>45225</v>
      </c>
      <c r="W52" s="62">
        <f>_xlfn.XLOOKUP($A52,PFTTable[DOD ID],PFTTable[Class PFT],"")</f>
        <v>0</v>
      </c>
      <c r="X52" s="62" cm="1">
        <f t="array" ref="X52">_xlfn.XLOOKUP($A52,PFTTable[[DOD ID]:[DOD ID]],PFTTable[PFT Event Date])</f>
        <v>0</v>
      </c>
      <c r="Y52" s="62" cm="1">
        <f t="array" ref="Y52">_xlfn.XLOOKUP($A52,SwimTable[[DOD ID]:[DOD ID]],SwimTable[Swim MCTFS Status],"")</f>
        <v>0</v>
      </c>
      <c r="Z52" s="51" cm="1">
        <f t="array" ref="Z52">_xlfn.XLOOKUP($A53,HTWTTable[[DOD ID]:[DOD ID]],HTWTTable[MCTFS Status],"")</f>
        <v>0</v>
      </c>
      <c r="AA52" s="51" t="str" cm="1">
        <f t="array" ref="AA52">_xlfn.XLOOKUP($A52,FYTable[[DOD ID]:[DOD ID]],FYTable[CBRN Trained / Untrained],"")</f>
        <v>Trained</v>
      </c>
      <c r="AC52" s="51"/>
      <c r="AD52" s="51"/>
      <c r="BC52" s="49">
        <v>1455981839</v>
      </c>
      <c r="BD52" s="49" t="s">
        <v>217</v>
      </c>
      <c r="BE52" s="49" t="s">
        <v>294</v>
      </c>
      <c r="BF52" s="49" t="s">
        <v>230</v>
      </c>
      <c r="BG52" s="49" t="s">
        <v>212</v>
      </c>
      <c r="BH52" s="49" t="s">
        <v>216</v>
      </c>
      <c r="BJ52" s="49" t="str">
        <f t="shared" si="1"/>
        <v>Bad</v>
      </c>
    </row>
    <row r="53" spans="1:62" x14ac:dyDescent="0.25">
      <c r="A53" s="136">
        <v>1376933246</v>
      </c>
      <c r="B53" s="137" t="str">
        <f>_xlfn.XLOOKUP($A53,RecallTable[EDIPI],RecallTable[GRADE])</f>
        <v>E6</v>
      </c>
      <c r="C53" s="137" t="str">
        <f>_xlfn.XLOOKUP($A53,RecallTable[EDIPI],RecallTable[NAME], $AE$1)</f>
        <v>SILVA, ABIGAIL A.</v>
      </c>
      <c r="D53" s="137" t="str">
        <f>_xlfn.XLOOKUP($A53,RecallTable[EDIPI],RecallTable[SECTION])</f>
        <v>4PLT</v>
      </c>
      <c r="E53" s="50">
        <f>_xlfn.XLOOKUP($A53,CYTable[DOD ID],CYTable[CIAR Trained / Untrained], $AE$1)</f>
        <v>0</v>
      </c>
      <c r="F53" s="51" cm="1">
        <f t="array" ref="F53">_xlfn.XLOOKUP($A53,CYTable[[DOD ID]:[DOD ID]],CYTable[AT Trained / Untrained], $AE$1)</f>
        <v>0</v>
      </c>
      <c r="G53" s="51" cm="1">
        <f t="array" ref="G53">_xlfn.XLOOKUP($A53,CYTable[[DOD ID]:[DOD ID]],CYTable[OPSEC Trained / Untrained], $AE$1)</f>
        <v>0</v>
      </c>
      <c r="H53" s="51" cm="1">
        <f t="array" ref="H53">_xlfn.XLOOKUP($A53,CYTable[[DOD ID]:[DOD ID]],CYTable[PAC Trained / Untrained], $AE$1)</f>
        <v>0</v>
      </c>
      <c r="I53" s="51">
        <f>_xlfn.XLOOKUP($A53,CYTable[DOD ID],CYTable[RM Trained / Untrained], $AE$1)</f>
        <v>0</v>
      </c>
      <c r="J53" s="51" cm="1">
        <f t="array" ref="J53">_xlfn.XLOOKUP($A53,CYTable[[DOD ID]:[DOD ID]],CYTable[UMAPIT Trained / Untrained], $AE$1)</f>
        <v>0</v>
      </c>
      <c r="K53" s="51">
        <f>_xlfn.XLOOKUP($A53,CYTable[DOD ID],CYTable[Sup Safety Trained / Untrained], $AE$1)</f>
        <v>0</v>
      </c>
      <c r="L53" s="51">
        <f>_xlfn.XLOOKUP($A53,CYTable[DOD ID],CYTable[Substances Trained / Untrained], $AE$1)</f>
        <v>0</v>
      </c>
      <c r="M53" s="50" cm="1">
        <f t="array" ref="M53">IF(COUNTIF(TrainingTable[[#This Row],[ARQ Comments]],"*Exempt*"),"Exempt", _xlfn.XLOOKUP($A53,FYTable[[DOD ID]:[DOD ID]],FYTable[ARQ MCTFS Status], $AE$1))</f>
        <v>0</v>
      </c>
      <c r="N53" s="51" cm="1">
        <f t="array" ref="N53">_xlfn.XLOOKUP($A53,FYTable[[DOD ID]:[DOD ID]],FYTable[CYBER Trained / Untrained], $AE$1)</f>
        <v>0</v>
      </c>
      <c r="O53" s="51" t="str">
        <f>_xlfn.XLOOKUP($A53,FYTable[DOD ID],FYTable[Pistol Classification], $AE$1)</f>
        <v>EXPERT</v>
      </c>
      <c r="P53" s="51" cm="1">
        <f t="array" ref="P53">_xlfn.XLOOKUP($A53,FYTable[[DOD ID]:[DOD ID]],FYTable[RM Trained / Untrained], $AE$1)</f>
        <v>0</v>
      </c>
      <c r="Q53" s="51" t="str" cm="1">
        <f t="array" ref="Q53">_xlfn.XLOOKUP($A53,FYTable[[DOD ID]:[DOD ID]],FYTable[Step Up Trained / Untrained], $AE$1)</f>
        <v>Trained</v>
      </c>
      <c r="R53" s="51" t="str" cm="1">
        <f t="array" ref="R53">_xlfn.XLOOKUP($A53,FYTable[[DOD ID]:[DOD ID]],FYTable[Take A Stand Trained / Untrained], $AE$1)</f>
        <v>Trained</v>
      </c>
      <c r="S53" s="51" t="str" cm="1">
        <f t="array" ref="S53">_xlfn.XLOOKUP($A53,FYTable[[DOD ID]:[DOD ID]],FYTable[SAPR Trained / Untrained], $AE$1)</f>
        <v>Trained</v>
      </c>
      <c r="T53" s="51" t="str" cm="1">
        <f t="array" ref="T53">_xlfn.XLOOKUP($A53,FYTable[[DOD ID]:[DOD ID]],FYTable[SAPR SNCO Trained / Untrained], $AE$1)</f>
        <v>Trained</v>
      </c>
      <c r="U53" s="77" t="str" cm="1">
        <f t="array" ref="U53">_xlfn.XLOOKUP($A53,CFTTable[[DOD ID]:[DOD ID]],CFTTable[Class CFT],"")</f>
        <v>FIRST CLASS</v>
      </c>
      <c r="V53" s="62" cm="1">
        <f t="array" ref="V53">_xlfn.XLOOKUP($A53,CFTTable[[DOD ID]:[DOD ID]],CFTTable[Event Date])</f>
        <v>45225</v>
      </c>
      <c r="W53" s="62">
        <f>_xlfn.XLOOKUP($A53,PFTTable[DOD ID],PFTTable[Class PFT],"")</f>
        <v>0</v>
      </c>
      <c r="X53" s="62" cm="1">
        <f t="array" ref="X53">_xlfn.XLOOKUP($A53,PFTTable[[DOD ID]:[DOD ID]],PFTTable[PFT Event Date])</f>
        <v>0</v>
      </c>
      <c r="Y53" s="62" cm="1">
        <f t="array" ref="Y53">_xlfn.XLOOKUP($A53,SwimTable[[DOD ID]:[DOD ID]],SwimTable[Swim MCTFS Status],"")</f>
        <v>0</v>
      </c>
      <c r="Z53" s="51" cm="1">
        <f t="array" ref="Z53">_xlfn.XLOOKUP($A54,HTWTTable[[DOD ID]:[DOD ID]],HTWTTable[MCTFS Status],"")</f>
        <v>0</v>
      </c>
      <c r="AA53" s="51" t="str" cm="1">
        <f t="array" ref="AA53">_xlfn.XLOOKUP($A53,FYTable[[DOD ID]:[DOD ID]],FYTable[CBRN Trained / Untrained],"")</f>
        <v>Trained</v>
      </c>
      <c r="AC53" s="51"/>
      <c r="AD53" s="51"/>
      <c r="BC53" s="49">
        <v>1248677399</v>
      </c>
      <c r="BD53" s="49" t="s">
        <v>209</v>
      </c>
      <c r="BE53" s="49" t="s">
        <v>295</v>
      </c>
      <c r="BF53" s="49" t="s">
        <v>211</v>
      </c>
      <c r="BG53" s="49" t="s">
        <v>212</v>
      </c>
      <c r="BH53" s="49" t="s">
        <v>296</v>
      </c>
      <c r="BJ53" s="49" t="str">
        <f t="shared" si="1"/>
        <v>Bad</v>
      </c>
    </row>
    <row r="54" spans="1:62" x14ac:dyDescent="0.25">
      <c r="A54" s="136">
        <v>1480655370</v>
      </c>
      <c r="B54" s="137" t="str">
        <f>_xlfn.XLOOKUP($A54,RecallTable[EDIPI],RecallTable[GRADE])</f>
        <v>E5</v>
      </c>
      <c r="C54" s="137" t="str">
        <f>_xlfn.XLOOKUP($A54,RecallTable[EDIPI],RecallTable[NAME], $AE$1)</f>
        <v>CONWAY, TATIANA A.</v>
      </c>
      <c r="D54" s="137" t="str">
        <f>_xlfn.XLOOKUP($A54,RecallTable[EDIPI],RecallTable[SECTION])</f>
        <v>4PLT</v>
      </c>
      <c r="E54" s="50">
        <f>_xlfn.XLOOKUP($A54,CYTable[DOD ID],CYTable[CIAR Trained / Untrained], $AE$1)</f>
        <v>0</v>
      </c>
      <c r="F54" s="51" cm="1">
        <f t="array" ref="F54">_xlfn.XLOOKUP($A54,CYTable[[DOD ID]:[DOD ID]],CYTable[AT Trained / Untrained], $AE$1)</f>
        <v>0</v>
      </c>
      <c r="G54" s="51" cm="1">
        <f t="array" ref="G54">_xlfn.XLOOKUP($A54,CYTable[[DOD ID]:[DOD ID]],CYTable[OPSEC Trained / Untrained], $AE$1)</f>
        <v>0</v>
      </c>
      <c r="H54" s="51" cm="1">
        <f t="array" ref="H54">_xlfn.XLOOKUP($A54,CYTable[[DOD ID]:[DOD ID]],CYTable[PAC Trained / Untrained], $AE$1)</f>
        <v>0</v>
      </c>
      <c r="I54" s="51">
        <f>_xlfn.XLOOKUP($A54,CYTable[DOD ID],CYTable[RM Trained / Untrained], $AE$1)</f>
        <v>0</v>
      </c>
      <c r="J54" s="51" cm="1">
        <f t="array" ref="J54">_xlfn.XLOOKUP($A54,CYTable[[DOD ID]:[DOD ID]],CYTable[UMAPIT Trained / Untrained], $AE$1)</f>
        <v>0</v>
      </c>
      <c r="K54" s="51">
        <f>_xlfn.XLOOKUP($A54,CYTable[DOD ID],CYTable[Sup Safety Trained / Untrained], $AE$1)</f>
        <v>0</v>
      </c>
      <c r="L54" s="51">
        <f>_xlfn.XLOOKUP($A54,CYTable[DOD ID],CYTable[Substances Trained / Untrained], $AE$1)</f>
        <v>0</v>
      </c>
      <c r="M54" s="50" t="str" cm="1">
        <f t="array" ref="M54">IF(COUNTIF(TrainingTable[[#This Row],[ARQ Comments]],"*Exempt*"),"Exempt", _xlfn.XLOOKUP($A54,FYTable[[DOD ID]:[DOD ID]],FYTable[ARQ MCTFS Status], $AE$1))</f>
        <v>Success</v>
      </c>
      <c r="N54" s="51" cm="1">
        <f t="array" ref="N54">_xlfn.XLOOKUP($A54,FYTable[[DOD ID]:[DOD ID]],FYTable[CYBER Trained / Untrained], $AE$1)</f>
        <v>0</v>
      </c>
      <c r="O54" s="51">
        <f>_xlfn.XLOOKUP($A54,FYTable[DOD ID],FYTable[Pistol Classification], $AE$1)</f>
        <v>0</v>
      </c>
      <c r="P54" s="51" t="str" cm="1">
        <f t="array" ref="P54">_xlfn.XLOOKUP($A54,FYTable[[DOD ID]:[DOD ID]],FYTable[RM Trained / Untrained], $AE$1)</f>
        <v>Trained</v>
      </c>
      <c r="Q54" s="51" cm="1">
        <f t="array" ref="Q54">_xlfn.XLOOKUP($A54,FYTable[[DOD ID]:[DOD ID]],FYTable[Step Up Trained / Untrained], $AE$1)</f>
        <v>0</v>
      </c>
      <c r="R54" s="51" cm="1">
        <f t="array" ref="R54">_xlfn.XLOOKUP($A54,FYTable[[DOD ID]:[DOD ID]],FYTable[Take A Stand Trained / Untrained], $AE$1)</f>
        <v>0</v>
      </c>
      <c r="S54" s="51" cm="1">
        <f t="array" ref="S54">_xlfn.XLOOKUP($A54,FYTable[[DOD ID]:[DOD ID]],FYTable[SAPR Trained / Untrained], $AE$1)</f>
        <v>0</v>
      </c>
      <c r="T54" s="51" cm="1">
        <f t="array" ref="T54">_xlfn.XLOOKUP($A54,FYTable[[DOD ID]:[DOD ID]],FYTable[SAPR SNCO Trained / Untrained], $AE$1)</f>
        <v>0</v>
      </c>
      <c r="U54" s="77" t="str" cm="1">
        <f t="array" ref="U54">_xlfn.XLOOKUP($A54,CFTTable[[DOD ID]:[DOD ID]],CFTTable[Class CFT],"")</f>
        <v>FIRST CLASS</v>
      </c>
      <c r="V54" s="62" cm="1">
        <f t="array" ref="V54">_xlfn.XLOOKUP($A54,CFTTable[[DOD ID]:[DOD ID]],CFTTable[Event Date])</f>
        <v>45195</v>
      </c>
      <c r="W54" s="62">
        <f>_xlfn.XLOOKUP($A54,PFTTable[DOD ID],PFTTable[Class PFT],"")</f>
        <v>0</v>
      </c>
      <c r="X54" s="62" cm="1">
        <f t="array" ref="X54">_xlfn.XLOOKUP($A54,PFTTable[[DOD ID]:[DOD ID]],PFTTable[PFT Event Date])</f>
        <v>0</v>
      </c>
      <c r="Y54" s="62" cm="1">
        <f t="array" ref="Y54">_xlfn.XLOOKUP($A54,SwimTable[[DOD ID]:[DOD ID]],SwimTable[Swim MCTFS Status],"")</f>
        <v>0</v>
      </c>
      <c r="Z54" s="51" cm="1">
        <f t="array" ref="Z54">_xlfn.XLOOKUP($A55,HTWTTable[[DOD ID]:[DOD ID]],HTWTTable[MCTFS Status],"")</f>
        <v>0</v>
      </c>
      <c r="AA54" s="51" t="str" cm="1">
        <f t="array" ref="AA54">_xlfn.XLOOKUP($A54,FYTable[[DOD ID]:[DOD ID]],FYTable[CBRN Trained / Untrained],"")</f>
        <v>Trained</v>
      </c>
      <c r="AC54" s="51"/>
      <c r="AD54" s="51"/>
      <c r="BC54" s="49">
        <v>1571472364</v>
      </c>
      <c r="BD54" s="49" t="s">
        <v>209</v>
      </c>
      <c r="BE54" s="49" t="s">
        <v>297</v>
      </c>
      <c r="BF54" s="49" t="s">
        <v>225</v>
      </c>
      <c r="BG54" s="49" t="s">
        <v>212</v>
      </c>
      <c r="BH54" s="49" t="s">
        <v>268</v>
      </c>
      <c r="BJ54" s="49" t="str">
        <f t="shared" si="1"/>
        <v>Bad</v>
      </c>
    </row>
    <row r="55" spans="1:62" x14ac:dyDescent="0.25">
      <c r="A55" s="136">
        <v>1328891644</v>
      </c>
      <c r="B55" s="137" t="str">
        <f>_xlfn.XLOOKUP($A55,RecallTable[EDIPI],RecallTable[GRADE])</f>
        <v>E5</v>
      </c>
      <c r="C55" s="137" t="str">
        <f>_xlfn.XLOOKUP($A55,RecallTable[EDIPI],RecallTable[NAME], $AE$1)</f>
        <v>HUGHES, GILBERTO A.</v>
      </c>
      <c r="D55" s="137" t="str">
        <f>_xlfn.XLOOKUP($A55,RecallTable[EDIPI],RecallTable[SECTION])</f>
        <v>4PLT</v>
      </c>
      <c r="E55" s="50">
        <f>_xlfn.XLOOKUP($A55,CYTable[DOD ID],CYTable[CIAR Trained / Untrained], $AE$1)</f>
        <v>0</v>
      </c>
      <c r="F55" s="51" cm="1">
        <f t="array" ref="F55">_xlfn.XLOOKUP($A55,CYTable[[DOD ID]:[DOD ID]],CYTable[AT Trained / Untrained], $AE$1)</f>
        <v>0</v>
      </c>
      <c r="G55" s="51" cm="1">
        <f t="array" ref="G55">_xlfn.XLOOKUP($A55,CYTable[[DOD ID]:[DOD ID]],CYTable[OPSEC Trained / Untrained], $AE$1)</f>
        <v>0</v>
      </c>
      <c r="H55" s="51" cm="1">
        <f t="array" ref="H55">_xlfn.XLOOKUP($A55,CYTable[[DOD ID]:[DOD ID]],CYTable[PAC Trained / Untrained], $AE$1)</f>
        <v>0</v>
      </c>
      <c r="I55" s="51">
        <f>_xlfn.XLOOKUP($A55,CYTable[DOD ID],CYTable[RM Trained / Untrained], $AE$1)</f>
        <v>0</v>
      </c>
      <c r="J55" s="51" cm="1">
        <f t="array" ref="J55">_xlfn.XLOOKUP($A55,CYTable[[DOD ID]:[DOD ID]],CYTable[UMAPIT Trained / Untrained], $AE$1)</f>
        <v>0</v>
      </c>
      <c r="K55" s="51">
        <f>_xlfn.XLOOKUP($A55,CYTable[DOD ID],CYTable[Sup Safety Trained / Untrained], $AE$1)</f>
        <v>0</v>
      </c>
      <c r="L55" s="51">
        <f>_xlfn.XLOOKUP($A55,CYTable[DOD ID],CYTable[Substances Trained / Untrained], $AE$1)</f>
        <v>0</v>
      </c>
      <c r="M55" s="50" t="str" cm="1">
        <f t="array" ref="M55">IF(COUNTIF(TrainingTable[[#This Row],[ARQ Comments]],"*Exempt*"),"Exempt", _xlfn.XLOOKUP($A55,FYTable[[DOD ID]:[DOD ID]],FYTable[ARQ MCTFS Status], $AE$1))</f>
        <v>Success</v>
      </c>
      <c r="N55" s="51" cm="1">
        <f t="array" ref="N55">_xlfn.XLOOKUP($A55,FYTable[[DOD ID]:[DOD ID]],FYTable[CYBER Trained / Untrained], $AE$1)</f>
        <v>0</v>
      </c>
      <c r="O55" s="51" t="str">
        <f>_xlfn.XLOOKUP($A55,FYTable[DOD ID],FYTable[Pistol Classification], $AE$1)</f>
        <v>EXPERT</v>
      </c>
      <c r="P55" s="51" t="str" cm="1">
        <f t="array" ref="P55">_xlfn.XLOOKUP($A55,FYTable[[DOD ID]:[DOD ID]],FYTable[RM Trained / Untrained], $AE$1)</f>
        <v>Trained</v>
      </c>
      <c r="Q55" s="51" cm="1">
        <f t="array" ref="Q55">_xlfn.XLOOKUP($A55,FYTable[[DOD ID]:[DOD ID]],FYTable[Step Up Trained / Untrained], $AE$1)</f>
        <v>0</v>
      </c>
      <c r="R55" s="51" cm="1">
        <f t="array" ref="R55">_xlfn.XLOOKUP($A55,FYTable[[DOD ID]:[DOD ID]],FYTable[Take A Stand Trained / Untrained], $AE$1)</f>
        <v>0</v>
      </c>
      <c r="S55" s="51" cm="1">
        <f t="array" ref="S55">_xlfn.XLOOKUP($A55,FYTable[[DOD ID]:[DOD ID]],FYTable[SAPR Trained / Untrained], $AE$1)</f>
        <v>0</v>
      </c>
      <c r="T55" s="51" cm="1">
        <f t="array" ref="T55">_xlfn.XLOOKUP($A55,FYTable[[DOD ID]:[DOD ID]],FYTable[SAPR SNCO Trained / Untrained], $AE$1)</f>
        <v>0</v>
      </c>
      <c r="U55" s="77" t="str" cm="1">
        <f t="array" ref="U55">_xlfn.XLOOKUP($A55,CFTTable[[DOD ID]:[DOD ID]],CFTTable[Class CFT],"")</f>
        <v>FIRST CLASS</v>
      </c>
      <c r="V55" s="62" cm="1">
        <f t="array" ref="V55">_xlfn.XLOOKUP($A55,CFTTable[[DOD ID]:[DOD ID]],CFTTable[Event Date])</f>
        <v>45225</v>
      </c>
      <c r="W55" s="62">
        <f>_xlfn.XLOOKUP($A55,PFTTable[DOD ID],PFTTable[Class PFT],"")</f>
        <v>0</v>
      </c>
      <c r="X55" s="62" cm="1">
        <f t="array" ref="X55">_xlfn.XLOOKUP($A55,PFTTable[[DOD ID]:[DOD ID]],PFTTable[PFT Event Date])</f>
        <v>0</v>
      </c>
      <c r="Y55" s="62" cm="1">
        <f t="array" ref="Y55">_xlfn.XLOOKUP($A55,SwimTable[[DOD ID]:[DOD ID]],SwimTable[Swim MCTFS Status],"")</f>
        <v>0</v>
      </c>
      <c r="Z55" s="51" cm="1">
        <f t="array" ref="Z55">_xlfn.XLOOKUP($A56,HTWTTable[[DOD ID]:[DOD ID]],HTWTTable[MCTFS Status],"")</f>
        <v>0</v>
      </c>
      <c r="AA55" s="51" cm="1">
        <f t="array" ref="AA55">_xlfn.XLOOKUP($A55,FYTable[[DOD ID]:[DOD ID]],FYTable[CBRN Trained / Untrained],"")</f>
        <v>0</v>
      </c>
      <c r="AC55" s="51"/>
      <c r="AD55" s="51"/>
      <c r="BC55" s="49">
        <v>1030831043</v>
      </c>
      <c r="BD55" s="49" t="s">
        <v>214</v>
      </c>
      <c r="BE55" s="49" t="s">
        <v>298</v>
      </c>
      <c r="BF55" s="49" t="s">
        <v>211</v>
      </c>
      <c r="BG55" s="49" t="s">
        <v>36</v>
      </c>
      <c r="BH55" s="49" t="s">
        <v>216</v>
      </c>
      <c r="BJ55" s="49" t="str">
        <f t="shared" si="1"/>
        <v>Bad</v>
      </c>
    </row>
    <row r="56" spans="1:62" x14ac:dyDescent="0.25">
      <c r="A56" s="136">
        <v>1583347169</v>
      </c>
      <c r="B56" s="137" t="str">
        <f>_xlfn.XLOOKUP($A56,RecallTable[EDIPI],RecallTable[GRADE])</f>
        <v>E5</v>
      </c>
      <c r="C56" s="137" t="str">
        <f>_xlfn.XLOOKUP($A56,RecallTable[EDIPI],RecallTable[NAME], $AE$1)</f>
        <v>NASH, LEONARDO A.</v>
      </c>
      <c r="D56" s="137" t="str">
        <f>_xlfn.XLOOKUP($A56,RecallTable[EDIPI],RecallTable[SECTION])</f>
        <v>4PLT</v>
      </c>
      <c r="E56" s="50">
        <f>_xlfn.XLOOKUP($A56,CYTable[DOD ID],CYTable[CIAR Trained / Untrained], $AE$1)</f>
        <v>0</v>
      </c>
      <c r="F56" s="51" cm="1">
        <f t="array" ref="F56">_xlfn.XLOOKUP($A56,CYTable[[DOD ID]:[DOD ID]],CYTable[AT Trained / Untrained], $AE$1)</f>
        <v>0</v>
      </c>
      <c r="G56" s="51" cm="1">
        <f t="array" ref="G56">_xlfn.XLOOKUP($A56,CYTable[[DOD ID]:[DOD ID]],CYTable[OPSEC Trained / Untrained], $AE$1)</f>
        <v>0</v>
      </c>
      <c r="H56" s="51" cm="1">
        <f t="array" ref="H56">_xlfn.XLOOKUP($A56,CYTable[[DOD ID]:[DOD ID]],CYTable[PAC Trained / Untrained], $AE$1)</f>
        <v>0</v>
      </c>
      <c r="I56" s="51">
        <f>_xlfn.XLOOKUP($A56,CYTable[DOD ID],CYTable[RM Trained / Untrained], $AE$1)</f>
        <v>0</v>
      </c>
      <c r="J56" s="51" cm="1">
        <f t="array" ref="J56">_xlfn.XLOOKUP($A56,CYTable[[DOD ID]:[DOD ID]],CYTable[UMAPIT Trained / Untrained], $AE$1)</f>
        <v>0</v>
      </c>
      <c r="K56" s="51">
        <f>_xlfn.XLOOKUP($A56,CYTable[DOD ID],CYTable[Sup Safety Trained / Untrained], $AE$1)</f>
        <v>0</v>
      </c>
      <c r="L56" s="51">
        <f>_xlfn.XLOOKUP($A56,CYTable[DOD ID],CYTable[Substances Trained / Untrained], $AE$1)</f>
        <v>0</v>
      </c>
      <c r="M56" s="50" cm="1">
        <f t="array" ref="M56">IF(COUNTIF(TrainingTable[[#This Row],[ARQ Comments]],"*Exempt*"),"Exempt", _xlfn.XLOOKUP($A56,FYTable[[DOD ID]:[DOD ID]],FYTable[ARQ MCTFS Status], $AE$1))</f>
        <v>0</v>
      </c>
      <c r="N56" s="51" t="str" cm="1">
        <f t="array" ref="N56">_xlfn.XLOOKUP($A56,FYTable[[DOD ID]:[DOD ID]],FYTable[CYBER Trained / Untrained], $AE$1)</f>
        <v>Trained</v>
      </c>
      <c r="O56" s="51">
        <f>_xlfn.XLOOKUP($A56,FYTable[DOD ID],FYTable[Pistol Classification], $AE$1)</f>
        <v>0</v>
      </c>
      <c r="P56" s="51" cm="1">
        <f t="array" ref="P56">_xlfn.XLOOKUP($A56,FYTable[[DOD ID]:[DOD ID]],FYTable[RM Trained / Untrained], $AE$1)</f>
        <v>0</v>
      </c>
      <c r="Q56" s="51" cm="1">
        <f t="array" ref="Q56">_xlfn.XLOOKUP($A56,FYTable[[DOD ID]:[DOD ID]],FYTable[Step Up Trained / Untrained], $AE$1)</f>
        <v>0</v>
      </c>
      <c r="R56" s="51" cm="1">
        <f t="array" ref="R56">_xlfn.XLOOKUP($A56,FYTable[[DOD ID]:[DOD ID]],FYTable[Take A Stand Trained / Untrained], $AE$1)</f>
        <v>0</v>
      </c>
      <c r="S56" s="51" cm="1">
        <f t="array" ref="S56">_xlfn.XLOOKUP($A56,FYTable[[DOD ID]:[DOD ID]],FYTable[SAPR Trained / Untrained], $AE$1)</f>
        <v>0</v>
      </c>
      <c r="T56" s="51" cm="1">
        <f t="array" ref="T56">_xlfn.XLOOKUP($A56,FYTable[[DOD ID]:[DOD ID]],FYTable[SAPR SNCO Trained / Untrained], $AE$1)</f>
        <v>0</v>
      </c>
      <c r="U56" s="77" t="str" cm="1">
        <f t="array" ref="U56">_xlfn.XLOOKUP($A56,CFTTable[[DOD ID]:[DOD ID]],CFTTable[Class CFT],"")</f>
        <v>FIRST CLASS</v>
      </c>
      <c r="V56" s="62" cm="1">
        <f t="array" ref="V56">_xlfn.XLOOKUP($A56,CFTTable[[DOD ID]:[DOD ID]],CFTTable[Event Date])</f>
        <v>45225</v>
      </c>
      <c r="W56" s="62">
        <f>_xlfn.XLOOKUP($A56,PFTTable[DOD ID],PFTTable[Class PFT],"")</f>
        <v>0</v>
      </c>
      <c r="X56" s="62" cm="1">
        <f t="array" ref="X56">_xlfn.XLOOKUP($A56,PFTTable[[DOD ID]:[DOD ID]],PFTTable[PFT Event Date])</f>
        <v>0</v>
      </c>
      <c r="Y56" s="62" cm="1">
        <f t="array" ref="Y56">_xlfn.XLOOKUP($A56,SwimTable[[DOD ID]:[DOD ID]],SwimTable[Swim MCTFS Status],"")</f>
        <v>0</v>
      </c>
      <c r="Z56" s="51" cm="1">
        <f t="array" ref="Z56">_xlfn.XLOOKUP($A57,HTWTTable[[DOD ID]:[DOD ID]],HTWTTable[MCTFS Status],"")</f>
        <v>0</v>
      </c>
      <c r="AA56" s="51" cm="1">
        <f t="array" ref="AA56">_xlfn.XLOOKUP($A56,FYTable[[DOD ID]:[DOD ID]],FYTable[CBRN Trained / Untrained],"")</f>
        <v>0</v>
      </c>
      <c r="AC56" s="51"/>
      <c r="AD56" s="51"/>
      <c r="BC56" s="49">
        <v>1473167103</v>
      </c>
      <c r="BD56" s="49" t="s">
        <v>217</v>
      </c>
      <c r="BE56" s="49" t="s">
        <v>299</v>
      </c>
      <c r="BF56" s="49" t="s">
        <v>239</v>
      </c>
      <c r="BG56" s="49" t="s">
        <v>212</v>
      </c>
      <c r="BH56" s="49" t="s">
        <v>216</v>
      </c>
      <c r="BJ56" s="49" t="str">
        <f t="shared" si="1"/>
        <v>Bad</v>
      </c>
    </row>
    <row r="57" spans="1:62" x14ac:dyDescent="0.25">
      <c r="A57" s="136">
        <v>1110516278</v>
      </c>
      <c r="B57" s="137" t="str">
        <f>_xlfn.XLOOKUP($A57,RecallTable[EDIPI],RecallTable[GRADE])</f>
        <v>E4</v>
      </c>
      <c r="C57" s="137" t="str">
        <f>_xlfn.XLOOKUP($A57,RecallTable[EDIPI],RecallTable[NAME], $AE$1)</f>
        <v>MONROE, MARIAM A.</v>
      </c>
      <c r="D57" s="137" t="str">
        <f>_xlfn.XLOOKUP($A57,RecallTable[EDIPI],RecallTable[SECTION])</f>
        <v>4PLT</v>
      </c>
      <c r="E57" s="50">
        <f>_xlfn.XLOOKUP($A57,CYTable[DOD ID],CYTable[CIAR Trained / Untrained], $AE$1)</f>
        <v>0</v>
      </c>
      <c r="F57" s="51" cm="1">
        <f t="array" ref="F57">_xlfn.XLOOKUP($A57,CYTable[[DOD ID]:[DOD ID]],CYTable[AT Trained / Untrained], $AE$1)</f>
        <v>0</v>
      </c>
      <c r="G57" s="51" cm="1">
        <f t="array" ref="G57">_xlfn.XLOOKUP($A57,CYTable[[DOD ID]:[DOD ID]],CYTable[OPSEC Trained / Untrained], $AE$1)</f>
        <v>0</v>
      </c>
      <c r="H57" s="51" cm="1">
        <f t="array" ref="H57">_xlfn.XLOOKUP($A57,CYTable[[DOD ID]:[DOD ID]],CYTable[PAC Trained / Untrained], $AE$1)</f>
        <v>0</v>
      </c>
      <c r="I57" s="51">
        <f>_xlfn.XLOOKUP($A57,CYTable[DOD ID],CYTable[RM Trained / Untrained], $AE$1)</f>
        <v>0</v>
      </c>
      <c r="J57" s="51" cm="1">
        <f t="array" ref="J57">_xlfn.XLOOKUP($A57,CYTable[[DOD ID]:[DOD ID]],CYTable[UMAPIT Trained / Untrained], $AE$1)</f>
        <v>0</v>
      </c>
      <c r="K57" s="51">
        <f>_xlfn.XLOOKUP($A57,CYTable[DOD ID],CYTable[Sup Safety Trained / Untrained], $AE$1)</f>
        <v>0</v>
      </c>
      <c r="L57" s="51">
        <f>_xlfn.XLOOKUP($A57,CYTable[DOD ID],CYTable[Substances Trained / Untrained], $AE$1)</f>
        <v>0</v>
      </c>
      <c r="M57" s="50" cm="1">
        <f t="array" ref="M57">IF(COUNTIF(TrainingTable[[#This Row],[ARQ Comments]],"*Exempt*"),"Exempt", _xlfn.XLOOKUP($A57,FYTable[[DOD ID]:[DOD ID]],FYTable[ARQ MCTFS Status], $AE$1))</f>
        <v>0</v>
      </c>
      <c r="N57" s="51" cm="1">
        <f t="array" ref="N57">_xlfn.XLOOKUP($A57,FYTable[[DOD ID]:[DOD ID]],FYTable[CYBER Trained / Untrained], $AE$1)</f>
        <v>0</v>
      </c>
      <c r="O57" s="51" t="str">
        <f>_xlfn.XLOOKUP($A57,FYTable[DOD ID],FYTable[Pistol Classification], $AE$1)</f>
        <v>EXPERT</v>
      </c>
      <c r="P57" s="51" cm="1">
        <f t="array" ref="P57">_xlfn.XLOOKUP($A57,FYTable[[DOD ID]:[DOD ID]],FYTable[RM Trained / Untrained], $AE$1)</f>
        <v>0</v>
      </c>
      <c r="Q57" s="51" cm="1">
        <f t="array" ref="Q57">_xlfn.XLOOKUP($A57,FYTable[[DOD ID]:[DOD ID]],FYTable[Step Up Trained / Untrained], $AE$1)</f>
        <v>0</v>
      </c>
      <c r="R57" s="51" cm="1">
        <f t="array" ref="R57">_xlfn.XLOOKUP($A57,FYTable[[DOD ID]:[DOD ID]],FYTable[Take A Stand Trained / Untrained], $AE$1)</f>
        <v>0</v>
      </c>
      <c r="S57" s="51" cm="1">
        <f t="array" ref="S57">_xlfn.XLOOKUP($A57,FYTable[[DOD ID]:[DOD ID]],FYTable[SAPR Trained / Untrained], $AE$1)</f>
        <v>0</v>
      </c>
      <c r="T57" s="51" cm="1">
        <f t="array" ref="T57">_xlfn.XLOOKUP($A57,FYTable[[DOD ID]:[DOD ID]],FYTable[SAPR SNCO Trained / Untrained], $AE$1)</f>
        <v>0</v>
      </c>
      <c r="U57" s="77" t="str" cm="1">
        <f t="array" ref="U57">_xlfn.XLOOKUP($A57,CFTTable[[DOD ID]:[DOD ID]],CFTTable[Class CFT],"")</f>
        <v>FIRST CLASS</v>
      </c>
      <c r="V57" s="62" cm="1">
        <f t="array" ref="V57">_xlfn.XLOOKUP($A57,CFTTable[[DOD ID]:[DOD ID]],CFTTable[Event Date])</f>
        <v>45210</v>
      </c>
      <c r="W57" s="62">
        <f>_xlfn.XLOOKUP($A57,PFTTable[DOD ID],PFTTable[Class PFT],"")</f>
        <v>0</v>
      </c>
      <c r="X57" s="62" cm="1">
        <f t="array" ref="X57">_xlfn.XLOOKUP($A57,PFTTable[[DOD ID]:[DOD ID]],PFTTable[PFT Event Date])</f>
        <v>0</v>
      </c>
      <c r="Y57" s="62" cm="1">
        <f t="array" ref="Y57">_xlfn.XLOOKUP($A57,SwimTable[[DOD ID]:[DOD ID]],SwimTable[Swim MCTFS Status],"")</f>
        <v>0</v>
      </c>
      <c r="Z57" s="51" t="str" cm="1">
        <f t="array" ref="Z57">_xlfn.XLOOKUP($A58,HTWTTable[[DOD ID]:[DOD ID]],HTWTTable[MCTFS Status],"")</f>
        <v>Success</v>
      </c>
      <c r="AA57" s="51" cm="1">
        <f t="array" ref="AA57">_xlfn.XLOOKUP($A57,FYTable[[DOD ID]:[DOD ID]],FYTable[CBRN Trained / Untrained],"")</f>
        <v>0</v>
      </c>
      <c r="AC57" s="51"/>
      <c r="AD57" s="51"/>
      <c r="BC57" s="49">
        <v>1512009952</v>
      </c>
      <c r="BD57" s="49" t="s">
        <v>220</v>
      </c>
      <c r="BE57" s="49" t="s">
        <v>300</v>
      </c>
      <c r="BF57" s="49" t="s">
        <v>239</v>
      </c>
      <c r="BG57" s="49" t="s">
        <v>36</v>
      </c>
      <c r="BH57" s="49" t="s">
        <v>226</v>
      </c>
      <c r="BJ57" s="49" t="str">
        <f t="shared" si="1"/>
        <v>Bad</v>
      </c>
    </row>
    <row r="58" spans="1:62" x14ac:dyDescent="0.25">
      <c r="A58" s="136">
        <v>1288365821</v>
      </c>
      <c r="B58" s="137" t="str">
        <f>_xlfn.XLOOKUP($A58,RecallTable[EDIPI],RecallTable[GRADE])</f>
        <v>E4</v>
      </c>
      <c r="C58" s="137" t="str">
        <f>_xlfn.XLOOKUP($A58,RecallTable[EDIPI],RecallTable[NAME], $AE$1)</f>
        <v>MCDONALD, DESIREE A.</v>
      </c>
      <c r="D58" s="137" t="str">
        <f>_xlfn.XLOOKUP($A58,RecallTable[EDIPI],RecallTable[SECTION])</f>
        <v>4PLT</v>
      </c>
      <c r="E58" s="50" t="str">
        <f>_xlfn.XLOOKUP($A58,CYTable[DOD ID],CYTable[CIAR Trained / Untrained], $AE$1)</f>
        <v>Trained</v>
      </c>
      <c r="F58" s="51" cm="1">
        <f t="array" ref="F58">_xlfn.XLOOKUP($A58,CYTable[[DOD ID]:[DOD ID]],CYTable[AT Trained / Untrained], $AE$1)</f>
        <v>0</v>
      </c>
      <c r="G58" s="51" t="str" cm="1">
        <f t="array" ref="G58">_xlfn.XLOOKUP($A58,CYTable[[DOD ID]:[DOD ID]],CYTable[OPSEC Trained / Untrained], $AE$1)</f>
        <v>Trained</v>
      </c>
      <c r="H58" s="51" cm="1">
        <f t="array" ref="H58">_xlfn.XLOOKUP($A58,CYTable[[DOD ID]:[DOD ID]],CYTable[PAC Trained / Untrained], $AE$1)</f>
        <v>0</v>
      </c>
      <c r="I58" s="51" t="str">
        <f>_xlfn.XLOOKUP($A58,CYTable[DOD ID],CYTable[RM Trained / Untrained], $AE$1)</f>
        <v>Trained</v>
      </c>
      <c r="J58" s="51" cm="1">
        <f t="array" ref="J58">_xlfn.XLOOKUP($A58,CYTable[[DOD ID]:[DOD ID]],CYTable[UMAPIT Trained / Untrained], $AE$1)</f>
        <v>0</v>
      </c>
      <c r="K58" s="51" t="str">
        <f>_xlfn.XLOOKUP($A58,CYTable[DOD ID],CYTable[Sup Safety Trained / Untrained], $AE$1)</f>
        <v>Trained</v>
      </c>
      <c r="L58" s="51" t="str">
        <f>_xlfn.XLOOKUP($A58,CYTable[DOD ID],CYTable[Substances Trained / Untrained], $AE$1)</f>
        <v>Trained</v>
      </c>
      <c r="M58" s="50" cm="1">
        <f t="array" ref="M58">IF(COUNTIF(TrainingTable[[#This Row],[ARQ Comments]],"*Exempt*"),"Exempt", _xlfn.XLOOKUP($A58,FYTable[[DOD ID]:[DOD ID]],FYTable[ARQ MCTFS Status], $AE$1))</f>
        <v>0</v>
      </c>
      <c r="N58" s="51" t="str" cm="1">
        <f t="array" ref="N58">_xlfn.XLOOKUP($A58,FYTable[[DOD ID]:[DOD ID]],FYTable[CYBER Trained / Untrained], $AE$1)</f>
        <v>Trained</v>
      </c>
      <c r="O58" s="51">
        <f>_xlfn.XLOOKUP($A58,FYTable[DOD ID],FYTable[Pistol Classification], $AE$1)</f>
        <v>0</v>
      </c>
      <c r="P58" s="51" cm="1">
        <f t="array" ref="P58">_xlfn.XLOOKUP($A58,FYTable[[DOD ID]:[DOD ID]],FYTable[RM Trained / Untrained], $AE$1)</f>
        <v>0</v>
      </c>
      <c r="Q58" s="51" cm="1">
        <f t="array" ref="Q58">_xlfn.XLOOKUP($A58,FYTable[[DOD ID]:[DOD ID]],FYTable[Step Up Trained / Untrained], $AE$1)</f>
        <v>0</v>
      </c>
      <c r="R58" s="51" cm="1">
        <f t="array" ref="R58">_xlfn.XLOOKUP($A58,FYTable[[DOD ID]:[DOD ID]],FYTable[Take A Stand Trained / Untrained], $AE$1)</f>
        <v>0</v>
      </c>
      <c r="S58" s="51" cm="1">
        <f t="array" ref="S58">_xlfn.XLOOKUP($A58,FYTable[[DOD ID]:[DOD ID]],FYTable[SAPR Trained / Untrained], $AE$1)</f>
        <v>0</v>
      </c>
      <c r="T58" s="51" cm="1">
        <f t="array" ref="T58">_xlfn.XLOOKUP($A58,FYTable[[DOD ID]:[DOD ID]],FYTable[SAPR SNCO Trained / Untrained], $AE$1)</f>
        <v>0</v>
      </c>
      <c r="U58" s="77" t="str" cm="1">
        <f t="array" ref="U58">_xlfn.XLOOKUP($A58,CFTTable[[DOD ID]:[DOD ID]],CFTTable[Class CFT],"")</f>
        <v>FIRST CLASS</v>
      </c>
      <c r="V58" s="62" cm="1">
        <f t="array" ref="V58">_xlfn.XLOOKUP($A58,CFTTable[[DOD ID]:[DOD ID]],CFTTable[Event Date])</f>
        <v>45224</v>
      </c>
      <c r="W58" s="62">
        <f>_xlfn.XLOOKUP($A58,PFTTable[DOD ID],PFTTable[Class PFT],"")</f>
        <v>0</v>
      </c>
      <c r="X58" s="62" cm="1">
        <f t="array" ref="X58">_xlfn.XLOOKUP($A58,PFTTable[[DOD ID]:[DOD ID]],PFTTable[PFT Event Date])</f>
        <v>0</v>
      </c>
      <c r="Y58" s="62" cm="1">
        <f t="array" ref="Y58">_xlfn.XLOOKUP($A58,SwimTable[[DOD ID]:[DOD ID]],SwimTable[Swim MCTFS Status],"")</f>
        <v>0</v>
      </c>
      <c r="Z58" s="51" t="str" cm="1">
        <f t="array" ref="Z58">_xlfn.XLOOKUP($A59,HTWTTable[[DOD ID]:[DOD ID]],HTWTTable[MCTFS Status],"")</f>
        <v>Success</v>
      </c>
      <c r="AA58" s="51" t="str" cm="1">
        <f t="array" ref="AA58">_xlfn.XLOOKUP($A58,FYTable[[DOD ID]:[DOD ID]],FYTable[CBRN Trained / Untrained],"")</f>
        <v>Trained</v>
      </c>
      <c r="AC58" s="51"/>
      <c r="AD58" s="51"/>
      <c r="BC58" s="49">
        <v>1547101142</v>
      </c>
      <c r="BD58" s="49" t="s">
        <v>209</v>
      </c>
      <c r="BE58" s="49" t="s">
        <v>301</v>
      </c>
      <c r="BF58" s="49" t="s">
        <v>225</v>
      </c>
      <c r="BG58" s="49" t="s">
        <v>212</v>
      </c>
      <c r="BH58" s="49" t="s">
        <v>228</v>
      </c>
      <c r="BJ58" s="49" t="str">
        <f t="shared" si="1"/>
        <v>Bad</v>
      </c>
    </row>
    <row r="59" spans="1:62" x14ac:dyDescent="0.25">
      <c r="A59" s="136">
        <v>1236623846</v>
      </c>
      <c r="B59" s="137" t="str">
        <f>_xlfn.XLOOKUP($A59,RecallTable[EDIPI],RecallTable[GRADE])</f>
        <v>E4</v>
      </c>
      <c r="C59" s="137" t="str">
        <f>_xlfn.XLOOKUP($A59,RecallTable[EDIPI],RecallTable[NAME], $AE$1)</f>
        <v>FOWLER, DEVYN A.</v>
      </c>
      <c r="D59" s="137" t="str">
        <f>_xlfn.XLOOKUP($A59,RecallTable[EDIPI],RecallTable[SECTION])</f>
        <v>4PLT</v>
      </c>
      <c r="E59" s="50">
        <f>_xlfn.XLOOKUP($A59,CYTable[DOD ID],CYTable[CIAR Trained / Untrained], $AE$1)</f>
        <v>0</v>
      </c>
      <c r="F59" s="51" cm="1">
        <f t="array" ref="F59">_xlfn.XLOOKUP($A59,CYTable[[DOD ID]:[DOD ID]],CYTable[AT Trained / Untrained], $AE$1)</f>
        <v>0</v>
      </c>
      <c r="G59" s="51" cm="1">
        <f t="array" ref="G59">_xlfn.XLOOKUP($A59,CYTable[[DOD ID]:[DOD ID]],CYTable[OPSEC Trained / Untrained], $AE$1)</f>
        <v>0</v>
      </c>
      <c r="H59" s="51" cm="1">
        <f t="array" ref="H59">_xlfn.XLOOKUP($A59,CYTable[[DOD ID]:[DOD ID]],CYTable[PAC Trained / Untrained], $AE$1)</f>
        <v>0</v>
      </c>
      <c r="I59" s="51">
        <f>_xlfn.XLOOKUP($A59,CYTable[DOD ID],CYTable[RM Trained / Untrained], $AE$1)</f>
        <v>0</v>
      </c>
      <c r="J59" s="51" cm="1">
        <f t="array" ref="J59">_xlfn.XLOOKUP($A59,CYTable[[DOD ID]:[DOD ID]],CYTable[UMAPIT Trained / Untrained], $AE$1)</f>
        <v>0</v>
      </c>
      <c r="K59" s="51">
        <f>_xlfn.XLOOKUP($A59,CYTable[DOD ID],CYTable[Sup Safety Trained / Untrained], $AE$1)</f>
        <v>0</v>
      </c>
      <c r="L59" s="51">
        <f>_xlfn.XLOOKUP($A59,CYTable[DOD ID],CYTable[Substances Trained / Untrained], $AE$1)</f>
        <v>0</v>
      </c>
      <c r="M59" s="50" cm="1">
        <f t="array" ref="M59">IF(COUNTIF(TrainingTable[[#This Row],[ARQ Comments]],"*Exempt*"),"Exempt", _xlfn.XLOOKUP($A59,FYTable[[DOD ID]:[DOD ID]],FYTable[ARQ MCTFS Status], $AE$1))</f>
        <v>0</v>
      </c>
      <c r="N59" s="51" t="str" cm="1">
        <f t="array" ref="N59">_xlfn.XLOOKUP($A59,FYTable[[DOD ID]:[DOD ID]],FYTable[CYBER Trained / Untrained], $AE$1)</f>
        <v>Trained</v>
      </c>
      <c r="O59" s="51" t="str">
        <f>_xlfn.XLOOKUP($A59,FYTable[DOD ID],FYTable[Pistol Classification], $AE$1)</f>
        <v>SHARPSHOOTER</v>
      </c>
      <c r="P59" s="51" cm="1">
        <f t="array" ref="P59">_xlfn.XLOOKUP($A59,FYTable[[DOD ID]:[DOD ID]],FYTable[RM Trained / Untrained], $AE$1)</f>
        <v>0</v>
      </c>
      <c r="Q59" s="51" cm="1">
        <f t="array" ref="Q59">_xlfn.XLOOKUP($A59,FYTable[[DOD ID]:[DOD ID]],FYTable[Step Up Trained / Untrained], $AE$1)</f>
        <v>0</v>
      </c>
      <c r="R59" s="51" cm="1">
        <f t="array" ref="R59">_xlfn.XLOOKUP($A59,FYTable[[DOD ID]:[DOD ID]],FYTable[Take A Stand Trained / Untrained], $AE$1)</f>
        <v>0</v>
      </c>
      <c r="S59" s="51" cm="1">
        <f t="array" ref="S59">_xlfn.XLOOKUP($A59,FYTable[[DOD ID]:[DOD ID]],FYTable[SAPR Trained / Untrained], $AE$1)</f>
        <v>0</v>
      </c>
      <c r="T59" s="51" cm="1">
        <f t="array" ref="T59">_xlfn.XLOOKUP($A59,FYTable[[DOD ID]:[DOD ID]],FYTable[SAPR SNCO Trained / Untrained], $AE$1)</f>
        <v>0</v>
      </c>
      <c r="U59" s="77" t="str" cm="1">
        <f t="array" ref="U59">_xlfn.XLOOKUP($A59,CFTTable[[DOD ID]:[DOD ID]],CFTTable[Class CFT],"")</f>
        <v>SECOND CLASS</v>
      </c>
      <c r="V59" s="62" cm="1">
        <f t="array" ref="V59">_xlfn.XLOOKUP($A59,CFTTable[[DOD ID]:[DOD ID]],CFTTable[Event Date])</f>
        <v>45245</v>
      </c>
      <c r="W59" s="62">
        <f>_xlfn.XLOOKUP($A59,PFTTable[DOD ID],PFTTable[Class PFT],"")</f>
        <v>0</v>
      </c>
      <c r="X59" s="62" cm="1">
        <f t="array" ref="X59">_xlfn.XLOOKUP($A59,PFTTable[[DOD ID]:[DOD ID]],PFTTable[PFT Event Date])</f>
        <v>0</v>
      </c>
      <c r="Y59" s="62" cm="1">
        <f t="array" ref="Y59">_xlfn.XLOOKUP($A59,SwimTable[[DOD ID]:[DOD ID]],SwimTable[Swim MCTFS Status],"")</f>
        <v>0</v>
      </c>
      <c r="Z59" s="51" cm="1">
        <f t="array" ref="Z59">_xlfn.XLOOKUP($A60,HTWTTable[[DOD ID]:[DOD ID]],HTWTTable[MCTFS Status],"")</f>
        <v>0</v>
      </c>
      <c r="AA59" s="51" t="str" cm="1">
        <f t="array" ref="AA59">_xlfn.XLOOKUP($A59,FYTable[[DOD ID]:[DOD ID]],FYTable[CBRN Trained / Untrained],"")</f>
        <v>Trained</v>
      </c>
      <c r="AC59" s="51"/>
      <c r="AD59" s="51"/>
      <c r="BC59" s="49">
        <v>1381142651</v>
      </c>
      <c r="BD59" s="49" t="s">
        <v>220</v>
      </c>
      <c r="BE59" s="49" t="s">
        <v>302</v>
      </c>
      <c r="BF59" s="49" t="s">
        <v>215</v>
      </c>
      <c r="BG59" s="49" t="s">
        <v>36</v>
      </c>
      <c r="BH59" s="49" t="s">
        <v>303</v>
      </c>
      <c r="BJ59" s="49" t="str">
        <f t="shared" si="1"/>
        <v>Bad</v>
      </c>
    </row>
    <row r="60" spans="1:62" x14ac:dyDescent="0.25">
      <c r="A60" s="136">
        <v>1565683368</v>
      </c>
      <c r="B60" s="137" t="str">
        <f>_xlfn.XLOOKUP($A60,RecallTable[EDIPI],RecallTable[GRADE])</f>
        <v>E4</v>
      </c>
      <c r="C60" s="137" t="str">
        <f>_xlfn.XLOOKUP($A60,RecallTable[EDIPI],RecallTable[NAME], $AE$1)</f>
        <v>MCGEE, MAYRA A.</v>
      </c>
      <c r="D60" s="137" t="str">
        <f>_xlfn.XLOOKUP($A60,RecallTable[EDIPI],RecallTable[SECTION])</f>
        <v>4PLT</v>
      </c>
      <c r="E60" s="50">
        <f>_xlfn.XLOOKUP($A60,CYTable[DOD ID],CYTable[CIAR Trained / Untrained], $AE$1)</f>
        <v>0</v>
      </c>
      <c r="F60" s="51" cm="1">
        <f t="array" ref="F60">_xlfn.XLOOKUP($A60,CYTable[[DOD ID]:[DOD ID]],CYTable[AT Trained / Untrained], $AE$1)</f>
        <v>0</v>
      </c>
      <c r="G60" s="51" cm="1">
        <f t="array" ref="G60">_xlfn.XLOOKUP($A60,CYTable[[DOD ID]:[DOD ID]],CYTable[OPSEC Trained / Untrained], $AE$1)</f>
        <v>0</v>
      </c>
      <c r="H60" s="51" cm="1">
        <f t="array" ref="H60">_xlfn.XLOOKUP($A60,CYTable[[DOD ID]:[DOD ID]],CYTable[PAC Trained / Untrained], $AE$1)</f>
        <v>0</v>
      </c>
      <c r="I60" s="51">
        <f>_xlfn.XLOOKUP($A60,CYTable[DOD ID],CYTable[RM Trained / Untrained], $AE$1)</f>
        <v>0</v>
      </c>
      <c r="J60" s="51" cm="1">
        <f t="array" ref="J60">_xlfn.XLOOKUP($A60,CYTable[[DOD ID]:[DOD ID]],CYTable[UMAPIT Trained / Untrained], $AE$1)</f>
        <v>0</v>
      </c>
      <c r="K60" s="51">
        <f>_xlfn.XLOOKUP($A60,CYTable[DOD ID],CYTable[Sup Safety Trained / Untrained], $AE$1)</f>
        <v>0</v>
      </c>
      <c r="L60" s="51">
        <f>_xlfn.XLOOKUP($A60,CYTable[DOD ID],CYTable[Substances Trained / Untrained], $AE$1)</f>
        <v>0</v>
      </c>
      <c r="M60" s="50" cm="1">
        <f t="array" ref="M60">IF(COUNTIF(TrainingTable[[#This Row],[ARQ Comments]],"*Exempt*"),"Exempt", _xlfn.XLOOKUP($A60,FYTable[[DOD ID]:[DOD ID]],FYTable[ARQ MCTFS Status], $AE$1))</f>
        <v>0</v>
      </c>
      <c r="N60" s="51" t="str" cm="1">
        <f t="array" ref="N60">_xlfn.XLOOKUP($A60,FYTable[[DOD ID]:[DOD ID]],FYTable[CYBER Trained / Untrained], $AE$1)</f>
        <v>Trained</v>
      </c>
      <c r="O60" s="51">
        <f>_xlfn.XLOOKUP($A60,FYTable[DOD ID],FYTable[Pistol Classification], $AE$1)</f>
        <v>0</v>
      </c>
      <c r="P60" s="51" cm="1">
        <f t="array" ref="P60">_xlfn.XLOOKUP($A60,FYTable[[DOD ID]:[DOD ID]],FYTable[RM Trained / Untrained], $AE$1)</f>
        <v>0</v>
      </c>
      <c r="Q60" s="51" cm="1">
        <f t="array" ref="Q60">_xlfn.XLOOKUP($A60,FYTable[[DOD ID]:[DOD ID]],FYTable[Step Up Trained / Untrained], $AE$1)</f>
        <v>0</v>
      </c>
      <c r="R60" s="51" t="str" cm="1">
        <f t="array" ref="R60">_xlfn.XLOOKUP($A60,FYTable[[DOD ID]:[DOD ID]],FYTable[Take A Stand Trained / Untrained], $AE$1)</f>
        <v>Trained</v>
      </c>
      <c r="S60" s="51" cm="1">
        <f t="array" ref="S60">_xlfn.XLOOKUP($A60,FYTable[[DOD ID]:[DOD ID]],FYTable[SAPR Trained / Untrained], $AE$1)</f>
        <v>0</v>
      </c>
      <c r="T60" s="51" cm="1">
        <f t="array" ref="T60">_xlfn.XLOOKUP($A60,FYTable[[DOD ID]:[DOD ID]],FYTable[SAPR SNCO Trained / Untrained], $AE$1)</f>
        <v>0</v>
      </c>
      <c r="U60" s="77" t="str" cm="1">
        <f t="array" ref="U60">_xlfn.XLOOKUP($A60,CFTTable[[DOD ID]:[DOD ID]],CFTTable[Class CFT],"")</f>
        <v>FIRST CLASS</v>
      </c>
      <c r="V60" s="62" cm="1">
        <f t="array" ref="V60">_xlfn.XLOOKUP($A60,CFTTable[[DOD ID]:[DOD ID]],CFTTable[Event Date])</f>
        <v>45225</v>
      </c>
      <c r="W60" s="62">
        <f>_xlfn.XLOOKUP($A60,PFTTable[DOD ID],PFTTable[Class PFT],"")</f>
        <v>0</v>
      </c>
      <c r="X60" s="62" cm="1">
        <f t="array" ref="X60">_xlfn.XLOOKUP($A60,PFTTable[[DOD ID]:[DOD ID]],PFTTable[PFT Event Date])</f>
        <v>0</v>
      </c>
      <c r="Y60" s="62" cm="1">
        <f t="array" ref="Y60">_xlfn.XLOOKUP($A60,SwimTable[[DOD ID]:[DOD ID]],SwimTable[Swim MCTFS Status],"")</f>
        <v>0</v>
      </c>
      <c r="Z60" s="51" cm="1">
        <f t="array" ref="Z60">_xlfn.XLOOKUP($A61,HTWTTable[[DOD ID]:[DOD ID]],HTWTTable[MCTFS Status],"")</f>
        <v>0</v>
      </c>
      <c r="AA60" s="51" t="str" cm="1">
        <f t="array" ref="AA60">_xlfn.XLOOKUP($A60,FYTable[[DOD ID]:[DOD ID]],FYTable[CBRN Trained / Untrained],"")</f>
        <v>Trained</v>
      </c>
      <c r="AC60" s="51"/>
      <c r="AD60" s="51"/>
      <c r="BC60" s="49">
        <v>1512657806</v>
      </c>
      <c r="BD60" s="49" t="s">
        <v>217</v>
      </c>
      <c r="BE60" s="49" t="s">
        <v>302</v>
      </c>
      <c r="BF60" s="49" t="s">
        <v>225</v>
      </c>
      <c r="BG60" s="49" t="s">
        <v>212</v>
      </c>
      <c r="BH60" s="49" t="s">
        <v>222</v>
      </c>
      <c r="BJ60" s="49" t="str">
        <f t="shared" si="1"/>
        <v>Bad</v>
      </c>
    </row>
    <row r="61" spans="1:62" x14ac:dyDescent="0.25">
      <c r="A61" s="136">
        <v>1064194807</v>
      </c>
      <c r="B61" s="137" t="str">
        <f>_xlfn.XLOOKUP($A61,RecallTable[EDIPI],RecallTable[GRADE])</f>
        <v>E4</v>
      </c>
      <c r="C61" s="137" t="str">
        <f>_xlfn.XLOOKUP($A61,RecallTable[EDIPI],RecallTable[NAME], $AE$1)</f>
        <v>SCHAEFER, JAYLA A.</v>
      </c>
      <c r="D61" s="137" t="str">
        <f>_xlfn.XLOOKUP($A61,RecallTable[EDIPI],RecallTable[SECTION])</f>
        <v>4PLT</v>
      </c>
      <c r="E61" s="50">
        <f>_xlfn.XLOOKUP($A61,CYTable[DOD ID],CYTable[CIAR Trained / Untrained], $AE$1)</f>
        <v>0</v>
      </c>
      <c r="F61" s="51" cm="1">
        <f t="array" ref="F61">_xlfn.XLOOKUP($A61,CYTable[[DOD ID]:[DOD ID]],CYTable[AT Trained / Untrained], $AE$1)</f>
        <v>0</v>
      </c>
      <c r="G61" s="51" cm="1">
        <f t="array" ref="G61">_xlfn.XLOOKUP($A61,CYTable[[DOD ID]:[DOD ID]],CYTable[OPSEC Trained / Untrained], $AE$1)</f>
        <v>0</v>
      </c>
      <c r="H61" s="51" cm="1">
        <f t="array" ref="H61">_xlfn.XLOOKUP($A61,CYTable[[DOD ID]:[DOD ID]],CYTable[PAC Trained / Untrained], $AE$1)</f>
        <v>0</v>
      </c>
      <c r="I61" s="51">
        <f>_xlfn.XLOOKUP($A61,CYTable[DOD ID],CYTable[RM Trained / Untrained], $AE$1)</f>
        <v>0</v>
      </c>
      <c r="J61" s="51" cm="1">
        <f t="array" ref="J61">_xlfn.XLOOKUP($A61,CYTable[[DOD ID]:[DOD ID]],CYTable[UMAPIT Trained / Untrained], $AE$1)</f>
        <v>0</v>
      </c>
      <c r="K61" s="51">
        <f>_xlfn.XLOOKUP($A61,CYTable[DOD ID],CYTable[Sup Safety Trained / Untrained], $AE$1)</f>
        <v>0</v>
      </c>
      <c r="L61" s="51">
        <f>_xlfn.XLOOKUP($A61,CYTable[DOD ID],CYTable[Substances Trained / Untrained], $AE$1)</f>
        <v>0</v>
      </c>
      <c r="M61" s="50" cm="1">
        <f t="array" ref="M61">IF(COUNTIF(TrainingTable[[#This Row],[ARQ Comments]],"*Exempt*"),"Exempt", _xlfn.XLOOKUP($A61,FYTable[[DOD ID]:[DOD ID]],FYTable[ARQ MCTFS Status], $AE$1))</f>
        <v>0</v>
      </c>
      <c r="N61" s="51" cm="1">
        <f t="array" ref="N61">_xlfn.XLOOKUP($A61,FYTable[[DOD ID]:[DOD ID]],FYTable[CYBER Trained / Untrained], $AE$1)</f>
        <v>0</v>
      </c>
      <c r="O61" s="51">
        <f>_xlfn.XLOOKUP($A61,FYTable[DOD ID],FYTable[Pistol Classification], $AE$1)</f>
        <v>0</v>
      </c>
      <c r="P61" s="51" t="str" cm="1">
        <f t="array" ref="P61">_xlfn.XLOOKUP($A61,FYTable[[DOD ID]:[DOD ID]],FYTable[RM Trained / Untrained], $AE$1)</f>
        <v>Trained</v>
      </c>
      <c r="Q61" s="51" cm="1">
        <f t="array" ref="Q61">_xlfn.XLOOKUP($A61,FYTable[[DOD ID]:[DOD ID]],FYTable[Step Up Trained / Untrained], $AE$1)</f>
        <v>0</v>
      </c>
      <c r="R61" s="51" t="str" cm="1">
        <f t="array" ref="R61">_xlfn.XLOOKUP($A61,FYTable[[DOD ID]:[DOD ID]],FYTable[Take A Stand Trained / Untrained], $AE$1)</f>
        <v>Trained</v>
      </c>
      <c r="S61" s="51" cm="1">
        <f t="array" ref="S61">_xlfn.XLOOKUP($A61,FYTable[[DOD ID]:[DOD ID]],FYTable[SAPR Trained / Untrained], $AE$1)</f>
        <v>0</v>
      </c>
      <c r="T61" s="51" cm="1">
        <f t="array" ref="T61">_xlfn.XLOOKUP($A61,FYTable[[DOD ID]:[DOD ID]],FYTable[SAPR SNCO Trained / Untrained], $AE$1)</f>
        <v>0</v>
      </c>
      <c r="U61" s="77" t="str" cm="1">
        <f t="array" ref="U61">_xlfn.XLOOKUP($A61,CFTTable[[DOD ID]:[DOD ID]],CFTTable[Class CFT],"")</f>
        <v>FIRST CLASS</v>
      </c>
      <c r="V61" s="62" cm="1">
        <f t="array" ref="V61">_xlfn.XLOOKUP($A61,CFTTable[[DOD ID]:[DOD ID]],CFTTable[Event Date])</f>
        <v>45131</v>
      </c>
      <c r="W61" s="62">
        <f>_xlfn.XLOOKUP($A61,PFTTable[DOD ID],PFTTable[Class PFT],"")</f>
        <v>0</v>
      </c>
      <c r="X61" s="62" cm="1">
        <f t="array" ref="X61">_xlfn.XLOOKUP($A61,PFTTable[[DOD ID]:[DOD ID]],PFTTable[PFT Event Date])</f>
        <v>0</v>
      </c>
      <c r="Y61" s="62" cm="1">
        <f t="array" ref="Y61">_xlfn.XLOOKUP($A61,SwimTable[[DOD ID]:[DOD ID]],SwimTable[Swim MCTFS Status],"")</f>
        <v>0</v>
      </c>
      <c r="Z61" s="51" cm="1">
        <f t="array" ref="Z61">_xlfn.XLOOKUP($A62,HTWTTable[[DOD ID]:[DOD ID]],HTWTTable[MCTFS Status],"")</f>
        <v>0</v>
      </c>
      <c r="AA61" s="51" cm="1">
        <f t="array" ref="AA61">_xlfn.XLOOKUP($A61,FYTable[[DOD ID]:[DOD ID]],FYTable[CBRN Trained / Untrained],"")</f>
        <v>0</v>
      </c>
      <c r="AC61" s="51"/>
      <c r="AD61" s="51"/>
      <c r="BC61" s="49">
        <v>1557532940</v>
      </c>
      <c r="BD61" s="49" t="s">
        <v>209</v>
      </c>
      <c r="BE61" s="49" t="s">
        <v>304</v>
      </c>
      <c r="BF61" s="49" t="s">
        <v>225</v>
      </c>
      <c r="BG61" s="49" t="s">
        <v>212</v>
      </c>
      <c r="BH61" s="49" t="s">
        <v>305</v>
      </c>
      <c r="BJ61" s="49" t="str">
        <f t="shared" si="1"/>
        <v>Bad</v>
      </c>
    </row>
    <row r="62" spans="1:62" x14ac:dyDescent="0.25">
      <c r="A62" s="136">
        <v>1288033004</v>
      </c>
      <c r="B62" s="137" t="str">
        <f>_xlfn.XLOOKUP($A62,RecallTable[EDIPI],RecallTable[GRADE])</f>
        <v>E4</v>
      </c>
      <c r="C62" s="137" t="str">
        <f>_xlfn.XLOOKUP($A62,RecallTable[EDIPI],RecallTable[NAME], $AE$1)</f>
        <v>LARSON, TYREE A.</v>
      </c>
      <c r="D62" s="137" t="str">
        <f>_xlfn.XLOOKUP($A62,RecallTable[EDIPI],RecallTable[SECTION])</f>
        <v>4PLT</v>
      </c>
      <c r="E62" s="50">
        <f>_xlfn.XLOOKUP($A62,CYTable[DOD ID],CYTable[CIAR Trained / Untrained], $AE$1)</f>
        <v>0</v>
      </c>
      <c r="F62" s="51" cm="1">
        <f t="array" ref="F62">_xlfn.XLOOKUP($A62,CYTable[[DOD ID]:[DOD ID]],CYTable[AT Trained / Untrained], $AE$1)</f>
        <v>0</v>
      </c>
      <c r="G62" s="51" cm="1">
        <f t="array" ref="G62">_xlfn.XLOOKUP($A62,CYTable[[DOD ID]:[DOD ID]],CYTable[OPSEC Trained / Untrained], $AE$1)</f>
        <v>0</v>
      </c>
      <c r="H62" s="51" cm="1">
        <f t="array" ref="H62">_xlfn.XLOOKUP($A62,CYTable[[DOD ID]:[DOD ID]],CYTable[PAC Trained / Untrained], $AE$1)</f>
        <v>0</v>
      </c>
      <c r="I62" s="51">
        <f>_xlfn.XLOOKUP($A62,CYTable[DOD ID],CYTable[RM Trained / Untrained], $AE$1)</f>
        <v>0</v>
      </c>
      <c r="J62" s="51" cm="1">
        <f t="array" ref="J62">_xlfn.XLOOKUP($A62,CYTable[[DOD ID]:[DOD ID]],CYTable[UMAPIT Trained / Untrained], $AE$1)</f>
        <v>0</v>
      </c>
      <c r="K62" s="51">
        <f>_xlfn.XLOOKUP($A62,CYTable[DOD ID],CYTable[Sup Safety Trained / Untrained], $AE$1)</f>
        <v>0</v>
      </c>
      <c r="L62" s="51">
        <f>_xlfn.XLOOKUP($A62,CYTable[DOD ID],CYTable[Substances Trained / Untrained], $AE$1)</f>
        <v>0</v>
      </c>
      <c r="M62" s="50" t="str" cm="1">
        <f t="array" ref="M62">IF(COUNTIF(TrainingTable[[#This Row],[ARQ Comments]],"*Exempt*"),"Exempt", _xlfn.XLOOKUP($A62,FYTable[[DOD ID]:[DOD ID]],FYTable[ARQ MCTFS Status], $AE$1))</f>
        <v>Success</v>
      </c>
      <c r="N62" s="51" t="str" cm="1">
        <f t="array" ref="N62">_xlfn.XLOOKUP($A62,FYTable[[DOD ID]:[DOD ID]],FYTable[CYBER Trained / Untrained], $AE$1)</f>
        <v>Trained</v>
      </c>
      <c r="O62" s="51">
        <f>_xlfn.XLOOKUP($A62,FYTable[DOD ID],FYTable[Pistol Classification], $AE$1)</f>
        <v>0</v>
      </c>
      <c r="P62" s="51" cm="1">
        <f t="array" ref="P62">_xlfn.XLOOKUP($A62,FYTable[[DOD ID]:[DOD ID]],FYTable[RM Trained / Untrained], $AE$1)</f>
        <v>0</v>
      </c>
      <c r="Q62" s="51" t="str" cm="1">
        <f t="array" ref="Q62">_xlfn.XLOOKUP($A62,FYTable[[DOD ID]:[DOD ID]],FYTable[Step Up Trained / Untrained], $AE$1)</f>
        <v>Trained</v>
      </c>
      <c r="R62" s="51" t="str" cm="1">
        <f t="array" ref="R62">_xlfn.XLOOKUP($A62,FYTable[[DOD ID]:[DOD ID]],FYTable[Take A Stand Trained / Untrained], $AE$1)</f>
        <v>Trained</v>
      </c>
      <c r="S62" s="51" t="str" cm="1">
        <f t="array" ref="S62">_xlfn.XLOOKUP($A62,FYTable[[DOD ID]:[DOD ID]],FYTable[SAPR Trained / Untrained], $AE$1)</f>
        <v>Trained</v>
      </c>
      <c r="T62" s="51" t="str" cm="1">
        <f t="array" ref="T62">_xlfn.XLOOKUP($A62,FYTable[[DOD ID]:[DOD ID]],FYTable[SAPR SNCO Trained / Untrained], $AE$1)</f>
        <v>Trained</v>
      </c>
      <c r="U62" s="77" t="str" cm="1">
        <f t="array" ref="U62">_xlfn.XLOOKUP($A62,CFTTable[[DOD ID]:[DOD ID]],CFTTable[Class CFT],"")</f>
        <v>FIRST CLASS</v>
      </c>
      <c r="V62" s="62" cm="1">
        <f t="array" ref="V62">_xlfn.XLOOKUP($A62,CFTTable[[DOD ID]:[DOD ID]],CFTTable[Event Date])</f>
        <v>45250</v>
      </c>
      <c r="W62" s="62">
        <f>_xlfn.XLOOKUP($A62,PFTTable[DOD ID],PFTTable[Class PFT],"")</f>
        <v>0</v>
      </c>
      <c r="X62" s="62" cm="1">
        <f t="array" ref="X62">_xlfn.XLOOKUP($A62,PFTTable[[DOD ID]:[DOD ID]],PFTTable[PFT Event Date])</f>
        <v>0</v>
      </c>
      <c r="Y62" s="62" cm="1">
        <f t="array" ref="Y62">_xlfn.XLOOKUP($A62,SwimTable[[DOD ID]:[DOD ID]],SwimTable[Swim MCTFS Status],"")</f>
        <v>0</v>
      </c>
      <c r="Z62" s="51" cm="1">
        <f t="array" ref="Z62">_xlfn.XLOOKUP($A63,HTWTTable[[DOD ID]:[DOD ID]],HTWTTable[MCTFS Status],"")</f>
        <v>0</v>
      </c>
      <c r="AA62" s="51" t="str" cm="1">
        <f t="array" ref="AA62">_xlfn.XLOOKUP($A62,FYTable[[DOD ID]:[DOD ID]],FYTable[CBRN Trained / Untrained],"")</f>
        <v>Trained</v>
      </c>
      <c r="AB62" s="138" t="s">
        <v>286</v>
      </c>
      <c r="AC62" s="51"/>
      <c r="AD62" s="51"/>
      <c r="BC62" s="49">
        <v>1598479964</v>
      </c>
      <c r="BD62" s="49" t="s">
        <v>235</v>
      </c>
      <c r="BE62" s="49" t="s">
        <v>306</v>
      </c>
      <c r="BF62" s="49" t="s">
        <v>225</v>
      </c>
      <c r="BG62" s="49" t="s">
        <v>212</v>
      </c>
      <c r="BH62" s="49" t="s">
        <v>277</v>
      </c>
      <c r="BJ62" s="49" t="str">
        <f t="shared" si="1"/>
        <v>Bad</v>
      </c>
    </row>
    <row r="63" spans="1:62" x14ac:dyDescent="0.25">
      <c r="A63" s="136">
        <v>1392481230</v>
      </c>
      <c r="B63" s="137" t="str">
        <f>_xlfn.XLOOKUP($A63,RecallTable[EDIPI],RecallTable[GRADE])</f>
        <v>O3</v>
      </c>
      <c r="C63" s="137" t="str">
        <f>_xlfn.XLOOKUP($A63,RecallTable[EDIPI],RecallTable[NAME], $AE$1)</f>
        <v>DAVID, HEATHER A.</v>
      </c>
      <c r="D63" s="137" t="str">
        <f>_xlfn.XLOOKUP($A63,RecallTable[EDIPI],RecallTable[SECTION])</f>
        <v>OPS</v>
      </c>
      <c r="E63" s="50">
        <f>_xlfn.XLOOKUP($A63,CYTable[DOD ID],CYTable[CIAR Trained / Untrained], $AE$1)</f>
        <v>0</v>
      </c>
      <c r="F63" s="51" cm="1">
        <f t="array" ref="F63">_xlfn.XLOOKUP($A63,CYTable[[DOD ID]:[DOD ID]],CYTable[AT Trained / Untrained], $AE$1)</f>
        <v>0</v>
      </c>
      <c r="G63" s="51" cm="1">
        <f t="array" ref="G63">_xlfn.XLOOKUP($A63,CYTable[[DOD ID]:[DOD ID]],CYTable[OPSEC Trained / Untrained], $AE$1)</f>
        <v>0</v>
      </c>
      <c r="H63" s="51" cm="1">
        <f t="array" ref="H63">_xlfn.XLOOKUP($A63,CYTable[[DOD ID]:[DOD ID]],CYTable[PAC Trained / Untrained], $AE$1)</f>
        <v>0</v>
      </c>
      <c r="I63" s="51">
        <f>_xlfn.XLOOKUP($A63,CYTable[DOD ID],CYTable[RM Trained / Untrained], $AE$1)</f>
        <v>0</v>
      </c>
      <c r="J63" s="51" cm="1">
        <f t="array" ref="J63">_xlfn.XLOOKUP($A63,CYTable[[DOD ID]:[DOD ID]],CYTable[UMAPIT Trained / Untrained], $AE$1)</f>
        <v>0</v>
      </c>
      <c r="K63" s="51">
        <f>_xlfn.XLOOKUP($A63,CYTable[DOD ID],CYTable[Sup Safety Trained / Untrained], $AE$1)</f>
        <v>0</v>
      </c>
      <c r="L63" s="51">
        <f>_xlfn.XLOOKUP($A63,CYTable[DOD ID],CYTable[Substances Trained / Untrained], $AE$1)</f>
        <v>0</v>
      </c>
      <c r="M63" s="50" cm="1">
        <f t="array" ref="M63">IF(COUNTIF(TrainingTable[[#This Row],[ARQ Comments]],"*Exempt*"),"Exempt", _xlfn.XLOOKUP($A63,FYTable[[DOD ID]:[DOD ID]],FYTable[ARQ MCTFS Status], $AE$1))</f>
        <v>0</v>
      </c>
      <c r="N63" s="51" cm="1">
        <f t="array" ref="N63">_xlfn.XLOOKUP($A63,FYTable[[DOD ID]:[DOD ID]],FYTable[CYBER Trained / Untrained], $AE$1)</f>
        <v>0</v>
      </c>
      <c r="O63" s="51">
        <f>_xlfn.XLOOKUP($A63,FYTable[DOD ID],FYTable[Pistol Classification], $AE$1)</f>
        <v>0</v>
      </c>
      <c r="P63" s="51" t="str" cm="1">
        <f t="array" ref="P63">_xlfn.XLOOKUP($A63,FYTable[[DOD ID]:[DOD ID]],FYTable[RM Trained / Untrained], $AE$1)</f>
        <v>Trained</v>
      </c>
      <c r="Q63" s="51" cm="1">
        <f t="array" ref="Q63">_xlfn.XLOOKUP($A63,FYTable[[DOD ID]:[DOD ID]],FYTable[Step Up Trained / Untrained], $AE$1)</f>
        <v>0</v>
      </c>
      <c r="R63" s="51" cm="1">
        <f t="array" ref="R63">_xlfn.XLOOKUP($A63,FYTable[[DOD ID]:[DOD ID]],FYTable[Take A Stand Trained / Untrained], $AE$1)</f>
        <v>0</v>
      </c>
      <c r="S63" s="51" cm="1">
        <f t="array" ref="S63">_xlfn.XLOOKUP($A63,FYTable[[DOD ID]:[DOD ID]],FYTable[SAPR Trained / Untrained], $AE$1)</f>
        <v>0</v>
      </c>
      <c r="T63" s="51" cm="1">
        <f t="array" ref="T63">_xlfn.XLOOKUP($A63,FYTable[[DOD ID]:[DOD ID]],FYTable[SAPR SNCO Trained / Untrained], $AE$1)</f>
        <v>0</v>
      </c>
      <c r="U63" s="77" t="str" cm="1">
        <f t="array" ref="U63">_xlfn.XLOOKUP($A63,CFTTable[[DOD ID]:[DOD ID]],CFTTable[Class CFT],"")</f>
        <v>FIRST CLASS</v>
      </c>
      <c r="V63" s="62" cm="1">
        <f t="array" ref="V63">_xlfn.XLOOKUP($A63,CFTTable[[DOD ID]:[DOD ID]],CFTTable[Event Date])</f>
        <v>45225</v>
      </c>
      <c r="W63" s="62">
        <f>_xlfn.XLOOKUP($A63,PFTTable[DOD ID],PFTTable[Class PFT],"")</f>
        <v>0</v>
      </c>
      <c r="X63" s="62" cm="1">
        <f t="array" ref="X63">_xlfn.XLOOKUP($A63,PFTTable[[DOD ID]:[DOD ID]],PFTTable[PFT Event Date])</f>
        <v>0</v>
      </c>
      <c r="Y63" s="62" cm="1">
        <f t="array" ref="Y63">_xlfn.XLOOKUP($A63,SwimTable[[DOD ID]:[DOD ID]],SwimTable[Swim MCTFS Status],"")</f>
        <v>0</v>
      </c>
      <c r="Z63" s="51" cm="1">
        <f t="array" ref="Z63">_xlfn.XLOOKUP($A64,HTWTTable[[DOD ID]:[DOD ID]],HTWTTable[MCTFS Status],"")</f>
        <v>0</v>
      </c>
      <c r="AA63" s="51" cm="1">
        <f t="array" ref="AA63">_xlfn.XLOOKUP($A63,FYTable[[DOD ID]:[DOD ID]],FYTable[CBRN Trained / Untrained],"")</f>
        <v>0</v>
      </c>
      <c r="AC63" s="51"/>
      <c r="AD63" s="51"/>
      <c r="BC63" s="49">
        <v>1553606876</v>
      </c>
      <c r="BD63" s="49" t="s">
        <v>209</v>
      </c>
      <c r="BE63" s="49" t="s">
        <v>307</v>
      </c>
      <c r="BF63" s="49" t="s">
        <v>230</v>
      </c>
      <c r="BG63" s="49" t="s">
        <v>212</v>
      </c>
      <c r="BH63" s="49" t="s">
        <v>308</v>
      </c>
      <c r="BJ63" s="49" t="str">
        <f t="shared" si="1"/>
        <v>Bad</v>
      </c>
    </row>
    <row r="64" spans="1:62" x14ac:dyDescent="0.25">
      <c r="A64" s="136">
        <v>1218608114</v>
      </c>
      <c r="B64" s="137" t="str">
        <f>_xlfn.XLOOKUP($A64,RecallTable[EDIPI],RecallTable[GRADE])</f>
        <v>O2</v>
      </c>
      <c r="C64" s="137" t="str">
        <f>_xlfn.XLOOKUP($A64,RecallTable[EDIPI],RecallTable[NAME], $AE$1)</f>
        <v>DAWSON, DEMARION A.</v>
      </c>
      <c r="D64" s="137" t="str">
        <f>_xlfn.XLOOKUP($A64,RecallTable[EDIPI],RecallTable[SECTION])</f>
        <v>OPS</v>
      </c>
      <c r="E64" s="50">
        <f>_xlfn.XLOOKUP($A64,CYTable[DOD ID],CYTable[CIAR Trained / Untrained], $AE$1)</f>
        <v>0</v>
      </c>
      <c r="F64" s="51" cm="1">
        <f t="array" ref="F64">_xlfn.XLOOKUP($A64,CYTable[[DOD ID]:[DOD ID]],CYTable[AT Trained / Untrained], $AE$1)</f>
        <v>0</v>
      </c>
      <c r="G64" s="51" cm="1">
        <f t="array" ref="G64">_xlfn.XLOOKUP($A64,CYTable[[DOD ID]:[DOD ID]],CYTable[OPSEC Trained / Untrained], $AE$1)</f>
        <v>0</v>
      </c>
      <c r="H64" s="51" cm="1">
        <f t="array" ref="H64">_xlfn.XLOOKUP($A64,CYTable[[DOD ID]:[DOD ID]],CYTable[PAC Trained / Untrained], $AE$1)</f>
        <v>0</v>
      </c>
      <c r="I64" s="51">
        <f>_xlfn.XLOOKUP($A64,CYTable[DOD ID],CYTable[RM Trained / Untrained], $AE$1)</f>
        <v>0</v>
      </c>
      <c r="J64" s="51" cm="1">
        <f t="array" ref="J64">_xlfn.XLOOKUP($A64,CYTable[[DOD ID]:[DOD ID]],CYTable[UMAPIT Trained / Untrained], $AE$1)</f>
        <v>0</v>
      </c>
      <c r="K64" s="51">
        <f>_xlfn.XLOOKUP($A64,CYTable[DOD ID],CYTable[Sup Safety Trained / Untrained], $AE$1)</f>
        <v>0</v>
      </c>
      <c r="L64" s="51">
        <f>_xlfn.XLOOKUP($A64,CYTable[DOD ID],CYTable[Substances Trained / Untrained], $AE$1)</f>
        <v>0</v>
      </c>
      <c r="M64" s="50" t="str" cm="1">
        <f t="array" ref="M64">IF(COUNTIF(TrainingTable[[#This Row],[ARQ Comments]],"*Exempt*"),"Exempt", _xlfn.XLOOKUP($A64,FYTable[[DOD ID]:[DOD ID]],FYTable[ARQ MCTFS Status], $AE$1))</f>
        <v>Success</v>
      </c>
      <c r="N64" s="51" cm="1">
        <f t="array" ref="N64">_xlfn.XLOOKUP($A64,FYTable[[DOD ID]:[DOD ID]],FYTable[CYBER Trained / Untrained], $AE$1)</f>
        <v>0</v>
      </c>
      <c r="O64" s="51">
        <f>_xlfn.XLOOKUP($A64,FYTable[DOD ID],FYTable[Pistol Classification], $AE$1)</f>
        <v>0</v>
      </c>
      <c r="P64" s="51" t="str" cm="1">
        <f t="array" ref="P64">_xlfn.XLOOKUP($A64,FYTable[[DOD ID]:[DOD ID]],FYTable[RM Trained / Untrained], $AE$1)</f>
        <v>Trained</v>
      </c>
      <c r="Q64" s="51" t="str" cm="1">
        <f t="array" ref="Q64">_xlfn.XLOOKUP($A64,FYTable[[DOD ID]:[DOD ID]],FYTable[Step Up Trained / Untrained], $AE$1)</f>
        <v>Trained</v>
      </c>
      <c r="R64" s="51" cm="1">
        <f t="array" ref="R64">_xlfn.XLOOKUP($A64,FYTable[[DOD ID]:[DOD ID]],FYTable[Take A Stand Trained / Untrained], $AE$1)</f>
        <v>0</v>
      </c>
      <c r="S64" s="51" cm="1">
        <f t="array" ref="S64">_xlfn.XLOOKUP($A64,FYTable[[DOD ID]:[DOD ID]],FYTable[SAPR Trained / Untrained], $AE$1)</f>
        <v>0</v>
      </c>
      <c r="T64" s="51" cm="1">
        <f t="array" ref="T64">_xlfn.XLOOKUP($A64,FYTable[[DOD ID]:[DOD ID]],FYTable[SAPR SNCO Trained / Untrained], $AE$1)</f>
        <v>0</v>
      </c>
      <c r="U64" s="77" t="str" cm="1">
        <f t="array" ref="U64">_xlfn.XLOOKUP($A64,CFTTable[[DOD ID]:[DOD ID]],CFTTable[Class CFT],"")</f>
        <v>FIRST CLASS</v>
      </c>
      <c r="V64" s="62" cm="1">
        <f t="array" ref="V64">_xlfn.XLOOKUP($A64,CFTTable[[DOD ID]:[DOD ID]],CFTTable[Event Date])</f>
        <v>45188</v>
      </c>
      <c r="W64" s="62">
        <f>_xlfn.XLOOKUP($A64,PFTTable[DOD ID],PFTTable[Class PFT],"")</f>
        <v>0</v>
      </c>
      <c r="X64" s="62" cm="1">
        <f t="array" ref="X64">_xlfn.XLOOKUP($A64,PFTTable[[DOD ID]:[DOD ID]],PFTTable[PFT Event Date])</f>
        <v>0</v>
      </c>
      <c r="Y64" s="62" cm="1">
        <f t="array" ref="Y64">_xlfn.XLOOKUP($A64,SwimTable[[DOD ID]:[DOD ID]],SwimTable[Swim MCTFS Status],"")</f>
        <v>0</v>
      </c>
      <c r="Z64" s="51" cm="1">
        <f t="array" ref="Z64">_xlfn.XLOOKUP($A65,HTWTTable[[DOD ID]:[DOD ID]],HTWTTable[MCTFS Status],"")</f>
        <v>0</v>
      </c>
      <c r="AA64" s="51" t="str" cm="1">
        <f t="array" ref="AA64">_xlfn.XLOOKUP($A64,FYTable[[DOD ID]:[DOD ID]],FYTable[CBRN Trained / Untrained],"")</f>
        <v>Trained</v>
      </c>
      <c r="AC64" s="51"/>
      <c r="AD64" s="51"/>
      <c r="BC64" s="49">
        <v>1555754562</v>
      </c>
      <c r="BD64" s="49" t="s">
        <v>243</v>
      </c>
      <c r="BE64" s="49" t="s">
        <v>309</v>
      </c>
      <c r="BF64" s="49" t="s">
        <v>211</v>
      </c>
      <c r="BG64" s="49" t="s">
        <v>212</v>
      </c>
      <c r="BH64" s="49" t="s">
        <v>242</v>
      </c>
      <c r="BJ64" s="49" t="str">
        <f t="shared" si="1"/>
        <v>Bad</v>
      </c>
    </row>
    <row r="65" spans="1:62" x14ac:dyDescent="0.25">
      <c r="A65" s="136">
        <v>1337008006</v>
      </c>
      <c r="B65" s="137" t="str">
        <f>_xlfn.XLOOKUP($A65,RecallTable[EDIPI],RecallTable[GRADE])</f>
        <v>E8</v>
      </c>
      <c r="C65" s="137" t="str">
        <f>_xlfn.XLOOKUP($A65,RecallTable[EDIPI],RecallTable[NAME], $AE$1)</f>
        <v>SOLOMON, DILLON A.</v>
      </c>
      <c r="D65" s="137" t="str">
        <f>_xlfn.XLOOKUP($A65,RecallTable[EDIPI],RecallTable[SECTION])</f>
        <v>OPS</v>
      </c>
      <c r="E65" s="50">
        <f>_xlfn.XLOOKUP($A65,CYTable[DOD ID],CYTable[CIAR Trained / Untrained], $AE$1)</f>
        <v>0</v>
      </c>
      <c r="F65" s="51" cm="1">
        <f t="array" ref="F65">_xlfn.XLOOKUP($A65,CYTable[[DOD ID]:[DOD ID]],CYTable[AT Trained / Untrained], $AE$1)</f>
        <v>0</v>
      </c>
      <c r="G65" s="51" cm="1">
        <f t="array" ref="G65">_xlfn.XLOOKUP($A65,CYTable[[DOD ID]:[DOD ID]],CYTable[OPSEC Trained / Untrained], $AE$1)</f>
        <v>0</v>
      </c>
      <c r="H65" s="51" cm="1">
        <f t="array" ref="H65">_xlfn.XLOOKUP($A65,CYTable[[DOD ID]:[DOD ID]],CYTable[PAC Trained / Untrained], $AE$1)</f>
        <v>0</v>
      </c>
      <c r="I65" s="51">
        <f>_xlfn.XLOOKUP($A65,CYTable[DOD ID],CYTable[RM Trained / Untrained], $AE$1)</f>
        <v>0</v>
      </c>
      <c r="J65" s="51" cm="1">
        <f t="array" ref="J65">_xlfn.XLOOKUP($A65,CYTable[[DOD ID]:[DOD ID]],CYTable[UMAPIT Trained / Untrained], $AE$1)</f>
        <v>0</v>
      </c>
      <c r="K65" s="51">
        <f>_xlfn.XLOOKUP($A65,CYTable[DOD ID],CYTable[Sup Safety Trained / Untrained], $AE$1)</f>
        <v>0</v>
      </c>
      <c r="L65" s="51">
        <f>_xlfn.XLOOKUP($A65,CYTable[DOD ID],CYTable[Substances Trained / Untrained], $AE$1)</f>
        <v>0</v>
      </c>
      <c r="M65" s="50" cm="1">
        <f t="array" ref="M65">IF(COUNTIF(TrainingTable[[#This Row],[ARQ Comments]],"*Exempt*"),"Exempt", _xlfn.XLOOKUP($A65,FYTable[[DOD ID]:[DOD ID]],FYTable[ARQ MCTFS Status], $AE$1))</f>
        <v>0</v>
      </c>
      <c r="N65" s="51" t="str" cm="1">
        <f t="array" ref="N65">_xlfn.XLOOKUP($A65,FYTable[[DOD ID]:[DOD ID]],FYTable[CYBER Trained / Untrained], $AE$1)</f>
        <v>Trained</v>
      </c>
      <c r="O65" s="51">
        <f>_xlfn.XLOOKUP($A65,FYTable[DOD ID],FYTable[Pistol Classification], $AE$1)</f>
        <v>0</v>
      </c>
      <c r="P65" s="51" t="str" cm="1">
        <f t="array" ref="P65">_xlfn.XLOOKUP($A65,FYTable[[DOD ID]:[DOD ID]],FYTable[RM Trained / Untrained], $AE$1)</f>
        <v>Trained</v>
      </c>
      <c r="Q65" s="51" cm="1">
        <f t="array" ref="Q65">_xlfn.XLOOKUP($A65,FYTable[[DOD ID]:[DOD ID]],FYTable[Step Up Trained / Untrained], $AE$1)</f>
        <v>0</v>
      </c>
      <c r="R65" s="51" t="str" cm="1">
        <f t="array" ref="R65">_xlfn.XLOOKUP($A65,FYTable[[DOD ID]:[DOD ID]],FYTable[Take A Stand Trained / Untrained], $AE$1)</f>
        <v>Trained</v>
      </c>
      <c r="S65" s="51" cm="1">
        <f t="array" ref="S65">_xlfn.XLOOKUP($A65,FYTable[[DOD ID]:[DOD ID]],FYTable[SAPR Trained / Untrained], $AE$1)</f>
        <v>0</v>
      </c>
      <c r="T65" s="51" cm="1">
        <f t="array" ref="T65">_xlfn.XLOOKUP($A65,FYTable[[DOD ID]:[DOD ID]],FYTable[SAPR SNCO Trained / Untrained], $AE$1)</f>
        <v>0</v>
      </c>
      <c r="U65" s="77" t="str" cm="1">
        <f t="array" ref="U65">_xlfn.XLOOKUP($A65,CFTTable[[DOD ID]:[DOD ID]],CFTTable[Class CFT],"")</f>
        <v>Medical</v>
      </c>
      <c r="V65" s="62" cm="1">
        <f t="array" ref="V65">_xlfn.XLOOKUP($A65,CFTTable[[DOD ID]:[DOD ID]],CFTTable[Event Date])</f>
        <v>45225</v>
      </c>
      <c r="W65" s="62">
        <f>_xlfn.XLOOKUP($A65,PFTTable[DOD ID],PFTTable[Class PFT],"")</f>
        <v>0</v>
      </c>
      <c r="X65" s="62" cm="1">
        <f t="array" ref="X65">_xlfn.XLOOKUP($A65,PFTTable[[DOD ID]:[DOD ID]],PFTTable[PFT Event Date])</f>
        <v>0</v>
      </c>
      <c r="Y65" s="62" cm="1">
        <f t="array" ref="Y65">_xlfn.XLOOKUP($A65,SwimTable[[DOD ID]:[DOD ID]],SwimTable[Swim MCTFS Status],"")</f>
        <v>0</v>
      </c>
      <c r="Z65" s="51" cm="1">
        <f t="array" ref="Z65">_xlfn.XLOOKUP($A66,HTWTTable[[DOD ID]:[DOD ID]],HTWTTable[MCTFS Status],"")</f>
        <v>0</v>
      </c>
      <c r="AA65" s="51" t="str" cm="1">
        <f t="array" ref="AA65">_xlfn.XLOOKUP($A65,FYTable[[DOD ID]:[DOD ID]],FYTable[CBRN Trained / Untrained],"")</f>
        <v>Trained</v>
      </c>
      <c r="AC65" s="51"/>
      <c r="AD65" s="51"/>
      <c r="BC65" s="49">
        <v>1543571055</v>
      </c>
      <c r="BD65" s="49" t="s">
        <v>243</v>
      </c>
      <c r="BE65" s="49" t="s">
        <v>310</v>
      </c>
      <c r="BF65" s="49" t="s">
        <v>230</v>
      </c>
      <c r="BG65" s="49" t="s">
        <v>36</v>
      </c>
      <c r="BH65" s="49" t="s">
        <v>240</v>
      </c>
      <c r="BJ65" s="49" t="str">
        <f t="shared" si="1"/>
        <v>Bad</v>
      </c>
    </row>
    <row r="66" spans="1:62" x14ac:dyDescent="0.25">
      <c r="A66" s="136">
        <v>1492116113</v>
      </c>
      <c r="B66" s="137" t="str">
        <f>_xlfn.XLOOKUP($A66,RecallTable[EDIPI],RecallTable[GRADE])</f>
        <v>E7</v>
      </c>
      <c r="C66" s="137" t="str">
        <f>_xlfn.XLOOKUP($A66,RecallTable[EDIPI],RecallTable[NAME], $AE$1)</f>
        <v>VELAZQUEZ, EMILIE A.</v>
      </c>
      <c r="D66" s="137" t="str">
        <f>_xlfn.XLOOKUP($A66,RecallTable[EDIPI],RecallTable[SECTION])</f>
        <v>OPS</v>
      </c>
      <c r="E66" s="50">
        <f>_xlfn.XLOOKUP($A66,CYTable[DOD ID],CYTable[CIAR Trained / Untrained], $AE$1)</f>
        <v>0</v>
      </c>
      <c r="F66" s="51" cm="1">
        <f t="array" ref="F66">_xlfn.XLOOKUP($A66,CYTable[[DOD ID]:[DOD ID]],CYTable[AT Trained / Untrained], $AE$1)</f>
        <v>0</v>
      </c>
      <c r="G66" s="51" cm="1">
        <f t="array" ref="G66">_xlfn.XLOOKUP($A66,CYTable[[DOD ID]:[DOD ID]],CYTable[OPSEC Trained / Untrained], $AE$1)</f>
        <v>0</v>
      </c>
      <c r="H66" s="51" cm="1">
        <f t="array" ref="H66">_xlfn.XLOOKUP($A66,CYTable[[DOD ID]:[DOD ID]],CYTable[PAC Trained / Untrained], $AE$1)</f>
        <v>0</v>
      </c>
      <c r="I66" s="51">
        <f>_xlfn.XLOOKUP($A66,CYTable[DOD ID],CYTable[RM Trained / Untrained], $AE$1)</f>
        <v>0</v>
      </c>
      <c r="J66" s="51" cm="1">
        <f t="array" ref="J66">_xlfn.XLOOKUP($A66,CYTable[[DOD ID]:[DOD ID]],CYTable[UMAPIT Trained / Untrained], $AE$1)</f>
        <v>0</v>
      </c>
      <c r="K66" s="51">
        <f>_xlfn.XLOOKUP($A66,CYTable[DOD ID],CYTable[Sup Safety Trained / Untrained], $AE$1)</f>
        <v>0</v>
      </c>
      <c r="L66" s="51">
        <f>_xlfn.XLOOKUP($A66,CYTable[DOD ID],CYTable[Substances Trained / Untrained], $AE$1)</f>
        <v>0</v>
      </c>
      <c r="M66" s="50" cm="1">
        <f t="array" ref="M66">IF(COUNTIF(TrainingTable[[#This Row],[ARQ Comments]],"*Exempt*"),"Exempt", _xlfn.XLOOKUP($A66,FYTable[[DOD ID]:[DOD ID]],FYTable[ARQ MCTFS Status], $AE$1))</f>
        <v>0</v>
      </c>
      <c r="N66" s="51" cm="1">
        <f t="array" ref="N66">_xlfn.XLOOKUP($A66,FYTable[[DOD ID]:[DOD ID]],FYTable[CYBER Trained / Untrained], $AE$1)</f>
        <v>0</v>
      </c>
      <c r="O66" s="51" t="str">
        <f>_xlfn.XLOOKUP($A66,FYTable[DOD ID],FYTable[Pistol Classification], $AE$1)</f>
        <v>EXPERT</v>
      </c>
      <c r="P66" s="51" cm="1">
        <f t="array" ref="P66">_xlfn.XLOOKUP($A66,FYTable[[DOD ID]:[DOD ID]],FYTable[RM Trained / Untrained], $AE$1)</f>
        <v>0</v>
      </c>
      <c r="Q66" s="51" cm="1">
        <f t="array" ref="Q66">_xlfn.XLOOKUP($A66,FYTable[[DOD ID]:[DOD ID]],FYTable[Step Up Trained / Untrained], $AE$1)</f>
        <v>0</v>
      </c>
      <c r="R66" s="51" cm="1">
        <f t="array" ref="R66">_xlfn.XLOOKUP($A66,FYTable[[DOD ID]:[DOD ID]],FYTable[Take A Stand Trained / Untrained], $AE$1)</f>
        <v>0</v>
      </c>
      <c r="S66" s="51" cm="1">
        <f t="array" ref="S66">_xlfn.XLOOKUP($A66,FYTable[[DOD ID]:[DOD ID]],FYTable[SAPR Trained / Untrained], $AE$1)</f>
        <v>0</v>
      </c>
      <c r="T66" s="51" cm="1">
        <f t="array" ref="T66">_xlfn.XLOOKUP($A66,FYTable[[DOD ID]:[DOD ID]],FYTable[SAPR SNCO Trained / Untrained], $AE$1)</f>
        <v>0</v>
      </c>
      <c r="U66" s="77" t="str" cm="1">
        <f t="array" ref="U66">_xlfn.XLOOKUP($A66,CFTTable[[DOD ID]:[DOD ID]],CFTTable[Class CFT],"")</f>
        <v>FIRST CLASS</v>
      </c>
      <c r="V66" s="62" cm="1">
        <f t="array" ref="V66">_xlfn.XLOOKUP($A66,CFTTable[[DOD ID]:[DOD ID]],CFTTable[Event Date])</f>
        <v>45153</v>
      </c>
      <c r="W66" s="62">
        <f>_xlfn.XLOOKUP($A66,PFTTable[DOD ID],PFTTable[Class PFT],"")</f>
        <v>0</v>
      </c>
      <c r="X66" s="62" cm="1">
        <f t="array" ref="X66">_xlfn.XLOOKUP($A66,PFTTable[[DOD ID]:[DOD ID]],PFTTable[PFT Event Date])</f>
        <v>0</v>
      </c>
      <c r="Y66" s="62" cm="1">
        <f t="array" ref="Y66">_xlfn.XLOOKUP($A66,SwimTable[[DOD ID]:[DOD ID]],SwimTable[Swim MCTFS Status],"")</f>
        <v>0</v>
      </c>
      <c r="Z66" s="51" cm="1">
        <f t="array" ref="Z66">_xlfn.XLOOKUP($A67,HTWTTable[[DOD ID]:[DOD ID]],HTWTTable[MCTFS Status],"")</f>
        <v>0</v>
      </c>
      <c r="AA66" s="51" cm="1">
        <f t="array" ref="AA66">_xlfn.XLOOKUP($A66,FYTable[[DOD ID]:[DOD ID]],FYTable[CBRN Trained / Untrained],"")</f>
        <v>0</v>
      </c>
      <c r="AC66" s="51"/>
      <c r="AD66" s="51"/>
      <c r="BC66" s="49">
        <v>1536443238</v>
      </c>
      <c r="BD66" s="49" t="s">
        <v>243</v>
      </c>
      <c r="BE66" s="49" t="s">
        <v>311</v>
      </c>
      <c r="BF66" s="49" t="s">
        <v>225</v>
      </c>
      <c r="BG66" s="49" t="s">
        <v>36</v>
      </c>
      <c r="BH66" s="49" t="s">
        <v>240</v>
      </c>
      <c r="BJ66" s="49" t="str">
        <f t="shared" ref="BJ66:BJ81" si="2">IF(BH66=AB66,"Good","Bad")</f>
        <v>Bad</v>
      </c>
    </row>
    <row r="67" spans="1:62" x14ac:dyDescent="0.25">
      <c r="A67" s="136">
        <v>1362430276</v>
      </c>
      <c r="B67" s="137" t="str">
        <f>_xlfn.XLOOKUP($A67,RecallTable[EDIPI],RecallTable[GRADE])</f>
        <v>E6</v>
      </c>
      <c r="C67" s="137" t="str">
        <f>_xlfn.XLOOKUP($A67,RecallTable[EDIPI],RecallTable[NAME], $AE$1)</f>
        <v>WALKER, ANAYA A.</v>
      </c>
      <c r="D67" s="137" t="str">
        <f>_xlfn.XLOOKUP($A67,RecallTable[EDIPI],RecallTable[SECTION])</f>
        <v>OPS</v>
      </c>
      <c r="E67" s="50">
        <f>_xlfn.XLOOKUP($A67,CYTable[DOD ID],CYTable[CIAR Trained / Untrained], $AE$1)</f>
        <v>0</v>
      </c>
      <c r="F67" s="51" cm="1">
        <f t="array" ref="F67">_xlfn.XLOOKUP($A67,CYTable[[DOD ID]:[DOD ID]],CYTable[AT Trained / Untrained], $AE$1)</f>
        <v>0</v>
      </c>
      <c r="G67" s="51" cm="1">
        <f t="array" ref="G67">_xlfn.XLOOKUP($A67,CYTable[[DOD ID]:[DOD ID]],CYTable[OPSEC Trained / Untrained], $AE$1)</f>
        <v>0</v>
      </c>
      <c r="H67" s="51" cm="1">
        <f t="array" ref="H67">_xlfn.XLOOKUP($A67,CYTable[[DOD ID]:[DOD ID]],CYTable[PAC Trained / Untrained], $AE$1)</f>
        <v>0</v>
      </c>
      <c r="I67" s="51">
        <f>_xlfn.XLOOKUP($A67,CYTable[DOD ID],CYTable[RM Trained / Untrained], $AE$1)</f>
        <v>0</v>
      </c>
      <c r="J67" s="51" cm="1">
        <f t="array" ref="J67">_xlfn.XLOOKUP($A67,CYTable[[DOD ID]:[DOD ID]],CYTable[UMAPIT Trained / Untrained], $AE$1)</f>
        <v>0</v>
      </c>
      <c r="K67" s="51">
        <f>_xlfn.XLOOKUP($A67,CYTable[DOD ID],CYTable[Sup Safety Trained / Untrained], $AE$1)</f>
        <v>0</v>
      </c>
      <c r="L67" s="51">
        <f>_xlfn.XLOOKUP($A67,CYTable[DOD ID],CYTable[Substances Trained / Untrained], $AE$1)</f>
        <v>0</v>
      </c>
      <c r="M67" s="50" cm="1">
        <f t="array" ref="M67">IF(COUNTIF(TrainingTable[[#This Row],[ARQ Comments]],"*Exempt*"),"Exempt", _xlfn.XLOOKUP($A67,FYTable[[DOD ID]:[DOD ID]],FYTable[ARQ MCTFS Status], $AE$1))</f>
        <v>0</v>
      </c>
      <c r="N67" s="51" t="str" cm="1">
        <f t="array" ref="N67">_xlfn.XLOOKUP($A67,FYTable[[DOD ID]:[DOD ID]],FYTable[CYBER Trained / Untrained], $AE$1)</f>
        <v>Trained</v>
      </c>
      <c r="O67" s="51">
        <f>_xlfn.XLOOKUP($A67,FYTable[DOD ID],FYTable[Pistol Classification], $AE$1)</f>
        <v>0</v>
      </c>
      <c r="P67" s="51" t="str" cm="1">
        <f t="array" ref="P67">_xlfn.XLOOKUP($A67,FYTable[[DOD ID]:[DOD ID]],FYTable[RM Trained / Untrained], $AE$1)</f>
        <v>Trained</v>
      </c>
      <c r="Q67" s="51" cm="1">
        <f t="array" ref="Q67">_xlfn.XLOOKUP($A67,FYTable[[DOD ID]:[DOD ID]],FYTable[Step Up Trained / Untrained], $AE$1)</f>
        <v>0</v>
      </c>
      <c r="R67" s="51" t="str" cm="1">
        <f t="array" ref="R67">_xlfn.XLOOKUP($A67,FYTable[[DOD ID]:[DOD ID]],FYTable[Take A Stand Trained / Untrained], $AE$1)</f>
        <v>Trained</v>
      </c>
      <c r="S67" s="51" cm="1">
        <f t="array" ref="S67">_xlfn.XLOOKUP($A67,FYTable[[DOD ID]:[DOD ID]],FYTable[SAPR Trained / Untrained], $AE$1)</f>
        <v>0</v>
      </c>
      <c r="T67" s="51" cm="1">
        <f t="array" ref="T67">_xlfn.XLOOKUP($A67,FYTable[[DOD ID]:[DOD ID]],FYTable[SAPR SNCO Trained / Untrained], $AE$1)</f>
        <v>0</v>
      </c>
      <c r="U67" s="77" t="str" cm="1">
        <f t="array" ref="U67">_xlfn.XLOOKUP($A67,CFTTable[[DOD ID]:[DOD ID]],CFTTable[Class CFT],"")</f>
        <v>FIRST CLASS</v>
      </c>
      <c r="V67" s="62" cm="1">
        <f t="array" ref="V67">_xlfn.XLOOKUP($A67,CFTTable[[DOD ID]:[DOD ID]],CFTTable[Event Date])</f>
        <v>45225</v>
      </c>
      <c r="W67" s="62">
        <f>_xlfn.XLOOKUP($A67,PFTTable[DOD ID],PFTTable[Class PFT],"")</f>
        <v>0</v>
      </c>
      <c r="X67" s="62" cm="1">
        <f t="array" ref="X67">_xlfn.XLOOKUP($A67,PFTTable[[DOD ID]:[DOD ID]],PFTTable[PFT Event Date])</f>
        <v>0</v>
      </c>
      <c r="Y67" s="62" cm="1">
        <f t="array" ref="Y67">_xlfn.XLOOKUP($A67,SwimTable[[DOD ID]:[DOD ID]],SwimTable[Swim MCTFS Status],"")</f>
        <v>0</v>
      </c>
      <c r="Z67" s="51" cm="1">
        <f t="array" ref="Z67">_xlfn.XLOOKUP($A68,HTWTTable[[DOD ID]:[DOD ID]],HTWTTable[MCTFS Status],"")</f>
        <v>0</v>
      </c>
      <c r="AA67" s="51" cm="1">
        <f t="array" ref="AA67">_xlfn.XLOOKUP($A67,FYTable[[DOD ID]:[DOD ID]],FYTable[CBRN Trained / Untrained],"")</f>
        <v>0</v>
      </c>
      <c r="AC67" s="51"/>
      <c r="AD67" s="51"/>
      <c r="BC67" s="49">
        <v>1391954905</v>
      </c>
      <c r="BD67" s="49" t="s">
        <v>217</v>
      </c>
      <c r="BE67" s="49" t="s">
        <v>312</v>
      </c>
      <c r="BF67" s="49" t="s">
        <v>239</v>
      </c>
      <c r="BG67" s="49" t="s">
        <v>36</v>
      </c>
      <c r="BJ67" s="49" t="str">
        <f t="shared" si="2"/>
        <v>Good</v>
      </c>
    </row>
    <row r="68" spans="1:62" x14ac:dyDescent="0.25">
      <c r="A68" s="136">
        <v>1505173816</v>
      </c>
      <c r="B68" s="137" t="str">
        <f>_xlfn.XLOOKUP($A68,RecallTable[EDIPI],RecallTable[GRADE])</f>
        <v>E6</v>
      </c>
      <c r="C68" s="137" t="str">
        <f>_xlfn.XLOOKUP($A68,RecallTable[EDIPI],RecallTable[NAME], $AE$1)</f>
        <v>HEBERT, MAYRA A.</v>
      </c>
      <c r="D68" s="137" t="str">
        <f>_xlfn.XLOOKUP($A68,RecallTable[EDIPI],RecallTable[SECTION])</f>
        <v>OPS</v>
      </c>
      <c r="E68" s="50">
        <f>_xlfn.XLOOKUP($A68,CYTable[DOD ID],CYTable[CIAR Trained / Untrained], $AE$1)</f>
        <v>0</v>
      </c>
      <c r="F68" s="51" cm="1">
        <f t="array" ref="F68">_xlfn.XLOOKUP($A68,CYTable[[DOD ID]:[DOD ID]],CYTable[AT Trained / Untrained], $AE$1)</f>
        <v>0</v>
      </c>
      <c r="G68" s="51" cm="1">
        <f t="array" ref="G68">_xlfn.XLOOKUP($A68,CYTable[[DOD ID]:[DOD ID]],CYTable[OPSEC Trained / Untrained], $AE$1)</f>
        <v>0</v>
      </c>
      <c r="H68" s="51" cm="1">
        <f t="array" ref="H68">_xlfn.XLOOKUP($A68,CYTable[[DOD ID]:[DOD ID]],CYTable[PAC Trained / Untrained], $AE$1)</f>
        <v>0</v>
      </c>
      <c r="I68" s="51">
        <f>_xlfn.XLOOKUP($A68,CYTable[DOD ID],CYTable[RM Trained / Untrained], $AE$1)</f>
        <v>0</v>
      </c>
      <c r="J68" s="51" cm="1">
        <f t="array" ref="J68">_xlfn.XLOOKUP($A68,CYTable[[DOD ID]:[DOD ID]],CYTable[UMAPIT Trained / Untrained], $AE$1)</f>
        <v>0</v>
      </c>
      <c r="K68" s="51">
        <f>_xlfn.XLOOKUP($A68,CYTable[DOD ID],CYTable[Sup Safety Trained / Untrained], $AE$1)</f>
        <v>0</v>
      </c>
      <c r="L68" s="51">
        <f>_xlfn.XLOOKUP($A68,CYTable[DOD ID],CYTable[Substances Trained / Untrained], $AE$1)</f>
        <v>0</v>
      </c>
      <c r="M68" s="50" cm="1">
        <f t="array" ref="M68">IF(COUNTIF(TrainingTable[[#This Row],[ARQ Comments]],"*Exempt*"),"Exempt", _xlfn.XLOOKUP($A68,FYTable[[DOD ID]:[DOD ID]],FYTable[ARQ MCTFS Status], $AE$1))</f>
        <v>0</v>
      </c>
      <c r="N68" s="51" t="str" cm="1">
        <f t="array" ref="N68">_xlfn.XLOOKUP($A68,FYTable[[DOD ID]:[DOD ID]],FYTable[CYBER Trained / Untrained], $AE$1)</f>
        <v>Trained</v>
      </c>
      <c r="O68" s="51">
        <f>_xlfn.XLOOKUP($A68,FYTable[DOD ID],FYTable[Pistol Classification], $AE$1)</f>
        <v>0</v>
      </c>
      <c r="P68" s="51" cm="1">
        <f t="array" ref="P68">_xlfn.XLOOKUP($A68,FYTable[[DOD ID]:[DOD ID]],FYTable[RM Trained / Untrained], $AE$1)</f>
        <v>0</v>
      </c>
      <c r="Q68" s="51" cm="1">
        <f t="array" ref="Q68">_xlfn.XLOOKUP($A68,FYTable[[DOD ID]:[DOD ID]],FYTable[Step Up Trained / Untrained], $AE$1)</f>
        <v>0</v>
      </c>
      <c r="R68" s="51" cm="1">
        <f t="array" ref="R68">_xlfn.XLOOKUP($A68,FYTable[[DOD ID]:[DOD ID]],FYTable[Take A Stand Trained / Untrained], $AE$1)</f>
        <v>0</v>
      </c>
      <c r="S68" s="51" cm="1">
        <f t="array" ref="S68">_xlfn.XLOOKUP($A68,FYTable[[DOD ID]:[DOD ID]],FYTable[SAPR Trained / Untrained], $AE$1)</f>
        <v>0</v>
      </c>
      <c r="T68" s="51" cm="1">
        <f t="array" ref="T68">_xlfn.XLOOKUP($A68,FYTable[[DOD ID]:[DOD ID]],FYTable[SAPR SNCO Trained / Untrained], $AE$1)</f>
        <v>0</v>
      </c>
      <c r="U68" s="77" t="str" cm="1">
        <f t="array" ref="U68">_xlfn.XLOOKUP($A68,CFTTable[[DOD ID]:[DOD ID]],CFTTable[Class CFT],"")</f>
        <v>FIRST CLASS</v>
      </c>
      <c r="V68" s="62" cm="1">
        <f t="array" ref="V68">_xlfn.XLOOKUP($A68,CFTTable[[DOD ID]:[DOD ID]],CFTTable[Event Date])</f>
        <v>45237</v>
      </c>
      <c r="W68" s="62">
        <f>_xlfn.XLOOKUP($A68,PFTTable[DOD ID],PFTTable[Class PFT],"")</f>
        <v>0</v>
      </c>
      <c r="X68" s="62" cm="1">
        <f t="array" ref="X68">_xlfn.XLOOKUP($A68,PFTTable[[DOD ID]:[DOD ID]],PFTTable[PFT Event Date])</f>
        <v>0</v>
      </c>
      <c r="Y68" s="62" cm="1">
        <f t="array" ref="Y68">_xlfn.XLOOKUP($A68,SwimTable[[DOD ID]:[DOD ID]],SwimTable[Swim MCTFS Status],"")</f>
        <v>0</v>
      </c>
      <c r="Z68" s="51" cm="1">
        <f t="array" ref="Z68">_xlfn.XLOOKUP($A69,HTWTTable[[DOD ID]:[DOD ID]],HTWTTable[MCTFS Status],"")</f>
        <v>0</v>
      </c>
      <c r="AA68" s="51" t="str" cm="1">
        <f t="array" ref="AA68">_xlfn.XLOOKUP($A68,FYTable[[DOD ID]:[DOD ID]],FYTable[CBRN Trained / Untrained],"")</f>
        <v>Trained</v>
      </c>
      <c r="BJ68" s="49" t="str">
        <f t="shared" si="2"/>
        <v>Good</v>
      </c>
    </row>
    <row r="69" spans="1:62" x14ac:dyDescent="0.25">
      <c r="A69" s="136">
        <v>1224436146</v>
      </c>
      <c r="B69" s="137" t="str">
        <f>_xlfn.XLOOKUP($A69,RecallTable[EDIPI],RecallTable[GRADE])</f>
        <v>E5</v>
      </c>
      <c r="C69" s="137" t="str">
        <f>_xlfn.XLOOKUP($A69,RecallTable[EDIPI],RecallTable[NAME], $AE$1)</f>
        <v>JOSEPH, GUADALUPE A.</v>
      </c>
      <c r="D69" s="137" t="str">
        <f>_xlfn.XLOOKUP($A69,RecallTable[EDIPI],RecallTable[SECTION])</f>
        <v>OPS</v>
      </c>
      <c r="E69" s="50" t="str">
        <f>_xlfn.XLOOKUP($A69,CYTable[DOD ID],CYTable[CIAR Trained / Untrained], $AE$1)</f>
        <v>Trained</v>
      </c>
      <c r="F69" s="51" t="str" cm="1">
        <f t="array" ref="F69">_xlfn.XLOOKUP($A69,CYTable[[DOD ID]:[DOD ID]],CYTable[AT Trained / Untrained], $AE$1)</f>
        <v>Trained</v>
      </c>
      <c r="G69" s="51" t="str" cm="1">
        <f t="array" ref="G69">_xlfn.XLOOKUP($A69,CYTable[[DOD ID]:[DOD ID]],CYTable[OPSEC Trained / Untrained], $AE$1)</f>
        <v>Trained</v>
      </c>
      <c r="H69" s="51" t="str" cm="1">
        <f t="array" ref="H69">_xlfn.XLOOKUP($A69,CYTable[[DOD ID]:[DOD ID]],CYTable[PAC Trained / Untrained], $AE$1)</f>
        <v>Trained</v>
      </c>
      <c r="I69" s="51" t="str">
        <f>_xlfn.XLOOKUP($A69,CYTable[DOD ID],CYTable[RM Trained / Untrained], $AE$1)</f>
        <v>Trained</v>
      </c>
      <c r="J69" s="51" cm="1">
        <f t="array" ref="J69">_xlfn.XLOOKUP($A69,CYTable[[DOD ID]:[DOD ID]],CYTable[UMAPIT Trained / Untrained], $AE$1)</f>
        <v>0</v>
      </c>
      <c r="K69" s="51">
        <f>_xlfn.XLOOKUP($A69,CYTable[DOD ID],CYTable[Sup Safety Trained / Untrained], $AE$1)</f>
        <v>0</v>
      </c>
      <c r="L69" s="51">
        <f>_xlfn.XLOOKUP($A69,CYTable[DOD ID],CYTable[Substances Trained / Untrained], $AE$1)</f>
        <v>0</v>
      </c>
      <c r="M69" s="50" cm="1">
        <f t="array" ref="M69">IF(COUNTIF(TrainingTable[[#This Row],[ARQ Comments]],"*Exempt*"),"Exempt", _xlfn.XLOOKUP($A69,FYTable[[DOD ID]:[DOD ID]],FYTable[ARQ MCTFS Status], $AE$1))</f>
        <v>0</v>
      </c>
      <c r="N69" s="51" t="str" cm="1">
        <f t="array" ref="N69">_xlfn.XLOOKUP($A69,FYTable[[DOD ID]:[DOD ID]],FYTable[CYBER Trained / Untrained], $AE$1)</f>
        <v>Trained</v>
      </c>
      <c r="O69" s="51">
        <f>_xlfn.XLOOKUP($A69,FYTable[DOD ID],FYTable[Pistol Classification], $AE$1)</f>
        <v>0</v>
      </c>
      <c r="P69" s="51" t="str" cm="1">
        <f t="array" ref="P69">_xlfn.XLOOKUP($A69,FYTable[[DOD ID]:[DOD ID]],FYTable[RM Trained / Untrained], $AE$1)</f>
        <v>Trained</v>
      </c>
      <c r="Q69" s="51" cm="1">
        <f t="array" ref="Q69">_xlfn.XLOOKUP($A69,FYTable[[DOD ID]:[DOD ID]],FYTable[Step Up Trained / Untrained], $AE$1)</f>
        <v>0</v>
      </c>
      <c r="R69" s="51" cm="1">
        <f t="array" ref="R69">_xlfn.XLOOKUP($A69,FYTable[[DOD ID]:[DOD ID]],FYTable[Take A Stand Trained / Untrained], $AE$1)</f>
        <v>0</v>
      </c>
      <c r="S69" s="51" cm="1">
        <f t="array" ref="S69">_xlfn.XLOOKUP($A69,FYTable[[DOD ID]:[DOD ID]],FYTable[SAPR Trained / Untrained], $AE$1)</f>
        <v>0</v>
      </c>
      <c r="T69" s="51" cm="1">
        <f t="array" ref="T69">_xlfn.XLOOKUP($A69,FYTable[[DOD ID]:[DOD ID]],FYTable[SAPR SNCO Trained / Untrained], $AE$1)</f>
        <v>0</v>
      </c>
      <c r="U69" s="77" t="str" cm="1">
        <f t="array" ref="U69">_xlfn.XLOOKUP($A69,CFTTable[[DOD ID]:[DOD ID]],CFTTable[Class CFT],"")</f>
        <v>FIRST CLASS</v>
      </c>
      <c r="V69" s="62" cm="1">
        <f t="array" ref="V69">_xlfn.XLOOKUP($A69,CFTTable[[DOD ID]:[DOD ID]],CFTTable[Event Date])</f>
        <v>45225</v>
      </c>
      <c r="W69" s="62">
        <f>_xlfn.XLOOKUP($A69,PFTTable[DOD ID],PFTTable[Class PFT],"")</f>
        <v>0</v>
      </c>
      <c r="X69" s="62" cm="1">
        <f t="array" ref="X69">_xlfn.XLOOKUP($A69,PFTTable[[DOD ID]:[DOD ID]],PFTTable[PFT Event Date])</f>
        <v>0</v>
      </c>
      <c r="Y69" s="62" cm="1">
        <f t="array" ref="Y69">_xlfn.XLOOKUP($A69,SwimTable[[DOD ID]:[DOD ID]],SwimTable[Swim MCTFS Status],"")</f>
        <v>0</v>
      </c>
      <c r="Z69" s="51" cm="1">
        <f t="array" ref="Z69">_xlfn.XLOOKUP($A70,HTWTTable[[DOD ID]:[DOD ID]],HTWTTable[MCTFS Status],"")</f>
        <v>0</v>
      </c>
      <c r="AA69" s="51" cm="1">
        <f t="array" ref="AA69">_xlfn.XLOOKUP($A69,FYTable[[DOD ID]:[DOD ID]],FYTable[CBRN Trained / Untrained],"")</f>
        <v>0</v>
      </c>
      <c r="AC69" s="51"/>
      <c r="AD69" s="51"/>
      <c r="BC69" s="49">
        <v>1594887413</v>
      </c>
      <c r="BD69" s="49" t="s">
        <v>235</v>
      </c>
      <c r="BE69" s="49" t="s">
        <v>313</v>
      </c>
      <c r="BF69" s="49" t="s">
        <v>211</v>
      </c>
      <c r="BG69" s="49" t="s">
        <v>36</v>
      </c>
      <c r="BH69" s="49" t="s">
        <v>226</v>
      </c>
      <c r="BJ69" s="49" t="str">
        <f t="shared" si="2"/>
        <v>Bad</v>
      </c>
    </row>
    <row r="70" spans="1:62" x14ac:dyDescent="0.25">
      <c r="A70" s="136">
        <v>1273180803</v>
      </c>
      <c r="B70" s="137" t="str">
        <f>_xlfn.XLOOKUP($A70,RecallTable[EDIPI],RecallTable[GRADE])</f>
        <v>E5</v>
      </c>
      <c r="C70" s="137" t="str">
        <f>_xlfn.XLOOKUP($A70,RecallTable[EDIPI],RecallTable[NAME], $AE$1)</f>
        <v>TODD, GLENN A.</v>
      </c>
      <c r="D70" s="137" t="str">
        <f>_xlfn.XLOOKUP($A70,RecallTable[EDIPI],RecallTable[SECTION])</f>
        <v>OPS</v>
      </c>
      <c r="E70" s="50">
        <f>_xlfn.XLOOKUP($A70,CYTable[DOD ID],CYTable[CIAR Trained / Untrained], $AE$1)</f>
        <v>0</v>
      </c>
      <c r="F70" s="51" cm="1">
        <f t="array" ref="F70">_xlfn.XLOOKUP($A70,CYTable[[DOD ID]:[DOD ID]],CYTable[AT Trained / Untrained], $AE$1)</f>
        <v>0</v>
      </c>
      <c r="G70" s="51" cm="1">
        <f t="array" ref="G70">_xlfn.XLOOKUP($A70,CYTable[[DOD ID]:[DOD ID]],CYTable[OPSEC Trained / Untrained], $AE$1)</f>
        <v>0</v>
      </c>
      <c r="H70" s="51" cm="1">
        <f t="array" ref="H70">_xlfn.XLOOKUP($A70,CYTable[[DOD ID]:[DOD ID]],CYTable[PAC Trained / Untrained], $AE$1)</f>
        <v>0</v>
      </c>
      <c r="I70" s="51">
        <f>_xlfn.XLOOKUP($A70,CYTable[DOD ID],CYTable[RM Trained / Untrained], $AE$1)</f>
        <v>0</v>
      </c>
      <c r="J70" s="51" cm="1">
        <f t="array" ref="J70">_xlfn.XLOOKUP($A70,CYTable[[DOD ID]:[DOD ID]],CYTable[UMAPIT Trained / Untrained], $AE$1)</f>
        <v>0</v>
      </c>
      <c r="K70" s="51">
        <f>_xlfn.XLOOKUP($A70,CYTable[DOD ID],CYTable[Sup Safety Trained / Untrained], $AE$1)</f>
        <v>0</v>
      </c>
      <c r="L70" s="51">
        <f>_xlfn.XLOOKUP($A70,CYTable[DOD ID],CYTable[Substances Trained / Untrained], $AE$1)</f>
        <v>0</v>
      </c>
      <c r="M70" s="50" cm="1">
        <f t="array" ref="M70">IF(COUNTIF(TrainingTable[[#This Row],[ARQ Comments]],"*Exempt*"),"Exempt", _xlfn.XLOOKUP($A70,FYTable[[DOD ID]:[DOD ID]],FYTable[ARQ MCTFS Status], $AE$1))</f>
        <v>0</v>
      </c>
      <c r="N70" s="51" t="str" cm="1">
        <f t="array" ref="N70">_xlfn.XLOOKUP($A70,FYTable[[DOD ID]:[DOD ID]],FYTable[CYBER Trained / Untrained], $AE$1)</f>
        <v>Trained</v>
      </c>
      <c r="O70" s="51">
        <f>_xlfn.XLOOKUP($A70,FYTable[DOD ID],FYTable[Pistol Classification], $AE$1)</f>
        <v>0</v>
      </c>
      <c r="P70" s="51" cm="1">
        <f t="array" ref="P70">_xlfn.XLOOKUP($A70,FYTable[[DOD ID]:[DOD ID]],FYTable[RM Trained / Untrained], $AE$1)</f>
        <v>0</v>
      </c>
      <c r="Q70" s="51" cm="1">
        <f t="array" ref="Q70">_xlfn.XLOOKUP($A70,FYTable[[DOD ID]:[DOD ID]],FYTable[Step Up Trained / Untrained], $AE$1)</f>
        <v>0</v>
      </c>
      <c r="R70" s="51" cm="1">
        <f t="array" ref="R70">_xlfn.XLOOKUP($A70,FYTable[[DOD ID]:[DOD ID]],FYTable[Take A Stand Trained / Untrained], $AE$1)</f>
        <v>0</v>
      </c>
      <c r="S70" s="51" cm="1">
        <f t="array" ref="S70">_xlfn.XLOOKUP($A70,FYTable[[DOD ID]:[DOD ID]],FYTable[SAPR Trained / Untrained], $AE$1)</f>
        <v>0</v>
      </c>
      <c r="T70" s="51" cm="1">
        <f t="array" ref="T70">_xlfn.XLOOKUP($A70,FYTable[[DOD ID]:[DOD ID]],FYTable[SAPR SNCO Trained / Untrained], $AE$1)</f>
        <v>0</v>
      </c>
      <c r="U70" s="77" t="str" cm="1">
        <f t="array" ref="U70">_xlfn.XLOOKUP($A70,CFTTable[[DOD ID]:[DOD ID]],CFTTable[Class CFT],"")</f>
        <v>FIRST CLASS</v>
      </c>
      <c r="V70" s="62" cm="1">
        <f t="array" ref="V70">_xlfn.XLOOKUP($A70,CFTTable[[DOD ID]:[DOD ID]],CFTTable[Event Date])</f>
        <v>45195</v>
      </c>
      <c r="W70" s="62">
        <f>_xlfn.XLOOKUP($A70,PFTTable[DOD ID],PFTTable[Class PFT],"")</f>
        <v>0</v>
      </c>
      <c r="X70" s="62" cm="1">
        <f t="array" ref="X70">_xlfn.XLOOKUP($A70,PFTTable[[DOD ID]:[DOD ID]],PFTTable[PFT Event Date])</f>
        <v>0</v>
      </c>
      <c r="Y70" s="62" cm="1">
        <f t="array" ref="Y70">_xlfn.XLOOKUP($A70,SwimTable[[DOD ID]:[DOD ID]],SwimTable[Swim MCTFS Status],"")</f>
        <v>0</v>
      </c>
      <c r="Z70" s="51" cm="1">
        <f t="array" ref="Z70">_xlfn.XLOOKUP($A71,HTWTTable[[DOD ID]:[DOD ID]],HTWTTable[MCTFS Status],"")</f>
        <v>0</v>
      </c>
      <c r="AA70" s="51" cm="1">
        <f t="array" ref="AA70">_xlfn.XLOOKUP($A70,FYTable[[DOD ID]:[DOD ID]],FYTable[CBRN Trained / Untrained],"")</f>
        <v>0</v>
      </c>
      <c r="AC70" s="51"/>
      <c r="AD70" s="51"/>
      <c r="BC70" s="49">
        <v>1553343557</v>
      </c>
      <c r="BD70" s="49" t="s">
        <v>314</v>
      </c>
      <c r="BE70" s="49" t="s">
        <v>315</v>
      </c>
      <c r="BF70" s="49" t="s">
        <v>211</v>
      </c>
      <c r="BG70" s="49" t="s">
        <v>36</v>
      </c>
      <c r="BH70" s="49" t="s">
        <v>240</v>
      </c>
      <c r="BJ70" s="49" t="str">
        <f t="shared" si="2"/>
        <v>Bad</v>
      </c>
    </row>
    <row r="71" spans="1:62" x14ac:dyDescent="0.25">
      <c r="A71" s="136">
        <v>1144600478</v>
      </c>
      <c r="B71" s="137" t="str">
        <f>_xlfn.XLOOKUP($A71,RecallTable[EDIPI],RecallTable[GRADE])</f>
        <v>O2</v>
      </c>
      <c r="C71" s="137" t="str">
        <f>_xlfn.XLOOKUP($A71,RecallTable[EDIPI],RecallTable[NAME], $AE$1)</f>
        <v>RIOS, LEWIS A.</v>
      </c>
      <c r="D71" s="137" t="str">
        <f>_xlfn.XLOOKUP($A71,RecallTable[EDIPI],RecallTable[SECTION])</f>
        <v>SOC</v>
      </c>
      <c r="E71" s="50" t="str">
        <f>_xlfn.XLOOKUP($A71,CYTable[DOD ID],CYTable[CIAR Trained / Untrained], $AE$1)</f>
        <v>Trained</v>
      </c>
      <c r="F71" s="51" cm="1">
        <f t="array" ref="F71">_xlfn.XLOOKUP($A71,CYTable[[DOD ID]:[DOD ID]],CYTable[AT Trained / Untrained], $AE$1)</f>
        <v>0</v>
      </c>
      <c r="G71" s="51" t="str" cm="1">
        <f t="array" ref="G71">_xlfn.XLOOKUP($A71,CYTable[[DOD ID]:[DOD ID]],CYTable[OPSEC Trained / Untrained], $AE$1)</f>
        <v>Trained</v>
      </c>
      <c r="H71" s="51" cm="1">
        <f t="array" ref="H71">_xlfn.XLOOKUP($A71,CYTable[[DOD ID]:[DOD ID]],CYTable[PAC Trained / Untrained], $AE$1)</f>
        <v>0</v>
      </c>
      <c r="I71" s="51" t="str">
        <f>_xlfn.XLOOKUP($A71,CYTable[DOD ID],CYTable[RM Trained / Untrained], $AE$1)</f>
        <v>Trained</v>
      </c>
      <c r="J71" s="51" cm="1">
        <f t="array" ref="J71">_xlfn.XLOOKUP($A71,CYTable[[DOD ID]:[DOD ID]],CYTable[UMAPIT Trained / Untrained], $AE$1)</f>
        <v>0</v>
      </c>
      <c r="K71" s="51" t="str">
        <f>_xlfn.XLOOKUP($A71,CYTable[DOD ID],CYTable[Sup Safety Trained / Untrained], $AE$1)</f>
        <v>Trained</v>
      </c>
      <c r="L71" s="51" t="str">
        <f>_xlfn.XLOOKUP($A71,CYTable[DOD ID],CYTable[Substances Trained / Untrained], $AE$1)</f>
        <v>Trained</v>
      </c>
      <c r="M71" s="50" cm="1">
        <f t="array" ref="M71">IF(COUNTIF(TrainingTable[[#This Row],[ARQ Comments]],"*Exempt*"),"Exempt", _xlfn.XLOOKUP($A71,FYTable[[DOD ID]:[DOD ID]],FYTable[ARQ MCTFS Status], $AE$1))</f>
        <v>0</v>
      </c>
      <c r="N71" s="51" t="str" cm="1">
        <f t="array" ref="N71">_xlfn.XLOOKUP($A71,FYTable[[DOD ID]:[DOD ID]],FYTable[CYBER Trained / Untrained], $AE$1)</f>
        <v>Trained</v>
      </c>
      <c r="O71" s="51">
        <f>_xlfn.XLOOKUP($A71,FYTable[DOD ID],FYTable[Pistol Classification], $AE$1)</f>
        <v>0</v>
      </c>
      <c r="P71" s="51" t="str" cm="1">
        <f t="array" ref="P71">_xlfn.XLOOKUP($A71,FYTable[[DOD ID]:[DOD ID]],FYTable[RM Trained / Untrained], $AE$1)</f>
        <v>Trained</v>
      </c>
      <c r="Q71" s="51" cm="1">
        <f t="array" ref="Q71">_xlfn.XLOOKUP($A71,FYTable[[DOD ID]:[DOD ID]],FYTable[Step Up Trained / Untrained], $AE$1)</f>
        <v>0</v>
      </c>
      <c r="R71" s="51" t="str" cm="1">
        <f t="array" ref="R71">_xlfn.XLOOKUP($A71,FYTable[[DOD ID]:[DOD ID]],FYTable[Take A Stand Trained / Untrained], $AE$1)</f>
        <v>Trained</v>
      </c>
      <c r="S71" s="51" cm="1">
        <f t="array" ref="S71">_xlfn.XLOOKUP($A71,FYTable[[DOD ID]:[DOD ID]],FYTable[SAPR Trained / Untrained], $AE$1)</f>
        <v>0</v>
      </c>
      <c r="T71" s="51" cm="1">
        <f t="array" ref="T71">_xlfn.XLOOKUP($A71,FYTable[[DOD ID]:[DOD ID]],FYTable[SAPR SNCO Trained / Untrained], $AE$1)</f>
        <v>0</v>
      </c>
      <c r="U71" s="77" t="str" cm="1">
        <f t="array" ref="U71">_xlfn.XLOOKUP($A71,CFTTable[[DOD ID]:[DOD ID]],CFTTable[Class CFT],"")</f>
        <v>FIRST CLASS</v>
      </c>
      <c r="V71" s="62" cm="1">
        <f t="array" ref="V71">_xlfn.XLOOKUP($A71,CFTTable[[DOD ID]:[DOD ID]],CFTTable[Event Date])</f>
        <v>45225</v>
      </c>
      <c r="W71" s="62">
        <f>_xlfn.XLOOKUP($A71,PFTTable[DOD ID],PFTTable[Class PFT],"")</f>
        <v>0</v>
      </c>
      <c r="X71" s="62" cm="1">
        <f t="array" ref="X71">_xlfn.XLOOKUP($A71,PFTTable[[DOD ID]:[DOD ID]],PFTTable[PFT Event Date])</f>
        <v>0</v>
      </c>
      <c r="Y71" s="62" cm="1">
        <f t="array" ref="Y71">_xlfn.XLOOKUP($A71,SwimTable[[DOD ID]:[DOD ID]],SwimTable[Swim MCTFS Status],"")</f>
        <v>0</v>
      </c>
      <c r="Z71" s="51" t="str" cm="1">
        <f t="array" ref="Z71">_xlfn.XLOOKUP($A72,HTWTTable[[DOD ID]:[DOD ID]],HTWTTable[MCTFS Status],"")</f>
        <v>Success</v>
      </c>
      <c r="AA71" s="51" cm="1">
        <f t="array" ref="AA71">_xlfn.XLOOKUP($A71,FYTable[[DOD ID]:[DOD ID]],FYTable[CBRN Trained / Untrained],"")</f>
        <v>0</v>
      </c>
      <c r="AC71" s="51"/>
      <c r="AD71" s="51"/>
      <c r="BC71" s="49">
        <v>1551449196</v>
      </c>
      <c r="BD71" s="49" t="s">
        <v>243</v>
      </c>
      <c r="BE71" s="49" t="s">
        <v>316</v>
      </c>
      <c r="BF71" s="49" t="s">
        <v>230</v>
      </c>
      <c r="BG71" s="49" t="s">
        <v>212</v>
      </c>
      <c r="BH71" s="49" t="s">
        <v>222</v>
      </c>
      <c r="BJ71" s="49" t="str">
        <f t="shared" si="2"/>
        <v>Bad</v>
      </c>
    </row>
    <row r="72" spans="1:62" x14ac:dyDescent="0.25">
      <c r="A72" s="136">
        <v>1208649546</v>
      </c>
      <c r="B72" s="137" t="str">
        <f>_xlfn.XLOOKUP($A72,RecallTable[EDIPI],RecallTable[GRADE])</f>
        <v>E7</v>
      </c>
      <c r="C72" s="137" t="str">
        <f>_xlfn.XLOOKUP($A72,RecallTable[EDIPI],RecallTable[NAME], $AE$1)</f>
        <v>MAXWELL, COBY A.</v>
      </c>
      <c r="D72" s="137" t="str">
        <f>_xlfn.XLOOKUP($A72,RecallTable[EDIPI],RecallTable[SECTION])</f>
        <v>SOC</v>
      </c>
      <c r="E72" s="50">
        <f>_xlfn.XLOOKUP($A72,CYTable[DOD ID],CYTable[CIAR Trained / Untrained], $AE$1)</f>
        <v>0</v>
      </c>
      <c r="F72" s="51" cm="1">
        <f t="array" ref="F72">_xlfn.XLOOKUP($A72,CYTable[[DOD ID]:[DOD ID]],CYTable[AT Trained / Untrained], $AE$1)</f>
        <v>0</v>
      </c>
      <c r="G72" s="51" cm="1">
        <f t="array" ref="G72">_xlfn.XLOOKUP($A72,CYTable[[DOD ID]:[DOD ID]],CYTable[OPSEC Trained / Untrained], $AE$1)</f>
        <v>0</v>
      </c>
      <c r="H72" s="51" cm="1">
        <f t="array" ref="H72">_xlfn.XLOOKUP($A72,CYTable[[DOD ID]:[DOD ID]],CYTable[PAC Trained / Untrained], $AE$1)</f>
        <v>0</v>
      </c>
      <c r="I72" s="51">
        <f>_xlfn.XLOOKUP($A72,CYTable[DOD ID],CYTable[RM Trained / Untrained], $AE$1)</f>
        <v>0</v>
      </c>
      <c r="J72" s="51" cm="1">
        <f t="array" ref="J72">_xlfn.XLOOKUP($A72,CYTable[[DOD ID]:[DOD ID]],CYTable[UMAPIT Trained / Untrained], $AE$1)</f>
        <v>0</v>
      </c>
      <c r="K72" s="51">
        <f>_xlfn.XLOOKUP($A72,CYTable[DOD ID],CYTable[Sup Safety Trained / Untrained], $AE$1)</f>
        <v>0</v>
      </c>
      <c r="L72" s="51">
        <f>_xlfn.XLOOKUP($A72,CYTable[DOD ID],CYTable[Substances Trained / Untrained], $AE$1)</f>
        <v>0</v>
      </c>
      <c r="M72" s="50" cm="1">
        <f t="array" ref="M72">IF(COUNTIF(TrainingTable[[#This Row],[ARQ Comments]],"*Exempt*"),"Exempt", _xlfn.XLOOKUP($A72,FYTable[[DOD ID]:[DOD ID]],FYTable[ARQ MCTFS Status], $AE$1))</f>
        <v>0</v>
      </c>
      <c r="N72" s="51" t="str" cm="1">
        <f t="array" ref="N72">_xlfn.XLOOKUP($A72,FYTable[[DOD ID]:[DOD ID]],FYTable[CYBER Trained / Untrained], $AE$1)</f>
        <v>Trained</v>
      </c>
      <c r="O72" s="51">
        <f>_xlfn.XLOOKUP($A72,FYTable[DOD ID],FYTable[Pistol Classification], $AE$1)</f>
        <v>0</v>
      </c>
      <c r="P72" s="51" t="str" cm="1">
        <f t="array" ref="P72">_xlfn.XLOOKUP($A72,FYTable[[DOD ID]:[DOD ID]],FYTable[RM Trained / Untrained], $AE$1)</f>
        <v>Trained</v>
      </c>
      <c r="Q72" s="51" cm="1">
        <f t="array" ref="Q72">_xlfn.XLOOKUP($A72,FYTable[[DOD ID]:[DOD ID]],FYTable[Step Up Trained / Untrained], $AE$1)</f>
        <v>0</v>
      </c>
      <c r="R72" s="51" cm="1">
        <f t="array" ref="R72">_xlfn.XLOOKUP($A72,FYTable[[DOD ID]:[DOD ID]],FYTable[Take A Stand Trained / Untrained], $AE$1)</f>
        <v>0</v>
      </c>
      <c r="S72" s="51" cm="1">
        <f t="array" ref="S72">_xlfn.XLOOKUP($A72,FYTable[[DOD ID]:[DOD ID]],FYTable[SAPR Trained / Untrained], $AE$1)</f>
        <v>0</v>
      </c>
      <c r="T72" s="51" cm="1">
        <f t="array" ref="T72">_xlfn.XLOOKUP($A72,FYTable[[DOD ID]:[DOD ID]],FYTable[SAPR SNCO Trained / Untrained], $AE$1)</f>
        <v>0</v>
      </c>
      <c r="U72" s="77" t="str" cm="1">
        <f t="array" ref="U72">_xlfn.XLOOKUP($A72,CFTTable[[DOD ID]:[DOD ID]],CFTTable[Class CFT],"")</f>
        <v>FIRST CLASS</v>
      </c>
      <c r="V72" s="62" cm="1">
        <f t="array" ref="V72">_xlfn.XLOOKUP($A72,CFTTable[[DOD ID]:[DOD ID]],CFTTable[Event Date])</f>
        <v>45237</v>
      </c>
      <c r="W72" s="62">
        <f>_xlfn.XLOOKUP($A72,PFTTable[DOD ID],PFTTable[Class PFT],"")</f>
        <v>0</v>
      </c>
      <c r="X72" s="62" cm="1">
        <f t="array" ref="X72">_xlfn.XLOOKUP($A72,PFTTable[[DOD ID]:[DOD ID]],PFTTable[PFT Event Date])</f>
        <v>0</v>
      </c>
      <c r="Y72" s="62" cm="1">
        <f t="array" ref="Y72">_xlfn.XLOOKUP($A72,SwimTable[[DOD ID]:[DOD ID]],SwimTable[Swim MCTFS Status],"")</f>
        <v>0</v>
      </c>
      <c r="Z72" s="51" t="str" cm="1">
        <f t="array" ref="Z72">_xlfn.XLOOKUP($A73,HTWTTable[[DOD ID]:[DOD ID]],HTWTTable[MCTFS Status],"")</f>
        <v>Success</v>
      </c>
      <c r="AA72" s="51" cm="1">
        <f t="array" ref="AA72">_xlfn.XLOOKUP($A72,FYTable[[DOD ID]:[DOD ID]],FYTable[CBRN Trained / Untrained],"")</f>
        <v>0</v>
      </c>
      <c r="AB72" s="138" t="s">
        <v>286</v>
      </c>
      <c r="AC72" s="51"/>
      <c r="AD72" s="51"/>
      <c r="BC72" s="49">
        <v>1547804224</v>
      </c>
      <c r="BD72" s="49" t="s">
        <v>209</v>
      </c>
      <c r="BE72" s="49" t="s">
        <v>316</v>
      </c>
      <c r="BF72" s="49" t="s">
        <v>211</v>
      </c>
      <c r="BG72" s="49" t="s">
        <v>212</v>
      </c>
      <c r="BH72" s="49" t="s">
        <v>261</v>
      </c>
      <c r="BJ72" s="49" t="str">
        <f t="shared" si="2"/>
        <v>Bad</v>
      </c>
    </row>
    <row r="73" spans="1:62" x14ac:dyDescent="0.25">
      <c r="A73" s="136">
        <v>1433270027</v>
      </c>
      <c r="B73" s="137" t="str">
        <f>_xlfn.XLOOKUP($A73,RecallTable[EDIPI],RecallTable[GRADE])</f>
        <v>E5</v>
      </c>
      <c r="C73" s="137" t="str">
        <f>_xlfn.XLOOKUP($A73,RecallTable[EDIPI],RecallTable[NAME], $AE$1)</f>
        <v>DAVENPORT, ANYA A.</v>
      </c>
      <c r="D73" s="137" t="str">
        <f>_xlfn.XLOOKUP($A73,RecallTable[EDIPI],RecallTable[SECTION])</f>
        <v>SOC</v>
      </c>
      <c r="E73" s="50" t="str">
        <f>_xlfn.XLOOKUP($A73,CYTable[DOD ID],CYTable[CIAR Trained / Untrained], $AE$1)</f>
        <v>Trained</v>
      </c>
      <c r="F73" s="51" cm="1">
        <f t="array" ref="F73">_xlfn.XLOOKUP($A73,CYTable[[DOD ID]:[DOD ID]],CYTable[AT Trained / Untrained], $AE$1)</f>
        <v>0</v>
      </c>
      <c r="G73" s="51" t="str" cm="1">
        <f t="array" ref="G73">_xlfn.XLOOKUP($A73,CYTable[[DOD ID]:[DOD ID]],CYTable[OPSEC Trained / Untrained], $AE$1)</f>
        <v>Trained</v>
      </c>
      <c r="H73" s="51" cm="1">
        <f t="array" ref="H73">_xlfn.XLOOKUP($A73,CYTable[[DOD ID]:[DOD ID]],CYTable[PAC Trained / Untrained], $AE$1)</f>
        <v>0</v>
      </c>
      <c r="I73" s="51" t="str">
        <f>_xlfn.XLOOKUP($A73,CYTable[DOD ID],CYTable[RM Trained / Untrained], $AE$1)</f>
        <v>Trained</v>
      </c>
      <c r="J73" s="51" cm="1">
        <f t="array" ref="J73">_xlfn.XLOOKUP($A73,CYTable[[DOD ID]:[DOD ID]],CYTable[UMAPIT Trained / Untrained], $AE$1)</f>
        <v>0</v>
      </c>
      <c r="K73" s="51" t="str">
        <f>_xlfn.XLOOKUP($A73,CYTable[DOD ID],CYTable[Sup Safety Trained / Untrained], $AE$1)</f>
        <v>Trained</v>
      </c>
      <c r="L73" s="51" t="str">
        <f>_xlfn.XLOOKUP($A73,CYTable[DOD ID],CYTable[Substances Trained / Untrained], $AE$1)</f>
        <v>Trained</v>
      </c>
      <c r="M73" s="50" t="str" cm="1">
        <f t="array" ref="M73">IF(COUNTIF(TrainingTable[[#This Row],[ARQ Comments]],"*Exempt*"),"Exempt", _xlfn.XLOOKUP($A73,FYTable[[DOD ID]:[DOD ID]],FYTable[ARQ MCTFS Status], $AE$1))</f>
        <v>Success</v>
      </c>
      <c r="N73" s="51" t="str" cm="1">
        <f t="array" ref="N73">_xlfn.XLOOKUP($A73,FYTable[[DOD ID]:[DOD ID]],FYTable[CYBER Trained / Untrained], $AE$1)</f>
        <v>Trained</v>
      </c>
      <c r="O73" s="51" t="str">
        <f>_xlfn.XLOOKUP($A73,FYTable[DOD ID],FYTable[Pistol Classification], $AE$1)</f>
        <v>EXPERT</v>
      </c>
      <c r="P73" s="51" t="str" cm="1">
        <f t="array" ref="P73">_xlfn.XLOOKUP($A73,FYTable[[DOD ID]:[DOD ID]],FYTable[RM Trained / Untrained], $AE$1)</f>
        <v>Trained</v>
      </c>
      <c r="Q73" s="51" cm="1">
        <f t="array" ref="Q73">_xlfn.XLOOKUP($A73,FYTable[[DOD ID]:[DOD ID]],FYTable[Step Up Trained / Untrained], $AE$1)</f>
        <v>0</v>
      </c>
      <c r="R73" s="51" t="str" cm="1">
        <f t="array" ref="R73">_xlfn.XLOOKUP($A73,FYTable[[DOD ID]:[DOD ID]],FYTable[Take A Stand Trained / Untrained], $AE$1)</f>
        <v>Trained</v>
      </c>
      <c r="S73" s="51" cm="1">
        <f t="array" ref="S73">_xlfn.XLOOKUP($A73,FYTable[[DOD ID]:[DOD ID]],FYTable[SAPR Trained / Untrained], $AE$1)</f>
        <v>0</v>
      </c>
      <c r="T73" s="51" cm="1">
        <f t="array" ref="T73">_xlfn.XLOOKUP($A73,FYTable[[DOD ID]:[DOD ID]],FYTable[SAPR SNCO Trained / Untrained], $AE$1)</f>
        <v>0</v>
      </c>
      <c r="U73" s="77" t="str" cm="1">
        <f t="array" ref="U73">_xlfn.XLOOKUP($A73,CFTTable[[DOD ID]:[DOD ID]],CFTTable[Class CFT],"")</f>
        <v>FIRST CLASS</v>
      </c>
      <c r="V73" s="62" cm="1">
        <f t="array" ref="V73">_xlfn.XLOOKUP($A73,CFTTable[[DOD ID]:[DOD ID]],CFTTable[Event Date])</f>
        <v>45224</v>
      </c>
      <c r="W73" s="62">
        <f>_xlfn.XLOOKUP($A73,PFTTable[DOD ID],PFTTable[Class PFT],"")</f>
        <v>0</v>
      </c>
      <c r="X73" s="62" cm="1">
        <f t="array" ref="X73">_xlfn.XLOOKUP($A73,PFTTable[[DOD ID]:[DOD ID]],PFTTable[PFT Event Date])</f>
        <v>0</v>
      </c>
      <c r="Y73" s="62" cm="1">
        <f t="array" ref="Y73">_xlfn.XLOOKUP($A73,SwimTable[[DOD ID]:[DOD ID]],SwimTable[Swim MCTFS Status],"")</f>
        <v>0</v>
      </c>
      <c r="Z73" s="51" cm="1">
        <f t="array" ref="Z73">_xlfn.XLOOKUP($A74,HTWTTable[[DOD ID]:[DOD ID]],HTWTTable[MCTFS Status],"")</f>
        <v>0</v>
      </c>
      <c r="AA73" s="51" t="str" cm="1">
        <f t="array" ref="AA73">_xlfn.XLOOKUP($A73,FYTable[[DOD ID]:[DOD ID]],FYTable[CBRN Trained / Untrained],"")</f>
        <v>Trained</v>
      </c>
      <c r="AB73" s="138" t="s">
        <v>286</v>
      </c>
      <c r="AC73" s="51"/>
      <c r="AD73" s="51"/>
      <c r="BC73" s="49">
        <v>1586709247</v>
      </c>
      <c r="BD73" s="49" t="s">
        <v>209</v>
      </c>
      <c r="BE73" s="49" t="s">
        <v>317</v>
      </c>
      <c r="BF73" s="49" t="s">
        <v>211</v>
      </c>
      <c r="BG73" s="49" t="s">
        <v>36</v>
      </c>
      <c r="BH73" s="49" t="s">
        <v>318</v>
      </c>
      <c r="BJ73" s="49" t="str">
        <f t="shared" si="2"/>
        <v>Bad</v>
      </c>
    </row>
    <row r="74" spans="1:62" x14ac:dyDescent="0.25">
      <c r="A74" s="136">
        <v>1517276328</v>
      </c>
      <c r="B74" s="137" t="str">
        <f>_xlfn.XLOOKUP($A74,RecallTable[EDIPI],RecallTable[GRADE])</f>
        <v>E4</v>
      </c>
      <c r="C74" s="137" t="str">
        <f>_xlfn.XLOOKUP($A74,RecallTable[EDIPI],RecallTable[NAME], $AE$1)</f>
        <v>ALVAREZ, KIANA A.</v>
      </c>
      <c r="D74" s="137" t="str">
        <f>_xlfn.XLOOKUP($A74,RecallTable[EDIPI],RecallTable[SECTION])</f>
        <v>SOC</v>
      </c>
      <c r="E74" s="50">
        <f>_xlfn.XLOOKUP($A74,CYTable[DOD ID],CYTable[CIAR Trained / Untrained], $AE$1)</f>
        <v>0</v>
      </c>
      <c r="F74" s="51" cm="1">
        <f t="array" ref="F74">_xlfn.XLOOKUP($A74,CYTable[[DOD ID]:[DOD ID]],CYTable[AT Trained / Untrained], $AE$1)</f>
        <v>0</v>
      </c>
      <c r="G74" s="51" cm="1">
        <f t="array" ref="G74">_xlfn.XLOOKUP($A74,CYTable[[DOD ID]:[DOD ID]],CYTable[OPSEC Trained / Untrained], $AE$1)</f>
        <v>0</v>
      </c>
      <c r="H74" s="51" cm="1">
        <f t="array" ref="H74">_xlfn.XLOOKUP($A74,CYTable[[DOD ID]:[DOD ID]],CYTable[PAC Trained / Untrained], $AE$1)</f>
        <v>0</v>
      </c>
      <c r="I74" s="51">
        <f>_xlfn.XLOOKUP($A74,CYTable[DOD ID],CYTable[RM Trained / Untrained], $AE$1)</f>
        <v>0</v>
      </c>
      <c r="J74" s="51" cm="1">
        <f t="array" ref="J74">_xlfn.XLOOKUP($A74,CYTable[[DOD ID]:[DOD ID]],CYTable[UMAPIT Trained / Untrained], $AE$1)</f>
        <v>0</v>
      </c>
      <c r="K74" s="51">
        <f>_xlfn.XLOOKUP($A74,CYTable[DOD ID],CYTable[Sup Safety Trained / Untrained], $AE$1)</f>
        <v>0</v>
      </c>
      <c r="L74" s="51">
        <f>_xlfn.XLOOKUP($A74,CYTable[DOD ID],CYTable[Substances Trained / Untrained], $AE$1)</f>
        <v>0</v>
      </c>
      <c r="M74" s="50" cm="1">
        <f t="array" ref="M74">IF(COUNTIF(TrainingTable[[#This Row],[ARQ Comments]],"*Exempt*"),"Exempt", _xlfn.XLOOKUP($A74,FYTable[[DOD ID]:[DOD ID]],FYTable[ARQ MCTFS Status], $AE$1))</f>
        <v>0</v>
      </c>
      <c r="N74" s="51" t="str" cm="1">
        <f t="array" ref="N74">_xlfn.XLOOKUP($A74,FYTable[[DOD ID]:[DOD ID]],FYTable[CYBER Trained / Untrained], $AE$1)</f>
        <v>Trained</v>
      </c>
      <c r="O74" s="51">
        <f>_xlfn.XLOOKUP($A74,FYTable[DOD ID],FYTable[Pistol Classification], $AE$1)</f>
        <v>0</v>
      </c>
      <c r="P74" s="51" t="str" cm="1">
        <f t="array" ref="P74">_xlfn.XLOOKUP($A74,FYTable[[DOD ID]:[DOD ID]],FYTable[RM Trained / Untrained], $AE$1)</f>
        <v>Trained</v>
      </c>
      <c r="Q74" s="51" t="str" cm="1">
        <f t="array" ref="Q74">_xlfn.XLOOKUP($A74,FYTable[[DOD ID]:[DOD ID]],FYTable[Step Up Trained / Untrained], $AE$1)</f>
        <v>Trained</v>
      </c>
      <c r="R74" s="51" cm="1">
        <f t="array" ref="R74">_xlfn.XLOOKUP($A74,FYTable[[DOD ID]:[DOD ID]],FYTable[Take A Stand Trained / Untrained], $AE$1)</f>
        <v>0</v>
      </c>
      <c r="S74" s="51" cm="1">
        <f t="array" ref="S74">_xlfn.XLOOKUP($A74,FYTable[[DOD ID]:[DOD ID]],FYTable[SAPR Trained / Untrained], $AE$1)</f>
        <v>0</v>
      </c>
      <c r="T74" s="51" cm="1">
        <f t="array" ref="T74">_xlfn.XLOOKUP($A74,FYTable[[DOD ID]:[DOD ID]],FYTable[SAPR SNCO Trained / Untrained], $AE$1)</f>
        <v>0</v>
      </c>
      <c r="U74" s="77" t="str" cm="1">
        <f t="array" ref="U74">_xlfn.XLOOKUP($A74,CFTTable[[DOD ID]:[DOD ID]],CFTTable[Class CFT],"")</f>
        <v>FIRST CLASS</v>
      </c>
      <c r="V74" s="62" cm="1">
        <f t="array" ref="V74">_xlfn.XLOOKUP($A74,CFTTable[[DOD ID]:[DOD ID]],CFTTable[Event Date])</f>
        <v>45166</v>
      </c>
      <c r="W74" s="62">
        <f>_xlfn.XLOOKUP($A74,PFTTable[DOD ID],PFTTable[Class PFT],"")</f>
        <v>0</v>
      </c>
      <c r="X74" s="62" cm="1">
        <f t="array" ref="X74">_xlfn.XLOOKUP($A74,PFTTable[[DOD ID]:[DOD ID]],PFTTable[PFT Event Date])</f>
        <v>0</v>
      </c>
      <c r="Y74" s="62" cm="1">
        <f t="array" ref="Y74">_xlfn.XLOOKUP($A74,SwimTable[[DOD ID]:[DOD ID]],SwimTable[Swim MCTFS Status],"")</f>
        <v>0</v>
      </c>
      <c r="Z74" s="51" cm="1">
        <f t="array" ref="Z74">_xlfn.XLOOKUP($A75,HTWTTable[[DOD ID]:[DOD ID]],HTWTTable[MCTFS Status],"")</f>
        <v>0</v>
      </c>
      <c r="AA74" s="51" t="str" cm="1">
        <f t="array" ref="AA74">_xlfn.XLOOKUP($A74,FYTable[[DOD ID]:[DOD ID]],FYTable[CBRN Trained / Untrained],"")</f>
        <v>Trained</v>
      </c>
      <c r="AC74" s="51"/>
      <c r="AD74" s="51"/>
      <c r="BC74" s="49">
        <v>1594314448</v>
      </c>
      <c r="BD74" s="49" t="s">
        <v>235</v>
      </c>
      <c r="BE74" s="49" t="s">
        <v>319</v>
      </c>
      <c r="BF74" s="49" t="s">
        <v>225</v>
      </c>
      <c r="BG74" s="49" t="s">
        <v>212</v>
      </c>
      <c r="BH74" s="49" t="s">
        <v>305</v>
      </c>
      <c r="BJ74" s="49" t="str">
        <f t="shared" si="2"/>
        <v>Bad</v>
      </c>
    </row>
    <row r="75" spans="1:62" x14ac:dyDescent="0.25">
      <c r="A75" s="136">
        <v>1312308399</v>
      </c>
      <c r="B75" s="137" t="str">
        <f>_xlfn.XLOOKUP($A75,RecallTable[EDIPI],RecallTable[GRADE])</f>
        <v>E3</v>
      </c>
      <c r="C75" s="137" t="str">
        <f>_xlfn.XLOOKUP($A75,RecallTable[EDIPI],RecallTable[NAME], $AE$1)</f>
        <v>TRAVIS, ANGELINA A.</v>
      </c>
      <c r="D75" s="137" t="str">
        <f>_xlfn.XLOOKUP($A75,RecallTable[EDIPI],RecallTable[SECTION])</f>
        <v>SOC</v>
      </c>
      <c r="E75" s="50">
        <f>_xlfn.XLOOKUP($A75,CYTable[DOD ID],CYTable[CIAR Trained / Untrained], $AE$1)</f>
        <v>0</v>
      </c>
      <c r="F75" s="51" cm="1">
        <f t="array" ref="F75">_xlfn.XLOOKUP($A75,CYTable[[DOD ID]:[DOD ID]],CYTable[AT Trained / Untrained], $AE$1)</f>
        <v>0</v>
      </c>
      <c r="G75" s="51" cm="1">
        <f t="array" ref="G75">_xlfn.XLOOKUP($A75,CYTable[[DOD ID]:[DOD ID]],CYTable[OPSEC Trained / Untrained], $AE$1)</f>
        <v>0</v>
      </c>
      <c r="H75" s="51" cm="1">
        <f t="array" ref="H75">_xlfn.XLOOKUP($A75,CYTable[[DOD ID]:[DOD ID]],CYTable[PAC Trained / Untrained], $AE$1)</f>
        <v>0</v>
      </c>
      <c r="I75" s="51">
        <f>_xlfn.XLOOKUP($A75,CYTable[DOD ID],CYTable[RM Trained / Untrained], $AE$1)</f>
        <v>0</v>
      </c>
      <c r="J75" s="51" cm="1">
        <f t="array" ref="J75">_xlfn.XLOOKUP($A75,CYTable[[DOD ID]:[DOD ID]],CYTable[UMAPIT Trained / Untrained], $AE$1)</f>
        <v>0</v>
      </c>
      <c r="K75" s="51">
        <f>_xlfn.XLOOKUP($A75,CYTable[DOD ID],CYTable[Sup Safety Trained / Untrained], $AE$1)</f>
        <v>0</v>
      </c>
      <c r="L75" s="51">
        <f>_xlfn.XLOOKUP($A75,CYTable[DOD ID],CYTable[Substances Trained / Untrained], $AE$1)</f>
        <v>0</v>
      </c>
      <c r="M75" s="50" cm="1">
        <f t="array" ref="M75">IF(COUNTIF(TrainingTable[[#This Row],[ARQ Comments]],"*Exempt*"),"Exempt", _xlfn.XLOOKUP($A75,FYTable[[DOD ID]:[DOD ID]],FYTable[ARQ MCTFS Status], $AE$1))</f>
        <v>0</v>
      </c>
      <c r="N75" s="51" cm="1">
        <f t="array" ref="N75">_xlfn.XLOOKUP($A75,FYTable[[DOD ID]:[DOD ID]],FYTable[CYBER Trained / Untrained], $AE$1)</f>
        <v>0</v>
      </c>
      <c r="O75" s="51">
        <f>_xlfn.XLOOKUP($A75,FYTable[DOD ID],FYTable[Pistol Classification], $AE$1)</f>
        <v>0</v>
      </c>
      <c r="P75" s="51" t="str" cm="1">
        <f t="array" ref="P75">_xlfn.XLOOKUP($A75,FYTable[[DOD ID]:[DOD ID]],FYTable[RM Trained / Untrained], $AE$1)</f>
        <v>Trained</v>
      </c>
      <c r="Q75" s="51" cm="1">
        <f t="array" ref="Q75">_xlfn.XLOOKUP($A75,FYTable[[DOD ID]:[DOD ID]],FYTable[Step Up Trained / Untrained], $AE$1)</f>
        <v>0</v>
      </c>
      <c r="R75" s="51" t="str" cm="1">
        <f t="array" ref="R75">_xlfn.XLOOKUP($A75,FYTable[[DOD ID]:[DOD ID]],FYTable[Take A Stand Trained / Untrained], $AE$1)</f>
        <v>Trained</v>
      </c>
      <c r="S75" s="51" cm="1">
        <f t="array" ref="S75">_xlfn.XLOOKUP($A75,FYTable[[DOD ID]:[DOD ID]],FYTable[SAPR Trained / Untrained], $AE$1)</f>
        <v>0</v>
      </c>
      <c r="T75" s="51" cm="1">
        <f t="array" ref="T75">_xlfn.XLOOKUP($A75,FYTable[[DOD ID]:[DOD ID]],FYTable[SAPR SNCO Trained / Untrained], $AE$1)</f>
        <v>0</v>
      </c>
      <c r="U75" s="77" t="str" cm="1">
        <f t="array" ref="U75">_xlfn.XLOOKUP($A75,CFTTable[[DOD ID]:[DOD ID]],CFTTable[Class CFT],"")</f>
        <v>FIRST CLASS</v>
      </c>
      <c r="V75" s="62" cm="1">
        <f t="array" ref="V75">_xlfn.XLOOKUP($A75,CFTTable[[DOD ID]:[DOD ID]],CFTTable[Event Date])</f>
        <v>45225</v>
      </c>
      <c r="W75" s="62" t="str">
        <f>_xlfn.XLOOKUP($A75,PFTTable[DOD ID],PFTTable[Class PFT],"")</f>
        <v>Partial</v>
      </c>
      <c r="X75" s="62" cm="1">
        <f t="array" ref="X75">_xlfn.XLOOKUP($A75,PFTTable[[DOD ID]:[DOD ID]],PFTTable[PFT Event Date])</f>
        <v>45330</v>
      </c>
      <c r="Y75" s="62" cm="1">
        <f t="array" ref="Y75">_xlfn.XLOOKUP($A75,SwimTable[[DOD ID]:[DOD ID]],SwimTable[Swim MCTFS Status],"")</f>
        <v>0</v>
      </c>
      <c r="Z75" s="51" cm="1">
        <f t="array" ref="Z75">_xlfn.XLOOKUP($A76,HTWTTable[[DOD ID]:[DOD ID]],HTWTTable[MCTFS Status],"")</f>
        <v>0</v>
      </c>
      <c r="AA75" s="51" cm="1">
        <f t="array" ref="AA75">_xlfn.XLOOKUP($A75,FYTable[[DOD ID]:[DOD ID]],FYTable[CBRN Trained / Untrained],"")</f>
        <v>0</v>
      </c>
      <c r="AC75" s="51"/>
      <c r="AD75" s="51"/>
      <c r="BC75" s="49">
        <v>1553117719</v>
      </c>
      <c r="BD75" s="49" t="s">
        <v>243</v>
      </c>
      <c r="BE75" s="49" t="s">
        <v>320</v>
      </c>
      <c r="BF75" s="49" t="s">
        <v>225</v>
      </c>
      <c r="BG75" s="49" t="s">
        <v>212</v>
      </c>
      <c r="BH75" s="49" t="s">
        <v>246</v>
      </c>
      <c r="BJ75" s="49" t="str">
        <f t="shared" si="2"/>
        <v>Bad</v>
      </c>
    </row>
    <row r="76" spans="1:62" x14ac:dyDescent="0.25">
      <c r="A76" s="136">
        <v>1025451492</v>
      </c>
      <c r="B76" s="137" t="str">
        <f>_xlfn.XLOOKUP($A76,RecallTable[EDIPI],RecallTable[GRADE])</f>
        <v>E3</v>
      </c>
      <c r="C76" s="137" t="str">
        <f>_xlfn.XLOOKUP($A76,RecallTable[EDIPI],RecallTable[NAME], $AE$1)</f>
        <v>BLEVINS, TOBIAS A.</v>
      </c>
      <c r="D76" s="137" t="str">
        <f>_xlfn.XLOOKUP($A76,RecallTable[EDIPI],RecallTable[SECTION])</f>
        <v>SOC</v>
      </c>
      <c r="E76" s="50" t="str">
        <f>_xlfn.XLOOKUP($A76,CYTable[DOD ID],CYTable[CIAR Trained / Untrained], $AE$1)</f>
        <v>Trained</v>
      </c>
      <c r="F76" s="51" cm="1">
        <f t="array" ref="F76">_xlfn.XLOOKUP($A76,CYTable[[DOD ID]:[DOD ID]],CYTable[AT Trained / Untrained], $AE$1)</f>
        <v>0</v>
      </c>
      <c r="G76" s="51" t="str" cm="1">
        <f t="array" ref="G76">_xlfn.XLOOKUP($A76,CYTable[[DOD ID]:[DOD ID]],CYTable[OPSEC Trained / Untrained], $AE$1)</f>
        <v>Trained</v>
      </c>
      <c r="H76" s="51" cm="1">
        <f t="array" ref="H76">_xlfn.XLOOKUP($A76,CYTable[[DOD ID]:[DOD ID]],CYTable[PAC Trained / Untrained], $AE$1)</f>
        <v>0</v>
      </c>
      <c r="I76" s="51" t="str">
        <f>_xlfn.XLOOKUP($A76,CYTable[DOD ID],CYTable[RM Trained / Untrained], $AE$1)</f>
        <v>Trained</v>
      </c>
      <c r="J76" s="51" cm="1">
        <f t="array" ref="J76">_xlfn.XLOOKUP($A76,CYTable[[DOD ID]:[DOD ID]],CYTable[UMAPIT Trained / Untrained], $AE$1)</f>
        <v>0</v>
      </c>
      <c r="K76" s="51" t="str">
        <f>_xlfn.XLOOKUP($A76,CYTable[DOD ID],CYTable[Sup Safety Trained / Untrained], $AE$1)</f>
        <v>Trained</v>
      </c>
      <c r="L76" s="51" t="str">
        <f>_xlfn.XLOOKUP($A76,CYTable[DOD ID],CYTable[Substances Trained / Untrained], $AE$1)</f>
        <v>Trained</v>
      </c>
      <c r="M76" s="50" cm="1">
        <f t="array" ref="M76">IF(COUNTIF(TrainingTable[[#This Row],[ARQ Comments]],"*Exempt*"),"Exempt", _xlfn.XLOOKUP($A76,FYTable[[DOD ID]:[DOD ID]],FYTable[ARQ MCTFS Status], $AE$1))</f>
        <v>0</v>
      </c>
      <c r="N76" s="51" t="str" cm="1">
        <f t="array" ref="N76">_xlfn.XLOOKUP($A76,FYTable[[DOD ID]:[DOD ID]],FYTable[CYBER Trained / Untrained], $AE$1)</f>
        <v>Trained</v>
      </c>
      <c r="O76" s="51">
        <f>_xlfn.XLOOKUP($A76,FYTable[DOD ID],FYTable[Pistol Classification], $AE$1)</f>
        <v>0</v>
      </c>
      <c r="P76" s="51" cm="1">
        <f t="array" ref="P76">_xlfn.XLOOKUP($A76,FYTable[[DOD ID]:[DOD ID]],FYTable[RM Trained / Untrained], $AE$1)</f>
        <v>0</v>
      </c>
      <c r="Q76" s="51" cm="1">
        <f t="array" ref="Q76">_xlfn.XLOOKUP($A76,FYTable[[DOD ID]:[DOD ID]],FYTable[Step Up Trained / Untrained], $AE$1)</f>
        <v>0</v>
      </c>
      <c r="R76" s="51" cm="1">
        <f t="array" ref="R76">_xlfn.XLOOKUP($A76,FYTable[[DOD ID]:[DOD ID]],FYTable[Take A Stand Trained / Untrained], $AE$1)</f>
        <v>0</v>
      </c>
      <c r="S76" s="51" cm="1">
        <f t="array" ref="S76">_xlfn.XLOOKUP($A76,FYTable[[DOD ID]:[DOD ID]],FYTable[SAPR Trained / Untrained], $AE$1)</f>
        <v>0</v>
      </c>
      <c r="T76" s="51" cm="1">
        <f t="array" ref="T76">_xlfn.XLOOKUP($A76,FYTable[[DOD ID]:[DOD ID]],FYTable[SAPR SNCO Trained / Untrained], $AE$1)</f>
        <v>0</v>
      </c>
      <c r="U76" s="77" t="str" cm="1">
        <f t="array" ref="U76">_xlfn.XLOOKUP($A76,CFTTable[[DOD ID]:[DOD ID]],CFTTable[Class CFT],"")</f>
        <v>FIRST CLASS</v>
      </c>
      <c r="V76" s="62" cm="1">
        <f t="array" ref="V76">_xlfn.XLOOKUP($A76,CFTTable[[DOD ID]:[DOD ID]],CFTTable[Event Date])</f>
        <v>45195</v>
      </c>
      <c r="W76" s="62">
        <f>_xlfn.XLOOKUP($A76,PFTTable[DOD ID],PFTTable[Class PFT],"")</f>
        <v>0</v>
      </c>
      <c r="X76" s="62" cm="1">
        <f t="array" ref="X76">_xlfn.XLOOKUP($A76,PFTTable[[DOD ID]:[DOD ID]],PFTTable[PFT Event Date])</f>
        <v>0</v>
      </c>
      <c r="Y76" s="62" cm="1">
        <f t="array" ref="Y76">_xlfn.XLOOKUP($A76,SwimTable[[DOD ID]:[DOD ID]],SwimTable[Swim MCTFS Status],"")</f>
        <v>0</v>
      </c>
      <c r="Z76" s="51" cm="1">
        <f t="array" ref="Z76">_xlfn.XLOOKUP($A77,HTWTTable[[DOD ID]:[DOD ID]],HTWTTable[MCTFS Status],"")</f>
        <v>0</v>
      </c>
      <c r="AA76" s="51" cm="1">
        <f t="array" ref="AA76">_xlfn.XLOOKUP($A76,FYTable[[DOD ID]:[DOD ID]],FYTable[CBRN Trained / Untrained],"")</f>
        <v>0</v>
      </c>
      <c r="AC76" s="51"/>
      <c r="AD76" s="51"/>
      <c r="BC76" s="49">
        <v>1396233777</v>
      </c>
      <c r="BD76" s="49" t="s">
        <v>178</v>
      </c>
      <c r="BE76" s="49" t="s">
        <v>321</v>
      </c>
      <c r="BF76" s="49" t="s">
        <v>239</v>
      </c>
      <c r="BG76" s="49" t="s">
        <v>36</v>
      </c>
      <c r="BH76" s="49" t="s">
        <v>240</v>
      </c>
      <c r="BJ76" s="49" t="str">
        <f t="shared" si="2"/>
        <v>Bad</v>
      </c>
    </row>
    <row r="77" spans="1:62" x14ac:dyDescent="0.25">
      <c r="A77" s="136">
        <v>1041964509</v>
      </c>
      <c r="B77" s="137" t="str">
        <f>_xlfn.XLOOKUP($A77,RecallTable[EDIPI],RecallTable[GRADE])</f>
        <v>O4</v>
      </c>
      <c r="C77" s="137" t="str">
        <f>_xlfn.XLOOKUP($A77,RecallTable[EDIPI],RecallTable[NAME], $AE$1)</f>
        <v>ROSE, YUSUF A.</v>
      </c>
      <c r="D77" s="137" t="str">
        <f>_xlfn.XLOOKUP($A77,RecallTable[EDIPI],RecallTable[SECTION])</f>
        <v>HQ</v>
      </c>
      <c r="E77" s="50">
        <f>_xlfn.XLOOKUP($A77,CYTable[DOD ID],CYTable[CIAR Trained / Untrained], $AE$1)</f>
        <v>0</v>
      </c>
      <c r="F77" s="51" cm="1">
        <f t="array" ref="F77">_xlfn.XLOOKUP($A77,CYTable[[DOD ID]:[DOD ID]],CYTable[AT Trained / Untrained], $AE$1)</f>
        <v>0</v>
      </c>
      <c r="G77" s="51" cm="1">
        <f t="array" ref="G77">_xlfn.XLOOKUP($A77,CYTable[[DOD ID]:[DOD ID]],CYTable[OPSEC Trained / Untrained], $AE$1)</f>
        <v>0</v>
      </c>
      <c r="H77" s="51" cm="1">
        <f t="array" ref="H77">_xlfn.XLOOKUP($A77,CYTable[[DOD ID]:[DOD ID]],CYTable[PAC Trained / Untrained], $AE$1)</f>
        <v>0</v>
      </c>
      <c r="I77" s="51">
        <f>_xlfn.XLOOKUP($A77,CYTable[DOD ID],CYTable[RM Trained / Untrained], $AE$1)</f>
        <v>0</v>
      </c>
      <c r="J77" s="51" cm="1">
        <f t="array" ref="J77">_xlfn.XLOOKUP($A77,CYTable[[DOD ID]:[DOD ID]],CYTable[UMAPIT Trained / Untrained], $AE$1)</f>
        <v>0</v>
      </c>
      <c r="K77" s="51">
        <f>_xlfn.XLOOKUP($A77,CYTable[DOD ID],CYTable[Sup Safety Trained / Untrained], $AE$1)</f>
        <v>0</v>
      </c>
      <c r="L77" s="51">
        <f>_xlfn.XLOOKUP($A77,CYTable[DOD ID],CYTable[Substances Trained / Untrained], $AE$1)</f>
        <v>0</v>
      </c>
      <c r="M77" s="50" cm="1">
        <f t="array" ref="M77">IF(COUNTIF(TrainingTable[[#This Row],[ARQ Comments]],"*Exempt*"),"Exempt", _xlfn.XLOOKUP($A77,FYTable[[DOD ID]:[DOD ID]],FYTable[ARQ MCTFS Status], $AE$1))</f>
        <v>0</v>
      </c>
      <c r="N77" s="51" t="str" cm="1">
        <f t="array" ref="N77">_xlfn.XLOOKUP($A77,FYTable[[DOD ID]:[DOD ID]],FYTable[CYBER Trained / Untrained], $AE$1)</f>
        <v>Trained</v>
      </c>
      <c r="O77" s="51">
        <f>_xlfn.XLOOKUP($A77,FYTable[DOD ID],FYTable[Pistol Classification], $AE$1)</f>
        <v>0</v>
      </c>
      <c r="P77" s="51" t="str" cm="1">
        <f t="array" ref="P77">_xlfn.XLOOKUP($A77,FYTable[[DOD ID]:[DOD ID]],FYTable[RM Trained / Untrained], $AE$1)</f>
        <v>Trained</v>
      </c>
      <c r="Q77" s="51" t="str" cm="1">
        <f t="array" ref="Q77">_xlfn.XLOOKUP($A77,FYTable[[DOD ID]:[DOD ID]],FYTable[Step Up Trained / Untrained], $AE$1)</f>
        <v>Trained</v>
      </c>
      <c r="R77" s="51" t="str" cm="1">
        <f t="array" ref="R77">_xlfn.XLOOKUP($A77,FYTable[[DOD ID]:[DOD ID]],FYTable[Take A Stand Trained / Untrained], $AE$1)</f>
        <v>Trained</v>
      </c>
      <c r="S77" s="51" t="str" cm="1">
        <f t="array" ref="S77">_xlfn.XLOOKUP($A77,FYTable[[DOD ID]:[DOD ID]],FYTable[SAPR Trained / Untrained], $AE$1)</f>
        <v>Trained</v>
      </c>
      <c r="T77" s="51" t="str" cm="1">
        <f t="array" ref="T77">_xlfn.XLOOKUP($A77,FYTable[[DOD ID]:[DOD ID]],FYTable[SAPR SNCO Trained / Untrained], $AE$1)</f>
        <v>Trained</v>
      </c>
      <c r="U77" s="77" t="str" cm="1">
        <f t="array" ref="U77">_xlfn.XLOOKUP($A77,CFTTable[[DOD ID]:[DOD ID]],CFTTable[Class CFT],"")</f>
        <v>FIRST CLASS</v>
      </c>
      <c r="V77" s="62" cm="1">
        <f t="array" ref="V77">_xlfn.XLOOKUP($A77,CFTTable[[DOD ID]:[DOD ID]],CFTTable[Event Date])</f>
        <v>45250</v>
      </c>
      <c r="W77" s="62">
        <f>_xlfn.XLOOKUP($A77,PFTTable[DOD ID],PFTTable[Class PFT],"")</f>
        <v>0</v>
      </c>
      <c r="X77" s="62" cm="1">
        <f t="array" ref="X77">_xlfn.XLOOKUP($A77,PFTTable[[DOD ID]:[DOD ID]],PFTTable[PFT Event Date])</f>
        <v>0</v>
      </c>
      <c r="Y77" s="62" cm="1">
        <f t="array" ref="Y77">_xlfn.XLOOKUP($A77,SwimTable[[DOD ID]:[DOD ID]],SwimTable[Swim MCTFS Status],"")</f>
        <v>0</v>
      </c>
      <c r="Z77" s="51" cm="1">
        <f t="array" ref="Z77">_xlfn.XLOOKUP($A78,HTWTTable[[DOD ID]:[DOD ID]],HTWTTable[MCTFS Status],"")</f>
        <v>0</v>
      </c>
      <c r="AA77" s="51" t="str" cm="1">
        <f t="array" ref="AA77">_xlfn.XLOOKUP($A77,FYTable[[DOD ID]:[DOD ID]],FYTable[CBRN Trained / Untrained],"")</f>
        <v>Trained</v>
      </c>
      <c r="AC77" s="51"/>
      <c r="AD77" s="51"/>
      <c r="BC77" s="49">
        <v>1572488612</v>
      </c>
      <c r="BD77" s="49" t="s">
        <v>209</v>
      </c>
      <c r="BE77" s="49" t="s">
        <v>322</v>
      </c>
      <c r="BF77" s="49" t="s">
        <v>211</v>
      </c>
      <c r="BG77" s="49" t="s">
        <v>212</v>
      </c>
      <c r="BH77" s="49" t="s">
        <v>237</v>
      </c>
      <c r="BJ77" s="49" t="str">
        <f t="shared" si="2"/>
        <v>Bad</v>
      </c>
    </row>
    <row r="78" spans="1:62" x14ac:dyDescent="0.25">
      <c r="A78" s="136">
        <v>1366872660</v>
      </c>
      <c r="B78" s="137" t="str">
        <f>_xlfn.XLOOKUP($A78,RecallTable[EDIPI],RecallTable[GRADE])</f>
        <v>O2</v>
      </c>
      <c r="C78" s="137" t="str">
        <f>_xlfn.XLOOKUP($A78,RecallTable[EDIPI],RecallTable[NAME], $AE$1)</f>
        <v>HARRINGTON, TODD A.</v>
      </c>
      <c r="D78" s="137" t="str">
        <f>_xlfn.XLOOKUP($A78,RecallTable[EDIPI],RecallTable[SECTION])</f>
        <v>HQ</v>
      </c>
      <c r="E78" s="50">
        <f>_xlfn.XLOOKUP($A78,CYTable[DOD ID],CYTable[CIAR Trained / Untrained], $AE$1)</f>
        <v>0</v>
      </c>
      <c r="F78" s="51" cm="1">
        <f t="array" ref="F78">_xlfn.XLOOKUP($A78,CYTable[[DOD ID]:[DOD ID]],CYTable[AT Trained / Untrained], $AE$1)</f>
        <v>0</v>
      </c>
      <c r="G78" s="51" cm="1">
        <f t="array" ref="G78">_xlfn.XLOOKUP($A78,CYTable[[DOD ID]:[DOD ID]],CYTable[OPSEC Trained / Untrained], $AE$1)</f>
        <v>0</v>
      </c>
      <c r="H78" s="51" cm="1">
        <f t="array" ref="H78">_xlfn.XLOOKUP($A78,CYTable[[DOD ID]:[DOD ID]],CYTable[PAC Trained / Untrained], $AE$1)</f>
        <v>0</v>
      </c>
      <c r="I78" s="51">
        <f>_xlfn.XLOOKUP($A78,CYTable[DOD ID],CYTable[RM Trained / Untrained], $AE$1)</f>
        <v>0</v>
      </c>
      <c r="J78" s="51" cm="1">
        <f t="array" ref="J78">_xlfn.XLOOKUP($A78,CYTable[[DOD ID]:[DOD ID]],CYTable[UMAPIT Trained / Untrained], $AE$1)</f>
        <v>0</v>
      </c>
      <c r="K78" s="51">
        <f>_xlfn.XLOOKUP($A78,CYTable[DOD ID],CYTable[Sup Safety Trained / Untrained], $AE$1)</f>
        <v>0</v>
      </c>
      <c r="L78" s="51">
        <f>_xlfn.XLOOKUP($A78,CYTable[DOD ID],CYTable[Substances Trained / Untrained], $AE$1)</f>
        <v>0</v>
      </c>
      <c r="M78" s="50" t="str" cm="1">
        <f t="array" ref="M78">IF(COUNTIF(TrainingTable[[#This Row],[ARQ Comments]],"*Exempt*"),"Exempt", _xlfn.XLOOKUP($A78,FYTable[[DOD ID]:[DOD ID]],FYTable[ARQ MCTFS Status], $AE$1))</f>
        <v>Success</v>
      </c>
      <c r="N78" s="51" t="str" cm="1">
        <f t="array" ref="N78">_xlfn.XLOOKUP($A78,FYTable[[DOD ID]:[DOD ID]],FYTable[CYBER Trained / Untrained], $AE$1)</f>
        <v>Trained</v>
      </c>
      <c r="O78" s="51">
        <f>_xlfn.XLOOKUP($A78,FYTable[DOD ID],FYTable[Pistol Classification], $AE$1)</f>
        <v>0</v>
      </c>
      <c r="P78" s="51" t="str" cm="1">
        <f t="array" ref="P78">_xlfn.XLOOKUP($A78,FYTable[[DOD ID]:[DOD ID]],FYTable[RM Trained / Untrained], $AE$1)</f>
        <v>Trained</v>
      </c>
      <c r="Q78" s="51" cm="1">
        <f t="array" ref="Q78">_xlfn.XLOOKUP($A78,FYTable[[DOD ID]:[DOD ID]],FYTable[Step Up Trained / Untrained], $AE$1)</f>
        <v>0</v>
      </c>
      <c r="R78" s="51" cm="1">
        <f t="array" ref="R78">_xlfn.XLOOKUP($A78,FYTable[[DOD ID]:[DOD ID]],FYTable[Take A Stand Trained / Untrained], $AE$1)</f>
        <v>0</v>
      </c>
      <c r="S78" s="51" cm="1">
        <f t="array" ref="S78">_xlfn.XLOOKUP($A78,FYTable[[DOD ID]:[DOD ID]],FYTable[SAPR Trained / Untrained], $AE$1)</f>
        <v>0</v>
      </c>
      <c r="T78" s="51" cm="1">
        <f t="array" ref="T78">_xlfn.XLOOKUP($A78,FYTable[[DOD ID]:[DOD ID]],FYTable[SAPR SNCO Trained / Untrained], $AE$1)</f>
        <v>0</v>
      </c>
      <c r="U78" s="77" t="str" cm="1">
        <f t="array" ref="U78">_xlfn.XLOOKUP($A78,CFTTable[[DOD ID]:[DOD ID]],CFTTable[Class CFT],"")</f>
        <v>FIRST CLASS</v>
      </c>
      <c r="V78" s="62" cm="1">
        <f t="array" ref="V78">_xlfn.XLOOKUP($A78,CFTTable[[DOD ID]:[DOD ID]],CFTTable[Event Date])</f>
        <v>45225</v>
      </c>
      <c r="W78" s="62">
        <f>_xlfn.XLOOKUP($A78,PFTTable[DOD ID],PFTTable[Class PFT],"")</f>
        <v>0</v>
      </c>
      <c r="X78" s="62" cm="1">
        <f t="array" ref="X78">_xlfn.XLOOKUP($A78,PFTTable[[DOD ID]:[DOD ID]],PFTTable[PFT Event Date])</f>
        <v>0</v>
      </c>
      <c r="Y78" s="62" cm="1">
        <f t="array" ref="Y78">_xlfn.XLOOKUP($A78,SwimTable[[DOD ID]:[DOD ID]],SwimTable[Swim MCTFS Status],"")</f>
        <v>0</v>
      </c>
      <c r="Z78" s="51" cm="1">
        <f t="array" ref="Z78">_xlfn.XLOOKUP($A79,HTWTTable[[DOD ID]:[DOD ID]],HTWTTable[MCTFS Status],"")</f>
        <v>0</v>
      </c>
      <c r="AA78" s="51" cm="1">
        <f t="array" ref="AA78">_xlfn.XLOOKUP($A78,FYTable[[DOD ID]:[DOD ID]],FYTable[CBRN Trained / Untrained],"")</f>
        <v>0</v>
      </c>
      <c r="AC78" s="51"/>
      <c r="AD78" s="51"/>
      <c r="BC78" s="49">
        <v>1546565811</v>
      </c>
      <c r="BD78" s="49" t="s">
        <v>243</v>
      </c>
      <c r="BE78" s="49" t="s">
        <v>323</v>
      </c>
      <c r="BF78" s="49" t="s">
        <v>225</v>
      </c>
      <c r="BG78" s="49" t="s">
        <v>212</v>
      </c>
      <c r="BH78" s="49" t="s">
        <v>222</v>
      </c>
      <c r="BJ78" s="49" t="str">
        <f t="shared" si="2"/>
        <v>Bad</v>
      </c>
    </row>
    <row r="79" spans="1:62" x14ac:dyDescent="0.25">
      <c r="A79" s="136">
        <v>1163650418</v>
      </c>
      <c r="B79" s="137" t="str">
        <f>_xlfn.XLOOKUP($A79,RecallTable[EDIPI],RecallTable[GRADE])</f>
        <v>E8</v>
      </c>
      <c r="C79" s="137" t="str">
        <f>_xlfn.XLOOKUP($A79,RecallTable[EDIPI],RecallTable[NAME], $AE$1)</f>
        <v>STAFFORD, ALLYSON A.</v>
      </c>
      <c r="D79" s="137" t="str">
        <f>_xlfn.XLOOKUP($A79,RecallTable[EDIPI],RecallTable[SECTION])</f>
        <v>HQ</v>
      </c>
      <c r="E79" s="50">
        <f>_xlfn.XLOOKUP($A79,CYTable[DOD ID],CYTable[CIAR Trained / Untrained], $AE$1)</f>
        <v>0</v>
      </c>
      <c r="F79" s="51" cm="1">
        <f t="array" ref="F79">_xlfn.XLOOKUP($A79,CYTable[[DOD ID]:[DOD ID]],CYTable[AT Trained / Untrained], $AE$1)</f>
        <v>0</v>
      </c>
      <c r="G79" s="51" cm="1">
        <f t="array" ref="G79">_xlfn.XLOOKUP($A79,CYTable[[DOD ID]:[DOD ID]],CYTable[OPSEC Trained / Untrained], $AE$1)</f>
        <v>0</v>
      </c>
      <c r="H79" s="51" cm="1">
        <f t="array" ref="H79">_xlfn.XLOOKUP($A79,CYTable[[DOD ID]:[DOD ID]],CYTable[PAC Trained / Untrained], $AE$1)</f>
        <v>0</v>
      </c>
      <c r="I79" s="51">
        <f>_xlfn.XLOOKUP($A79,CYTable[DOD ID],CYTable[RM Trained / Untrained], $AE$1)</f>
        <v>0</v>
      </c>
      <c r="J79" s="51" cm="1">
        <f t="array" ref="J79">_xlfn.XLOOKUP($A79,CYTable[[DOD ID]:[DOD ID]],CYTable[UMAPIT Trained / Untrained], $AE$1)</f>
        <v>0</v>
      </c>
      <c r="K79" s="51">
        <f>_xlfn.XLOOKUP($A79,CYTable[DOD ID],CYTable[Sup Safety Trained / Untrained], $AE$1)</f>
        <v>0</v>
      </c>
      <c r="L79" s="51">
        <f>_xlfn.XLOOKUP($A79,CYTable[DOD ID],CYTable[Substances Trained / Untrained], $AE$1)</f>
        <v>0</v>
      </c>
      <c r="M79" s="50" t="str" cm="1">
        <f t="array" ref="M79">IF(COUNTIF(TrainingTable[[#This Row],[ARQ Comments]],"*Exempt*"),"Exempt", _xlfn.XLOOKUP($A79,FYTable[[DOD ID]:[DOD ID]],FYTable[ARQ MCTFS Status], $AE$1))</f>
        <v>Success</v>
      </c>
      <c r="N79" s="51" cm="1">
        <f t="array" ref="N79">_xlfn.XLOOKUP($A79,FYTable[[DOD ID]:[DOD ID]],FYTable[CYBER Trained / Untrained], $AE$1)</f>
        <v>0</v>
      </c>
      <c r="O79" s="51">
        <f>_xlfn.XLOOKUP($A79,FYTable[DOD ID],FYTable[Pistol Classification], $AE$1)</f>
        <v>0</v>
      </c>
      <c r="P79" s="51" t="str" cm="1">
        <f t="array" ref="P79">_xlfn.XLOOKUP($A79,FYTable[[DOD ID]:[DOD ID]],FYTable[RM Trained / Untrained], $AE$1)</f>
        <v>Trained</v>
      </c>
      <c r="Q79" s="51" cm="1">
        <f t="array" ref="Q79">_xlfn.XLOOKUP($A79,FYTable[[DOD ID]:[DOD ID]],FYTable[Step Up Trained / Untrained], $AE$1)</f>
        <v>0</v>
      </c>
      <c r="R79" s="51" t="str" cm="1">
        <f t="array" ref="R79">_xlfn.XLOOKUP($A79,FYTable[[DOD ID]:[DOD ID]],FYTable[Take A Stand Trained / Untrained], $AE$1)</f>
        <v>Trained</v>
      </c>
      <c r="S79" s="51" cm="1">
        <f t="array" ref="S79">_xlfn.XLOOKUP($A79,FYTable[[DOD ID]:[DOD ID]],FYTable[SAPR Trained / Untrained], $AE$1)</f>
        <v>0</v>
      </c>
      <c r="T79" s="51" cm="1">
        <f t="array" ref="T79">_xlfn.XLOOKUP($A79,FYTable[[DOD ID]:[DOD ID]],FYTable[SAPR SNCO Trained / Untrained], $AE$1)</f>
        <v>0</v>
      </c>
      <c r="U79" s="77" t="str" cm="1">
        <f t="array" ref="U79">_xlfn.XLOOKUP($A79,CFTTable[[DOD ID]:[DOD ID]],CFTTable[Class CFT],"")</f>
        <v>FIRST CLASS</v>
      </c>
      <c r="V79" s="62" cm="1">
        <f t="array" ref="V79">_xlfn.XLOOKUP($A79,CFTTable[[DOD ID]:[DOD ID]],CFTTable[Event Date])</f>
        <v>45250</v>
      </c>
      <c r="W79" s="62">
        <f>_xlfn.XLOOKUP($A79,PFTTable[DOD ID],PFTTable[Class PFT],"")</f>
        <v>0</v>
      </c>
      <c r="X79" s="62" cm="1">
        <f t="array" ref="X79">_xlfn.XLOOKUP($A79,PFTTable[[DOD ID]:[DOD ID]],PFTTable[PFT Event Date])</f>
        <v>0</v>
      </c>
      <c r="Y79" s="62" cm="1">
        <f t="array" ref="Y79">_xlfn.XLOOKUP($A79,SwimTable[[DOD ID]:[DOD ID]],SwimTable[Swim MCTFS Status],"")</f>
        <v>0</v>
      </c>
      <c r="Z79" s="51" cm="1">
        <f t="array" ref="Z79">_xlfn.XLOOKUP($A80,HTWTTable[[DOD ID]:[DOD ID]],HTWTTable[MCTFS Status],"")</f>
        <v>0</v>
      </c>
      <c r="AA79" s="51" t="str" cm="1">
        <f t="array" ref="AA79">_xlfn.XLOOKUP($A79,FYTable[[DOD ID]:[DOD ID]],FYTable[CBRN Trained / Untrained],"")</f>
        <v>Trained</v>
      </c>
      <c r="AC79" s="51"/>
      <c r="AD79" s="51"/>
      <c r="BC79" s="49">
        <v>1256850440</v>
      </c>
      <c r="BD79" s="49" t="s">
        <v>243</v>
      </c>
      <c r="BE79" s="49" t="s">
        <v>324</v>
      </c>
      <c r="BF79" s="49" t="s">
        <v>225</v>
      </c>
      <c r="BG79" s="49" t="s">
        <v>212</v>
      </c>
      <c r="BH79" s="49" t="s">
        <v>255</v>
      </c>
      <c r="BJ79" s="49" t="str">
        <f t="shared" si="2"/>
        <v>Bad</v>
      </c>
    </row>
    <row r="80" spans="1:62" x14ac:dyDescent="0.25">
      <c r="A80" s="136">
        <v>1269922284</v>
      </c>
      <c r="B80" s="137" t="str">
        <f>_xlfn.XLOOKUP($A80,RecallTable[EDIPI],RecallTable[GRADE])</f>
        <v>E6</v>
      </c>
      <c r="C80" s="137" t="str">
        <f>_xlfn.XLOOKUP($A80,RecallTable[EDIPI],RecallTable[NAME], $AE$1)</f>
        <v>THOMAS, AVA A.</v>
      </c>
      <c r="D80" s="137" t="str">
        <f>_xlfn.XLOOKUP($A80,RecallTable[EDIPI],RecallTable[SECTION])</f>
        <v>HQ</v>
      </c>
      <c r="E80" s="50">
        <f>_xlfn.XLOOKUP($A80,CYTable[DOD ID],CYTable[CIAR Trained / Untrained], $AE$1)</f>
        <v>0</v>
      </c>
      <c r="F80" s="51" cm="1">
        <f t="array" ref="F80">_xlfn.XLOOKUP($A80,CYTable[[DOD ID]:[DOD ID]],CYTable[AT Trained / Untrained], $AE$1)</f>
        <v>0</v>
      </c>
      <c r="G80" s="51" cm="1">
        <f t="array" ref="G80">_xlfn.XLOOKUP($A80,CYTable[[DOD ID]:[DOD ID]],CYTable[OPSEC Trained / Untrained], $AE$1)</f>
        <v>0</v>
      </c>
      <c r="H80" s="51" cm="1">
        <f t="array" ref="H80">_xlfn.XLOOKUP($A80,CYTable[[DOD ID]:[DOD ID]],CYTable[PAC Trained / Untrained], $AE$1)</f>
        <v>0</v>
      </c>
      <c r="I80" s="51">
        <f>_xlfn.XLOOKUP($A80,CYTable[DOD ID],CYTable[RM Trained / Untrained], $AE$1)</f>
        <v>0</v>
      </c>
      <c r="J80" s="51" cm="1">
        <f t="array" ref="J80">_xlfn.XLOOKUP($A80,CYTable[[DOD ID]:[DOD ID]],CYTable[UMAPIT Trained / Untrained], $AE$1)</f>
        <v>0</v>
      </c>
      <c r="K80" s="51">
        <f>_xlfn.XLOOKUP($A80,CYTable[DOD ID],CYTable[Sup Safety Trained / Untrained], $AE$1)</f>
        <v>0</v>
      </c>
      <c r="L80" s="51">
        <f>_xlfn.XLOOKUP($A80,CYTable[DOD ID],CYTable[Substances Trained / Untrained], $AE$1)</f>
        <v>0</v>
      </c>
      <c r="M80" s="50" cm="1">
        <f t="array" ref="M80">IF(COUNTIF(TrainingTable[[#This Row],[ARQ Comments]],"*Exempt*"),"Exempt", _xlfn.XLOOKUP($A80,FYTable[[DOD ID]:[DOD ID]],FYTable[ARQ MCTFS Status], $AE$1))</f>
        <v>0</v>
      </c>
      <c r="N80" s="51" t="str" cm="1">
        <f t="array" ref="N80">_xlfn.XLOOKUP($A80,FYTable[[DOD ID]:[DOD ID]],FYTable[CYBER Trained / Untrained], $AE$1)</f>
        <v>Trained</v>
      </c>
      <c r="O80" s="51">
        <f>_xlfn.XLOOKUP($A80,FYTable[DOD ID],FYTable[Pistol Classification], $AE$1)</f>
        <v>0</v>
      </c>
      <c r="P80" s="51" cm="1">
        <f t="array" ref="P80">_xlfn.XLOOKUP($A80,FYTable[[DOD ID]:[DOD ID]],FYTable[RM Trained / Untrained], $AE$1)</f>
        <v>0</v>
      </c>
      <c r="Q80" s="51" cm="1">
        <f t="array" ref="Q80">_xlfn.XLOOKUP($A80,FYTable[[DOD ID]:[DOD ID]],FYTable[Step Up Trained / Untrained], $AE$1)</f>
        <v>0</v>
      </c>
      <c r="R80" s="51" t="str" cm="1">
        <f t="array" ref="R80">_xlfn.XLOOKUP($A80,FYTable[[DOD ID]:[DOD ID]],FYTable[Take A Stand Trained / Untrained], $AE$1)</f>
        <v>Trained</v>
      </c>
      <c r="S80" s="51" cm="1">
        <f t="array" ref="S80">_xlfn.XLOOKUP($A80,FYTable[[DOD ID]:[DOD ID]],FYTable[SAPR Trained / Untrained], $AE$1)</f>
        <v>0</v>
      </c>
      <c r="T80" s="51" cm="1">
        <f t="array" ref="T80">_xlfn.XLOOKUP($A80,FYTable[[DOD ID]:[DOD ID]],FYTable[SAPR SNCO Trained / Untrained], $AE$1)</f>
        <v>0</v>
      </c>
      <c r="U80" s="77" t="str" cm="1">
        <f t="array" ref="U80">_xlfn.XLOOKUP($A80,CFTTable[[DOD ID]:[DOD ID]],CFTTable[Class CFT],"")</f>
        <v>FIRST CLASS</v>
      </c>
      <c r="V80" s="62" cm="1">
        <f t="array" ref="V80">_xlfn.XLOOKUP($A80,CFTTable[[DOD ID]:[DOD ID]],CFTTable[Event Date])</f>
        <v>45233</v>
      </c>
      <c r="W80" s="62">
        <f>_xlfn.XLOOKUP($A80,PFTTable[DOD ID],PFTTable[Class PFT],"")</f>
        <v>0</v>
      </c>
      <c r="X80" s="62" cm="1">
        <f t="array" ref="X80">_xlfn.XLOOKUP($A80,PFTTable[[DOD ID]:[DOD ID]],PFTTable[PFT Event Date])</f>
        <v>0</v>
      </c>
      <c r="Y80" s="62" cm="1">
        <f t="array" ref="Y80">_xlfn.XLOOKUP($A80,SwimTable[[DOD ID]:[DOD ID]],SwimTable[Swim MCTFS Status],"")</f>
        <v>0</v>
      </c>
      <c r="Z80" s="51" t="str" cm="1">
        <f t="array" ref="Z80">_xlfn.XLOOKUP($A81,HTWTTable[[DOD ID]:[DOD ID]],HTWTTable[MCTFS Status],"")</f>
        <v>Success</v>
      </c>
      <c r="AA80" s="51" t="str" cm="1">
        <f t="array" ref="AA80">_xlfn.XLOOKUP($A80,FYTable[[DOD ID]:[DOD ID]],FYTable[CBRN Trained / Untrained],"")</f>
        <v>Trained</v>
      </c>
      <c r="AC80" s="51"/>
      <c r="AD80" s="51"/>
      <c r="BJ80" s="49" t="str">
        <f t="shared" si="2"/>
        <v>Good</v>
      </c>
    </row>
    <row r="81" spans="1:62" x14ac:dyDescent="0.25">
      <c r="A81" s="136">
        <v>1410597200</v>
      </c>
      <c r="B81" s="137" t="str">
        <f>_xlfn.XLOOKUP($A81,RecallTable[EDIPI],RecallTable[GRADE])</f>
        <v>E4</v>
      </c>
      <c r="C81" s="137" t="str">
        <f>_xlfn.XLOOKUP($A81,RecallTable[EDIPI],RecallTable[NAME], $AE$1)</f>
        <v>POWERS, BLAKE A.</v>
      </c>
      <c r="D81" s="137" t="str">
        <f>_xlfn.XLOOKUP($A81,RecallTable[EDIPI],RecallTable[SECTION])</f>
        <v>HQ</v>
      </c>
      <c r="E81" s="50">
        <f>_xlfn.XLOOKUP($A81,CYTable[DOD ID],CYTable[CIAR Trained / Untrained], $AE$1)</f>
        <v>0</v>
      </c>
      <c r="F81" s="51" cm="1">
        <f t="array" ref="F81">_xlfn.XLOOKUP($A81,CYTable[[DOD ID]:[DOD ID]],CYTable[AT Trained / Untrained], $AE$1)</f>
        <v>0</v>
      </c>
      <c r="G81" s="51" cm="1">
        <f t="array" ref="G81">_xlfn.XLOOKUP($A81,CYTable[[DOD ID]:[DOD ID]],CYTable[OPSEC Trained / Untrained], $AE$1)</f>
        <v>0</v>
      </c>
      <c r="H81" s="51" cm="1">
        <f t="array" ref="H81">_xlfn.XLOOKUP($A81,CYTable[[DOD ID]:[DOD ID]],CYTable[PAC Trained / Untrained], $AE$1)</f>
        <v>0</v>
      </c>
      <c r="I81" s="51">
        <f>_xlfn.XLOOKUP($A81,CYTable[DOD ID],CYTable[RM Trained / Untrained], $AE$1)</f>
        <v>0</v>
      </c>
      <c r="J81" s="51" cm="1">
        <f t="array" ref="J81">_xlfn.XLOOKUP($A81,CYTable[[DOD ID]:[DOD ID]],CYTable[UMAPIT Trained / Untrained], $AE$1)</f>
        <v>0</v>
      </c>
      <c r="K81" s="51">
        <f>_xlfn.XLOOKUP($A81,CYTable[DOD ID],CYTable[Sup Safety Trained / Untrained], $AE$1)</f>
        <v>0</v>
      </c>
      <c r="L81" s="51">
        <f>_xlfn.XLOOKUP($A81,CYTable[DOD ID],CYTable[Substances Trained / Untrained], $AE$1)</f>
        <v>0</v>
      </c>
      <c r="M81" s="50" cm="1">
        <f t="array" ref="M81">IF(COUNTIF(TrainingTable[[#This Row],[ARQ Comments]],"*Exempt*"),"Exempt", _xlfn.XLOOKUP($A81,FYTable[[DOD ID]:[DOD ID]],FYTable[ARQ MCTFS Status], $AE$1))</f>
        <v>0</v>
      </c>
      <c r="N81" s="51" t="str" cm="1">
        <f t="array" ref="N81">_xlfn.XLOOKUP($A81,FYTable[[DOD ID]:[DOD ID]],FYTable[CYBER Trained / Untrained], $AE$1)</f>
        <v>Trained</v>
      </c>
      <c r="O81" s="51">
        <f>_xlfn.XLOOKUP($A81,FYTable[DOD ID],FYTable[Pistol Classification], $AE$1)</f>
        <v>0</v>
      </c>
      <c r="P81" s="51" t="str" cm="1">
        <f t="array" ref="P81">_xlfn.XLOOKUP($A81,FYTable[[DOD ID]:[DOD ID]],FYTable[RM Trained / Untrained], $AE$1)</f>
        <v>Trained</v>
      </c>
      <c r="Q81" s="51" t="str" cm="1">
        <f t="array" ref="Q81">_xlfn.XLOOKUP($A81,FYTable[[DOD ID]:[DOD ID]],FYTable[Step Up Trained / Untrained], $AE$1)</f>
        <v>Trained</v>
      </c>
      <c r="R81" s="51" t="str" cm="1">
        <f t="array" ref="R81">_xlfn.XLOOKUP($A81,FYTable[[DOD ID]:[DOD ID]],FYTable[Take A Stand Trained / Untrained], $AE$1)</f>
        <v>Trained</v>
      </c>
      <c r="S81" s="51" cm="1">
        <f t="array" ref="S81">_xlfn.XLOOKUP($A81,FYTable[[DOD ID]:[DOD ID]],FYTable[SAPR Trained / Untrained], $AE$1)</f>
        <v>0</v>
      </c>
      <c r="T81" s="51" t="str" cm="1">
        <f t="array" ref="T81">_xlfn.XLOOKUP($A81,FYTable[[DOD ID]:[DOD ID]],FYTable[SAPR SNCO Trained / Untrained], $AE$1)</f>
        <v>Trained</v>
      </c>
      <c r="U81" s="77" t="str" cm="1">
        <f t="array" ref="U81">_xlfn.XLOOKUP($A81,CFTTable[[DOD ID]:[DOD ID]],CFTTable[Class CFT],"")</f>
        <v>FIRST CLASS</v>
      </c>
      <c r="V81" s="62" cm="1">
        <f t="array" ref="V81">_xlfn.XLOOKUP($A81,CFTTable[[DOD ID]:[DOD ID]],CFTTable[Event Date])</f>
        <v>45225</v>
      </c>
      <c r="W81" s="62" t="str">
        <f>_xlfn.XLOOKUP($A81,PFTTable[DOD ID],PFTTable[Class PFT],"")</f>
        <v>First Class</v>
      </c>
      <c r="X81" s="62" cm="1">
        <f t="array" ref="X81">_xlfn.XLOOKUP($A81,PFTTable[[DOD ID]:[DOD ID]],PFTTable[PFT Event Date])</f>
        <v>45337</v>
      </c>
      <c r="Y81" s="62" cm="1">
        <f t="array" ref="Y81">_xlfn.XLOOKUP($A81,SwimTable[[DOD ID]:[DOD ID]],SwimTable[Swim MCTFS Status],"")</f>
        <v>0</v>
      </c>
      <c r="Z81" s="51" t="str" cm="1">
        <f t="array" ref="Z81">_xlfn.XLOOKUP($A82,HTWTTable[[DOD ID]:[DOD ID]],HTWTTable[MCTFS Status],"")</f>
        <v/>
      </c>
      <c r="AA81" s="51" t="str" cm="1">
        <f t="array" ref="AA81">_xlfn.XLOOKUP($A81,FYTable[[DOD ID]:[DOD ID]],FYTable[CBRN Trained / Untrained],"")</f>
        <v>Trained</v>
      </c>
      <c r="AC81" s="51"/>
      <c r="AD81" s="51"/>
      <c r="BC81" s="49">
        <v>1287834213</v>
      </c>
      <c r="BD81" s="49" t="s">
        <v>164</v>
      </c>
      <c r="BE81" s="49" t="s">
        <v>325</v>
      </c>
      <c r="BF81" s="49" t="s">
        <v>239</v>
      </c>
      <c r="BG81" s="49" t="s">
        <v>36</v>
      </c>
      <c r="BH81" s="49" t="s">
        <v>216</v>
      </c>
      <c r="BJ81" s="49" t="str">
        <f t="shared" si="2"/>
        <v>Bad</v>
      </c>
    </row>
    <row r="82" spans="1:62" x14ac:dyDescent="0.25">
      <c r="BC82" s="49">
        <v>1379985595</v>
      </c>
      <c r="BD82" s="49" t="s">
        <v>214</v>
      </c>
      <c r="BE82" s="49" t="s">
        <v>326</v>
      </c>
      <c r="BF82" s="49" t="s">
        <v>225</v>
      </c>
      <c r="BG82" s="49" t="s">
        <v>36</v>
      </c>
      <c r="BH82" s="49" t="s">
        <v>216</v>
      </c>
      <c r="BJ82" s="49" t="e">
        <f>IF(BH82=#REF!,"Good","Bad")</f>
        <v>#REF!</v>
      </c>
    </row>
    <row r="83" spans="1:62" x14ac:dyDescent="0.25">
      <c r="BC83" s="49">
        <v>1257278588</v>
      </c>
      <c r="BD83" s="49" t="s">
        <v>209</v>
      </c>
      <c r="BE83" s="49" t="s">
        <v>327</v>
      </c>
      <c r="BF83" s="49" t="s">
        <v>211</v>
      </c>
      <c r="BG83" s="49" t="s">
        <v>212</v>
      </c>
      <c r="BH83" s="49" t="s">
        <v>213</v>
      </c>
      <c r="BJ83" s="49" t="e">
        <f>IF(BH83=#REF!,"Good","Bad")</f>
        <v>#REF!</v>
      </c>
    </row>
    <row r="84" spans="1:62" x14ac:dyDescent="0.25">
      <c r="BC84" s="49">
        <v>1146826977</v>
      </c>
      <c r="BD84" s="49" t="s">
        <v>209</v>
      </c>
      <c r="BE84" s="49" t="s">
        <v>328</v>
      </c>
      <c r="BF84" s="49" t="s">
        <v>230</v>
      </c>
      <c r="BG84" s="49" t="s">
        <v>212</v>
      </c>
      <c r="BH84" s="49" t="s">
        <v>233</v>
      </c>
      <c r="BJ84" s="49" t="e">
        <f>IF(BH84=#REF!,"Good","Bad")</f>
        <v>#REF!</v>
      </c>
    </row>
    <row r="85" spans="1:62" x14ac:dyDescent="0.25">
      <c r="BC85" s="49">
        <v>1505871142</v>
      </c>
      <c r="BD85" s="49" t="s">
        <v>217</v>
      </c>
      <c r="BE85" s="49" t="s">
        <v>329</v>
      </c>
      <c r="BF85" s="49" t="s">
        <v>211</v>
      </c>
      <c r="BG85" s="49" t="s">
        <v>36</v>
      </c>
      <c r="BH85" s="49" t="s">
        <v>240</v>
      </c>
      <c r="BJ85" s="49" t="e">
        <f>IF(BH85=#REF!,"Good","Bad")</f>
        <v>#REF!</v>
      </c>
    </row>
    <row r="86" spans="1:62" x14ac:dyDescent="0.25">
      <c r="BJ86" s="49" t="e">
        <f>IF(BH86=#REF!,"Good","Bad")</f>
        <v>#REF!</v>
      </c>
    </row>
    <row r="87" spans="1:62" x14ac:dyDescent="0.25">
      <c r="BC87" s="49">
        <v>1593807068</v>
      </c>
      <c r="BD87" s="49" t="s">
        <v>209</v>
      </c>
      <c r="BE87" s="49" t="s">
        <v>330</v>
      </c>
      <c r="BF87" s="49" t="s">
        <v>230</v>
      </c>
      <c r="BG87" s="49" t="s">
        <v>212</v>
      </c>
      <c r="BH87" s="49" t="s">
        <v>231</v>
      </c>
      <c r="BJ87" s="49" t="e">
        <f>IF(BH87=#REF!,"Good","Bad")</f>
        <v>#REF!</v>
      </c>
    </row>
    <row r="88" spans="1:62" x14ac:dyDescent="0.25">
      <c r="BC88" s="49">
        <v>1533784913</v>
      </c>
      <c r="BD88" s="49" t="s">
        <v>243</v>
      </c>
      <c r="BE88" s="49" t="s">
        <v>331</v>
      </c>
      <c r="BF88" s="49" t="s">
        <v>230</v>
      </c>
      <c r="BG88" s="49" t="s">
        <v>36</v>
      </c>
      <c r="BH88" s="49" t="s">
        <v>253</v>
      </c>
      <c r="BJ88" s="49" t="e">
        <f>IF(BH88=#REF!,"Good","Bad")</f>
        <v>#REF!</v>
      </c>
    </row>
    <row r="89" spans="1:62" x14ac:dyDescent="0.25">
      <c r="BC89" s="49">
        <v>1548998170</v>
      </c>
      <c r="BD89" s="49" t="s">
        <v>243</v>
      </c>
      <c r="BE89" s="49" t="s">
        <v>332</v>
      </c>
      <c r="BF89" s="49" t="s">
        <v>230</v>
      </c>
      <c r="BG89" s="49" t="s">
        <v>212</v>
      </c>
      <c r="BH89" s="49" t="s">
        <v>233</v>
      </c>
      <c r="BJ89" s="49" t="e">
        <f>IF(BH89=#REF!,"Good","Bad")</f>
        <v>#REF!</v>
      </c>
    </row>
    <row r="90" spans="1:62" x14ac:dyDescent="0.25">
      <c r="BC90" s="49">
        <v>1600109495</v>
      </c>
      <c r="BD90" s="49" t="s">
        <v>235</v>
      </c>
      <c r="BE90" s="49" t="s">
        <v>333</v>
      </c>
      <c r="BF90" s="49" t="s">
        <v>230</v>
      </c>
      <c r="BG90" s="49" t="s">
        <v>212</v>
      </c>
      <c r="BH90" s="49" t="s">
        <v>248</v>
      </c>
      <c r="BJ90" s="49" t="e">
        <f>IF(BH90=#REF!,"Good","Bad")</f>
        <v>#REF!</v>
      </c>
    </row>
    <row r="91" spans="1:62" x14ac:dyDescent="0.25">
      <c r="BC91" s="49">
        <v>1608683247</v>
      </c>
      <c r="BD91" s="49" t="s">
        <v>144</v>
      </c>
      <c r="BE91" s="49" t="s">
        <v>334</v>
      </c>
      <c r="BF91" s="49" t="s">
        <v>239</v>
      </c>
      <c r="BG91" s="49" t="s">
        <v>212</v>
      </c>
      <c r="BH91" s="49" t="s">
        <v>261</v>
      </c>
      <c r="BJ91" s="49" t="e">
        <f>IF(BH91=#REF!,"Good","Bad")</f>
        <v>#REF!</v>
      </c>
    </row>
  </sheetData>
  <protectedRanges>
    <protectedRange algorithmName="SHA-512" hashValue="UnzonW9QCxJ1paJ7u98Kzcjg1cHPp4vz4RIoVmFYekHkTSSH/Bu/h+szOU1QZuQ3bQOYm8+O49vRMCLD5F35SQ==" saltValue="Jz1MSfdQavUl5XFnSGrbwQ==" spinCount="100000" sqref="B2:AA113" name="Hitlist"/>
  </protectedRanges>
  <sortState xmlns:xlrd2="http://schemas.microsoft.com/office/spreadsheetml/2017/richdata2" ref="BC10:BC26">
    <sortCondition ref="BC10:BC26"/>
  </sortState>
  <mergeCells count="4">
    <mergeCell ref="M1:T1"/>
    <mergeCell ref="U1:AA1"/>
    <mergeCell ref="A1:D1"/>
    <mergeCell ref="E1:L1"/>
  </mergeCells>
  <conditionalFormatting sqref="I4:I81 E5:O81 E3:AA4 L4:N81 E3:E81 F4:G81 P4:AA81 E68:T68 E5:T5">
    <cfRule type="containsText" dxfId="90" priority="19" operator="containsText" text="*al*">
      <formula>NOT(ISERROR(SEARCH("*al*",E3)))</formula>
    </cfRule>
  </conditionalFormatting>
  <conditionalFormatting sqref="I4:I81 E5:O81 E3:AA4 L4:N81 E3:E81 F4:G81 P4:AA81 E68:T68 E5:T5">
    <cfRule type="cellIs" dxfId="89" priority="13" operator="equal">
      <formula>" "</formula>
    </cfRule>
  </conditionalFormatting>
  <conditionalFormatting sqref="E3:AB81">
    <cfRule type="containsText" dxfId="88" priority="7" operator="containsText" text="Error">
      <formula>NOT(ISERROR(SEARCH("Error",E3)))</formula>
    </cfRule>
    <cfRule type="containsBlanks" dxfId="87" priority="11">
      <formula>LEN(TRIM(E3))=0</formula>
    </cfRule>
  </conditionalFormatting>
  <conditionalFormatting sqref="W3:X81">
    <cfRule type="containsText" dxfId="86" priority="9" operator="containsText" text="Failed">
      <formula>NOT(ISERROR(SEARCH("Failed",W3)))</formula>
    </cfRule>
  </conditionalFormatting>
  <conditionalFormatting sqref="AL35 AL66 BJ3:BJ91">
    <cfRule type="containsText" dxfId="85" priority="8" operator="containsText" text="Bad">
      <formula>NOT(ISERROR(SEARCH("Bad",AL3)))</formula>
    </cfRule>
  </conditionalFormatting>
  <conditionalFormatting sqref="Z3:Z81">
    <cfRule type="cellIs" dxfId="84" priority="35" operator="greaterThan">
      <formula>$AC$1</formula>
    </cfRule>
    <cfRule type="cellIs" dxfId="83" priority="36" operator="lessThan">
      <formula>$AC$1</formula>
    </cfRule>
  </conditionalFormatting>
  <conditionalFormatting sqref="E3:T81">
    <cfRule type="containsText" dxfId="82" priority="22" operator="containsText" text="Trained">
      <formula>NOT(ISERROR(SEARCH("Trained",E3)))</formula>
    </cfRule>
  </conditionalFormatting>
  <conditionalFormatting sqref="E3:T81">
    <cfRule type="containsText" dxfId="81" priority="6" operator="containsText" text="Exempt">
      <formula>NOT(ISERROR(SEARCH("Exempt",E3)))</formula>
    </cfRule>
  </conditionalFormatting>
  <conditionalFormatting sqref="U3:W81">
    <cfRule type="containsText" dxfId="80" priority="20" operator="containsText" text="*Class*">
      <formula>NOT(ISERROR(SEARCH("*Class*",U3)))</formula>
    </cfRule>
  </conditionalFormatting>
  <conditionalFormatting sqref="E3:AA81">
    <cfRule type="cellIs" dxfId="79" priority="4" operator="equal">
      <formula>0</formula>
    </cfRule>
  </conditionalFormatting>
  <conditionalFormatting sqref="E3:AA81">
    <cfRule type="containsText" dxfId="78" priority="21" operator="containsText" text="Success">
      <formula>NOT(ISERROR(SEARCH("Success",E3)))</formula>
    </cfRule>
  </conditionalFormatting>
  <conditionalFormatting sqref="A182:A196 A142:A180 A121:A139 A102:A117 A82:A95">
    <cfRule type="uniqueValues" dxfId="77" priority="1"/>
  </conditionalFormatting>
  <dataValidations count="3">
    <dataValidation type="whole" errorStyle="warning" allowBlank="1" showInputMessage="1" showErrorMessage="1" errorTitle="Don't Edit This Range of Cells" error="The corrections need to be made in MCTIMS. Talk to company office." sqref="A2" xr:uid="{08F19CCE-B2EE-49DD-8CC3-AF698ED5789F}">
      <formula1>0</formula1>
      <formula2>1</formula2>
    </dataValidation>
    <dataValidation allowBlank="1" showInputMessage="1" showErrorMessage="1" sqref="A144:A174 A124:A127 A132:A138 A142 A106:A117 A3:A81 A84:A95 AB82:AD174" xr:uid="{198E2400-9E95-476B-A523-4FFDE3A82E6A}"/>
    <dataValidation errorStyle="warning" allowBlank="1" showInputMessage="1" showErrorMessage="1" errorTitle="Touch this and we're fighting" error="This is all just XLOOKUPs to make a easier to read hitlist." sqref="B1:AA1048576" xr:uid="{E3589D99-6E49-45EC-B760-C940CE739B9C}"/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4EF7-51C2-48E8-A333-5402632A4CC5}">
  <sheetPr>
    <tabColor rgb="FF0070C0"/>
  </sheetPr>
  <dimension ref="A1:T81"/>
  <sheetViews>
    <sheetView topLeftCell="A45" workbookViewId="0">
      <selection activeCell="N3" sqref="N3:N81"/>
    </sheetView>
  </sheetViews>
  <sheetFormatPr defaultRowHeight="15" x14ac:dyDescent="0.25"/>
  <cols>
    <col min="1" max="1" width="12" style="61" bestFit="1" customWidth="1"/>
    <col min="2" max="2" width="18.85546875" bestFit="1" customWidth="1"/>
    <col min="3" max="3" width="13.28515625" bestFit="1" customWidth="1"/>
    <col min="4" max="4" width="5.28515625" bestFit="1" customWidth="1"/>
    <col min="5" max="6" width="7.7109375" bestFit="1" customWidth="1"/>
    <col min="7" max="7" width="6.42578125" bestFit="1" customWidth="1"/>
    <col min="8" max="8" width="39.140625" bestFit="1" customWidth="1"/>
    <col min="12" max="12" width="9.7109375" bestFit="1" customWidth="1"/>
    <col min="13" max="13" width="26.5703125" bestFit="1" customWidth="1"/>
    <col min="14" max="14" width="12" bestFit="1" customWidth="1"/>
    <col min="15" max="15" width="6.7109375" bestFit="1" customWidth="1"/>
    <col min="16" max="16" width="7.7109375" bestFit="1" customWidth="1"/>
    <col min="17" max="17" width="11.140625" bestFit="1" customWidth="1"/>
    <col min="19" max="19" width="0" hidden="1" customWidth="1"/>
    <col min="20" max="20" width="48.5703125" hidden="1" customWidth="1"/>
  </cols>
  <sheetData>
    <row r="1" spans="1:20" ht="18.75" x14ac:dyDescent="0.3">
      <c r="A1" s="214" t="str">
        <f>_xlfn.CONCAT("(",COUNTIF(UnitTable[Last Name],"*"), ") in MCTIMS; Last pulled 14Dec23")</f>
        <v>(79) in MCTIMS; Last pulled 14Dec23</v>
      </c>
      <c r="B1" s="214"/>
      <c r="C1" s="214"/>
      <c r="D1" s="214"/>
      <c r="E1" s="214"/>
      <c r="F1" s="214"/>
      <c r="G1" s="214"/>
      <c r="H1" s="214"/>
      <c r="I1" s="83" t="s">
        <v>335</v>
      </c>
      <c r="J1" s="83"/>
      <c r="T1" s="146" t="s">
        <v>336</v>
      </c>
    </row>
    <row r="2" spans="1:20" x14ac:dyDescent="0.25">
      <c r="A2" s="82" t="s">
        <v>337</v>
      </c>
      <c r="B2" s="1" t="s">
        <v>338</v>
      </c>
      <c r="C2" s="1" t="s">
        <v>339</v>
      </c>
      <c r="D2" s="1" t="s">
        <v>340</v>
      </c>
      <c r="E2" s="1" t="s">
        <v>207</v>
      </c>
      <c r="F2" s="1" t="s">
        <v>341</v>
      </c>
      <c r="G2" s="1" t="s">
        <v>342</v>
      </c>
      <c r="H2" s="7" t="s">
        <v>343</v>
      </c>
      <c r="L2" t="s">
        <v>344</v>
      </c>
      <c r="M2" t="s">
        <v>345</v>
      </c>
      <c r="N2" t="s">
        <v>199</v>
      </c>
      <c r="O2" t="s">
        <v>346</v>
      </c>
      <c r="P2" t="s">
        <v>341</v>
      </c>
      <c r="Q2" t="s">
        <v>347</v>
      </c>
      <c r="R2" t="s">
        <v>342</v>
      </c>
      <c r="S2" s="125" t="s">
        <v>348</v>
      </c>
      <c r="T2" s="147">
        <v>1590434201</v>
      </c>
    </row>
    <row r="3" spans="1:20" x14ac:dyDescent="0.25">
      <c r="A3" s="178">
        <v>4741999075</v>
      </c>
      <c r="B3" s="178" t="s">
        <v>742</v>
      </c>
      <c r="C3" s="178" t="s">
        <v>743</v>
      </c>
      <c r="D3" s="178" t="s">
        <v>354</v>
      </c>
      <c r="E3" s="178" t="s">
        <v>170</v>
      </c>
      <c r="F3" s="178">
        <v>1702</v>
      </c>
      <c r="G3" s="178"/>
      <c r="H3" s="178" t="s">
        <v>360</v>
      </c>
      <c r="L3" t="s">
        <v>169</v>
      </c>
      <c r="M3" t="s">
        <v>897</v>
      </c>
      <c r="N3" s="97">
        <v>4741999075</v>
      </c>
      <c r="O3" t="s">
        <v>414</v>
      </c>
      <c r="P3">
        <v>1702</v>
      </c>
      <c r="Q3" t="s">
        <v>230</v>
      </c>
      <c r="R3" t="str">
        <f>IF(RecallTable[[#This Row],[SECTION]]="","TAD","")</f>
        <v/>
      </c>
      <c r="S3" s="125" t="s">
        <v>352</v>
      </c>
      <c r="T3" s="146" t="str">
        <f>IF(ISBLANK(T2), "", _xlfn.XLOOKUP(T2,RecallTable[EDIPI],RecallTable[NAME], "Not Found"))</f>
        <v>Not Found</v>
      </c>
    </row>
    <row r="4" spans="1:20" x14ac:dyDescent="0.25">
      <c r="A4" s="179">
        <v>1538999384</v>
      </c>
      <c r="B4" s="179" t="s">
        <v>744</v>
      </c>
      <c r="C4" s="179" t="s">
        <v>745</v>
      </c>
      <c r="D4" s="179" t="s">
        <v>354</v>
      </c>
      <c r="E4" s="179" t="s">
        <v>161</v>
      </c>
      <c r="F4" s="179">
        <v>1721</v>
      </c>
      <c r="G4" s="179"/>
      <c r="H4" s="179" t="s">
        <v>375</v>
      </c>
      <c r="L4" t="s">
        <v>160</v>
      </c>
      <c r="M4" t="s">
        <v>898</v>
      </c>
      <c r="N4" s="97">
        <v>1538999384</v>
      </c>
      <c r="O4" t="s">
        <v>368</v>
      </c>
      <c r="P4">
        <v>1721</v>
      </c>
      <c r="Q4" t="s">
        <v>230</v>
      </c>
      <c r="R4" t="str">
        <f>IF(RecallTable[[#This Row],[SECTION]]="","TAD","")</f>
        <v/>
      </c>
    </row>
    <row r="5" spans="1:20" x14ac:dyDescent="0.25">
      <c r="A5" s="178">
        <v>1160110691</v>
      </c>
      <c r="B5" s="178" t="s">
        <v>746</v>
      </c>
      <c r="C5" s="178" t="s">
        <v>747</v>
      </c>
      <c r="D5" s="178" t="s">
        <v>354</v>
      </c>
      <c r="E5" s="178" t="s">
        <v>158</v>
      </c>
      <c r="F5" s="178">
        <v>1721</v>
      </c>
      <c r="G5" s="178"/>
      <c r="H5" s="178" t="s">
        <v>375</v>
      </c>
      <c r="L5" t="s">
        <v>157</v>
      </c>
      <c r="M5" t="s">
        <v>899</v>
      </c>
      <c r="N5" s="97">
        <v>1160110691</v>
      </c>
      <c r="O5" t="s">
        <v>368</v>
      </c>
      <c r="P5">
        <v>1721</v>
      </c>
      <c r="Q5" t="s">
        <v>230</v>
      </c>
      <c r="R5" t="str">
        <f>IF(RecallTable[[#This Row],[SECTION]]="","TAD","")</f>
        <v/>
      </c>
      <c r="T5" s="39"/>
    </row>
    <row r="6" spans="1:20" x14ac:dyDescent="0.25">
      <c r="A6" s="179">
        <v>1520074788</v>
      </c>
      <c r="B6" s="179" t="s">
        <v>748</v>
      </c>
      <c r="C6" s="179" t="s">
        <v>749</v>
      </c>
      <c r="D6" s="179" t="s">
        <v>354</v>
      </c>
      <c r="E6" s="179" t="s">
        <v>158</v>
      </c>
      <c r="F6" s="179">
        <v>1721</v>
      </c>
      <c r="G6" s="179"/>
      <c r="H6" s="179" t="s">
        <v>375</v>
      </c>
      <c r="L6" t="s">
        <v>157</v>
      </c>
      <c r="M6" t="s">
        <v>900</v>
      </c>
      <c r="N6" s="97">
        <v>1520074788</v>
      </c>
      <c r="O6" t="s">
        <v>368</v>
      </c>
      <c r="P6">
        <v>1721</v>
      </c>
      <c r="Q6" t="s">
        <v>230</v>
      </c>
      <c r="R6" t="str">
        <f>IF(RecallTable[[#This Row],[SECTION]]="","TAD","")</f>
        <v/>
      </c>
    </row>
    <row r="7" spans="1:20" x14ac:dyDescent="0.25">
      <c r="A7" s="178">
        <v>1220711349</v>
      </c>
      <c r="B7" s="178" t="s">
        <v>750</v>
      </c>
      <c r="C7" s="178" t="s">
        <v>751</v>
      </c>
      <c r="D7" s="178" t="s">
        <v>354</v>
      </c>
      <c r="E7" s="178" t="s">
        <v>155</v>
      </c>
      <c r="F7" s="178">
        <v>1721</v>
      </c>
      <c r="G7" s="178"/>
      <c r="H7" s="178" t="s">
        <v>375</v>
      </c>
      <c r="L7" t="s">
        <v>154</v>
      </c>
      <c r="M7" t="s">
        <v>901</v>
      </c>
      <c r="N7" s="97">
        <v>1220711349</v>
      </c>
      <c r="O7" t="s">
        <v>368</v>
      </c>
      <c r="P7">
        <v>1721</v>
      </c>
      <c r="Q7" t="s">
        <v>230</v>
      </c>
      <c r="R7" t="str">
        <f>IF(RecallTable[[#This Row],[SECTION]]="","TAD","")</f>
        <v/>
      </c>
    </row>
    <row r="8" spans="1:20" x14ac:dyDescent="0.25">
      <c r="A8" s="179">
        <v>1534568011</v>
      </c>
      <c r="B8" s="179" t="s">
        <v>752</v>
      </c>
      <c r="C8" s="179" t="s">
        <v>753</v>
      </c>
      <c r="D8" s="179" t="s">
        <v>354</v>
      </c>
      <c r="E8" s="179" t="s">
        <v>155</v>
      </c>
      <c r="F8" s="179">
        <v>1721</v>
      </c>
      <c r="G8" s="179"/>
      <c r="H8" s="179" t="s">
        <v>375</v>
      </c>
      <c r="L8" t="s">
        <v>154</v>
      </c>
      <c r="M8" t="s">
        <v>902</v>
      </c>
      <c r="N8" s="97">
        <v>1534568011</v>
      </c>
      <c r="O8" t="s">
        <v>368</v>
      </c>
      <c r="P8">
        <v>1721</v>
      </c>
      <c r="Q8" t="s">
        <v>230</v>
      </c>
      <c r="R8" t="str">
        <f>IF(RecallTable[[#This Row],[SECTION]]="","TAD","")</f>
        <v/>
      </c>
    </row>
    <row r="9" spans="1:20" x14ac:dyDescent="0.25">
      <c r="A9" s="178">
        <v>1418134206</v>
      </c>
      <c r="B9" s="178" t="s">
        <v>754</v>
      </c>
      <c r="C9" s="178" t="s">
        <v>755</v>
      </c>
      <c r="D9" s="178" t="s">
        <v>354</v>
      </c>
      <c r="E9" s="178" t="s">
        <v>155</v>
      </c>
      <c r="F9" s="178">
        <v>1700</v>
      </c>
      <c r="G9" s="178"/>
      <c r="H9" s="178" t="s">
        <v>375</v>
      </c>
      <c r="L9" t="s">
        <v>154</v>
      </c>
      <c r="M9" t="s">
        <v>903</v>
      </c>
      <c r="N9" s="97">
        <v>1418134206</v>
      </c>
      <c r="O9" t="s">
        <v>368</v>
      </c>
      <c r="P9">
        <v>1700</v>
      </c>
      <c r="Q9" t="s">
        <v>230</v>
      </c>
      <c r="R9" t="str">
        <f>IF(RecallTable[[#This Row],[SECTION]]="","TAD","")</f>
        <v/>
      </c>
    </row>
    <row r="10" spans="1:20" x14ac:dyDescent="0.25">
      <c r="A10" s="179">
        <v>1007476454</v>
      </c>
      <c r="B10" s="179" t="s">
        <v>756</v>
      </c>
      <c r="C10" s="179" t="s">
        <v>757</v>
      </c>
      <c r="D10" s="179" t="s">
        <v>354</v>
      </c>
      <c r="E10" s="179" t="s">
        <v>151</v>
      </c>
      <c r="F10" s="179">
        <v>1721</v>
      </c>
      <c r="G10" s="179"/>
      <c r="H10" s="179" t="s">
        <v>375</v>
      </c>
      <c r="L10" t="s">
        <v>150</v>
      </c>
      <c r="M10" t="s">
        <v>904</v>
      </c>
      <c r="N10" s="97">
        <v>1007476454</v>
      </c>
      <c r="O10" t="s">
        <v>368</v>
      </c>
      <c r="P10">
        <v>1721</v>
      </c>
      <c r="Q10" t="s">
        <v>230</v>
      </c>
      <c r="R10" t="str">
        <f>IF(RecallTable[[#This Row],[SECTION]]="","TAD","")</f>
        <v/>
      </c>
    </row>
    <row r="11" spans="1:20" x14ac:dyDescent="0.25">
      <c r="A11" s="178">
        <v>1245991266</v>
      </c>
      <c r="B11" s="178" t="s">
        <v>758</v>
      </c>
      <c r="C11" s="178" t="s">
        <v>759</v>
      </c>
      <c r="D11" s="178" t="s">
        <v>354</v>
      </c>
      <c r="E11" s="178" t="s">
        <v>151</v>
      </c>
      <c r="F11" s="178">
        <v>1721</v>
      </c>
      <c r="G11" s="178"/>
      <c r="H11" s="178" t="s">
        <v>375</v>
      </c>
      <c r="L11" t="s">
        <v>150</v>
      </c>
      <c r="M11" t="s">
        <v>905</v>
      </c>
      <c r="N11" s="97">
        <v>1245991266</v>
      </c>
      <c r="O11" t="s">
        <v>368</v>
      </c>
      <c r="P11">
        <v>1721</v>
      </c>
      <c r="Q11" t="s">
        <v>230</v>
      </c>
      <c r="R11" t="str">
        <f>IF(RecallTable[[#This Row],[SECTION]]="","TAD","")</f>
        <v/>
      </c>
    </row>
    <row r="12" spans="1:20" x14ac:dyDescent="0.25">
      <c r="A12" s="179">
        <v>1019647482</v>
      </c>
      <c r="B12" s="179" t="s">
        <v>760</v>
      </c>
      <c r="C12" s="179" t="s">
        <v>761</v>
      </c>
      <c r="D12" s="179" t="s">
        <v>354</v>
      </c>
      <c r="E12" s="179" t="s">
        <v>151</v>
      </c>
      <c r="F12" s="179">
        <v>1721</v>
      </c>
      <c r="G12" s="179"/>
      <c r="H12" s="179" t="s">
        <v>375</v>
      </c>
      <c r="L12" t="s">
        <v>150</v>
      </c>
      <c r="M12" t="s">
        <v>906</v>
      </c>
      <c r="N12" s="97">
        <v>1019647482</v>
      </c>
      <c r="O12" t="s">
        <v>368</v>
      </c>
      <c r="P12">
        <v>1721</v>
      </c>
      <c r="Q12" t="s">
        <v>230</v>
      </c>
      <c r="R12" t="str">
        <f>IF(RecallTable[[#This Row],[SECTION]]="","TAD","")</f>
        <v/>
      </c>
    </row>
    <row r="13" spans="1:20" x14ac:dyDescent="0.25">
      <c r="A13" s="178">
        <v>1216965036</v>
      </c>
      <c r="B13" s="178" t="s">
        <v>762</v>
      </c>
      <c r="C13" s="178" t="s">
        <v>763</v>
      </c>
      <c r="D13" s="178" t="s">
        <v>354</v>
      </c>
      <c r="E13" s="178" t="s">
        <v>151</v>
      </c>
      <c r="F13" s="178">
        <v>1721</v>
      </c>
      <c r="G13" s="178"/>
      <c r="H13" s="178" t="s">
        <v>375</v>
      </c>
      <c r="L13" t="s">
        <v>150</v>
      </c>
      <c r="M13" t="s">
        <v>907</v>
      </c>
      <c r="N13" s="97">
        <v>1216965036</v>
      </c>
      <c r="O13" t="s">
        <v>368</v>
      </c>
      <c r="P13">
        <v>1721</v>
      </c>
      <c r="Q13" t="s">
        <v>230</v>
      </c>
      <c r="R13" t="str">
        <f>IF(RecallTable[[#This Row],[SECTION]]="","TAD","")</f>
        <v/>
      </c>
    </row>
    <row r="14" spans="1:20" x14ac:dyDescent="0.25">
      <c r="A14" s="179">
        <v>1014426852</v>
      </c>
      <c r="B14" s="179" t="s">
        <v>764</v>
      </c>
      <c r="C14" s="179" t="s">
        <v>765</v>
      </c>
      <c r="D14" s="179" t="s">
        <v>354</v>
      </c>
      <c r="E14" s="179" t="s">
        <v>151</v>
      </c>
      <c r="F14" s="179">
        <v>1721</v>
      </c>
      <c r="G14" s="179"/>
      <c r="H14" s="179" t="s">
        <v>375</v>
      </c>
      <c r="L14" t="s">
        <v>150</v>
      </c>
      <c r="M14" t="s">
        <v>908</v>
      </c>
      <c r="N14" s="97">
        <v>1014426852</v>
      </c>
      <c r="O14" t="s">
        <v>368</v>
      </c>
      <c r="P14">
        <v>1721</v>
      </c>
      <c r="Q14" t="s">
        <v>230</v>
      </c>
      <c r="R14" t="str">
        <f>IF(RecallTable[[#This Row],[SECTION]]="","TAD","")</f>
        <v/>
      </c>
    </row>
    <row r="15" spans="1:20" x14ac:dyDescent="0.25">
      <c r="A15" s="178">
        <v>1342870108</v>
      </c>
      <c r="B15" s="178" t="s">
        <v>766</v>
      </c>
      <c r="C15" s="178" t="s">
        <v>767</v>
      </c>
      <c r="D15" s="178" t="s">
        <v>354</v>
      </c>
      <c r="E15" s="178" t="s">
        <v>151</v>
      </c>
      <c r="F15" s="178">
        <v>1721</v>
      </c>
      <c r="G15" s="178"/>
      <c r="H15" s="178" t="s">
        <v>375</v>
      </c>
      <c r="L15" t="s">
        <v>150</v>
      </c>
      <c r="M15" t="s">
        <v>909</v>
      </c>
      <c r="N15" s="97">
        <v>1342870108</v>
      </c>
      <c r="O15" t="s">
        <v>368</v>
      </c>
      <c r="P15">
        <v>1721</v>
      </c>
      <c r="Q15" t="s">
        <v>230</v>
      </c>
      <c r="R15" t="str">
        <f>IF(RecallTable[[#This Row],[SECTION]]="","TAD","")</f>
        <v/>
      </c>
      <c r="T15" s="148"/>
    </row>
    <row r="16" spans="1:20" x14ac:dyDescent="0.25">
      <c r="A16" s="179">
        <v>1563539788</v>
      </c>
      <c r="B16" s="179" t="s">
        <v>768</v>
      </c>
      <c r="C16" s="179" t="s">
        <v>769</v>
      </c>
      <c r="D16" s="179" t="s">
        <v>354</v>
      </c>
      <c r="E16" s="179" t="s">
        <v>151</v>
      </c>
      <c r="F16" s="179">
        <v>1721</v>
      </c>
      <c r="G16" s="179"/>
      <c r="H16" s="179" t="s">
        <v>375</v>
      </c>
      <c r="L16" t="s">
        <v>150</v>
      </c>
      <c r="M16" t="s">
        <v>910</v>
      </c>
      <c r="N16" s="97">
        <v>1563539788</v>
      </c>
      <c r="O16" t="s">
        <v>368</v>
      </c>
      <c r="P16">
        <v>1721</v>
      </c>
      <c r="Q16" t="s">
        <v>230</v>
      </c>
      <c r="R16" t="str">
        <f>IF(RecallTable[[#This Row],[SECTION]]="","TAD","")</f>
        <v/>
      </c>
    </row>
    <row r="17" spans="1:18" x14ac:dyDescent="0.25">
      <c r="A17" s="178">
        <v>1243619874</v>
      </c>
      <c r="B17" s="178" t="s">
        <v>770</v>
      </c>
      <c r="C17" s="178" t="s">
        <v>771</v>
      </c>
      <c r="D17" s="178" t="s">
        <v>354</v>
      </c>
      <c r="E17" s="178" t="s">
        <v>147</v>
      </c>
      <c r="F17" s="178">
        <v>1721</v>
      </c>
      <c r="G17" s="178"/>
      <c r="H17" s="178" t="s">
        <v>375</v>
      </c>
      <c r="L17" t="s">
        <v>146</v>
      </c>
      <c r="M17" t="s">
        <v>911</v>
      </c>
      <c r="N17" s="97">
        <v>1243619874</v>
      </c>
      <c r="O17" t="s">
        <v>368</v>
      </c>
      <c r="P17">
        <v>1721</v>
      </c>
      <c r="Q17" t="s">
        <v>230</v>
      </c>
      <c r="R17" t="str">
        <f>IF(RecallTable[[#This Row],[SECTION]]="","TAD","")</f>
        <v/>
      </c>
    </row>
    <row r="18" spans="1:18" x14ac:dyDescent="0.25">
      <c r="A18" s="179">
        <v>1204889319</v>
      </c>
      <c r="B18" s="179" t="s">
        <v>772</v>
      </c>
      <c r="C18" s="179" t="s">
        <v>773</v>
      </c>
      <c r="D18" s="179" t="s">
        <v>354</v>
      </c>
      <c r="E18" s="179" t="s">
        <v>170</v>
      </c>
      <c r="F18" s="179">
        <v>1702</v>
      </c>
      <c r="G18" s="179"/>
      <c r="H18" s="179" t="s">
        <v>360</v>
      </c>
      <c r="L18" t="s">
        <v>169</v>
      </c>
      <c r="M18" t="s">
        <v>912</v>
      </c>
      <c r="N18" s="97">
        <v>1204889319</v>
      </c>
      <c r="O18" t="s">
        <v>414</v>
      </c>
      <c r="P18">
        <v>1702</v>
      </c>
      <c r="Q18" t="s">
        <v>225</v>
      </c>
      <c r="R18" t="str">
        <f>IF(RecallTable[[#This Row],[SECTION]]="","TAD","")</f>
        <v/>
      </c>
    </row>
    <row r="19" spans="1:18" x14ac:dyDescent="0.25">
      <c r="A19" s="178">
        <v>1598039312</v>
      </c>
      <c r="B19" s="178" t="s">
        <v>774</v>
      </c>
      <c r="C19" s="178" t="s">
        <v>775</v>
      </c>
      <c r="D19" s="178" t="s">
        <v>354</v>
      </c>
      <c r="E19" s="178" t="s">
        <v>161</v>
      </c>
      <c r="F19" s="178">
        <v>1721</v>
      </c>
      <c r="G19" s="178"/>
      <c r="H19" s="178" t="s">
        <v>375</v>
      </c>
      <c r="L19" t="s">
        <v>160</v>
      </c>
      <c r="M19" t="s">
        <v>913</v>
      </c>
      <c r="N19" s="97">
        <v>1598039312</v>
      </c>
      <c r="O19" t="s">
        <v>368</v>
      </c>
      <c r="P19">
        <v>1721</v>
      </c>
      <c r="Q19" t="s">
        <v>225</v>
      </c>
      <c r="R19" t="str">
        <f>IF(RecallTable[[#This Row],[SECTION]]="","TAD","")</f>
        <v/>
      </c>
    </row>
    <row r="20" spans="1:18" x14ac:dyDescent="0.25">
      <c r="A20" s="179">
        <v>1057200841</v>
      </c>
      <c r="B20" s="179" t="s">
        <v>776</v>
      </c>
      <c r="C20" s="179" t="s">
        <v>777</v>
      </c>
      <c r="D20" s="179" t="s">
        <v>354</v>
      </c>
      <c r="E20" s="179" t="s">
        <v>158</v>
      </c>
      <c r="F20" s="179">
        <v>1721</v>
      </c>
      <c r="G20" s="179"/>
      <c r="H20" s="179" t="s">
        <v>375</v>
      </c>
      <c r="L20" t="s">
        <v>157</v>
      </c>
      <c r="M20" t="s">
        <v>914</v>
      </c>
      <c r="N20" s="97">
        <v>1057200841</v>
      </c>
      <c r="O20" t="s">
        <v>368</v>
      </c>
      <c r="P20">
        <v>1721</v>
      </c>
      <c r="Q20" t="s">
        <v>225</v>
      </c>
      <c r="R20" t="str">
        <f>IF(RecallTable[[#This Row],[SECTION]]="","TAD","")</f>
        <v/>
      </c>
    </row>
    <row r="21" spans="1:18" x14ac:dyDescent="0.25">
      <c r="A21" s="178">
        <v>1605838371</v>
      </c>
      <c r="B21" s="178" t="s">
        <v>778</v>
      </c>
      <c r="C21" s="178" t="s">
        <v>779</v>
      </c>
      <c r="D21" s="178" t="s">
        <v>354</v>
      </c>
      <c r="E21" s="178" t="s">
        <v>158</v>
      </c>
      <c r="F21" s="178">
        <v>1721</v>
      </c>
      <c r="G21" s="178"/>
      <c r="H21" s="178" t="s">
        <v>375</v>
      </c>
      <c r="L21" t="s">
        <v>157</v>
      </c>
      <c r="M21" t="s">
        <v>915</v>
      </c>
      <c r="N21" s="149">
        <v>1605838371</v>
      </c>
      <c r="O21" t="s">
        <v>368</v>
      </c>
      <c r="P21">
        <v>1721</v>
      </c>
      <c r="Q21" t="s">
        <v>225</v>
      </c>
      <c r="R21" t="str">
        <f>IF(RecallTable[[#This Row],[SECTION]]="","TAD","")</f>
        <v/>
      </c>
    </row>
    <row r="22" spans="1:18" x14ac:dyDescent="0.25">
      <c r="A22" s="179">
        <v>1583777566</v>
      </c>
      <c r="B22" s="179" t="s">
        <v>780</v>
      </c>
      <c r="C22" s="179" t="s">
        <v>781</v>
      </c>
      <c r="D22" s="179" t="s">
        <v>354</v>
      </c>
      <c r="E22" s="179" t="s">
        <v>155</v>
      </c>
      <c r="F22" s="179">
        <v>1721</v>
      </c>
      <c r="G22" s="179"/>
      <c r="H22" s="179" t="s">
        <v>375</v>
      </c>
      <c r="L22" t="s">
        <v>154</v>
      </c>
      <c r="M22" t="s">
        <v>916</v>
      </c>
      <c r="N22" s="97">
        <v>1583777566</v>
      </c>
      <c r="O22" t="s">
        <v>368</v>
      </c>
      <c r="P22">
        <v>1721</v>
      </c>
      <c r="Q22" t="s">
        <v>225</v>
      </c>
      <c r="R22" t="str">
        <f>IF(RecallTable[[#This Row],[SECTION]]="","TAD","")</f>
        <v/>
      </c>
    </row>
    <row r="23" spans="1:18" x14ac:dyDescent="0.25">
      <c r="A23" s="178">
        <v>1309210629</v>
      </c>
      <c r="B23" s="178" t="s">
        <v>782</v>
      </c>
      <c r="C23" s="178" t="s">
        <v>783</v>
      </c>
      <c r="D23" s="178" t="s">
        <v>354</v>
      </c>
      <c r="E23" s="178" t="s">
        <v>155</v>
      </c>
      <c r="F23" s="178">
        <v>1721</v>
      </c>
      <c r="G23" s="178"/>
      <c r="H23" s="178" t="s">
        <v>375</v>
      </c>
      <c r="L23" t="s">
        <v>154</v>
      </c>
      <c r="M23" t="s">
        <v>917</v>
      </c>
      <c r="N23" s="97">
        <v>1309210629</v>
      </c>
      <c r="O23" t="s">
        <v>368</v>
      </c>
      <c r="P23">
        <v>1721</v>
      </c>
      <c r="Q23" t="s">
        <v>225</v>
      </c>
      <c r="R23" t="str">
        <f>IF(RecallTable[[#This Row],[SECTION]]="","TAD","")</f>
        <v/>
      </c>
    </row>
    <row r="24" spans="1:18" x14ac:dyDescent="0.25">
      <c r="A24" s="179">
        <v>1068605275</v>
      </c>
      <c r="B24" s="179" t="s">
        <v>784</v>
      </c>
      <c r="C24" s="179" t="s">
        <v>785</v>
      </c>
      <c r="D24" s="179" t="s">
        <v>354</v>
      </c>
      <c r="E24" s="179" t="s">
        <v>155</v>
      </c>
      <c r="F24" s="179">
        <v>1700</v>
      </c>
      <c r="G24" s="179"/>
      <c r="H24" s="179" t="s">
        <v>375</v>
      </c>
      <c r="L24" t="s">
        <v>154</v>
      </c>
      <c r="M24" t="s">
        <v>918</v>
      </c>
      <c r="N24" s="97">
        <v>1068605275</v>
      </c>
      <c r="O24" t="s">
        <v>368</v>
      </c>
      <c r="P24">
        <v>1700</v>
      </c>
      <c r="Q24" t="s">
        <v>225</v>
      </c>
      <c r="R24" t="str">
        <f>IF(RecallTable[[#This Row],[SECTION]]="","TAD","")</f>
        <v/>
      </c>
    </row>
    <row r="25" spans="1:18" x14ac:dyDescent="0.25">
      <c r="A25" s="178">
        <v>1504022008</v>
      </c>
      <c r="B25" s="178" t="s">
        <v>786</v>
      </c>
      <c r="C25" s="178" t="s">
        <v>787</v>
      </c>
      <c r="D25" s="178" t="s">
        <v>354</v>
      </c>
      <c r="E25" s="178" t="s">
        <v>151</v>
      </c>
      <c r="F25" s="178">
        <v>1721</v>
      </c>
      <c r="G25" s="178"/>
      <c r="H25" s="178" t="s">
        <v>375</v>
      </c>
      <c r="L25" t="s">
        <v>150</v>
      </c>
      <c r="M25" t="s">
        <v>919</v>
      </c>
      <c r="N25" s="97">
        <v>1504022008</v>
      </c>
      <c r="O25" t="s">
        <v>368</v>
      </c>
      <c r="P25">
        <v>1721</v>
      </c>
      <c r="Q25" t="s">
        <v>225</v>
      </c>
      <c r="R25" t="str">
        <f>IF(RecallTable[[#This Row],[SECTION]]="","TAD","")</f>
        <v/>
      </c>
    </row>
    <row r="26" spans="1:18" x14ac:dyDescent="0.25">
      <c r="A26" s="179">
        <v>1306349386</v>
      </c>
      <c r="B26" s="179" t="s">
        <v>788</v>
      </c>
      <c r="C26" s="179" t="s">
        <v>789</v>
      </c>
      <c r="D26" s="179" t="s">
        <v>354</v>
      </c>
      <c r="E26" s="179" t="s">
        <v>151</v>
      </c>
      <c r="F26" s="179">
        <v>1721</v>
      </c>
      <c r="G26" s="179"/>
      <c r="H26" s="179" t="s">
        <v>375</v>
      </c>
      <c r="L26" t="s">
        <v>150</v>
      </c>
      <c r="M26" t="s">
        <v>920</v>
      </c>
      <c r="N26" s="97">
        <v>1306349386</v>
      </c>
      <c r="O26" t="s">
        <v>368</v>
      </c>
      <c r="P26">
        <v>1721</v>
      </c>
      <c r="Q26" t="s">
        <v>225</v>
      </c>
      <c r="R26" t="str">
        <f>IF(RecallTable[[#This Row],[SECTION]]="","TAD","")</f>
        <v/>
      </c>
    </row>
    <row r="27" spans="1:18" x14ac:dyDescent="0.25">
      <c r="A27" s="178">
        <v>1320652076</v>
      </c>
      <c r="B27" s="178" t="s">
        <v>790</v>
      </c>
      <c r="C27" s="178" t="s">
        <v>791</v>
      </c>
      <c r="D27" s="178" t="s">
        <v>354</v>
      </c>
      <c r="E27" s="178" t="s">
        <v>151</v>
      </c>
      <c r="F27" s="178">
        <v>1721</v>
      </c>
      <c r="G27" s="178"/>
      <c r="H27" s="178" t="s">
        <v>375</v>
      </c>
      <c r="L27" t="s">
        <v>150</v>
      </c>
      <c r="M27" t="s">
        <v>921</v>
      </c>
      <c r="N27" s="97">
        <v>1320652076</v>
      </c>
      <c r="O27" t="s">
        <v>368</v>
      </c>
      <c r="P27">
        <v>1721</v>
      </c>
      <c r="Q27" t="s">
        <v>225</v>
      </c>
      <c r="R27" t="str">
        <f>IF(RecallTable[[#This Row],[SECTION]]="","TAD","")</f>
        <v/>
      </c>
    </row>
    <row r="28" spans="1:18" x14ac:dyDescent="0.25">
      <c r="A28" s="179">
        <v>1478966980</v>
      </c>
      <c r="B28" s="179" t="s">
        <v>792</v>
      </c>
      <c r="C28" s="179" t="s">
        <v>793</v>
      </c>
      <c r="D28" s="179" t="s">
        <v>354</v>
      </c>
      <c r="E28" s="179" t="s">
        <v>151</v>
      </c>
      <c r="F28" s="179">
        <v>1721</v>
      </c>
      <c r="G28" s="179"/>
      <c r="H28" s="179" t="s">
        <v>375</v>
      </c>
      <c r="L28" t="s">
        <v>150</v>
      </c>
      <c r="M28" t="s">
        <v>922</v>
      </c>
      <c r="N28" s="97">
        <v>1478966980</v>
      </c>
      <c r="O28" t="s">
        <v>368</v>
      </c>
      <c r="P28">
        <v>1721</v>
      </c>
      <c r="Q28" t="s">
        <v>225</v>
      </c>
      <c r="R28" t="str">
        <f>IF(RecallTable[[#This Row],[SECTION]]="","TAD","")</f>
        <v/>
      </c>
    </row>
    <row r="29" spans="1:18" x14ac:dyDescent="0.25">
      <c r="A29" s="178">
        <v>1308481514</v>
      </c>
      <c r="B29" s="178" t="s">
        <v>794</v>
      </c>
      <c r="C29" s="178" t="s">
        <v>795</v>
      </c>
      <c r="D29" s="178" t="s">
        <v>354</v>
      </c>
      <c r="E29" s="178" t="s">
        <v>151</v>
      </c>
      <c r="F29" s="178">
        <v>1721</v>
      </c>
      <c r="G29" s="178"/>
      <c r="H29" s="178" t="s">
        <v>375</v>
      </c>
      <c r="L29" t="s">
        <v>150</v>
      </c>
      <c r="M29" t="s">
        <v>923</v>
      </c>
      <c r="N29" s="97">
        <v>1308481514</v>
      </c>
      <c r="O29" t="s">
        <v>368</v>
      </c>
      <c r="P29">
        <v>1721</v>
      </c>
      <c r="Q29" t="s">
        <v>225</v>
      </c>
      <c r="R29" t="str">
        <f>IF(RecallTable[[#This Row],[SECTION]]="","TAD","")</f>
        <v/>
      </c>
    </row>
    <row r="30" spans="1:18" x14ac:dyDescent="0.25">
      <c r="A30" s="179">
        <v>1511922179</v>
      </c>
      <c r="B30" s="179" t="s">
        <v>796</v>
      </c>
      <c r="C30" s="179" t="s">
        <v>797</v>
      </c>
      <c r="D30" s="179" t="s">
        <v>354</v>
      </c>
      <c r="E30" s="179" t="s">
        <v>151</v>
      </c>
      <c r="F30" s="179">
        <v>1721</v>
      </c>
      <c r="G30" s="179"/>
      <c r="H30" s="179" t="s">
        <v>375</v>
      </c>
      <c r="L30" t="s">
        <v>150</v>
      </c>
      <c r="M30" t="s">
        <v>924</v>
      </c>
      <c r="N30" s="97">
        <v>1511922179</v>
      </c>
      <c r="O30" t="s">
        <v>368</v>
      </c>
      <c r="P30">
        <v>1721</v>
      </c>
      <c r="Q30" t="s">
        <v>225</v>
      </c>
      <c r="R30" t="str">
        <f>IF(RecallTable[[#This Row],[SECTION]]="","TAD","")</f>
        <v/>
      </c>
    </row>
    <row r="31" spans="1:18" x14ac:dyDescent="0.25">
      <c r="A31" s="178">
        <v>1363966758</v>
      </c>
      <c r="B31" s="178" t="s">
        <v>798</v>
      </c>
      <c r="C31" s="178" t="s">
        <v>799</v>
      </c>
      <c r="D31" s="178" t="s">
        <v>354</v>
      </c>
      <c r="E31" s="178" t="s">
        <v>151</v>
      </c>
      <c r="F31" s="178">
        <v>1721</v>
      </c>
      <c r="G31" s="178"/>
      <c r="H31" s="178" t="s">
        <v>375</v>
      </c>
      <c r="L31" t="s">
        <v>150</v>
      </c>
      <c r="M31" t="s">
        <v>925</v>
      </c>
      <c r="N31" s="97">
        <v>1363966758</v>
      </c>
      <c r="O31" t="s">
        <v>368</v>
      </c>
      <c r="P31">
        <v>1721</v>
      </c>
      <c r="Q31" t="s">
        <v>225</v>
      </c>
      <c r="R31" t="str">
        <f>IF(RecallTable[[#This Row],[SECTION]]="","TAD","")</f>
        <v/>
      </c>
    </row>
    <row r="32" spans="1:18" x14ac:dyDescent="0.25">
      <c r="A32" s="179">
        <v>1212075255</v>
      </c>
      <c r="B32" s="179" t="s">
        <v>800</v>
      </c>
      <c r="C32" s="179" t="s">
        <v>801</v>
      </c>
      <c r="D32" s="179" t="s">
        <v>354</v>
      </c>
      <c r="E32" s="179" t="s">
        <v>147</v>
      </c>
      <c r="F32" s="179">
        <v>1721</v>
      </c>
      <c r="G32" s="179"/>
      <c r="H32" s="179" t="s">
        <v>375</v>
      </c>
      <c r="L32" t="s">
        <v>146</v>
      </c>
      <c r="M32" t="s">
        <v>926</v>
      </c>
      <c r="N32" s="97">
        <v>1212075255</v>
      </c>
      <c r="O32" t="s">
        <v>368</v>
      </c>
      <c r="P32">
        <v>1721</v>
      </c>
      <c r="Q32" t="s">
        <v>225</v>
      </c>
      <c r="R32" t="str">
        <f>IF(RecallTable[[#This Row],[SECTION]]="","TAD","")</f>
        <v/>
      </c>
    </row>
    <row r="33" spans="1:18" x14ac:dyDescent="0.25">
      <c r="A33" s="178">
        <v>1039148847</v>
      </c>
      <c r="B33" s="178" t="s">
        <v>802</v>
      </c>
      <c r="C33" s="178" t="s">
        <v>803</v>
      </c>
      <c r="D33" s="178" t="s">
        <v>354</v>
      </c>
      <c r="E33" s="178" t="s">
        <v>170</v>
      </c>
      <c r="F33" s="178">
        <v>1702</v>
      </c>
      <c r="G33" s="178"/>
      <c r="H33" s="178" t="s">
        <v>360</v>
      </c>
      <c r="L33" t="s">
        <v>169</v>
      </c>
      <c r="M33" t="s">
        <v>927</v>
      </c>
      <c r="N33" s="97">
        <v>1039148847</v>
      </c>
      <c r="O33" t="s">
        <v>368</v>
      </c>
      <c r="P33">
        <v>1702</v>
      </c>
      <c r="Q33" t="s">
        <v>211</v>
      </c>
      <c r="R33" t="str">
        <f>IF(RecallTable[[#This Row],[SECTION]]="","TAD","")</f>
        <v/>
      </c>
    </row>
    <row r="34" spans="1:18" x14ac:dyDescent="0.25">
      <c r="A34" s="179">
        <v>1282303798</v>
      </c>
      <c r="B34" s="179" t="s">
        <v>804</v>
      </c>
      <c r="C34" s="179" t="s">
        <v>805</v>
      </c>
      <c r="D34" s="179" t="s">
        <v>354</v>
      </c>
      <c r="E34" s="179" t="s">
        <v>161</v>
      </c>
      <c r="F34" s="179">
        <v>1721</v>
      </c>
      <c r="G34" s="179"/>
      <c r="H34" s="179" t="s">
        <v>375</v>
      </c>
      <c r="L34" t="s">
        <v>160</v>
      </c>
      <c r="M34" t="s">
        <v>928</v>
      </c>
      <c r="N34" s="97">
        <v>1282303798</v>
      </c>
      <c r="O34" t="s">
        <v>414</v>
      </c>
      <c r="P34">
        <v>1721</v>
      </c>
      <c r="Q34" t="s">
        <v>211</v>
      </c>
      <c r="R34" t="str">
        <f>IF(RecallTable[[#This Row],[SECTION]]="","TAD","")</f>
        <v/>
      </c>
    </row>
    <row r="35" spans="1:18" x14ac:dyDescent="0.25">
      <c r="A35" s="178">
        <v>1456272150</v>
      </c>
      <c r="B35" s="178" t="s">
        <v>806</v>
      </c>
      <c r="C35" s="178" t="s">
        <v>807</v>
      </c>
      <c r="D35" s="178" t="s">
        <v>354</v>
      </c>
      <c r="E35" s="178" t="s">
        <v>158</v>
      </c>
      <c r="F35" s="178">
        <v>1721</v>
      </c>
      <c r="G35" s="178"/>
      <c r="H35" s="178" t="s">
        <v>375</v>
      </c>
      <c r="L35" t="s">
        <v>157</v>
      </c>
      <c r="M35" t="s">
        <v>929</v>
      </c>
      <c r="N35" s="97">
        <v>1456272150</v>
      </c>
      <c r="O35" t="s">
        <v>368</v>
      </c>
      <c r="P35">
        <v>1721</v>
      </c>
      <c r="Q35" t="s">
        <v>211</v>
      </c>
      <c r="R35" t="str">
        <f>IF(RecallTable[[#This Row],[SECTION]]="","TAD","")</f>
        <v/>
      </c>
    </row>
    <row r="36" spans="1:18" x14ac:dyDescent="0.25">
      <c r="A36" s="179">
        <v>1364104581</v>
      </c>
      <c r="B36" s="179" t="s">
        <v>808</v>
      </c>
      <c r="C36" s="179" t="s">
        <v>809</v>
      </c>
      <c r="D36" s="179" t="s">
        <v>354</v>
      </c>
      <c r="E36" s="179" t="s">
        <v>158</v>
      </c>
      <c r="F36" s="179">
        <v>1721</v>
      </c>
      <c r="G36" s="179"/>
      <c r="H36" s="179" t="s">
        <v>375</v>
      </c>
      <c r="L36" t="s">
        <v>157</v>
      </c>
      <c r="M36" t="s">
        <v>930</v>
      </c>
      <c r="N36" s="97">
        <v>1364104581</v>
      </c>
      <c r="O36" t="s">
        <v>368</v>
      </c>
      <c r="P36">
        <v>1721</v>
      </c>
      <c r="Q36" t="s">
        <v>211</v>
      </c>
      <c r="R36" t="str">
        <f>IF(RecallTable[[#This Row],[SECTION]]="","TAD","")</f>
        <v/>
      </c>
    </row>
    <row r="37" spans="1:18" x14ac:dyDescent="0.25">
      <c r="A37" s="178">
        <v>1599673202</v>
      </c>
      <c r="B37" s="178" t="s">
        <v>810</v>
      </c>
      <c r="C37" s="178" t="s">
        <v>811</v>
      </c>
      <c r="D37" s="178" t="s">
        <v>354</v>
      </c>
      <c r="E37" s="178" t="s">
        <v>155</v>
      </c>
      <c r="F37" s="178">
        <v>1721</v>
      </c>
      <c r="G37" s="178"/>
      <c r="H37" s="178" t="s">
        <v>375</v>
      </c>
      <c r="L37" t="s">
        <v>154</v>
      </c>
      <c r="M37" t="s">
        <v>931</v>
      </c>
      <c r="N37" s="97">
        <v>1599673202</v>
      </c>
      <c r="O37" t="s">
        <v>368</v>
      </c>
      <c r="P37">
        <v>1721</v>
      </c>
      <c r="Q37" t="s">
        <v>211</v>
      </c>
      <c r="R37" t="str">
        <f>IF(RecallTable[[#This Row],[SECTION]]="","TAD","")</f>
        <v/>
      </c>
    </row>
    <row r="38" spans="1:18" x14ac:dyDescent="0.25">
      <c r="A38" s="179">
        <v>1163508456</v>
      </c>
      <c r="B38" s="179" t="s">
        <v>812</v>
      </c>
      <c r="C38" s="179" t="s">
        <v>813</v>
      </c>
      <c r="D38" s="179" t="s">
        <v>354</v>
      </c>
      <c r="E38" s="179" t="s">
        <v>155</v>
      </c>
      <c r="F38" s="179">
        <v>1721</v>
      </c>
      <c r="G38" s="179"/>
      <c r="H38" s="179" t="s">
        <v>375</v>
      </c>
      <c r="L38" t="s">
        <v>154</v>
      </c>
      <c r="M38" t="s">
        <v>932</v>
      </c>
      <c r="N38" s="97">
        <v>1163508456</v>
      </c>
      <c r="O38" t="s">
        <v>368</v>
      </c>
      <c r="P38">
        <v>1721</v>
      </c>
      <c r="Q38" t="s">
        <v>211</v>
      </c>
      <c r="R38" t="str">
        <f>IF(RecallTable[[#This Row],[SECTION]]="","TAD","")</f>
        <v/>
      </c>
    </row>
    <row r="39" spans="1:18" x14ac:dyDescent="0.25">
      <c r="A39" s="178">
        <v>1093026721</v>
      </c>
      <c r="B39" s="178" t="s">
        <v>814</v>
      </c>
      <c r="C39" s="178" t="s">
        <v>815</v>
      </c>
      <c r="D39" s="178" t="s">
        <v>354</v>
      </c>
      <c r="E39" s="178" t="s">
        <v>155</v>
      </c>
      <c r="F39" s="178">
        <v>1700</v>
      </c>
      <c r="G39" s="178"/>
      <c r="H39" s="178" t="s">
        <v>375</v>
      </c>
      <c r="L39" t="s">
        <v>154</v>
      </c>
      <c r="M39" t="s">
        <v>933</v>
      </c>
      <c r="N39" s="97">
        <v>1093026721</v>
      </c>
      <c r="O39" t="s">
        <v>368</v>
      </c>
      <c r="P39">
        <v>1700</v>
      </c>
      <c r="Q39" t="s">
        <v>211</v>
      </c>
      <c r="R39" t="str">
        <f>IF(RecallTable[[#This Row],[SECTION]]="","TAD","")</f>
        <v/>
      </c>
    </row>
    <row r="40" spans="1:18" x14ac:dyDescent="0.25">
      <c r="A40" s="179">
        <v>1523342542</v>
      </c>
      <c r="B40" s="179" t="s">
        <v>816</v>
      </c>
      <c r="C40" s="179" t="s">
        <v>817</v>
      </c>
      <c r="D40" s="179" t="s">
        <v>354</v>
      </c>
      <c r="E40" s="179" t="s">
        <v>151</v>
      </c>
      <c r="F40" s="179">
        <v>1721</v>
      </c>
      <c r="G40" s="179"/>
      <c r="H40" s="179" t="s">
        <v>375</v>
      </c>
      <c r="L40" t="s">
        <v>150</v>
      </c>
      <c r="M40" t="s">
        <v>934</v>
      </c>
      <c r="N40" s="97">
        <v>1523342542</v>
      </c>
      <c r="O40" t="s">
        <v>368</v>
      </c>
      <c r="P40">
        <v>1721</v>
      </c>
      <c r="Q40" t="s">
        <v>211</v>
      </c>
      <c r="R40" t="str">
        <f>IF(RecallTable[[#This Row],[SECTION]]="","TAD","")</f>
        <v/>
      </c>
    </row>
    <row r="41" spans="1:18" x14ac:dyDescent="0.25">
      <c r="A41" s="178">
        <v>1128365853</v>
      </c>
      <c r="B41" s="178" t="s">
        <v>818</v>
      </c>
      <c r="C41" s="178" t="s">
        <v>819</v>
      </c>
      <c r="D41" s="178" t="s">
        <v>354</v>
      </c>
      <c r="E41" s="178" t="s">
        <v>151</v>
      </c>
      <c r="F41" s="178">
        <v>1721</v>
      </c>
      <c r="G41" s="178"/>
      <c r="H41" s="178" t="s">
        <v>375</v>
      </c>
      <c r="L41" t="s">
        <v>150</v>
      </c>
      <c r="M41" t="s">
        <v>935</v>
      </c>
      <c r="N41" s="97">
        <v>1128365853</v>
      </c>
      <c r="O41" t="s">
        <v>368</v>
      </c>
      <c r="P41">
        <v>1721</v>
      </c>
      <c r="Q41" t="s">
        <v>211</v>
      </c>
      <c r="R41" t="str">
        <f>IF(RecallTable[[#This Row],[SECTION]]="","TAD","")</f>
        <v/>
      </c>
    </row>
    <row r="42" spans="1:18" x14ac:dyDescent="0.25">
      <c r="A42" s="179">
        <v>1164109197</v>
      </c>
      <c r="B42" s="179" t="s">
        <v>820</v>
      </c>
      <c r="C42" s="179" t="s">
        <v>821</v>
      </c>
      <c r="D42" s="179" t="s">
        <v>354</v>
      </c>
      <c r="E42" s="179" t="s">
        <v>151</v>
      </c>
      <c r="F42" s="179">
        <v>1721</v>
      </c>
      <c r="G42" s="179"/>
      <c r="H42" s="179" t="s">
        <v>375</v>
      </c>
      <c r="L42" t="s">
        <v>150</v>
      </c>
      <c r="M42" t="s">
        <v>936</v>
      </c>
      <c r="N42" s="97">
        <v>1164109197</v>
      </c>
      <c r="O42" t="s">
        <v>368</v>
      </c>
      <c r="P42">
        <v>1721</v>
      </c>
      <c r="Q42" t="s">
        <v>211</v>
      </c>
      <c r="R42" t="str">
        <f>IF(RecallTable[[#This Row],[SECTION]]="","TAD","")</f>
        <v/>
      </c>
    </row>
    <row r="43" spans="1:18" x14ac:dyDescent="0.25">
      <c r="A43" s="178">
        <v>1397980725</v>
      </c>
      <c r="B43" s="178" t="s">
        <v>822</v>
      </c>
      <c r="C43" s="178" t="s">
        <v>823</v>
      </c>
      <c r="D43" s="178" t="s">
        <v>354</v>
      </c>
      <c r="E43" s="178" t="s">
        <v>151</v>
      </c>
      <c r="F43" s="178">
        <v>1721</v>
      </c>
      <c r="G43" s="178"/>
      <c r="H43" s="178" t="s">
        <v>375</v>
      </c>
      <c r="L43" t="s">
        <v>150</v>
      </c>
      <c r="M43" t="s">
        <v>937</v>
      </c>
      <c r="N43" s="97">
        <v>1397980725</v>
      </c>
      <c r="O43" t="s">
        <v>368</v>
      </c>
      <c r="P43">
        <v>1721</v>
      </c>
      <c r="Q43" t="s">
        <v>211</v>
      </c>
      <c r="R43" t="str">
        <f>IF(RecallTable[[#This Row],[SECTION]]="","TAD","")</f>
        <v/>
      </c>
    </row>
    <row r="44" spans="1:18" x14ac:dyDescent="0.25">
      <c r="A44" s="179">
        <v>1135673321</v>
      </c>
      <c r="B44" s="179" t="s">
        <v>824</v>
      </c>
      <c r="C44" s="179" t="s">
        <v>825</v>
      </c>
      <c r="D44" s="179" t="s">
        <v>354</v>
      </c>
      <c r="E44" s="179" t="s">
        <v>151</v>
      </c>
      <c r="F44" s="179">
        <v>1721</v>
      </c>
      <c r="G44" s="179"/>
      <c r="H44" s="179" t="s">
        <v>375</v>
      </c>
      <c r="L44" t="s">
        <v>150</v>
      </c>
      <c r="M44" t="s">
        <v>938</v>
      </c>
      <c r="N44" s="97">
        <v>1135673321</v>
      </c>
      <c r="O44" t="s">
        <v>368</v>
      </c>
      <c r="P44">
        <v>1721</v>
      </c>
      <c r="Q44" t="s">
        <v>211</v>
      </c>
      <c r="R44" t="str">
        <f>IF(RecallTable[[#This Row],[SECTION]]="","TAD","")</f>
        <v/>
      </c>
    </row>
    <row r="45" spans="1:18" x14ac:dyDescent="0.25">
      <c r="A45" s="178">
        <v>1502371969</v>
      </c>
      <c r="B45" s="178" t="s">
        <v>826</v>
      </c>
      <c r="C45" s="178" t="s">
        <v>827</v>
      </c>
      <c r="D45" s="178" t="s">
        <v>354</v>
      </c>
      <c r="E45" s="178" t="s">
        <v>151</v>
      </c>
      <c r="F45" s="178">
        <v>1721</v>
      </c>
      <c r="G45" s="178"/>
      <c r="H45" s="178" t="s">
        <v>375</v>
      </c>
      <c r="L45" t="s">
        <v>150</v>
      </c>
      <c r="M45" t="s">
        <v>939</v>
      </c>
      <c r="N45" s="97">
        <v>1502371969</v>
      </c>
      <c r="O45" t="s">
        <v>368</v>
      </c>
      <c r="P45">
        <v>1721</v>
      </c>
      <c r="Q45" t="s">
        <v>211</v>
      </c>
      <c r="R45" t="str">
        <f>IF(RecallTable[[#This Row],[SECTION]]="","TAD","")</f>
        <v/>
      </c>
    </row>
    <row r="46" spans="1:18" x14ac:dyDescent="0.25">
      <c r="A46" s="179">
        <v>1397447603</v>
      </c>
      <c r="B46" s="179" t="s">
        <v>828</v>
      </c>
      <c r="C46" s="179" t="s">
        <v>829</v>
      </c>
      <c r="D46" s="179" t="s">
        <v>354</v>
      </c>
      <c r="E46" s="179" t="s">
        <v>151</v>
      </c>
      <c r="F46" s="179">
        <v>1721</v>
      </c>
      <c r="G46" s="179"/>
      <c r="H46" s="179" t="s">
        <v>375</v>
      </c>
      <c r="L46" t="s">
        <v>150</v>
      </c>
      <c r="M46" t="s">
        <v>940</v>
      </c>
      <c r="N46" s="97">
        <v>1397447603</v>
      </c>
      <c r="O46" t="s">
        <v>368</v>
      </c>
      <c r="P46">
        <v>1721</v>
      </c>
      <c r="Q46" t="s">
        <v>211</v>
      </c>
      <c r="R46" t="str">
        <f>IF(RecallTable[[#This Row],[SECTION]]="","TAD","")</f>
        <v/>
      </c>
    </row>
    <row r="47" spans="1:18" x14ac:dyDescent="0.25">
      <c r="A47" s="178">
        <v>1207085014</v>
      </c>
      <c r="B47" s="178" t="s">
        <v>830</v>
      </c>
      <c r="C47" s="178" t="s">
        <v>831</v>
      </c>
      <c r="D47" s="178" t="s">
        <v>354</v>
      </c>
      <c r="E47" s="178" t="s">
        <v>147</v>
      </c>
      <c r="F47" s="178">
        <v>1721</v>
      </c>
      <c r="G47" s="178"/>
      <c r="H47" s="178" t="s">
        <v>375</v>
      </c>
      <c r="L47" t="s">
        <v>146</v>
      </c>
      <c r="M47" t="s">
        <v>941</v>
      </c>
      <c r="N47" s="97">
        <v>1207085014</v>
      </c>
      <c r="O47" t="s">
        <v>414</v>
      </c>
      <c r="P47">
        <v>1721</v>
      </c>
      <c r="Q47" t="s">
        <v>211</v>
      </c>
      <c r="R47" t="str">
        <f>IF(RecallTable[[#This Row],[SECTION]]="","TAD","")</f>
        <v/>
      </c>
    </row>
    <row r="48" spans="1:18" x14ac:dyDescent="0.25">
      <c r="A48" s="179">
        <v>1045261897</v>
      </c>
      <c r="B48" s="179" t="s">
        <v>832</v>
      </c>
      <c r="C48" s="179" t="s">
        <v>833</v>
      </c>
      <c r="D48" s="179" t="s">
        <v>354</v>
      </c>
      <c r="E48" s="179" t="s">
        <v>155</v>
      </c>
      <c r="F48" s="179">
        <v>1721</v>
      </c>
      <c r="G48" s="179"/>
      <c r="H48" s="179" t="s">
        <v>375</v>
      </c>
      <c r="L48" t="s">
        <v>154</v>
      </c>
      <c r="M48" t="s">
        <v>942</v>
      </c>
      <c r="N48" s="97">
        <v>1045261897</v>
      </c>
      <c r="O48" t="s">
        <v>368</v>
      </c>
      <c r="P48">
        <v>1721</v>
      </c>
      <c r="Q48" t="s">
        <v>211</v>
      </c>
      <c r="R48" t="str">
        <f>IF(RecallTable[[#This Row],[SECTION]]="","TAD","")</f>
        <v/>
      </c>
    </row>
    <row r="49" spans="1:18" x14ac:dyDescent="0.25">
      <c r="A49" s="178">
        <v>1043584855</v>
      </c>
      <c r="B49" s="178" t="s">
        <v>834</v>
      </c>
      <c r="C49" s="178" t="s">
        <v>835</v>
      </c>
      <c r="D49" s="178" t="s">
        <v>354</v>
      </c>
      <c r="E49" s="178" t="s">
        <v>147</v>
      </c>
      <c r="F49" s="178">
        <v>1721</v>
      </c>
      <c r="G49" s="178"/>
      <c r="H49" s="178" t="s">
        <v>375</v>
      </c>
      <c r="L49" t="s">
        <v>146</v>
      </c>
      <c r="M49" t="s">
        <v>943</v>
      </c>
      <c r="N49" s="97">
        <v>1043584855</v>
      </c>
      <c r="O49" t="s">
        <v>368</v>
      </c>
      <c r="P49">
        <v>1721</v>
      </c>
      <c r="Q49" t="s">
        <v>211</v>
      </c>
      <c r="R49" t="str">
        <f>IF(RecallTable[[#This Row],[SECTION]]="","TAD","")</f>
        <v/>
      </c>
    </row>
    <row r="50" spans="1:18" x14ac:dyDescent="0.25">
      <c r="A50" s="179">
        <v>1466955974</v>
      </c>
      <c r="B50" s="179" t="s">
        <v>836</v>
      </c>
      <c r="C50" s="179" t="s">
        <v>837</v>
      </c>
      <c r="D50" s="179" t="s">
        <v>354</v>
      </c>
      <c r="E50" s="179" t="s">
        <v>170</v>
      </c>
      <c r="F50" s="179">
        <v>1702</v>
      </c>
      <c r="G50" s="179"/>
      <c r="H50" s="179" t="s">
        <v>360</v>
      </c>
      <c r="L50" t="s">
        <v>169</v>
      </c>
      <c r="M50" t="s">
        <v>944</v>
      </c>
      <c r="N50" s="97">
        <v>1466955974</v>
      </c>
      <c r="O50" t="s">
        <v>368</v>
      </c>
      <c r="P50">
        <v>1702</v>
      </c>
      <c r="Q50" t="s">
        <v>945</v>
      </c>
      <c r="R50" t="str">
        <f>IF(RecallTable[[#This Row],[SECTION]]="","TAD","")</f>
        <v/>
      </c>
    </row>
    <row r="51" spans="1:18" x14ac:dyDescent="0.25">
      <c r="A51" s="178">
        <v>1086482908</v>
      </c>
      <c r="B51" s="178" t="s">
        <v>838</v>
      </c>
      <c r="C51" s="178" t="s">
        <v>839</v>
      </c>
      <c r="D51" s="178" t="s">
        <v>354</v>
      </c>
      <c r="E51" s="178" t="s">
        <v>161</v>
      </c>
      <c r="F51" s="178">
        <v>1721</v>
      </c>
      <c r="G51" s="178"/>
      <c r="H51" s="178" t="s">
        <v>375</v>
      </c>
      <c r="L51" t="s">
        <v>160</v>
      </c>
      <c r="M51" t="s">
        <v>946</v>
      </c>
      <c r="N51" s="97">
        <v>1086482908</v>
      </c>
      <c r="O51" t="s">
        <v>368</v>
      </c>
      <c r="P51">
        <v>1721</v>
      </c>
      <c r="Q51" t="s">
        <v>945</v>
      </c>
      <c r="R51" t="str">
        <f>IF(RecallTable[[#This Row],[SECTION]]="","TAD","")</f>
        <v/>
      </c>
    </row>
    <row r="52" spans="1:18" x14ac:dyDescent="0.25">
      <c r="A52" s="179">
        <v>1378280647</v>
      </c>
      <c r="B52" s="179" t="s">
        <v>840</v>
      </c>
      <c r="C52" s="179" t="s">
        <v>841</v>
      </c>
      <c r="D52" s="179" t="s">
        <v>354</v>
      </c>
      <c r="E52" s="179" t="s">
        <v>158</v>
      </c>
      <c r="F52" s="179">
        <v>1721</v>
      </c>
      <c r="G52" s="179"/>
      <c r="H52" s="179" t="s">
        <v>375</v>
      </c>
      <c r="L52" t="s">
        <v>157</v>
      </c>
      <c r="M52" t="s">
        <v>947</v>
      </c>
      <c r="N52" s="97">
        <v>1378280647</v>
      </c>
      <c r="O52" t="s">
        <v>368</v>
      </c>
      <c r="P52">
        <v>1721</v>
      </c>
      <c r="Q52" t="s">
        <v>945</v>
      </c>
      <c r="R52" t="str">
        <f>IF(RecallTable[[#This Row],[SECTION]]="","TAD","")</f>
        <v/>
      </c>
    </row>
    <row r="53" spans="1:18" x14ac:dyDescent="0.25">
      <c r="A53" s="178">
        <v>1376933246</v>
      </c>
      <c r="B53" s="178" t="s">
        <v>842</v>
      </c>
      <c r="C53" s="178" t="s">
        <v>843</v>
      </c>
      <c r="D53" s="178" t="s">
        <v>354</v>
      </c>
      <c r="E53" s="178" t="s">
        <v>158</v>
      </c>
      <c r="F53" s="178">
        <v>1721</v>
      </c>
      <c r="G53" s="178"/>
      <c r="H53" s="178" t="s">
        <v>375</v>
      </c>
      <c r="L53" t="s">
        <v>157</v>
      </c>
      <c r="M53" t="s">
        <v>948</v>
      </c>
      <c r="N53" s="97">
        <v>1376933246</v>
      </c>
      <c r="O53" t="s">
        <v>368</v>
      </c>
      <c r="P53">
        <v>1721</v>
      </c>
      <c r="Q53" t="s">
        <v>945</v>
      </c>
      <c r="R53" t="str">
        <f>IF(RecallTable[[#This Row],[SECTION]]="","TAD","")</f>
        <v/>
      </c>
    </row>
    <row r="54" spans="1:18" x14ac:dyDescent="0.25">
      <c r="A54" s="179">
        <v>1480655370</v>
      </c>
      <c r="B54" s="179" t="s">
        <v>844</v>
      </c>
      <c r="C54" s="179" t="s">
        <v>845</v>
      </c>
      <c r="D54" s="179" t="s">
        <v>354</v>
      </c>
      <c r="E54" s="179" t="s">
        <v>155</v>
      </c>
      <c r="F54" s="179">
        <v>1721</v>
      </c>
      <c r="G54" s="179"/>
      <c r="H54" s="179" t="s">
        <v>375</v>
      </c>
      <c r="L54" t="s">
        <v>154</v>
      </c>
      <c r="M54" t="s">
        <v>949</v>
      </c>
      <c r="N54" s="97">
        <v>1480655370</v>
      </c>
      <c r="O54" t="s">
        <v>368</v>
      </c>
      <c r="P54">
        <v>1721</v>
      </c>
      <c r="Q54" t="s">
        <v>945</v>
      </c>
      <c r="R54" t="str">
        <f>IF(RecallTable[[#This Row],[SECTION]]="","TAD","")</f>
        <v/>
      </c>
    </row>
    <row r="55" spans="1:18" x14ac:dyDescent="0.25">
      <c r="A55" s="178">
        <v>1328891644</v>
      </c>
      <c r="B55" s="178" t="s">
        <v>846</v>
      </c>
      <c r="C55" s="178" t="s">
        <v>847</v>
      </c>
      <c r="D55" s="178" t="s">
        <v>354</v>
      </c>
      <c r="E55" s="178" t="s">
        <v>155</v>
      </c>
      <c r="F55" s="178">
        <v>1721</v>
      </c>
      <c r="G55" s="178"/>
      <c r="H55" s="178" t="s">
        <v>375</v>
      </c>
      <c r="L55" t="s">
        <v>154</v>
      </c>
      <c r="M55" t="s">
        <v>950</v>
      </c>
      <c r="N55" s="97">
        <v>1328891644</v>
      </c>
      <c r="O55" t="s">
        <v>368</v>
      </c>
      <c r="P55">
        <v>1721</v>
      </c>
      <c r="Q55" t="s">
        <v>945</v>
      </c>
      <c r="R55" t="str">
        <f>IF(RecallTable[[#This Row],[SECTION]]="","TAD","")</f>
        <v/>
      </c>
    </row>
    <row r="56" spans="1:18" x14ac:dyDescent="0.25">
      <c r="A56" s="179">
        <v>1583347169</v>
      </c>
      <c r="B56" s="179" t="s">
        <v>800</v>
      </c>
      <c r="C56" s="179" t="s">
        <v>848</v>
      </c>
      <c r="D56" s="179" t="s">
        <v>354</v>
      </c>
      <c r="E56" s="179" t="s">
        <v>155</v>
      </c>
      <c r="F56" s="179">
        <v>1700</v>
      </c>
      <c r="G56" s="179"/>
      <c r="H56" s="179" t="s">
        <v>375</v>
      </c>
      <c r="L56" t="s">
        <v>154</v>
      </c>
      <c r="M56" t="s">
        <v>951</v>
      </c>
      <c r="N56" s="97">
        <v>1583347169</v>
      </c>
      <c r="O56" t="s">
        <v>368</v>
      </c>
      <c r="P56">
        <v>1700</v>
      </c>
      <c r="Q56" t="s">
        <v>945</v>
      </c>
      <c r="R56" t="str">
        <f>IF(RecallTable[[#This Row],[SECTION]]="","TAD","")</f>
        <v/>
      </c>
    </row>
    <row r="57" spans="1:18" x14ac:dyDescent="0.25">
      <c r="A57" s="178">
        <v>1110516278</v>
      </c>
      <c r="B57" s="178" t="s">
        <v>849</v>
      </c>
      <c r="C57" s="178" t="s">
        <v>850</v>
      </c>
      <c r="D57" s="178" t="s">
        <v>354</v>
      </c>
      <c r="E57" s="178" t="s">
        <v>151</v>
      </c>
      <c r="F57" s="178">
        <v>1721</v>
      </c>
      <c r="G57" s="178"/>
      <c r="H57" s="178" t="s">
        <v>375</v>
      </c>
      <c r="L57" t="s">
        <v>150</v>
      </c>
      <c r="M57" t="s">
        <v>952</v>
      </c>
      <c r="N57" s="97">
        <v>1110516278</v>
      </c>
      <c r="O57" t="s">
        <v>368</v>
      </c>
      <c r="P57">
        <v>1721</v>
      </c>
      <c r="Q57" t="s">
        <v>945</v>
      </c>
      <c r="R57" t="str">
        <f>IF(RecallTable[[#This Row],[SECTION]]="","TAD","")</f>
        <v/>
      </c>
    </row>
    <row r="58" spans="1:18" x14ac:dyDescent="0.25">
      <c r="A58" s="179">
        <v>1288365821</v>
      </c>
      <c r="B58" s="179" t="s">
        <v>851</v>
      </c>
      <c r="C58" s="179" t="s">
        <v>852</v>
      </c>
      <c r="D58" s="179" t="s">
        <v>354</v>
      </c>
      <c r="E58" s="179" t="s">
        <v>151</v>
      </c>
      <c r="F58" s="179">
        <v>1721</v>
      </c>
      <c r="G58" s="179"/>
      <c r="H58" s="179" t="s">
        <v>375</v>
      </c>
      <c r="L58" t="s">
        <v>150</v>
      </c>
      <c r="M58" t="s">
        <v>953</v>
      </c>
      <c r="N58" s="97">
        <v>1288365821</v>
      </c>
      <c r="O58" t="s">
        <v>414</v>
      </c>
      <c r="P58">
        <v>1721</v>
      </c>
      <c r="Q58" t="s">
        <v>945</v>
      </c>
      <c r="R58" t="str">
        <f>IF(RecallTable[[#This Row],[SECTION]]="","TAD","")</f>
        <v/>
      </c>
    </row>
    <row r="59" spans="1:18" x14ac:dyDescent="0.25">
      <c r="A59" s="178">
        <v>1236623846</v>
      </c>
      <c r="B59" s="178" t="s">
        <v>853</v>
      </c>
      <c r="C59" s="178" t="s">
        <v>854</v>
      </c>
      <c r="D59" s="178" t="s">
        <v>354</v>
      </c>
      <c r="E59" s="178" t="s">
        <v>151</v>
      </c>
      <c r="F59" s="178">
        <v>1721</v>
      </c>
      <c r="G59" s="178"/>
      <c r="H59" s="178" t="s">
        <v>375</v>
      </c>
      <c r="L59" t="s">
        <v>150</v>
      </c>
      <c r="M59" t="s">
        <v>954</v>
      </c>
      <c r="N59" s="97">
        <v>1236623846</v>
      </c>
      <c r="O59" t="s">
        <v>368</v>
      </c>
      <c r="P59">
        <v>1721</v>
      </c>
      <c r="Q59" t="s">
        <v>945</v>
      </c>
      <c r="R59" t="str">
        <f>IF(RecallTable[[#This Row],[SECTION]]="","TAD","")</f>
        <v/>
      </c>
    </row>
    <row r="60" spans="1:18" x14ac:dyDescent="0.25">
      <c r="A60" s="179">
        <v>1565683368</v>
      </c>
      <c r="B60" s="179" t="s">
        <v>855</v>
      </c>
      <c r="C60" s="179" t="s">
        <v>856</v>
      </c>
      <c r="D60" s="179" t="s">
        <v>354</v>
      </c>
      <c r="E60" s="179" t="s">
        <v>151</v>
      </c>
      <c r="F60" s="179">
        <v>1721</v>
      </c>
      <c r="G60" s="179"/>
      <c r="H60" s="179" t="s">
        <v>375</v>
      </c>
      <c r="L60" t="s">
        <v>150</v>
      </c>
      <c r="M60" t="s">
        <v>955</v>
      </c>
      <c r="N60" s="97">
        <v>1565683368</v>
      </c>
      <c r="O60" t="s">
        <v>368</v>
      </c>
      <c r="P60">
        <v>1721</v>
      </c>
      <c r="Q60" t="s">
        <v>945</v>
      </c>
      <c r="R60" t="str">
        <f>IF(RecallTable[[#This Row],[SECTION]]="","TAD","")</f>
        <v/>
      </c>
    </row>
    <row r="61" spans="1:18" x14ac:dyDescent="0.25">
      <c r="A61" s="178">
        <v>1064194807</v>
      </c>
      <c r="B61" s="178" t="s">
        <v>857</v>
      </c>
      <c r="C61" s="178" t="s">
        <v>858</v>
      </c>
      <c r="D61" s="178" t="s">
        <v>354</v>
      </c>
      <c r="E61" s="178" t="s">
        <v>151</v>
      </c>
      <c r="F61" s="178">
        <v>1721</v>
      </c>
      <c r="G61" s="178"/>
      <c r="H61" s="178" t="s">
        <v>375</v>
      </c>
      <c r="L61" t="s">
        <v>150</v>
      </c>
      <c r="M61" t="s">
        <v>956</v>
      </c>
      <c r="N61" s="97">
        <v>1064194807</v>
      </c>
      <c r="O61" t="s">
        <v>368</v>
      </c>
      <c r="P61">
        <v>1721</v>
      </c>
      <c r="Q61" t="s">
        <v>945</v>
      </c>
      <c r="R61" t="str">
        <f>IF(RecallTable[[#This Row],[SECTION]]="","TAD","")</f>
        <v/>
      </c>
    </row>
    <row r="62" spans="1:18" x14ac:dyDescent="0.25">
      <c r="A62" s="179">
        <v>1288033004</v>
      </c>
      <c r="B62" s="179" t="s">
        <v>859</v>
      </c>
      <c r="C62" s="179" t="s">
        <v>860</v>
      </c>
      <c r="D62" s="179" t="s">
        <v>354</v>
      </c>
      <c r="E62" s="179" t="s">
        <v>151</v>
      </c>
      <c r="F62" s="179">
        <v>1721</v>
      </c>
      <c r="G62" s="179"/>
      <c r="H62" s="179" t="s">
        <v>375</v>
      </c>
      <c r="L62" t="s">
        <v>150</v>
      </c>
      <c r="M62" t="s">
        <v>957</v>
      </c>
      <c r="N62" s="97">
        <v>1288033004</v>
      </c>
      <c r="O62" t="s">
        <v>368</v>
      </c>
      <c r="P62">
        <v>1721</v>
      </c>
      <c r="Q62" t="s">
        <v>945</v>
      </c>
      <c r="R62" t="str">
        <f>IF(RecallTable[[#This Row],[SECTION]]="","TAD","")</f>
        <v/>
      </c>
    </row>
    <row r="63" spans="1:18" x14ac:dyDescent="0.25">
      <c r="A63" s="178">
        <v>1392481230</v>
      </c>
      <c r="B63" s="178" t="s">
        <v>861</v>
      </c>
      <c r="C63" s="178" t="s">
        <v>862</v>
      </c>
      <c r="D63" s="178" t="s">
        <v>354</v>
      </c>
      <c r="E63" s="178" t="s">
        <v>173</v>
      </c>
      <c r="F63" s="178">
        <v>1702</v>
      </c>
      <c r="G63" s="178"/>
      <c r="H63" s="178" t="s">
        <v>360</v>
      </c>
      <c r="L63" t="s">
        <v>172</v>
      </c>
      <c r="M63" t="s">
        <v>958</v>
      </c>
      <c r="N63" s="97">
        <v>1392481230</v>
      </c>
      <c r="O63" t="s">
        <v>368</v>
      </c>
      <c r="P63">
        <v>1702</v>
      </c>
      <c r="Q63" t="s">
        <v>488</v>
      </c>
      <c r="R63" t="str">
        <f>IF(RecallTable[[#This Row],[SECTION]]="","TAD","")</f>
        <v/>
      </c>
    </row>
    <row r="64" spans="1:18" x14ac:dyDescent="0.25">
      <c r="A64" s="179">
        <v>1218608114</v>
      </c>
      <c r="B64" s="179" t="s">
        <v>863</v>
      </c>
      <c r="C64" s="179" t="s">
        <v>864</v>
      </c>
      <c r="D64" s="179" t="s">
        <v>354</v>
      </c>
      <c r="E64" s="179" t="s">
        <v>170</v>
      </c>
      <c r="F64" s="179">
        <v>1702</v>
      </c>
      <c r="G64" s="179"/>
      <c r="H64" s="179" t="s">
        <v>360</v>
      </c>
      <c r="L64" t="s">
        <v>169</v>
      </c>
      <c r="M64" t="s">
        <v>959</v>
      </c>
      <c r="N64" s="97">
        <v>1218608114</v>
      </c>
      <c r="O64" t="s">
        <v>368</v>
      </c>
      <c r="P64">
        <v>1702</v>
      </c>
      <c r="Q64" t="s">
        <v>488</v>
      </c>
      <c r="R64" t="str">
        <f>IF(RecallTable[[#This Row],[SECTION]]="","TAD","")</f>
        <v/>
      </c>
    </row>
    <row r="65" spans="1:18" x14ac:dyDescent="0.25">
      <c r="A65" s="178">
        <v>1337008006</v>
      </c>
      <c r="B65" s="178" t="s">
        <v>865</v>
      </c>
      <c r="C65" s="178" t="s">
        <v>866</v>
      </c>
      <c r="D65" s="178" t="s">
        <v>354</v>
      </c>
      <c r="E65" s="178" t="s">
        <v>867</v>
      </c>
      <c r="F65" s="178">
        <v>1799</v>
      </c>
      <c r="G65" s="178"/>
      <c r="H65" s="178" t="s">
        <v>375</v>
      </c>
      <c r="L65" t="s">
        <v>163</v>
      </c>
      <c r="M65" t="s">
        <v>960</v>
      </c>
      <c r="N65" s="97">
        <v>1337008006</v>
      </c>
      <c r="O65" t="s">
        <v>368</v>
      </c>
      <c r="P65">
        <v>1799</v>
      </c>
      <c r="Q65" t="s">
        <v>488</v>
      </c>
      <c r="R65" t="str">
        <f>IF(RecallTable[[#This Row],[SECTION]]="","TAD","")</f>
        <v/>
      </c>
    </row>
    <row r="66" spans="1:18" x14ac:dyDescent="0.25">
      <c r="A66" s="179">
        <v>1492116113</v>
      </c>
      <c r="B66" s="179" t="s">
        <v>868</v>
      </c>
      <c r="C66" s="179" t="s">
        <v>869</v>
      </c>
      <c r="D66" s="179" t="s">
        <v>354</v>
      </c>
      <c r="E66" s="179" t="s">
        <v>161</v>
      </c>
      <c r="F66" s="179">
        <v>1721</v>
      </c>
      <c r="G66" s="179"/>
      <c r="H66" s="179" t="s">
        <v>375</v>
      </c>
      <c r="L66" t="s">
        <v>160</v>
      </c>
      <c r="M66" t="s">
        <v>961</v>
      </c>
      <c r="N66" s="97">
        <v>1492116113</v>
      </c>
      <c r="O66" t="s">
        <v>368</v>
      </c>
      <c r="P66">
        <v>1721</v>
      </c>
      <c r="Q66" t="s">
        <v>488</v>
      </c>
      <c r="R66" t="str">
        <f>IF(RecallTable[[#This Row],[SECTION]]="","TAD","")</f>
        <v/>
      </c>
    </row>
    <row r="67" spans="1:18" x14ac:dyDescent="0.25">
      <c r="A67" s="178">
        <v>1362430276</v>
      </c>
      <c r="B67" s="178" t="s">
        <v>870</v>
      </c>
      <c r="C67" s="178" t="s">
        <v>871</v>
      </c>
      <c r="D67" s="178" t="s">
        <v>354</v>
      </c>
      <c r="E67" s="178" t="s">
        <v>158</v>
      </c>
      <c r="F67" s="178">
        <v>1721</v>
      </c>
      <c r="G67" s="178"/>
      <c r="H67" s="178" t="s">
        <v>375</v>
      </c>
      <c r="L67" t="s">
        <v>157</v>
      </c>
      <c r="M67" t="s">
        <v>962</v>
      </c>
      <c r="N67" s="97">
        <v>1362430276</v>
      </c>
      <c r="O67" t="s">
        <v>368</v>
      </c>
      <c r="P67">
        <v>1721</v>
      </c>
      <c r="Q67" t="s">
        <v>488</v>
      </c>
      <c r="R67" t="str">
        <f>IF(RecallTable[[#This Row],[SECTION]]="","TAD","")</f>
        <v/>
      </c>
    </row>
    <row r="68" spans="1:18" x14ac:dyDescent="0.25">
      <c r="A68" s="179">
        <v>1505173816</v>
      </c>
      <c r="B68" s="179" t="s">
        <v>872</v>
      </c>
      <c r="C68" s="179" t="s">
        <v>856</v>
      </c>
      <c r="D68" s="179" t="s">
        <v>354</v>
      </c>
      <c r="E68" s="179" t="s">
        <v>158</v>
      </c>
      <c r="F68" s="179">
        <v>1721</v>
      </c>
      <c r="G68" s="179"/>
      <c r="H68" s="179" t="s">
        <v>375</v>
      </c>
      <c r="L68" t="s">
        <v>157</v>
      </c>
      <c r="M68" t="s">
        <v>963</v>
      </c>
      <c r="N68" s="97">
        <v>1505173816</v>
      </c>
      <c r="O68" t="s">
        <v>414</v>
      </c>
      <c r="P68">
        <v>1721</v>
      </c>
      <c r="Q68" t="s">
        <v>488</v>
      </c>
      <c r="R68" t="str">
        <f>IF(RecallTable[[#This Row],[SECTION]]="","TAD","")</f>
        <v/>
      </c>
    </row>
    <row r="69" spans="1:18" x14ac:dyDescent="0.25">
      <c r="A69" s="178">
        <v>1224436146</v>
      </c>
      <c r="B69" s="178" t="s">
        <v>873</v>
      </c>
      <c r="C69" s="178" t="s">
        <v>874</v>
      </c>
      <c r="D69" s="178" t="s">
        <v>354</v>
      </c>
      <c r="E69" s="178" t="s">
        <v>155</v>
      </c>
      <c r="F69" s="178">
        <v>1721</v>
      </c>
      <c r="G69" s="178"/>
      <c r="H69" s="178" t="s">
        <v>375</v>
      </c>
      <c r="L69" t="s">
        <v>154</v>
      </c>
      <c r="M69" t="s">
        <v>964</v>
      </c>
      <c r="N69" s="97">
        <v>1224436146</v>
      </c>
      <c r="O69" t="s">
        <v>368</v>
      </c>
      <c r="P69">
        <v>1721</v>
      </c>
      <c r="Q69" t="s">
        <v>488</v>
      </c>
      <c r="R69" t="str">
        <f>IF(RecallTable[[#This Row],[SECTION]]="","TAD","")</f>
        <v/>
      </c>
    </row>
    <row r="70" spans="1:18" x14ac:dyDescent="0.25">
      <c r="A70" s="179">
        <v>1273180803</v>
      </c>
      <c r="B70" s="179" t="s">
        <v>875</v>
      </c>
      <c r="C70" s="179" t="s">
        <v>876</v>
      </c>
      <c r="D70" s="179" t="s">
        <v>354</v>
      </c>
      <c r="E70" s="179" t="s">
        <v>155</v>
      </c>
      <c r="F70" s="179">
        <v>1721</v>
      </c>
      <c r="G70" s="179"/>
      <c r="H70" s="179" t="s">
        <v>375</v>
      </c>
      <c r="L70" t="s">
        <v>154</v>
      </c>
      <c r="M70" t="s">
        <v>965</v>
      </c>
      <c r="N70" s="97">
        <v>1273180803</v>
      </c>
      <c r="O70" t="s">
        <v>368</v>
      </c>
      <c r="P70">
        <v>1721</v>
      </c>
      <c r="Q70" t="s">
        <v>488</v>
      </c>
      <c r="R70" t="str">
        <f>IF(RecallTable[[#This Row],[SECTION]]="","TAD","")</f>
        <v/>
      </c>
    </row>
    <row r="71" spans="1:18" x14ac:dyDescent="0.25">
      <c r="A71" s="178">
        <v>1144600478</v>
      </c>
      <c r="B71" s="178" t="s">
        <v>877</v>
      </c>
      <c r="C71" s="178" t="s">
        <v>878</v>
      </c>
      <c r="D71" s="178" t="s">
        <v>354</v>
      </c>
      <c r="E71" s="178" t="s">
        <v>170</v>
      </c>
      <c r="F71" s="178">
        <v>1702</v>
      </c>
      <c r="G71" s="178"/>
      <c r="H71" s="178" t="s">
        <v>360</v>
      </c>
      <c r="L71" t="s">
        <v>169</v>
      </c>
      <c r="M71" t="s">
        <v>966</v>
      </c>
      <c r="N71" s="97">
        <v>1144600478</v>
      </c>
      <c r="O71" t="s">
        <v>368</v>
      </c>
      <c r="P71">
        <v>1702</v>
      </c>
      <c r="Q71" t="s">
        <v>486</v>
      </c>
      <c r="R71" t="str">
        <f>IF(RecallTable[[#This Row],[SECTION]]="","TAD","")</f>
        <v/>
      </c>
    </row>
    <row r="72" spans="1:18" x14ac:dyDescent="0.25">
      <c r="A72" s="179">
        <v>1208649546</v>
      </c>
      <c r="B72" s="179" t="s">
        <v>879</v>
      </c>
      <c r="C72" s="179" t="s">
        <v>880</v>
      </c>
      <c r="D72" s="179" t="s">
        <v>354</v>
      </c>
      <c r="E72" s="179" t="s">
        <v>161</v>
      </c>
      <c r="F72" s="179">
        <v>1721</v>
      </c>
      <c r="G72" s="179"/>
      <c r="H72" s="179" t="s">
        <v>375</v>
      </c>
      <c r="L72" t="s">
        <v>160</v>
      </c>
      <c r="M72" t="s">
        <v>967</v>
      </c>
      <c r="N72" s="97">
        <v>1208649546</v>
      </c>
      <c r="O72" t="s">
        <v>368</v>
      </c>
      <c r="P72">
        <v>1721</v>
      </c>
      <c r="Q72" t="s">
        <v>486</v>
      </c>
      <c r="R72" t="str">
        <f>IF(RecallTable[[#This Row],[SECTION]]="","TAD","")</f>
        <v/>
      </c>
    </row>
    <row r="73" spans="1:18" x14ac:dyDescent="0.25">
      <c r="A73" s="178">
        <v>1433270027</v>
      </c>
      <c r="B73" s="178" t="s">
        <v>772</v>
      </c>
      <c r="C73" s="178" t="s">
        <v>881</v>
      </c>
      <c r="D73" s="178" t="s">
        <v>354</v>
      </c>
      <c r="E73" s="178" t="s">
        <v>155</v>
      </c>
      <c r="F73" s="178">
        <v>1721</v>
      </c>
      <c r="G73" s="178"/>
      <c r="H73" s="178" t="s">
        <v>375</v>
      </c>
      <c r="L73" t="s">
        <v>154</v>
      </c>
      <c r="M73" t="s">
        <v>968</v>
      </c>
      <c r="N73" s="97">
        <v>1433270027</v>
      </c>
      <c r="O73" t="s">
        <v>368</v>
      </c>
      <c r="P73">
        <v>1721</v>
      </c>
      <c r="Q73" t="s">
        <v>486</v>
      </c>
      <c r="R73" t="str">
        <f>IF(RecallTable[[#This Row],[SECTION]]="","TAD","")</f>
        <v/>
      </c>
    </row>
    <row r="74" spans="1:18" x14ac:dyDescent="0.25">
      <c r="A74" s="179">
        <v>1517276328</v>
      </c>
      <c r="B74" s="179" t="s">
        <v>882</v>
      </c>
      <c r="C74" s="179" t="s">
        <v>883</v>
      </c>
      <c r="D74" s="179" t="s">
        <v>354</v>
      </c>
      <c r="E74" s="179" t="s">
        <v>151</v>
      </c>
      <c r="F74" s="179">
        <v>1721</v>
      </c>
      <c r="G74" s="179"/>
      <c r="H74" s="179" t="s">
        <v>375</v>
      </c>
      <c r="L74" t="s">
        <v>150</v>
      </c>
      <c r="M74" t="s">
        <v>969</v>
      </c>
      <c r="N74" s="97">
        <v>1517276328</v>
      </c>
      <c r="O74" t="s">
        <v>368</v>
      </c>
      <c r="P74">
        <v>1721</v>
      </c>
      <c r="Q74" t="s">
        <v>486</v>
      </c>
      <c r="R74" t="str">
        <f>IF(RecallTable[[#This Row],[SECTION]]="","TAD","")</f>
        <v/>
      </c>
    </row>
    <row r="75" spans="1:18" x14ac:dyDescent="0.25">
      <c r="A75" s="178">
        <v>1312308399</v>
      </c>
      <c r="B75" s="178" t="s">
        <v>884</v>
      </c>
      <c r="C75" s="178" t="s">
        <v>885</v>
      </c>
      <c r="D75" s="178" t="s">
        <v>354</v>
      </c>
      <c r="E75" s="178" t="s">
        <v>147</v>
      </c>
      <c r="F75" s="178">
        <v>231</v>
      </c>
      <c r="G75" s="178"/>
      <c r="H75" s="178" t="s">
        <v>375</v>
      </c>
      <c r="L75" t="s">
        <v>146</v>
      </c>
      <c r="M75" t="s">
        <v>970</v>
      </c>
      <c r="N75" s="97">
        <v>1312308399</v>
      </c>
      <c r="O75" t="s">
        <v>368</v>
      </c>
      <c r="P75">
        <v>231</v>
      </c>
      <c r="Q75" t="s">
        <v>486</v>
      </c>
      <c r="R75" t="str">
        <f>IF(RecallTable[[#This Row],[SECTION]]="","TAD","")</f>
        <v/>
      </c>
    </row>
    <row r="76" spans="1:18" x14ac:dyDescent="0.25">
      <c r="A76" s="179">
        <v>1025451492</v>
      </c>
      <c r="B76" s="179" t="s">
        <v>886</v>
      </c>
      <c r="C76" s="179" t="s">
        <v>887</v>
      </c>
      <c r="D76" s="179" t="s">
        <v>354</v>
      </c>
      <c r="E76" s="179" t="s">
        <v>147</v>
      </c>
      <c r="F76" s="179">
        <v>1721</v>
      </c>
      <c r="G76" s="179"/>
      <c r="H76" s="179" t="s">
        <v>375</v>
      </c>
      <c r="L76" t="s">
        <v>146</v>
      </c>
      <c r="M76" t="s">
        <v>971</v>
      </c>
      <c r="N76" s="97">
        <v>1025451492</v>
      </c>
      <c r="O76" t="s">
        <v>368</v>
      </c>
      <c r="P76">
        <v>1721</v>
      </c>
      <c r="Q76" t="s">
        <v>486</v>
      </c>
      <c r="R76" t="str">
        <f>IF(RecallTable[[#This Row],[SECTION]]="","TAD","")</f>
        <v/>
      </c>
    </row>
    <row r="77" spans="1:18" x14ac:dyDescent="0.25">
      <c r="A77" s="178">
        <v>1041964509</v>
      </c>
      <c r="B77" s="178" t="s">
        <v>888</v>
      </c>
      <c r="C77" s="178" t="s">
        <v>889</v>
      </c>
      <c r="D77" s="178" t="s">
        <v>354</v>
      </c>
      <c r="E77" s="178" t="s">
        <v>176</v>
      </c>
      <c r="F77" s="178">
        <v>1702</v>
      </c>
      <c r="G77" s="178"/>
      <c r="H77" s="178" t="s">
        <v>360</v>
      </c>
      <c r="L77" t="s">
        <v>175</v>
      </c>
      <c r="M77" t="s">
        <v>972</v>
      </c>
      <c r="N77" s="97">
        <v>1041964509</v>
      </c>
      <c r="O77" t="s">
        <v>368</v>
      </c>
      <c r="P77">
        <v>1702</v>
      </c>
      <c r="Q77" t="s">
        <v>490</v>
      </c>
      <c r="R77" t="str">
        <f>IF(RecallTable[[#This Row],[SECTION]]="","TAD","")</f>
        <v/>
      </c>
    </row>
    <row r="78" spans="1:18" x14ac:dyDescent="0.25">
      <c r="A78" s="179">
        <v>1366872660</v>
      </c>
      <c r="B78" s="179" t="s">
        <v>890</v>
      </c>
      <c r="C78" s="179" t="s">
        <v>875</v>
      </c>
      <c r="D78" s="179" t="s">
        <v>354</v>
      </c>
      <c r="E78" s="179" t="s">
        <v>170</v>
      </c>
      <c r="F78" s="179">
        <v>1702</v>
      </c>
      <c r="G78" s="179"/>
      <c r="H78" s="179" t="s">
        <v>360</v>
      </c>
      <c r="L78" t="s">
        <v>169</v>
      </c>
      <c r="M78" t="s">
        <v>973</v>
      </c>
      <c r="N78" s="97">
        <v>1366872660</v>
      </c>
      <c r="O78" t="s">
        <v>414</v>
      </c>
      <c r="P78">
        <v>1702</v>
      </c>
      <c r="Q78" t="s">
        <v>490</v>
      </c>
      <c r="R78" t="str">
        <f>IF(RecallTable[[#This Row],[SECTION]]="","TAD","")</f>
        <v/>
      </c>
    </row>
    <row r="79" spans="1:18" x14ac:dyDescent="0.25">
      <c r="A79" s="178">
        <v>1163650418</v>
      </c>
      <c r="B79" s="178" t="s">
        <v>891</v>
      </c>
      <c r="C79" s="178" t="s">
        <v>892</v>
      </c>
      <c r="D79" s="178" t="s">
        <v>354</v>
      </c>
      <c r="E79" s="178" t="s">
        <v>867</v>
      </c>
      <c r="F79" s="178">
        <v>8999</v>
      </c>
      <c r="G79" s="178"/>
      <c r="H79" s="178" t="s">
        <v>375</v>
      </c>
      <c r="L79" t="s">
        <v>163</v>
      </c>
      <c r="M79" t="s">
        <v>974</v>
      </c>
      <c r="N79" s="97">
        <v>1163650418</v>
      </c>
      <c r="O79" t="s">
        <v>368</v>
      </c>
      <c r="P79">
        <v>8999</v>
      </c>
      <c r="Q79" t="s">
        <v>490</v>
      </c>
      <c r="R79" t="str">
        <f>IF(RecallTable[[#This Row],[SECTION]]="","TAD","")</f>
        <v/>
      </c>
    </row>
    <row r="80" spans="1:18" x14ac:dyDescent="0.25">
      <c r="A80" s="179">
        <v>1269922284</v>
      </c>
      <c r="B80" s="179" t="s">
        <v>893</v>
      </c>
      <c r="C80" s="179" t="s">
        <v>894</v>
      </c>
      <c r="D80" s="179" t="s">
        <v>354</v>
      </c>
      <c r="E80" s="179" t="s">
        <v>158</v>
      </c>
      <c r="F80" s="179">
        <v>1721</v>
      </c>
      <c r="G80" s="179"/>
      <c r="H80" s="179" t="s">
        <v>375</v>
      </c>
      <c r="L80" t="s">
        <v>157</v>
      </c>
      <c r="M80" t="s">
        <v>975</v>
      </c>
      <c r="N80" s="97">
        <v>1269922284</v>
      </c>
      <c r="O80" t="s">
        <v>368</v>
      </c>
      <c r="P80">
        <v>1721</v>
      </c>
      <c r="Q80" t="s">
        <v>490</v>
      </c>
      <c r="R80" t="str">
        <f>IF(RecallTable[[#This Row],[SECTION]]="","TAD","")</f>
        <v/>
      </c>
    </row>
    <row r="81" spans="1:18" x14ac:dyDescent="0.25">
      <c r="A81" s="178">
        <v>1410597200</v>
      </c>
      <c r="B81" s="178" t="s">
        <v>895</v>
      </c>
      <c r="C81" s="178" t="s">
        <v>896</v>
      </c>
      <c r="D81" s="178" t="s">
        <v>354</v>
      </c>
      <c r="E81" s="178" t="s">
        <v>151</v>
      </c>
      <c r="F81" s="178">
        <v>1721</v>
      </c>
      <c r="G81" s="178"/>
      <c r="H81" s="178" t="s">
        <v>375</v>
      </c>
      <c r="L81" t="s">
        <v>150</v>
      </c>
      <c r="M81" t="s">
        <v>976</v>
      </c>
      <c r="N81" s="97">
        <v>1410597200</v>
      </c>
      <c r="O81" t="s">
        <v>368</v>
      </c>
      <c r="P81">
        <v>1721</v>
      </c>
      <c r="Q81" t="s">
        <v>490</v>
      </c>
      <c r="R81" t="str">
        <f>IF(RecallTable[[#This Row],[SECTION]]="","TAD","")</f>
        <v/>
      </c>
    </row>
  </sheetData>
  <mergeCells count="1">
    <mergeCell ref="A1:H1"/>
  </mergeCells>
  <dataValidations count="1">
    <dataValidation type="whole" errorStyle="warning" allowBlank="1" showInputMessage="1" showErrorMessage="1" errorTitle="Don't Touch" error="Raw MCTIMS query outputs." sqref="A1 I1:J1" xr:uid="{70DB267A-B75B-483D-A03A-EEC347CE50DC}">
      <formula1>500</formula1>
      <formula2>501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09E0-C086-4189-AEF5-B4FCDB592F0A}">
  <dimension ref="A1:P54"/>
  <sheetViews>
    <sheetView topLeftCell="A2" workbookViewId="0">
      <selection activeCell="E7" sqref="E7"/>
    </sheetView>
  </sheetViews>
  <sheetFormatPr defaultRowHeight="15" x14ac:dyDescent="0.25"/>
  <cols>
    <col min="1" max="1" width="13" customWidth="1"/>
    <col min="2" max="2" width="11.42578125" bestFit="1" customWidth="1"/>
    <col min="3" max="3" width="12.28515625" bestFit="1" customWidth="1"/>
    <col min="8" max="8" width="10.28515625" bestFit="1" customWidth="1"/>
    <col min="9" max="9" width="11.5703125" bestFit="1" customWidth="1"/>
    <col min="10" max="11" width="11.42578125" bestFit="1" customWidth="1"/>
    <col min="12" max="12" width="14.5703125" bestFit="1" customWidth="1"/>
    <col min="13" max="13" width="33.85546875" bestFit="1" customWidth="1"/>
    <col min="14" max="14" width="11.42578125" bestFit="1" customWidth="1"/>
    <col min="15" max="15" width="16.28515625" bestFit="1" customWidth="1"/>
    <col min="16" max="16" width="37.85546875" bestFit="1" customWidth="1"/>
  </cols>
  <sheetData>
    <row r="1" spans="1:16" ht="25.5" x14ac:dyDescent="0.25">
      <c r="A1" s="53" t="s">
        <v>337</v>
      </c>
      <c r="B1" s="53" t="s">
        <v>338</v>
      </c>
      <c r="C1" s="53" t="s">
        <v>339</v>
      </c>
      <c r="D1" s="53" t="s">
        <v>340</v>
      </c>
      <c r="E1" s="53" t="s">
        <v>207</v>
      </c>
      <c r="F1" s="53" t="s">
        <v>341</v>
      </c>
      <c r="G1" s="53" t="s">
        <v>433</v>
      </c>
      <c r="H1" s="53" t="s">
        <v>434</v>
      </c>
      <c r="I1" s="53" t="s">
        <v>4</v>
      </c>
      <c r="J1" s="53" t="s">
        <v>435</v>
      </c>
      <c r="K1" s="53" t="s">
        <v>436</v>
      </c>
      <c r="L1" s="53" t="s">
        <v>192</v>
      </c>
      <c r="M1" s="53" t="s">
        <v>343</v>
      </c>
      <c r="N1" s="54" t="s">
        <v>437</v>
      </c>
      <c r="O1" s="53" t="s">
        <v>438</v>
      </c>
      <c r="P1" s="55" t="s">
        <v>439</v>
      </c>
    </row>
    <row r="2" spans="1:16" x14ac:dyDescent="0.25">
      <c r="A2" s="56">
        <v>1574513274</v>
      </c>
      <c r="B2" s="56" t="s">
        <v>227</v>
      </c>
      <c r="C2" s="56" t="s">
        <v>364</v>
      </c>
      <c r="D2" s="56" t="s">
        <v>365</v>
      </c>
      <c r="E2" s="56" t="s">
        <v>151</v>
      </c>
      <c r="F2" s="56">
        <v>1721</v>
      </c>
      <c r="G2" s="56">
        <v>1721</v>
      </c>
      <c r="H2" s="56" t="s">
        <v>440</v>
      </c>
      <c r="I2" s="56" t="s">
        <v>441</v>
      </c>
      <c r="J2" s="56"/>
      <c r="K2" s="56"/>
      <c r="L2" s="56" t="s">
        <v>442</v>
      </c>
      <c r="M2" s="56" t="s">
        <v>351</v>
      </c>
      <c r="N2" s="56" t="s">
        <v>443</v>
      </c>
      <c r="O2" s="56" t="s">
        <v>168</v>
      </c>
      <c r="P2" s="56" t="s">
        <v>444</v>
      </c>
    </row>
    <row r="3" spans="1:16" x14ac:dyDescent="0.25">
      <c r="A3" s="56">
        <v>1007461875</v>
      </c>
      <c r="B3" s="56" t="s">
        <v>371</v>
      </c>
      <c r="C3" s="56" t="s">
        <v>372</v>
      </c>
      <c r="D3" s="56" t="s">
        <v>369</v>
      </c>
      <c r="E3" s="56" t="s">
        <v>155</v>
      </c>
      <c r="F3" s="56">
        <v>1721</v>
      </c>
      <c r="G3" s="56">
        <v>1721</v>
      </c>
      <c r="H3" s="56" t="s">
        <v>440</v>
      </c>
      <c r="I3" s="56" t="s">
        <v>441</v>
      </c>
      <c r="J3" s="56"/>
      <c r="K3" s="56"/>
      <c r="L3" s="56" t="s">
        <v>442</v>
      </c>
      <c r="M3" s="56" t="s">
        <v>358</v>
      </c>
      <c r="N3" s="56" t="s">
        <v>443</v>
      </c>
      <c r="O3" s="56" t="s">
        <v>168</v>
      </c>
      <c r="P3" s="56" t="s">
        <v>445</v>
      </c>
    </row>
    <row r="4" spans="1:16" x14ac:dyDescent="0.25">
      <c r="A4" s="56">
        <v>1090261831</v>
      </c>
      <c r="B4" s="56" t="s">
        <v>267</v>
      </c>
      <c r="C4" s="56" t="s">
        <v>392</v>
      </c>
      <c r="D4" s="56" t="s">
        <v>382</v>
      </c>
      <c r="E4" s="56" t="s">
        <v>151</v>
      </c>
      <c r="F4" s="56">
        <v>1721</v>
      </c>
      <c r="G4" s="56">
        <v>1721</v>
      </c>
      <c r="H4" s="56" t="s">
        <v>440</v>
      </c>
      <c r="I4" s="56" t="s">
        <v>441</v>
      </c>
      <c r="J4" s="56"/>
      <c r="K4" s="56"/>
      <c r="L4" s="56" t="s">
        <v>442</v>
      </c>
      <c r="M4" s="56" t="s">
        <v>393</v>
      </c>
      <c r="N4" s="56" t="s">
        <v>443</v>
      </c>
      <c r="O4" s="56" t="s">
        <v>168</v>
      </c>
      <c r="P4" s="56" t="s">
        <v>446</v>
      </c>
    </row>
    <row r="5" spans="1:16" x14ac:dyDescent="0.25">
      <c r="A5" s="56">
        <v>1535120117</v>
      </c>
      <c r="B5" s="56" t="s">
        <v>274</v>
      </c>
      <c r="C5" s="56" t="s">
        <v>396</v>
      </c>
      <c r="D5" s="56" t="s">
        <v>362</v>
      </c>
      <c r="E5" s="56" t="s">
        <v>158</v>
      </c>
      <c r="F5" s="56">
        <v>1721</v>
      </c>
      <c r="G5" s="56">
        <v>1721</v>
      </c>
      <c r="H5" s="56" t="s">
        <v>440</v>
      </c>
      <c r="I5" s="56" t="s">
        <v>441</v>
      </c>
      <c r="J5" s="56"/>
      <c r="K5" s="56"/>
      <c r="L5" s="56" t="s">
        <v>442</v>
      </c>
      <c r="M5" s="56" t="s">
        <v>358</v>
      </c>
      <c r="N5" s="56" t="s">
        <v>443</v>
      </c>
      <c r="O5" s="56" t="s">
        <v>168</v>
      </c>
      <c r="P5" s="56" t="s">
        <v>446</v>
      </c>
    </row>
    <row r="6" spans="1:16" x14ac:dyDescent="0.25">
      <c r="A6" s="56">
        <v>1571671669</v>
      </c>
      <c r="B6" s="56" t="s">
        <v>275</v>
      </c>
      <c r="C6" s="56" t="s">
        <v>447</v>
      </c>
      <c r="D6" s="56" t="s">
        <v>368</v>
      </c>
      <c r="E6" s="56" t="s">
        <v>151</v>
      </c>
      <c r="F6" s="56">
        <v>1721</v>
      </c>
      <c r="G6" s="56">
        <v>1721</v>
      </c>
      <c r="H6" s="56" t="s">
        <v>440</v>
      </c>
      <c r="I6" s="56" t="s">
        <v>441</v>
      </c>
      <c r="J6" s="56"/>
      <c r="K6" s="56"/>
      <c r="L6" s="56" t="s">
        <v>442</v>
      </c>
      <c r="M6" s="56" t="s">
        <v>351</v>
      </c>
      <c r="N6" s="56" t="s">
        <v>443</v>
      </c>
      <c r="O6" s="56" t="s">
        <v>168</v>
      </c>
      <c r="P6" s="56" t="s">
        <v>446</v>
      </c>
    </row>
    <row r="7" spans="1:16" x14ac:dyDescent="0.25">
      <c r="A7" s="56">
        <v>1542686401</v>
      </c>
      <c r="B7" s="56" t="s">
        <v>398</v>
      </c>
      <c r="C7" s="56" t="s">
        <v>399</v>
      </c>
      <c r="D7" s="56" t="s">
        <v>354</v>
      </c>
      <c r="E7" s="56" t="s">
        <v>155</v>
      </c>
      <c r="F7" s="56">
        <v>1721</v>
      </c>
      <c r="G7" s="56">
        <v>1721</v>
      </c>
      <c r="H7" s="56" t="s">
        <v>440</v>
      </c>
      <c r="I7" s="56" t="s">
        <v>441</v>
      </c>
      <c r="J7" s="56"/>
      <c r="K7" s="56"/>
      <c r="L7" s="56" t="s">
        <v>442</v>
      </c>
      <c r="M7" s="56" t="s">
        <v>358</v>
      </c>
      <c r="N7" s="56" t="s">
        <v>443</v>
      </c>
      <c r="O7" s="56" t="s">
        <v>168</v>
      </c>
      <c r="P7" s="56" t="s">
        <v>445</v>
      </c>
    </row>
    <row r="8" spans="1:16" x14ac:dyDescent="0.25">
      <c r="A8" s="56">
        <v>1467972622</v>
      </c>
      <c r="B8" s="56" t="s">
        <v>415</v>
      </c>
      <c r="C8" s="56" t="s">
        <v>416</v>
      </c>
      <c r="D8" s="56" t="s">
        <v>370</v>
      </c>
      <c r="E8" s="56" t="s">
        <v>158</v>
      </c>
      <c r="F8" s="56">
        <v>1721</v>
      </c>
      <c r="G8" s="56">
        <v>1721</v>
      </c>
      <c r="H8" s="56" t="s">
        <v>440</v>
      </c>
      <c r="I8" s="56" t="s">
        <v>441</v>
      </c>
      <c r="J8" s="56"/>
      <c r="K8" s="56"/>
      <c r="L8" s="56" t="s">
        <v>442</v>
      </c>
      <c r="M8" s="56" t="s">
        <v>417</v>
      </c>
      <c r="N8" s="56" t="s">
        <v>443</v>
      </c>
      <c r="O8" s="56" t="s">
        <v>168</v>
      </c>
      <c r="P8" s="56" t="s">
        <v>445</v>
      </c>
    </row>
    <row r="9" spans="1:16" x14ac:dyDescent="0.25">
      <c r="A9" s="56">
        <v>1533784913</v>
      </c>
      <c r="B9" s="56" t="s">
        <v>331</v>
      </c>
      <c r="C9" s="56" t="s">
        <v>429</v>
      </c>
      <c r="D9" s="56" t="s">
        <v>350</v>
      </c>
      <c r="E9" s="56" t="s">
        <v>155</v>
      </c>
      <c r="F9" s="56">
        <v>1721</v>
      </c>
      <c r="G9" s="56">
        <v>1721</v>
      </c>
      <c r="H9" s="56" t="s">
        <v>440</v>
      </c>
      <c r="I9" s="56" t="s">
        <v>441</v>
      </c>
      <c r="J9" s="56"/>
      <c r="K9" s="56"/>
      <c r="L9" s="56" t="s">
        <v>442</v>
      </c>
      <c r="M9" s="56" t="s">
        <v>358</v>
      </c>
      <c r="N9" s="56" t="s">
        <v>443</v>
      </c>
      <c r="O9" s="56" t="s">
        <v>168</v>
      </c>
      <c r="P9" s="56" t="s">
        <v>444</v>
      </c>
    </row>
    <row r="10" spans="1:16" x14ac:dyDescent="0.25">
      <c r="A10" s="56">
        <v>1388576894</v>
      </c>
      <c r="B10" s="56" t="s">
        <v>210</v>
      </c>
      <c r="C10" s="56" t="s">
        <v>353</v>
      </c>
      <c r="D10" s="56" t="s">
        <v>354</v>
      </c>
      <c r="E10" s="56" t="s">
        <v>161</v>
      </c>
      <c r="F10" s="56">
        <v>1721</v>
      </c>
      <c r="G10" s="56">
        <v>1721</v>
      </c>
      <c r="H10" s="56" t="s">
        <v>440</v>
      </c>
      <c r="I10" s="56" t="s">
        <v>441</v>
      </c>
      <c r="J10" s="56"/>
      <c r="K10" s="56"/>
      <c r="L10" s="56" t="s">
        <v>442</v>
      </c>
      <c r="M10" s="56" t="s">
        <v>355</v>
      </c>
      <c r="N10" s="56" t="s">
        <v>443</v>
      </c>
      <c r="O10" s="56" t="s">
        <v>448</v>
      </c>
      <c r="P10" s="56"/>
    </row>
    <row r="11" spans="1:16" x14ac:dyDescent="0.25">
      <c r="A11" s="56">
        <v>1409999570</v>
      </c>
      <c r="B11" s="56" t="s">
        <v>218</v>
      </c>
      <c r="C11" s="56" t="s">
        <v>449</v>
      </c>
      <c r="D11" s="56" t="s">
        <v>368</v>
      </c>
      <c r="E11" s="56" t="s">
        <v>158</v>
      </c>
      <c r="F11" s="56">
        <v>1721</v>
      </c>
      <c r="G11" s="56">
        <v>1721</v>
      </c>
      <c r="H11" s="56" t="s">
        <v>440</v>
      </c>
      <c r="I11" s="56" t="s">
        <v>450</v>
      </c>
      <c r="J11" s="56"/>
      <c r="K11" s="56"/>
      <c r="L11" s="56" t="s">
        <v>442</v>
      </c>
      <c r="M11" s="56" t="s">
        <v>351</v>
      </c>
      <c r="N11" s="56" t="s">
        <v>443</v>
      </c>
      <c r="O11" s="56" t="s">
        <v>448</v>
      </c>
      <c r="P11" s="56"/>
    </row>
    <row r="12" spans="1:16" x14ac:dyDescent="0.25">
      <c r="A12" s="56">
        <v>1376484978</v>
      </c>
      <c r="B12" s="56" t="s">
        <v>265</v>
      </c>
      <c r="C12" s="56" t="s">
        <v>389</v>
      </c>
      <c r="D12" s="56" t="s">
        <v>354</v>
      </c>
      <c r="E12" s="56" t="s">
        <v>161</v>
      </c>
      <c r="F12" s="56">
        <v>1721</v>
      </c>
      <c r="G12" s="56">
        <v>1721</v>
      </c>
      <c r="H12" s="56" t="s">
        <v>440</v>
      </c>
      <c r="I12" s="56" t="s">
        <v>441</v>
      </c>
      <c r="J12" s="56"/>
      <c r="K12" s="56"/>
      <c r="L12" s="56" t="s">
        <v>442</v>
      </c>
      <c r="M12" s="56" t="s">
        <v>390</v>
      </c>
      <c r="N12" s="56" t="s">
        <v>443</v>
      </c>
      <c r="O12" s="56" t="s">
        <v>448</v>
      </c>
      <c r="P12" s="56"/>
    </row>
    <row r="13" spans="1:16" x14ac:dyDescent="0.25">
      <c r="A13" s="56">
        <v>1512009952</v>
      </c>
      <c r="B13" s="56" t="s">
        <v>300</v>
      </c>
      <c r="C13" s="56" t="s">
        <v>386</v>
      </c>
      <c r="D13" s="56" t="s">
        <v>370</v>
      </c>
      <c r="E13" s="56" t="s">
        <v>170</v>
      </c>
      <c r="F13" s="56">
        <v>1702</v>
      </c>
      <c r="G13" s="56">
        <v>1702</v>
      </c>
      <c r="H13" s="56" t="s">
        <v>440</v>
      </c>
      <c r="I13" s="56" t="s">
        <v>441</v>
      </c>
      <c r="J13" s="56"/>
      <c r="K13" s="56"/>
      <c r="L13" s="56" t="s">
        <v>442</v>
      </c>
      <c r="M13" s="56" t="s">
        <v>360</v>
      </c>
      <c r="N13" s="56" t="s">
        <v>443</v>
      </c>
      <c r="O13" s="56" t="s">
        <v>448</v>
      </c>
      <c r="P13" s="56" t="s">
        <v>451</v>
      </c>
    </row>
    <row r="14" spans="1:16" x14ac:dyDescent="0.25">
      <c r="A14" s="56">
        <v>1555754562</v>
      </c>
      <c r="B14" s="56" t="s">
        <v>309</v>
      </c>
      <c r="C14" s="56" t="s">
        <v>413</v>
      </c>
      <c r="D14" s="56" t="s">
        <v>383</v>
      </c>
      <c r="E14" s="56" t="s">
        <v>155</v>
      </c>
      <c r="F14" s="56"/>
      <c r="G14" s="56"/>
      <c r="H14" s="56" t="s">
        <v>440</v>
      </c>
      <c r="I14" s="56" t="s">
        <v>441</v>
      </c>
      <c r="J14" s="56"/>
      <c r="K14" s="56"/>
      <c r="L14" s="56" t="s">
        <v>442</v>
      </c>
      <c r="M14" s="56" t="s">
        <v>377</v>
      </c>
      <c r="N14" s="56" t="s">
        <v>443</v>
      </c>
      <c r="O14" s="56" t="s">
        <v>448</v>
      </c>
      <c r="P14" s="56" t="s">
        <v>452</v>
      </c>
    </row>
    <row r="15" spans="1:16" hidden="1" x14ac:dyDescent="0.25">
      <c r="A15" s="57">
        <v>1388576894</v>
      </c>
      <c r="B15" s="57" t="s">
        <v>210</v>
      </c>
      <c r="C15" s="57" t="s">
        <v>353</v>
      </c>
      <c r="D15" s="57" t="s">
        <v>354</v>
      </c>
      <c r="E15" s="57" t="s">
        <v>161</v>
      </c>
      <c r="F15" s="57">
        <v>1721</v>
      </c>
      <c r="G15" s="57">
        <v>1721</v>
      </c>
      <c r="H15" s="57" t="s">
        <v>440</v>
      </c>
      <c r="I15" s="57" t="s">
        <v>450</v>
      </c>
      <c r="J15" s="57"/>
      <c r="K15" s="58">
        <v>45007</v>
      </c>
      <c r="L15" s="57" t="s">
        <v>442</v>
      </c>
      <c r="M15" s="57" t="s">
        <v>355</v>
      </c>
      <c r="N15" s="57" t="s">
        <v>453</v>
      </c>
      <c r="O15" s="57" t="s">
        <v>174</v>
      </c>
      <c r="P15" s="56"/>
    </row>
    <row r="16" spans="1:16" x14ac:dyDescent="0.25">
      <c r="A16" s="57">
        <v>1522352256</v>
      </c>
      <c r="B16" s="57" t="s">
        <v>224</v>
      </c>
      <c r="C16" s="57" t="s">
        <v>361</v>
      </c>
      <c r="D16" s="57" t="s">
        <v>362</v>
      </c>
      <c r="E16" s="57" t="s">
        <v>170</v>
      </c>
      <c r="F16" s="57">
        <v>1702</v>
      </c>
      <c r="G16" s="57">
        <v>1702</v>
      </c>
      <c r="H16" s="57" t="s">
        <v>440</v>
      </c>
      <c r="I16" s="57" t="s">
        <v>441</v>
      </c>
      <c r="J16" s="57"/>
      <c r="K16" s="57"/>
      <c r="L16" s="57" t="s">
        <v>442</v>
      </c>
      <c r="M16" s="57" t="s">
        <v>363</v>
      </c>
      <c r="N16" s="57" t="s">
        <v>443</v>
      </c>
      <c r="O16" s="57" t="s">
        <v>174</v>
      </c>
      <c r="P16" s="56" t="s">
        <v>454</v>
      </c>
    </row>
    <row r="17" spans="1:16" x14ac:dyDescent="0.25">
      <c r="A17" s="57">
        <v>1294868590</v>
      </c>
      <c r="B17" s="57" t="s">
        <v>265</v>
      </c>
      <c r="C17" s="57" t="s">
        <v>378</v>
      </c>
      <c r="D17" s="57" t="s">
        <v>369</v>
      </c>
      <c r="E17" s="57" t="s">
        <v>173</v>
      </c>
      <c r="F17" s="57">
        <v>1702</v>
      </c>
      <c r="G17" s="57">
        <v>1702</v>
      </c>
      <c r="H17" s="57" t="s">
        <v>440</v>
      </c>
      <c r="I17" s="57" t="s">
        <v>441</v>
      </c>
      <c r="J17" s="57"/>
      <c r="K17" s="57"/>
      <c r="L17" s="57" t="s">
        <v>442</v>
      </c>
      <c r="M17" s="57" t="s">
        <v>391</v>
      </c>
      <c r="N17" s="57" t="s">
        <v>443</v>
      </c>
      <c r="O17" s="57" t="s">
        <v>174</v>
      </c>
      <c r="P17" s="56"/>
    </row>
    <row r="18" spans="1:16" hidden="1" x14ac:dyDescent="0.25">
      <c r="A18" s="57">
        <v>1376484978</v>
      </c>
      <c r="B18" s="57" t="s">
        <v>265</v>
      </c>
      <c r="C18" s="57" t="s">
        <v>389</v>
      </c>
      <c r="D18" s="57" t="s">
        <v>354</v>
      </c>
      <c r="E18" s="57" t="s">
        <v>161</v>
      </c>
      <c r="F18" s="57">
        <v>1721</v>
      </c>
      <c r="G18" s="57">
        <v>1721</v>
      </c>
      <c r="H18" s="57" t="s">
        <v>440</v>
      </c>
      <c r="I18" s="57" t="s">
        <v>450</v>
      </c>
      <c r="J18" s="57"/>
      <c r="K18" s="58">
        <v>45007</v>
      </c>
      <c r="L18" s="57" t="s">
        <v>442</v>
      </c>
      <c r="M18" s="57" t="s">
        <v>390</v>
      </c>
      <c r="N18" s="57" t="s">
        <v>453</v>
      </c>
      <c r="O18" s="57" t="s">
        <v>174</v>
      </c>
      <c r="P18" s="56"/>
    </row>
    <row r="19" spans="1:16" x14ac:dyDescent="0.25">
      <c r="A19" s="57">
        <v>1049387993</v>
      </c>
      <c r="B19" s="57" t="s">
        <v>397</v>
      </c>
      <c r="C19" s="57" t="s">
        <v>388</v>
      </c>
      <c r="D19" s="57" t="s">
        <v>370</v>
      </c>
      <c r="E19" s="57" t="s">
        <v>161</v>
      </c>
      <c r="F19" s="57">
        <v>1721</v>
      </c>
      <c r="G19" s="57"/>
      <c r="H19" s="57" t="s">
        <v>440</v>
      </c>
      <c r="I19" s="57" t="s">
        <v>441</v>
      </c>
      <c r="J19" s="57"/>
      <c r="K19" s="57"/>
      <c r="L19" s="57" t="s">
        <v>442</v>
      </c>
      <c r="M19" s="57"/>
      <c r="N19" s="57" t="s">
        <v>443</v>
      </c>
      <c r="O19" s="57" t="s">
        <v>174</v>
      </c>
      <c r="P19" s="56" t="s">
        <v>454</v>
      </c>
    </row>
    <row r="20" spans="1:16" x14ac:dyDescent="0.25">
      <c r="A20" s="57">
        <v>1467972622</v>
      </c>
      <c r="B20" s="57" t="s">
        <v>415</v>
      </c>
      <c r="C20" s="57" t="s">
        <v>416</v>
      </c>
      <c r="D20" s="57" t="s">
        <v>370</v>
      </c>
      <c r="E20" s="57" t="s">
        <v>158</v>
      </c>
      <c r="F20" s="57">
        <v>1721</v>
      </c>
      <c r="G20" s="57">
        <v>1721</v>
      </c>
      <c r="H20" s="57" t="s">
        <v>440</v>
      </c>
      <c r="I20" s="57" t="s">
        <v>441</v>
      </c>
      <c r="J20" s="57"/>
      <c r="K20" s="57"/>
      <c r="L20" s="57" t="s">
        <v>442</v>
      </c>
      <c r="M20" s="57" t="s">
        <v>417</v>
      </c>
      <c r="N20" s="57" t="s">
        <v>443</v>
      </c>
      <c r="O20" s="57" t="s">
        <v>174</v>
      </c>
      <c r="P20" s="56" t="s">
        <v>455</v>
      </c>
    </row>
    <row r="21" spans="1:16" x14ac:dyDescent="0.25">
      <c r="A21" s="56">
        <v>1535935455</v>
      </c>
      <c r="B21" s="56" t="s">
        <v>245</v>
      </c>
      <c r="C21" s="56" t="s">
        <v>380</v>
      </c>
      <c r="D21" s="56" t="s">
        <v>370</v>
      </c>
      <c r="E21" s="56" t="s">
        <v>155</v>
      </c>
      <c r="F21" s="56"/>
      <c r="G21" s="56"/>
      <c r="H21" s="56" t="s">
        <v>440</v>
      </c>
      <c r="I21" s="56" t="s">
        <v>441</v>
      </c>
      <c r="J21" s="56"/>
      <c r="K21" s="56"/>
      <c r="L21" s="56" t="s">
        <v>442</v>
      </c>
      <c r="M21" s="56"/>
      <c r="N21" s="56" t="s">
        <v>443</v>
      </c>
      <c r="O21" s="56" t="s">
        <v>456</v>
      </c>
      <c r="P21" s="56" t="s">
        <v>454</v>
      </c>
    </row>
    <row r="22" spans="1:16" x14ac:dyDescent="0.25">
      <c r="A22" s="56">
        <v>1505356434</v>
      </c>
      <c r="B22" s="56" t="s">
        <v>247</v>
      </c>
      <c r="C22" s="56" t="s">
        <v>381</v>
      </c>
      <c r="D22" s="56" t="s">
        <v>382</v>
      </c>
      <c r="E22" s="56" t="s">
        <v>158</v>
      </c>
      <c r="F22" s="56">
        <v>1721</v>
      </c>
      <c r="G22" s="56"/>
      <c r="H22" s="56" t="s">
        <v>440</v>
      </c>
      <c r="I22" s="56" t="s">
        <v>441</v>
      </c>
      <c r="J22" s="56"/>
      <c r="K22" s="56"/>
      <c r="L22" s="56" t="s">
        <v>442</v>
      </c>
      <c r="M22" s="56"/>
      <c r="N22" s="56" t="s">
        <v>443</v>
      </c>
      <c r="O22" s="56" t="s">
        <v>456</v>
      </c>
      <c r="P22" s="56"/>
    </row>
    <row r="23" spans="1:16" x14ac:dyDescent="0.25">
      <c r="A23" s="56">
        <v>1553606876</v>
      </c>
      <c r="B23" s="56" t="s">
        <v>307</v>
      </c>
      <c r="C23" s="56" t="s">
        <v>418</v>
      </c>
      <c r="D23" s="56" t="s">
        <v>362</v>
      </c>
      <c r="E23" s="56" t="s">
        <v>151</v>
      </c>
      <c r="F23" s="56"/>
      <c r="G23" s="56"/>
      <c r="H23" s="56" t="s">
        <v>440</v>
      </c>
      <c r="I23" s="56" t="s">
        <v>441</v>
      </c>
      <c r="J23" s="56"/>
      <c r="K23" s="56"/>
      <c r="L23" s="56" t="s">
        <v>442</v>
      </c>
      <c r="M23" s="56"/>
      <c r="N23" s="56" t="s">
        <v>443</v>
      </c>
      <c r="O23" s="56" t="s">
        <v>456</v>
      </c>
      <c r="P23" s="56" t="s">
        <v>454</v>
      </c>
    </row>
    <row r="24" spans="1:16" x14ac:dyDescent="0.25">
      <c r="A24" s="56">
        <v>1547804224</v>
      </c>
      <c r="B24" s="56" t="s">
        <v>316</v>
      </c>
      <c r="C24" s="56" t="s">
        <v>386</v>
      </c>
      <c r="D24" s="56" t="s">
        <v>370</v>
      </c>
      <c r="E24" s="56" t="s">
        <v>151</v>
      </c>
      <c r="F24" s="56"/>
      <c r="G24" s="56"/>
      <c r="H24" s="56" t="s">
        <v>440</v>
      </c>
      <c r="I24" s="56" t="s">
        <v>441</v>
      </c>
      <c r="J24" s="56"/>
      <c r="K24" s="56"/>
      <c r="L24" s="56" t="s">
        <v>442</v>
      </c>
      <c r="M24" s="56"/>
      <c r="N24" s="56" t="s">
        <v>443</v>
      </c>
      <c r="O24" s="56" t="s">
        <v>456</v>
      </c>
      <c r="P24" s="56" t="s">
        <v>457</v>
      </c>
    </row>
    <row r="25" spans="1:16" x14ac:dyDescent="0.25">
      <c r="A25" s="56">
        <v>1551449196</v>
      </c>
      <c r="B25" s="56" t="s">
        <v>316</v>
      </c>
      <c r="C25" s="56" t="s">
        <v>421</v>
      </c>
      <c r="D25" s="56" t="s">
        <v>422</v>
      </c>
      <c r="E25" s="56" t="s">
        <v>155</v>
      </c>
      <c r="F25" s="56"/>
      <c r="G25" s="56"/>
      <c r="H25" s="56" t="s">
        <v>440</v>
      </c>
      <c r="I25" s="56" t="s">
        <v>441</v>
      </c>
      <c r="J25" s="56"/>
      <c r="K25" s="56"/>
      <c r="L25" s="56" t="s">
        <v>442</v>
      </c>
      <c r="M25" s="56"/>
      <c r="N25" s="56" t="s">
        <v>443</v>
      </c>
      <c r="O25" s="56" t="s">
        <v>456</v>
      </c>
      <c r="P25" s="56" t="s">
        <v>451</v>
      </c>
    </row>
    <row r="26" spans="1:16" x14ac:dyDescent="0.25">
      <c r="A26" s="56">
        <v>1396233777</v>
      </c>
      <c r="B26" s="56" t="s">
        <v>321</v>
      </c>
      <c r="C26" s="56" t="s">
        <v>367</v>
      </c>
      <c r="D26" s="56" t="s">
        <v>414</v>
      </c>
      <c r="E26" s="56" t="s">
        <v>178</v>
      </c>
      <c r="F26" s="56">
        <v>1720</v>
      </c>
      <c r="G26" s="56">
        <v>1720</v>
      </c>
      <c r="H26" s="56" t="s">
        <v>440</v>
      </c>
      <c r="I26" s="56" t="s">
        <v>441</v>
      </c>
      <c r="J26" s="56"/>
      <c r="K26" s="56"/>
      <c r="L26" s="56" t="s">
        <v>442</v>
      </c>
      <c r="M26" s="56" t="s">
        <v>424</v>
      </c>
      <c r="N26" s="56" t="s">
        <v>443</v>
      </c>
      <c r="O26" s="56" t="s">
        <v>456</v>
      </c>
      <c r="P26" s="56"/>
    </row>
    <row r="27" spans="1:16" x14ac:dyDescent="0.25">
      <c r="A27" s="56">
        <v>1608683247</v>
      </c>
      <c r="B27" s="56" t="s">
        <v>334</v>
      </c>
      <c r="C27" s="56" t="s">
        <v>431</v>
      </c>
      <c r="D27" s="56" t="s">
        <v>350</v>
      </c>
      <c r="E27" s="56" t="s">
        <v>147</v>
      </c>
      <c r="F27" s="56">
        <v>231</v>
      </c>
      <c r="G27" s="56">
        <v>231</v>
      </c>
      <c r="H27" s="56" t="s">
        <v>440</v>
      </c>
      <c r="I27" s="56" t="s">
        <v>441</v>
      </c>
      <c r="J27" s="56"/>
      <c r="K27" s="56"/>
      <c r="L27" s="56" t="s">
        <v>442</v>
      </c>
      <c r="M27" s="56" t="s">
        <v>432</v>
      </c>
      <c r="N27" s="56" t="s">
        <v>443</v>
      </c>
      <c r="O27" s="56" t="s">
        <v>456</v>
      </c>
      <c r="P27" s="56"/>
    </row>
    <row r="28" spans="1:16" hidden="1" x14ac:dyDescent="0.25">
      <c r="A28" s="59">
        <v>1605169470</v>
      </c>
      <c r="B28" s="59" t="s">
        <v>366</v>
      </c>
      <c r="C28" s="59" t="s">
        <v>367</v>
      </c>
      <c r="D28" s="59" t="s">
        <v>368</v>
      </c>
      <c r="E28" s="59" t="s">
        <v>147</v>
      </c>
      <c r="F28" s="59">
        <v>1721</v>
      </c>
      <c r="G28" s="59">
        <v>1721</v>
      </c>
      <c r="H28" s="59" t="s">
        <v>440</v>
      </c>
      <c r="I28" s="59" t="s">
        <v>450</v>
      </c>
      <c r="J28" s="59" t="s">
        <v>458</v>
      </c>
      <c r="K28" s="60">
        <v>44931</v>
      </c>
      <c r="L28" s="59" t="s">
        <v>442</v>
      </c>
      <c r="M28" s="59" t="s">
        <v>358</v>
      </c>
      <c r="N28" s="59" t="s">
        <v>212</v>
      </c>
      <c r="O28" s="59" t="s">
        <v>459</v>
      </c>
      <c r="P28" s="56"/>
    </row>
    <row r="29" spans="1:16" hidden="1" x14ac:dyDescent="0.25">
      <c r="A29" s="59">
        <v>1558523286</v>
      </c>
      <c r="B29" s="59" t="s">
        <v>272</v>
      </c>
      <c r="C29" s="59" t="s">
        <v>394</v>
      </c>
      <c r="D29" s="59" t="s">
        <v>370</v>
      </c>
      <c r="E29" s="59" t="s">
        <v>147</v>
      </c>
      <c r="F29" s="59" t="s">
        <v>458</v>
      </c>
      <c r="G29" s="59">
        <v>671</v>
      </c>
      <c r="H29" s="59" t="s">
        <v>440</v>
      </c>
      <c r="I29" s="59" t="s">
        <v>450</v>
      </c>
      <c r="J29" s="59" t="s">
        <v>458</v>
      </c>
      <c r="K29" s="60">
        <v>45183</v>
      </c>
      <c r="L29" s="59" t="s">
        <v>442</v>
      </c>
      <c r="M29" s="59" t="s">
        <v>395</v>
      </c>
      <c r="N29" s="59" t="s">
        <v>212</v>
      </c>
      <c r="O29" s="59" t="s">
        <v>459</v>
      </c>
      <c r="P29" s="56"/>
    </row>
    <row r="30" spans="1:16" hidden="1" x14ac:dyDescent="0.25">
      <c r="A30" s="59">
        <v>1595508424</v>
      </c>
      <c r="B30" s="59" t="s">
        <v>460</v>
      </c>
      <c r="C30" s="59" t="s">
        <v>461</v>
      </c>
      <c r="D30" s="59" t="s">
        <v>354</v>
      </c>
      <c r="E30" s="59" t="s">
        <v>147</v>
      </c>
      <c r="F30" s="59">
        <v>1721</v>
      </c>
      <c r="G30" s="59">
        <v>1721</v>
      </c>
      <c r="H30" s="59" t="s">
        <v>440</v>
      </c>
      <c r="I30" s="59" t="s">
        <v>450</v>
      </c>
      <c r="J30" s="59" t="s">
        <v>458</v>
      </c>
      <c r="K30" s="60">
        <v>44931</v>
      </c>
      <c r="L30" s="59" t="s">
        <v>442</v>
      </c>
      <c r="M30" s="59" t="s">
        <v>462</v>
      </c>
      <c r="N30" s="59" t="s">
        <v>212</v>
      </c>
      <c r="O30" s="59" t="s">
        <v>459</v>
      </c>
      <c r="P30" s="56"/>
    </row>
    <row r="31" spans="1:16" hidden="1" x14ac:dyDescent="0.25">
      <c r="A31" s="59">
        <v>1243927613</v>
      </c>
      <c r="B31" s="59" t="s">
        <v>282</v>
      </c>
      <c r="C31" s="59" t="s">
        <v>400</v>
      </c>
      <c r="D31" s="59" t="s">
        <v>368</v>
      </c>
      <c r="E31" s="59" t="s">
        <v>147</v>
      </c>
      <c r="F31" s="59">
        <v>1721</v>
      </c>
      <c r="G31" s="59">
        <v>1721</v>
      </c>
      <c r="H31" s="59" t="s">
        <v>440</v>
      </c>
      <c r="I31" s="59" t="s">
        <v>450</v>
      </c>
      <c r="J31" s="59" t="s">
        <v>458</v>
      </c>
      <c r="K31" s="60">
        <v>44945</v>
      </c>
      <c r="L31" s="59" t="s">
        <v>442</v>
      </c>
      <c r="M31" s="59" t="s">
        <v>358</v>
      </c>
      <c r="N31" s="59" t="s">
        <v>212</v>
      </c>
      <c r="O31" s="59" t="s">
        <v>459</v>
      </c>
      <c r="P31" s="56"/>
    </row>
    <row r="32" spans="1:16" hidden="1" x14ac:dyDescent="0.25">
      <c r="A32" s="59">
        <v>1604294041</v>
      </c>
      <c r="B32" s="59" t="s">
        <v>404</v>
      </c>
      <c r="C32" s="59" t="s">
        <v>405</v>
      </c>
      <c r="D32" s="59" t="s">
        <v>382</v>
      </c>
      <c r="E32" s="59" t="s">
        <v>147</v>
      </c>
      <c r="F32" s="59">
        <v>1721</v>
      </c>
      <c r="G32" s="59">
        <v>1721</v>
      </c>
      <c r="H32" s="59" t="s">
        <v>440</v>
      </c>
      <c r="I32" s="59" t="s">
        <v>450</v>
      </c>
      <c r="J32" s="59" t="s">
        <v>458</v>
      </c>
      <c r="K32" s="60">
        <v>44931</v>
      </c>
      <c r="L32" s="59" t="s">
        <v>442</v>
      </c>
      <c r="M32" s="59" t="s">
        <v>358</v>
      </c>
      <c r="N32" s="59" t="s">
        <v>212</v>
      </c>
      <c r="O32" s="59" t="s">
        <v>459</v>
      </c>
      <c r="P32" s="56"/>
    </row>
    <row r="33" spans="1:16" hidden="1" x14ac:dyDescent="0.25">
      <c r="A33" s="59">
        <v>1260664200</v>
      </c>
      <c r="B33" s="59" t="s">
        <v>287</v>
      </c>
      <c r="C33" s="59" t="s">
        <v>406</v>
      </c>
      <c r="D33" s="59" t="s">
        <v>354</v>
      </c>
      <c r="E33" s="59" t="s">
        <v>147</v>
      </c>
      <c r="F33" s="59">
        <v>1721</v>
      </c>
      <c r="G33" s="59">
        <v>1721</v>
      </c>
      <c r="H33" s="59" t="s">
        <v>440</v>
      </c>
      <c r="I33" s="59" t="s">
        <v>450</v>
      </c>
      <c r="J33" s="59" t="s">
        <v>458</v>
      </c>
      <c r="K33" s="60">
        <v>45048</v>
      </c>
      <c r="L33" s="59" t="s">
        <v>442</v>
      </c>
      <c r="M33" s="59" t="s">
        <v>358</v>
      </c>
      <c r="N33" s="59" t="s">
        <v>212</v>
      </c>
      <c r="O33" s="59" t="s">
        <v>459</v>
      </c>
      <c r="P33" s="56"/>
    </row>
    <row r="34" spans="1:16" hidden="1" x14ac:dyDescent="0.25">
      <c r="A34" s="59">
        <v>1588615061</v>
      </c>
      <c r="B34" s="59" t="s">
        <v>289</v>
      </c>
      <c r="C34" s="59" t="s">
        <v>407</v>
      </c>
      <c r="D34" s="59" t="s">
        <v>354</v>
      </c>
      <c r="E34" s="59" t="s">
        <v>147</v>
      </c>
      <c r="F34" s="59">
        <v>231</v>
      </c>
      <c r="G34" s="59">
        <v>231</v>
      </c>
      <c r="H34" s="59" t="s">
        <v>440</v>
      </c>
      <c r="I34" s="59" t="s">
        <v>450</v>
      </c>
      <c r="J34" s="59" t="s">
        <v>458</v>
      </c>
      <c r="K34" s="60">
        <v>45183</v>
      </c>
      <c r="L34" s="59" t="s">
        <v>442</v>
      </c>
      <c r="M34" s="59" t="s">
        <v>408</v>
      </c>
      <c r="N34" s="59" t="s">
        <v>212</v>
      </c>
      <c r="O34" s="59" t="s">
        <v>459</v>
      </c>
      <c r="P34" s="56"/>
    </row>
    <row r="35" spans="1:16" hidden="1" x14ac:dyDescent="0.25">
      <c r="A35" s="59">
        <v>1257814765</v>
      </c>
      <c r="B35" s="59" t="s">
        <v>410</v>
      </c>
      <c r="C35" s="59" t="s">
        <v>411</v>
      </c>
      <c r="D35" s="59" t="s">
        <v>403</v>
      </c>
      <c r="E35" s="59" t="s">
        <v>147</v>
      </c>
      <c r="F35" s="59" t="s">
        <v>458</v>
      </c>
      <c r="G35" s="59">
        <v>341</v>
      </c>
      <c r="H35" s="59" t="s">
        <v>440</v>
      </c>
      <c r="I35" s="59" t="s">
        <v>450</v>
      </c>
      <c r="J35" s="59" t="s">
        <v>458</v>
      </c>
      <c r="K35" s="60">
        <v>44931</v>
      </c>
      <c r="L35" s="59" t="s">
        <v>442</v>
      </c>
      <c r="M35" s="59" t="s">
        <v>463</v>
      </c>
      <c r="N35" s="59" t="s">
        <v>212</v>
      </c>
      <c r="O35" s="59" t="s">
        <v>459</v>
      </c>
      <c r="P35" s="56"/>
    </row>
    <row r="36" spans="1:16" hidden="1" x14ac:dyDescent="0.25">
      <c r="A36" s="59">
        <v>1598479964</v>
      </c>
      <c r="B36" s="59" t="s">
        <v>306</v>
      </c>
      <c r="C36" s="59" t="s">
        <v>412</v>
      </c>
      <c r="D36" s="59" t="s">
        <v>362</v>
      </c>
      <c r="E36" s="59" t="s">
        <v>147</v>
      </c>
      <c r="F36" s="59">
        <v>1721</v>
      </c>
      <c r="G36" s="59">
        <v>1721</v>
      </c>
      <c r="H36" s="59" t="s">
        <v>440</v>
      </c>
      <c r="I36" s="59" t="s">
        <v>450</v>
      </c>
      <c r="J36" s="59" t="s">
        <v>458</v>
      </c>
      <c r="K36" s="60">
        <v>44945</v>
      </c>
      <c r="L36" s="59" t="s">
        <v>442</v>
      </c>
      <c r="M36" s="59" t="s">
        <v>358</v>
      </c>
      <c r="N36" s="59" t="s">
        <v>212</v>
      </c>
      <c r="O36" s="59" t="s">
        <v>459</v>
      </c>
      <c r="P36" s="56"/>
    </row>
    <row r="37" spans="1:16" hidden="1" x14ac:dyDescent="0.25">
      <c r="A37" s="59">
        <v>1594887413</v>
      </c>
      <c r="B37" s="59" t="s">
        <v>313</v>
      </c>
      <c r="C37" s="59" t="s">
        <v>409</v>
      </c>
      <c r="D37" s="59" t="s">
        <v>359</v>
      </c>
      <c r="E37" s="59" t="s">
        <v>147</v>
      </c>
      <c r="F37" s="59">
        <v>1721</v>
      </c>
      <c r="G37" s="59">
        <v>1721</v>
      </c>
      <c r="H37" s="59" t="s">
        <v>440</v>
      </c>
      <c r="I37" s="59" t="s">
        <v>450</v>
      </c>
      <c r="J37" s="59" t="s">
        <v>458</v>
      </c>
      <c r="K37" s="60">
        <v>44945</v>
      </c>
      <c r="L37" s="59" t="s">
        <v>442</v>
      </c>
      <c r="M37" s="59" t="s">
        <v>358</v>
      </c>
      <c r="N37" s="59" t="s">
        <v>212</v>
      </c>
      <c r="O37" s="59" t="s">
        <v>459</v>
      </c>
      <c r="P37" s="56"/>
    </row>
    <row r="38" spans="1:16" hidden="1" x14ac:dyDescent="0.25">
      <c r="A38" s="59">
        <v>1594314448</v>
      </c>
      <c r="B38" s="59" t="s">
        <v>319</v>
      </c>
      <c r="C38" s="59" t="s">
        <v>423</v>
      </c>
      <c r="D38" s="59" t="s">
        <v>368</v>
      </c>
      <c r="E38" s="59" t="s">
        <v>147</v>
      </c>
      <c r="F38" s="59">
        <v>1721</v>
      </c>
      <c r="G38" s="59">
        <v>1721</v>
      </c>
      <c r="H38" s="59" t="s">
        <v>440</v>
      </c>
      <c r="I38" s="59" t="s">
        <v>450</v>
      </c>
      <c r="J38" s="59" t="s">
        <v>458</v>
      </c>
      <c r="K38" s="60">
        <v>44943</v>
      </c>
      <c r="L38" s="59" t="s">
        <v>442</v>
      </c>
      <c r="M38" s="59" t="s">
        <v>351</v>
      </c>
      <c r="N38" s="59" t="s">
        <v>212</v>
      </c>
      <c r="O38" s="59" t="s">
        <v>459</v>
      </c>
      <c r="P38" s="56"/>
    </row>
    <row r="39" spans="1:16" hidden="1" x14ac:dyDescent="0.25">
      <c r="A39" s="59">
        <v>1268102244</v>
      </c>
      <c r="B39" s="59" t="s">
        <v>425</v>
      </c>
      <c r="C39" s="59" t="s">
        <v>426</v>
      </c>
      <c r="D39" s="59" t="s">
        <v>354</v>
      </c>
      <c r="E39" s="59" t="s">
        <v>147</v>
      </c>
      <c r="F39" s="59">
        <v>1721</v>
      </c>
      <c r="G39" s="59">
        <v>1721</v>
      </c>
      <c r="H39" s="59" t="s">
        <v>440</v>
      </c>
      <c r="I39" s="59" t="s">
        <v>450</v>
      </c>
      <c r="J39" s="59" t="s">
        <v>458</v>
      </c>
      <c r="K39" s="60">
        <v>44931</v>
      </c>
      <c r="L39" s="59" t="s">
        <v>442</v>
      </c>
      <c r="M39" s="59" t="s">
        <v>358</v>
      </c>
      <c r="N39" s="59" t="s">
        <v>212</v>
      </c>
      <c r="O39" s="59" t="s">
        <v>459</v>
      </c>
      <c r="P39" s="56"/>
    </row>
    <row r="40" spans="1:16" hidden="1" x14ac:dyDescent="0.25">
      <c r="A40" s="59">
        <v>1600109495</v>
      </c>
      <c r="B40" s="59" t="s">
        <v>333</v>
      </c>
      <c r="C40" s="59" t="s">
        <v>430</v>
      </c>
      <c r="D40" s="59" t="s">
        <v>362</v>
      </c>
      <c r="E40" s="59" t="s">
        <v>147</v>
      </c>
      <c r="F40" s="59">
        <v>1721</v>
      </c>
      <c r="G40" s="59">
        <v>1721</v>
      </c>
      <c r="H40" s="59" t="s">
        <v>440</v>
      </c>
      <c r="I40" s="59" t="s">
        <v>450</v>
      </c>
      <c r="J40" s="59" t="s">
        <v>458</v>
      </c>
      <c r="K40" s="60">
        <v>44931</v>
      </c>
      <c r="L40" s="59" t="s">
        <v>442</v>
      </c>
      <c r="M40" s="59" t="s">
        <v>358</v>
      </c>
      <c r="N40" s="59" t="s">
        <v>212</v>
      </c>
      <c r="O40" s="59" t="s">
        <v>459</v>
      </c>
      <c r="P40" s="56"/>
    </row>
    <row r="41" spans="1:16" hidden="1" x14ac:dyDescent="0.25">
      <c r="A41" s="59">
        <v>1608683247</v>
      </c>
      <c r="B41" s="59" t="s">
        <v>334</v>
      </c>
      <c r="C41" s="59" t="s">
        <v>431</v>
      </c>
      <c r="D41" s="59" t="s">
        <v>350</v>
      </c>
      <c r="E41" s="59" t="s">
        <v>147</v>
      </c>
      <c r="F41" s="59">
        <v>231</v>
      </c>
      <c r="G41" s="59">
        <v>231</v>
      </c>
      <c r="H41" s="59" t="s">
        <v>440</v>
      </c>
      <c r="I41" s="59" t="s">
        <v>450</v>
      </c>
      <c r="J41" s="59" t="s">
        <v>458</v>
      </c>
      <c r="K41" s="60">
        <v>45183</v>
      </c>
      <c r="L41" s="59" t="s">
        <v>442</v>
      </c>
      <c r="M41" s="59" t="s">
        <v>432</v>
      </c>
      <c r="N41" s="59" t="s">
        <v>212</v>
      </c>
      <c r="O41" s="59" t="s">
        <v>459</v>
      </c>
      <c r="P41" s="56"/>
    </row>
    <row r="42" spans="1:16" x14ac:dyDescent="0.25">
      <c r="A42" s="56">
        <v>1535935455</v>
      </c>
      <c r="B42" s="56" t="s">
        <v>245</v>
      </c>
      <c r="C42" s="56" t="s">
        <v>380</v>
      </c>
      <c r="D42" s="56" t="s">
        <v>370</v>
      </c>
      <c r="E42" s="56" t="s">
        <v>155</v>
      </c>
      <c r="F42" s="56"/>
      <c r="G42" s="56"/>
      <c r="H42" s="56" t="s">
        <v>440</v>
      </c>
      <c r="I42" s="56" t="s">
        <v>441</v>
      </c>
      <c r="J42" s="56"/>
      <c r="K42" s="56"/>
      <c r="L42" s="56" t="s">
        <v>442</v>
      </c>
      <c r="M42" s="56"/>
      <c r="N42" s="56" t="s">
        <v>443</v>
      </c>
      <c r="O42" s="56" t="s">
        <v>464</v>
      </c>
      <c r="P42" s="56" t="s">
        <v>465</v>
      </c>
    </row>
    <row r="43" spans="1:16" x14ac:dyDescent="0.25">
      <c r="A43" s="56">
        <v>1596139481</v>
      </c>
      <c r="B43" s="56" t="s">
        <v>401</v>
      </c>
      <c r="C43" s="56" t="s">
        <v>402</v>
      </c>
      <c r="D43" s="56" t="s">
        <v>379</v>
      </c>
      <c r="E43" s="56" t="s">
        <v>151</v>
      </c>
      <c r="F43" s="56">
        <v>1721</v>
      </c>
      <c r="G43" s="56">
        <v>1721</v>
      </c>
      <c r="H43" s="56" t="s">
        <v>440</v>
      </c>
      <c r="I43" s="56" t="s">
        <v>441</v>
      </c>
      <c r="J43" s="56"/>
      <c r="K43" s="56"/>
      <c r="L43" s="56" t="s">
        <v>442</v>
      </c>
      <c r="M43" s="56" t="s">
        <v>358</v>
      </c>
      <c r="N43" s="56" t="s">
        <v>443</v>
      </c>
      <c r="O43" s="56" t="s">
        <v>464</v>
      </c>
      <c r="P43" s="56" t="s">
        <v>455</v>
      </c>
    </row>
    <row r="44" spans="1:16" x14ac:dyDescent="0.25">
      <c r="A44" s="56">
        <v>1597592660</v>
      </c>
      <c r="B44" s="56" t="s">
        <v>419</v>
      </c>
      <c r="C44" s="56" t="s">
        <v>420</v>
      </c>
      <c r="D44" s="56" t="s">
        <v>365</v>
      </c>
      <c r="E44" s="56" t="s">
        <v>151</v>
      </c>
      <c r="F44" s="56">
        <v>1721</v>
      </c>
      <c r="G44" s="56">
        <v>1721</v>
      </c>
      <c r="H44" s="56" t="s">
        <v>440</v>
      </c>
      <c r="I44" s="56" t="s">
        <v>441</v>
      </c>
      <c r="J44" s="56"/>
      <c r="K44" s="56"/>
      <c r="L44" s="56" t="s">
        <v>442</v>
      </c>
      <c r="M44" s="56" t="s">
        <v>358</v>
      </c>
      <c r="N44" s="56" t="s">
        <v>443</v>
      </c>
      <c r="O44" s="56" t="s">
        <v>464</v>
      </c>
      <c r="P44" s="56" t="s">
        <v>465</v>
      </c>
    </row>
    <row r="45" spans="1:16" x14ac:dyDescent="0.25">
      <c r="A45" s="56">
        <v>1594680703</v>
      </c>
      <c r="B45" s="56" t="s">
        <v>427</v>
      </c>
      <c r="C45" s="56" t="s">
        <v>428</v>
      </c>
      <c r="D45" s="56" t="s">
        <v>373</v>
      </c>
      <c r="E45" s="56" t="s">
        <v>151</v>
      </c>
      <c r="F45" s="56">
        <v>1721</v>
      </c>
      <c r="G45" s="56">
        <v>1721</v>
      </c>
      <c r="H45" s="56" t="s">
        <v>440</v>
      </c>
      <c r="I45" s="56" t="s">
        <v>441</v>
      </c>
      <c r="J45" s="56"/>
      <c r="K45" s="56"/>
      <c r="L45" s="56" t="s">
        <v>442</v>
      </c>
      <c r="M45" s="56" t="s">
        <v>358</v>
      </c>
      <c r="N45" s="56" t="s">
        <v>443</v>
      </c>
      <c r="O45" s="56" t="s">
        <v>464</v>
      </c>
      <c r="P45" s="56" t="s">
        <v>466</v>
      </c>
    </row>
    <row r="46" spans="1:16" x14ac:dyDescent="0.25">
      <c r="A46" s="56">
        <v>1128723559</v>
      </c>
      <c r="B46" s="56" t="s">
        <v>256</v>
      </c>
      <c r="C46" s="56" t="s">
        <v>384</v>
      </c>
      <c r="D46" s="56" t="s">
        <v>385</v>
      </c>
      <c r="E46" s="56" t="s">
        <v>170</v>
      </c>
      <c r="F46" s="56">
        <v>1702</v>
      </c>
      <c r="G46" s="56">
        <v>1702</v>
      </c>
      <c r="H46" s="56" t="s">
        <v>440</v>
      </c>
      <c r="I46" s="56" t="s">
        <v>441</v>
      </c>
      <c r="J46" s="56"/>
      <c r="K46" s="56"/>
      <c r="L46" s="56" t="s">
        <v>442</v>
      </c>
      <c r="M46" s="56" t="s">
        <v>360</v>
      </c>
      <c r="N46" s="56" t="s">
        <v>443</v>
      </c>
      <c r="O46" s="56" t="s">
        <v>467</v>
      </c>
      <c r="P46" s="56" t="s">
        <v>468</v>
      </c>
    </row>
    <row r="47" spans="1:16" x14ac:dyDescent="0.25">
      <c r="A47" s="56">
        <v>1294868590</v>
      </c>
      <c r="B47" s="56" t="s">
        <v>265</v>
      </c>
      <c r="C47" s="56" t="s">
        <v>378</v>
      </c>
      <c r="D47" s="56" t="s">
        <v>369</v>
      </c>
      <c r="E47" s="56" t="s">
        <v>173</v>
      </c>
      <c r="F47" s="56">
        <v>1702</v>
      </c>
      <c r="G47" s="56">
        <v>1702</v>
      </c>
      <c r="H47" s="56" t="s">
        <v>440</v>
      </c>
      <c r="I47" s="56" t="s">
        <v>441</v>
      </c>
      <c r="J47" s="56"/>
      <c r="K47" s="56"/>
      <c r="L47" s="56" t="s">
        <v>442</v>
      </c>
      <c r="M47" s="56" t="s">
        <v>391</v>
      </c>
      <c r="N47" s="56" t="s">
        <v>443</v>
      </c>
      <c r="O47" s="56" t="s">
        <v>467</v>
      </c>
      <c r="P47" s="56"/>
    </row>
    <row r="48" spans="1:16" x14ac:dyDescent="0.25">
      <c r="A48" s="56">
        <v>1543374390</v>
      </c>
      <c r="B48" s="56" t="s">
        <v>285</v>
      </c>
      <c r="C48" s="56" t="s">
        <v>376</v>
      </c>
      <c r="D48" s="56" t="s">
        <v>368</v>
      </c>
      <c r="E48" s="56" t="s">
        <v>170</v>
      </c>
      <c r="F48" s="56">
        <v>1702</v>
      </c>
      <c r="G48" s="56">
        <v>1702</v>
      </c>
      <c r="H48" s="56" t="s">
        <v>469</v>
      </c>
      <c r="I48" s="56" t="s">
        <v>441</v>
      </c>
      <c r="J48" s="56"/>
      <c r="K48" s="56"/>
      <c r="L48" s="56" t="s">
        <v>442</v>
      </c>
      <c r="M48" s="56" t="s">
        <v>363</v>
      </c>
      <c r="N48" s="56" t="s">
        <v>443</v>
      </c>
      <c r="O48" s="56" t="s">
        <v>467</v>
      </c>
      <c r="P48" s="56" t="s">
        <v>470</v>
      </c>
    </row>
    <row r="49" spans="1:16" x14ac:dyDescent="0.25">
      <c r="A49" s="56">
        <v>1553343557</v>
      </c>
      <c r="B49" s="56" t="s">
        <v>315</v>
      </c>
      <c r="C49" s="56" t="s">
        <v>349</v>
      </c>
      <c r="D49" s="56" t="s">
        <v>370</v>
      </c>
      <c r="E49" s="56" t="s">
        <v>167</v>
      </c>
      <c r="F49" s="56">
        <v>1702</v>
      </c>
      <c r="G49" s="56">
        <v>1702</v>
      </c>
      <c r="H49" s="56" t="s">
        <v>469</v>
      </c>
      <c r="I49" s="56" t="s">
        <v>441</v>
      </c>
      <c r="J49" s="56"/>
      <c r="K49" s="56"/>
      <c r="L49" s="56" t="s">
        <v>442</v>
      </c>
      <c r="M49" s="56" t="s">
        <v>363</v>
      </c>
      <c r="N49" s="56" t="s">
        <v>443</v>
      </c>
      <c r="O49" s="56" t="s">
        <v>467</v>
      </c>
      <c r="P49" s="56" t="s">
        <v>454</v>
      </c>
    </row>
    <row r="50" spans="1:16" x14ac:dyDescent="0.25">
      <c r="A50" s="56">
        <v>1396233777</v>
      </c>
      <c r="B50" s="56" t="s">
        <v>321</v>
      </c>
      <c r="C50" s="56" t="s">
        <v>367</v>
      </c>
      <c r="D50" s="56" t="s">
        <v>414</v>
      </c>
      <c r="E50" s="56" t="s">
        <v>178</v>
      </c>
      <c r="F50" s="56">
        <v>1720</v>
      </c>
      <c r="G50" s="56">
        <v>1720</v>
      </c>
      <c r="H50" s="56" t="s">
        <v>440</v>
      </c>
      <c r="I50" s="56" t="s">
        <v>441</v>
      </c>
      <c r="J50" s="56"/>
      <c r="K50" s="56"/>
      <c r="L50" s="56" t="s">
        <v>442</v>
      </c>
      <c r="M50" s="56" t="s">
        <v>424</v>
      </c>
      <c r="N50" s="56" t="s">
        <v>443</v>
      </c>
      <c r="O50" s="56" t="s">
        <v>467</v>
      </c>
      <c r="P50" s="56" t="s">
        <v>471</v>
      </c>
    </row>
    <row r="51" spans="1:16" x14ac:dyDescent="0.25">
      <c r="A51" s="56">
        <v>1505356434</v>
      </c>
      <c r="B51" s="56" t="s">
        <v>247</v>
      </c>
      <c r="C51" s="56" t="s">
        <v>381</v>
      </c>
      <c r="D51" s="56" t="s">
        <v>382</v>
      </c>
      <c r="E51" s="56" t="s">
        <v>158</v>
      </c>
      <c r="F51" s="56">
        <v>1721</v>
      </c>
      <c r="G51" s="56"/>
      <c r="H51" s="56" t="s">
        <v>440</v>
      </c>
      <c r="I51" s="56" t="s">
        <v>441</v>
      </c>
      <c r="J51" s="56"/>
      <c r="K51" s="56"/>
      <c r="L51" s="56" t="s">
        <v>442</v>
      </c>
      <c r="M51" s="56"/>
      <c r="N51" s="56" t="s">
        <v>443</v>
      </c>
      <c r="O51" s="56" t="s">
        <v>186</v>
      </c>
      <c r="P51" s="56"/>
    </row>
    <row r="52" spans="1:16" x14ac:dyDescent="0.25">
      <c r="A52" s="56">
        <v>1535120117</v>
      </c>
      <c r="B52" s="56" t="s">
        <v>274</v>
      </c>
      <c r="C52" s="56" t="s">
        <v>396</v>
      </c>
      <c r="D52" s="56" t="s">
        <v>362</v>
      </c>
      <c r="E52" s="56" t="s">
        <v>158</v>
      </c>
      <c r="F52" s="56">
        <v>1721</v>
      </c>
      <c r="G52" s="56">
        <v>1721</v>
      </c>
      <c r="H52" s="56" t="s">
        <v>440</v>
      </c>
      <c r="I52" s="56" t="s">
        <v>441</v>
      </c>
      <c r="J52" s="56"/>
      <c r="K52" s="56"/>
      <c r="L52" s="56" t="s">
        <v>442</v>
      </c>
      <c r="M52" s="56" t="s">
        <v>358</v>
      </c>
      <c r="N52" s="56" t="s">
        <v>443</v>
      </c>
      <c r="O52" s="56" t="s">
        <v>186</v>
      </c>
      <c r="P52" s="56" t="s">
        <v>455</v>
      </c>
    </row>
    <row r="53" spans="1:16" x14ac:dyDescent="0.25">
      <c r="A53" s="56">
        <v>1287834213</v>
      </c>
      <c r="B53" s="56" t="s">
        <v>325</v>
      </c>
      <c r="C53" s="56" t="s">
        <v>386</v>
      </c>
      <c r="D53" s="56" t="s">
        <v>365</v>
      </c>
      <c r="E53" s="56" t="s">
        <v>387</v>
      </c>
      <c r="F53" s="56">
        <v>1799</v>
      </c>
      <c r="G53" s="56"/>
      <c r="H53" s="56" t="s">
        <v>440</v>
      </c>
      <c r="I53" s="56" t="s">
        <v>441</v>
      </c>
      <c r="J53" s="56"/>
      <c r="K53" s="56"/>
      <c r="L53" s="56" t="s">
        <v>442</v>
      </c>
      <c r="M53" s="56"/>
      <c r="N53" s="56" t="s">
        <v>443</v>
      </c>
      <c r="O53" s="56" t="s">
        <v>186</v>
      </c>
      <c r="P53" s="56"/>
    </row>
    <row r="54" spans="1:16" x14ac:dyDescent="0.25">
      <c r="A54" s="56">
        <v>1505871142</v>
      </c>
      <c r="B54" s="56" t="s">
        <v>329</v>
      </c>
      <c r="C54" s="56" t="s">
        <v>472</v>
      </c>
      <c r="D54" s="56" t="s">
        <v>385</v>
      </c>
      <c r="E54" s="56" t="s">
        <v>158</v>
      </c>
      <c r="F54" s="56">
        <v>1721</v>
      </c>
      <c r="G54" s="56">
        <v>1721</v>
      </c>
      <c r="H54" s="56" t="s">
        <v>440</v>
      </c>
      <c r="I54" s="56" t="s">
        <v>441</v>
      </c>
      <c r="J54" s="56"/>
      <c r="K54" s="56"/>
      <c r="L54" s="56" t="s">
        <v>442</v>
      </c>
      <c r="M54" s="56" t="s">
        <v>358</v>
      </c>
      <c r="N54" s="56" t="s">
        <v>443</v>
      </c>
      <c r="O54" s="56" t="s">
        <v>186</v>
      </c>
      <c r="P54" s="56" t="s">
        <v>454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474-F9B0-45C0-89E6-EE87529B69D2}">
  <sheetPr>
    <tabColor theme="7" tint="0.59999389629810485"/>
  </sheetPr>
  <dimension ref="A1:R119"/>
  <sheetViews>
    <sheetView workbookViewId="0">
      <selection activeCell="M80" sqref="M80"/>
    </sheetView>
  </sheetViews>
  <sheetFormatPr defaultRowHeight="15" x14ac:dyDescent="0.25"/>
  <cols>
    <col min="1" max="1" width="12" bestFit="1" customWidth="1"/>
    <col min="2" max="4" width="10.28515625" bestFit="1" customWidth="1"/>
    <col min="5" max="5" width="26.5703125" bestFit="1" customWidth="1"/>
    <col min="6" max="7" width="10.42578125" bestFit="1" customWidth="1"/>
    <col min="8" max="8" width="13" bestFit="1" customWidth="1"/>
    <col min="9" max="9" width="26.85546875" bestFit="1" customWidth="1"/>
    <col min="10" max="10" width="25.28515625" style="97" bestFit="1" customWidth="1"/>
    <col min="11" max="11" width="8.7109375" style="97" customWidth="1"/>
    <col min="13" max="13" width="11.140625" bestFit="1" customWidth="1"/>
    <col min="14" max="14" width="10.28515625" bestFit="1" customWidth="1"/>
    <col min="15" max="15" width="11.140625" bestFit="1" customWidth="1"/>
    <col min="16" max="17" width="10" bestFit="1" customWidth="1"/>
  </cols>
  <sheetData>
    <row r="1" spans="1:18" x14ac:dyDescent="0.25">
      <c r="A1" s="215" t="s">
        <v>473</v>
      </c>
      <c r="B1" s="216"/>
      <c r="C1" s="216"/>
      <c r="D1" s="216"/>
      <c r="E1" s="216"/>
      <c r="F1" s="216"/>
      <c r="G1" s="216"/>
      <c r="H1" s="216"/>
      <c r="I1" s="217"/>
      <c r="M1" s="215" t="s">
        <v>474</v>
      </c>
      <c r="N1" s="216"/>
      <c r="O1" s="216"/>
      <c r="P1" s="216"/>
      <c r="Q1" s="217"/>
    </row>
    <row r="2" spans="1:18" x14ac:dyDescent="0.25">
      <c r="A2" t="s">
        <v>199</v>
      </c>
      <c r="B2" t="s">
        <v>202</v>
      </c>
      <c r="C2" t="s">
        <v>341</v>
      </c>
      <c r="D2" t="s">
        <v>200</v>
      </c>
      <c r="E2" t="s">
        <v>201</v>
      </c>
      <c r="F2" t="s">
        <v>188</v>
      </c>
      <c r="G2" t="s">
        <v>475</v>
      </c>
      <c r="H2" t="s">
        <v>476</v>
      </c>
      <c r="I2" t="s">
        <v>477</v>
      </c>
      <c r="J2" s="146" t="s">
        <v>478</v>
      </c>
      <c r="K2"/>
      <c r="M2" t="s">
        <v>479</v>
      </c>
      <c r="N2" t="s">
        <v>480</v>
      </c>
      <c r="O2" t="s">
        <v>481</v>
      </c>
      <c r="P2" t="s">
        <v>482</v>
      </c>
      <c r="R2" s="154"/>
    </row>
    <row r="3" spans="1:18" x14ac:dyDescent="0.25">
      <c r="A3">
        <v>4741999075</v>
      </c>
      <c r="B3" s="97" t="str">
        <f>_xlfn.XLOOKUP(PFTTableCompany[[#This Row],[EDIPI]], RecallTable[EDIPI],RecallTable[SECTION],"NF")</f>
        <v>1PLT</v>
      </c>
      <c r="C3" s="97">
        <f>_xlfn.XLOOKUP(PFTTableCompany[[#This Row],[EDIPI]], RecallTable[EDIPI],RecallTable[MOS],"NF")</f>
        <v>1702</v>
      </c>
      <c r="D3" s="97" t="str">
        <f>_xlfn.XLOOKUP(PFTTableCompany[[#This Row],[EDIPI]], RecallTable[EDIPI],RecallTable[GRADE],"NF")</f>
        <v>O2</v>
      </c>
      <c r="E3" t="str">
        <f>_xlfn.XLOOKUP(PFTTableCompany[[#This Row],[EDIPI]], RecallTable[EDIPI],RecallTable[NAME],"NF")</f>
        <v>SUMMERS, DOMINIC A.</v>
      </c>
      <c r="F3" s="154">
        <v>45330</v>
      </c>
      <c r="G3" s="154" t="s">
        <v>36</v>
      </c>
      <c r="J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"/>
      <c r="L3" s="97" t="s">
        <v>230</v>
      </c>
      <c r="M3" s="97">
        <f>COUNTIFS(PFTTableCompany[Section],L3,PFTTableCompany[PFT],"",PFTTableCompany[Comments],"")</f>
        <v>12</v>
      </c>
      <c r="N3" s="97">
        <f>COUNTIFS(PFTTableCompany[Section],L3,PFTTableCompany[H/W],"",PFTTableCompany[Comments],"")</f>
        <v>11</v>
      </c>
      <c r="O3" s="151">
        <f>1-(M3/COUNTIF(PFTTableCompany[Section],L3))</f>
        <v>0.19999999999999996</v>
      </c>
      <c r="P3" s="151">
        <f>1-(N3/COUNTIF(PFTTableCompany[Section],L3))</f>
        <v>0.26666666666666672</v>
      </c>
      <c r="R3" s="154"/>
    </row>
    <row r="4" spans="1:18" x14ac:dyDescent="0.25">
      <c r="A4">
        <v>1538999384</v>
      </c>
      <c r="B4" s="97" t="str">
        <f>_xlfn.XLOOKUP(PFTTableCompany[[#This Row],[EDIPI]], RecallTable[EDIPI],RecallTable[SECTION],"NF")</f>
        <v>1PLT</v>
      </c>
      <c r="C4" s="97">
        <f>_xlfn.XLOOKUP(PFTTableCompany[[#This Row],[EDIPI]], RecallTable[EDIPI],RecallTable[MOS],"NF")</f>
        <v>1721</v>
      </c>
      <c r="D4" s="97" t="str">
        <f>_xlfn.XLOOKUP(PFTTableCompany[[#This Row],[EDIPI]], RecallTable[EDIPI],RecallTable[GRADE],"NF")</f>
        <v>E7</v>
      </c>
      <c r="E4" t="str">
        <f>_xlfn.XLOOKUP(PFTTableCompany[[#This Row],[EDIPI]], RecallTable[EDIPI],RecallTable[NAME],"NF")</f>
        <v>LARA, SAMARA A.</v>
      </c>
      <c r="F4" s="154">
        <v>45376</v>
      </c>
      <c r="G4" s="154" t="s">
        <v>36</v>
      </c>
      <c r="J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4"/>
      <c r="L4" s="97" t="s">
        <v>225</v>
      </c>
      <c r="M4" s="97">
        <f>COUNTIFS(PFTTableCompany[Section],L4,PFTTableCompany[PFT],"",PFTTableCompany[Comments],"")</f>
        <v>10</v>
      </c>
      <c r="N4" s="97">
        <f>COUNTIFS(PFTTableCompany[Section],L4,PFTTableCompany[H/W],"",PFTTableCompany[Comments],"")</f>
        <v>10</v>
      </c>
      <c r="O4" s="151">
        <f>1-(M4/COUNTIF(PFTTableCompany[Section],L4))</f>
        <v>0.33333333333333337</v>
      </c>
      <c r="P4" s="151">
        <f>1-(N4/COUNTIF(PFTTableCompany[Section],L4))</f>
        <v>0.33333333333333337</v>
      </c>
      <c r="R4" s="154"/>
    </row>
    <row r="5" spans="1:18" x14ac:dyDescent="0.25">
      <c r="A5">
        <v>1160110691</v>
      </c>
      <c r="B5" s="97" t="str">
        <f>_xlfn.XLOOKUP(PFTTableCompany[[#This Row],[EDIPI]], RecallTable[EDIPI],RecallTable[SECTION],"NF")</f>
        <v>1PLT</v>
      </c>
      <c r="C5" s="97">
        <f>_xlfn.XLOOKUP(PFTTableCompany[[#This Row],[EDIPI]], RecallTable[EDIPI],RecallTable[MOS],"NF")</f>
        <v>1721</v>
      </c>
      <c r="D5" s="97" t="str">
        <f>_xlfn.XLOOKUP(PFTTableCompany[[#This Row],[EDIPI]], RecallTable[EDIPI],RecallTable[GRADE],"NF")</f>
        <v>E6</v>
      </c>
      <c r="E5" t="str">
        <f>_xlfn.XLOOKUP(PFTTableCompany[[#This Row],[EDIPI]], RecallTable[EDIPI],RecallTable[NAME],"NF")</f>
        <v>CARSON, BROOKS A.</v>
      </c>
      <c r="F5" s="154">
        <v>45330</v>
      </c>
      <c r="G5" s="154">
        <v>45308</v>
      </c>
      <c r="J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"/>
      <c r="L5" s="97" t="s">
        <v>211</v>
      </c>
      <c r="M5" s="97">
        <f>COUNTIFS(PFTTableCompany[Section],L5,PFTTableCompany[PFT],"",PFTTableCompany[Comments],"")</f>
        <v>17</v>
      </c>
      <c r="N5" s="97">
        <f>COUNTIFS(PFTTableCompany[Section],L5,PFTTableCompany[H/W],"",PFTTableCompany[Comments],"")</f>
        <v>15</v>
      </c>
      <c r="O5" s="151">
        <f>1-(M5/COUNTIF(PFTTableCompany[Section],L5))</f>
        <v>0</v>
      </c>
      <c r="P5" s="151">
        <f>1-(N5/COUNTIF(PFTTableCompany[Section],L5))</f>
        <v>0.11764705882352944</v>
      </c>
      <c r="R5" s="154"/>
    </row>
    <row r="6" spans="1:18" x14ac:dyDescent="0.25">
      <c r="A6">
        <v>1520074788</v>
      </c>
      <c r="B6" s="97" t="str">
        <f>_xlfn.XLOOKUP(PFTTableCompany[[#This Row],[EDIPI]], RecallTable[EDIPI],RecallTable[SECTION],"NF")</f>
        <v>1PLT</v>
      </c>
      <c r="C6" s="97">
        <f>_xlfn.XLOOKUP(PFTTableCompany[[#This Row],[EDIPI]], RecallTable[EDIPI],RecallTable[MOS],"NF")</f>
        <v>1721</v>
      </c>
      <c r="D6" s="97" t="str">
        <f>_xlfn.XLOOKUP(PFTTableCompany[[#This Row],[EDIPI]], RecallTable[EDIPI],RecallTable[GRADE],"NF")</f>
        <v>E6</v>
      </c>
      <c r="E6" t="str">
        <f>_xlfn.XLOOKUP(PFTTableCompany[[#This Row],[EDIPI]], RecallTable[EDIPI],RecallTable[NAME],"NF")</f>
        <v>COFFEY, GIOVANI A.</v>
      </c>
      <c r="F6" s="154" t="s">
        <v>36</v>
      </c>
      <c r="G6" s="154" t="s">
        <v>36</v>
      </c>
      <c r="J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"/>
      <c r="L6" s="97" t="s">
        <v>486</v>
      </c>
      <c r="M6" s="97">
        <f>COUNTIFS(PFTTableCompany[Section],L6,PFTTableCompany[PFT],"",PFTTableCompany[Comments],"")</f>
        <v>6</v>
      </c>
      <c r="N6" s="97">
        <f>COUNTIFS(PFTTableCompany[Section],L6,PFTTableCompany[H/W],"",PFTTableCompany[Comments],"")</f>
        <v>3</v>
      </c>
      <c r="O6" s="151">
        <f>1-(M6/COUNTIF(PFTTableCompany[Section],L6))</f>
        <v>0</v>
      </c>
      <c r="P6" s="151">
        <f>1-(N6/COUNTIF(PFTTableCompany[Section],L6))</f>
        <v>0.5</v>
      </c>
      <c r="R6" s="154"/>
    </row>
    <row r="7" spans="1:18" x14ac:dyDescent="0.25">
      <c r="A7">
        <v>1220711349</v>
      </c>
      <c r="B7" s="97" t="str">
        <f>_xlfn.XLOOKUP(PFTTableCompany[[#This Row],[EDIPI]], RecallTable[EDIPI],RecallTable[SECTION],"NF")</f>
        <v>1PLT</v>
      </c>
      <c r="C7" s="97">
        <f>_xlfn.XLOOKUP(PFTTableCompany[[#This Row],[EDIPI]], RecallTable[EDIPI],RecallTable[MOS],"NF")</f>
        <v>1721</v>
      </c>
      <c r="D7" s="97" t="str">
        <f>_xlfn.XLOOKUP(PFTTableCompany[[#This Row],[EDIPI]], RecallTable[EDIPI],RecallTable[GRADE],"NF")</f>
        <v>E5</v>
      </c>
      <c r="E7" t="str">
        <f>_xlfn.XLOOKUP(PFTTableCompany[[#This Row],[EDIPI]], RecallTable[EDIPI],RecallTable[NAME],"NF")</f>
        <v>BERG, JULIAN A.</v>
      </c>
      <c r="F7" s="154" t="s">
        <v>36</v>
      </c>
      <c r="G7" s="154" t="s">
        <v>36</v>
      </c>
      <c r="J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"/>
      <c r="L7" s="97" t="s">
        <v>488</v>
      </c>
      <c r="M7" s="97">
        <f>COUNTIFS(PFTTableCompany[Section],L7,PFTTableCompany[PFT],"",PFTTableCompany[Comments],"")</f>
        <v>7</v>
      </c>
      <c r="N7" s="97">
        <f>COUNTIFS(PFTTableCompany[Section],L7,PFTTableCompany[H/W],"",PFTTableCompany[Comments],"")</f>
        <v>4</v>
      </c>
      <c r="O7" s="151">
        <f>1-(M7/COUNTIF(PFTTableCompany[Section],L7))</f>
        <v>0.125</v>
      </c>
      <c r="P7" s="151">
        <f>1-(N7/COUNTIF(PFTTableCompany[Section],L7))</f>
        <v>0.5</v>
      </c>
      <c r="R7" s="154"/>
    </row>
    <row r="8" spans="1:18" x14ac:dyDescent="0.25">
      <c r="A8">
        <v>1534568011</v>
      </c>
      <c r="B8" s="97" t="str">
        <f>_xlfn.XLOOKUP(PFTTableCompany[[#This Row],[EDIPI]], RecallTable[EDIPI],RecallTable[SECTION],"NF")</f>
        <v>1PLT</v>
      </c>
      <c r="C8" s="97">
        <f>_xlfn.XLOOKUP(PFTTableCompany[[#This Row],[EDIPI]], RecallTable[EDIPI],RecallTable[MOS],"NF")</f>
        <v>1721</v>
      </c>
      <c r="D8" s="97" t="str">
        <f>_xlfn.XLOOKUP(PFTTableCompany[[#This Row],[EDIPI]], RecallTable[EDIPI],RecallTable[GRADE],"NF")</f>
        <v>E5</v>
      </c>
      <c r="E8" t="str">
        <f>_xlfn.XLOOKUP(PFTTableCompany[[#This Row],[EDIPI]], RecallTable[EDIPI],RecallTable[NAME],"NF")</f>
        <v>MORRIS, RAELYNN A.</v>
      </c>
      <c r="F8" s="154" t="s">
        <v>36</v>
      </c>
      <c r="G8" s="154" t="s">
        <v>36</v>
      </c>
      <c r="J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8"/>
      <c r="L8" s="97" t="s">
        <v>490</v>
      </c>
      <c r="M8" s="97">
        <f>COUNTIFS(PFTTableCompany[Section],L8,PFTTableCompany[PFT],"",PFTTableCompany[Comments],"")</f>
        <v>4</v>
      </c>
      <c r="N8" s="97">
        <f>COUNTIFS(PFTTableCompany[Section],L8,PFTTableCompany[H/W],"",PFTTableCompany[Comments],"")</f>
        <v>1</v>
      </c>
      <c r="O8" s="151">
        <f>1-(M8/COUNTIF(PFTTableCompany[Section],L8))</f>
        <v>0.19999999999999996</v>
      </c>
      <c r="P8" s="151">
        <f>1-(N8/COUNTIF(PFTTableCompany[Section],L8))</f>
        <v>0.8</v>
      </c>
      <c r="R8" s="154"/>
    </row>
    <row r="9" spans="1:18" x14ac:dyDescent="0.25">
      <c r="A9">
        <v>1418134206</v>
      </c>
      <c r="B9" s="97" t="str">
        <f>_xlfn.XLOOKUP(PFTTableCompany[[#This Row],[EDIPI]], RecallTable[EDIPI],RecallTable[SECTION],"NF")</f>
        <v>1PLT</v>
      </c>
      <c r="C9" s="97">
        <f>_xlfn.XLOOKUP(PFTTableCompany[[#This Row],[EDIPI]], RecallTable[EDIPI],RecallTable[MOS],"NF")</f>
        <v>1700</v>
      </c>
      <c r="D9" s="97" t="str">
        <f>_xlfn.XLOOKUP(PFTTableCompany[[#This Row],[EDIPI]], RecallTable[EDIPI],RecallTable[GRADE],"NF")</f>
        <v>E5</v>
      </c>
      <c r="E9" t="str">
        <f>_xlfn.XLOOKUP(PFTTableCompany[[#This Row],[EDIPI]], RecallTable[EDIPI],RecallTable[NAME],"NF")</f>
        <v>TRUJILLO, JULIEN A.</v>
      </c>
      <c r="F9" s="154" t="s">
        <v>36</v>
      </c>
      <c r="G9" s="154">
        <v>45314</v>
      </c>
      <c r="J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9"/>
      <c r="L9" s="97"/>
      <c r="R9" s="154"/>
    </row>
    <row r="10" spans="1:18" x14ac:dyDescent="0.25">
      <c r="A10">
        <v>1007476454</v>
      </c>
      <c r="B10" s="97" t="str">
        <f>_xlfn.XLOOKUP(PFTTableCompany[[#This Row],[EDIPI]], RecallTable[EDIPI],RecallTable[SECTION],"NF")</f>
        <v>1PLT</v>
      </c>
      <c r="C10" s="97">
        <f>_xlfn.XLOOKUP(PFTTableCompany[[#This Row],[EDIPI]], RecallTable[EDIPI],RecallTable[MOS],"NF")</f>
        <v>1721</v>
      </c>
      <c r="D10" s="97" t="str">
        <f>_xlfn.XLOOKUP(PFTTableCompany[[#This Row],[EDIPI]], RecallTable[EDIPI],RecallTable[GRADE],"NF")</f>
        <v>E4</v>
      </c>
      <c r="E10" t="str">
        <f>_xlfn.XLOOKUP(PFTTableCompany[[#This Row],[EDIPI]], RecallTable[EDIPI],RecallTable[NAME],"NF")</f>
        <v>LANDRY, REY A.</v>
      </c>
      <c r="F10" s="154" t="s">
        <v>36</v>
      </c>
      <c r="G10" s="154" t="s">
        <v>36</v>
      </c>
      <c r="J1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10"/>
      <c r="L10" s="97" t="s">
        <v>3</v>
      </c>
      <c r="M10" s="97">
        <f>COUNTIFS(PFTTableCompany[Name],"*")</f>
        <v>79</v>
      </c>
      <c r="R10" s="154"/>
    </row>
    <row r="11" spans="1:18" x14ac:dyDescent="0.25">
      <c r="A11">
        <v>1245991266</v>
      </c>
      <c r="B11" s="97" t="str">
        <f>_xlfn.XLOOKUP(PFTTableCompany[[#This Row],[EDIPI]], RecallTable[EDIPI],RecallTable[SECTION],"NF")</f>
        <v>1PLT</v>
      </c>
      <c r="C11" s="97">
        <f>_xlfn.XLOOKUP(PFTTableCompany[[#This Row],[EDIPI]], RecallTable[EDIPI],RecallTable[MOS],"NF")</f>
        <v>1721</v>
      </c>
      <c r="D11" s="97" t="str">
        <f>_xlfn.XLOOKUP(PFTTableCompany[[#This Row],[EDIPI]], RecallTable[EDIPI],RecallTable[GRADE],"NF")</f>
        <v>E4</v>
      </c>
      <c r="E11" t="str">
        <f>_xlfn.XLOOKUP(PFTTableCompany[[#This Row],[EDIPI]], RecallTable[EDIPI],RecallTable[NAME],"NF")</f>
        <v>DUARTE, SILAS A.</v>
      </c>
      <c r="F11" s="154" t="s">
        <v>36</v>
      </c>
      <c r="G11" s="154" t="s">
        <v>36</v>
      </c>
      <c r="J1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No</v>
      </c>
      <c r="K11"/>
      <c r="L11" s="125" t="s">
        <v>494</v>
      </c>
      <c r="M11" s="149">
        <f>COUNTIFS(PFTTableCompany[PFT],"")-COUNTIFS(PFTTableCompany[Comments],"",PFTTableCompany[Medical Comment put in?],"Yes")</f>
        <v>69</v>
      </c>
      <c r="N11" s="126">
        <f>M11/M10</f>
        <v>0.87341772151898733</v>
      </c>
      <c r="O11" s="218" t="s">
        <v>188</v>
      </c>
      <c r="R11" s="154"/>
    </row>
    <row r="12" spans="1:18" x14ac:dyDescent="0.25">
      <c r="A12">
        <v>1019647482</v>
      </c>
      <c r="B12" s="97" t="str">
        <f>_xlfn.XLOOKUP(PFTTableCompany[[#This Row],[EDIPI]], RecallTable[EDIPI],RecallTable[SECTION],"NF")</f>
        <v>1PLT</v>
      </c>
      <c r="C12" s="97">
        <f>_xlfn.XLOOKUP(PFTTableCompany[[#This Row],[EDIPI]], RecallTable[EDIPI],RecallTable[MOS],"NF")</f>
        <v>1721</v>
      </c>
      <c r="D12" s="97" t="str">
        <f>_xlfn.XLOOKUP(PFTTableCompany[[#This Row],[EDIPI]], RecallTable[EDIPI],RecallTable[GRADE],"NF")</f>
        <v>E4</v>
      </c>
      <c r="E12" t="str">
        <f>_xlfn.XLOOKUP(PFTTableCompany[[#This Row],[EDIPI]], RecallTable[EDIPI],RecallTable[NAME],"NF")</f>
        <v>KIDD, ADONIS A.</v>
      </c>
      <c r="F12" s="154" t="s">
        <v>36</v>
      </c>
      <c r="G12" s="154">
        <v>45313</v>
      </c>
      <c r="J1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12"/>
      <c r="L12" s="125" t="s">
        <v>495</v>
      </c>
      <c r="M12" s="97">
        <f>M10-M11</f>
        <v>10</v>
      </c>
      <c r="N12" s="155">
        <f>M12/M10</f>
        <v>0.12658227848101267</v>
      </c>
      <c r="O12" s="219"/>
      <c r="R12" s="154"/>
    </row>
    <row r="13" spans="1:18" x14ac:dyDescent="0.25">
      <c r="A13">
        <v>1216965036</v>
      </c>
      <c r="B13" s="97" t="str">
        <f>_xlfn.XLOOKUP(PFTTableCompany[[#This Row],[EDIPI]], RecallTable[EDIPI],RecallTable[SECTION],"NF")</f>
        <v>1PLT</v>
      </c>
      <c r="C13" s="97">
        <f>_xlfn.XLOOKUP(PFTTableCompany[[#This Row],[EDIPI]], RecallTable[EDIPI],RecallTable[MOS],"NF")</f>
        <v>1721</v>
      </c>
      <c r="D13" s="97" t="str">
        <f>_xlfn.XLOOKUP(PFTTableCompany[[#This Row],[EDIPI]], RecallTable[EDIPI],RecallTable[GRADE],"NF")</f>
        <v>E4</v>
      </c>
      <c r="E13" t="str">
        <f>_xlfn.XLOOKUP(PFTTableCompany[[#This Row],[EDIPI]], RecallTable[EDIPI],RecallTable[NAME],"NF")</f>
        <v>BREWER, VALENTINA A.</v>
      </c>
      <c r="F13" s="154" t="s">
        <v>36</v>
      </c>
      <c r="G13" s="154" t="s">
        <v>36</v>
      </c>
      <c r="J1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13"/>
      <c r="R13" s="154"/>
    </row>
    <row r="14" spans="1:18" x14ac:dyDescent="0.25">
      <c r="A14">
        <v>1014426852</v>
      </c>
      <c r="B14" s="97" t="str">
        <f>_xlfn.XLOOKUP(PFTTableCompany[[#This Row],[EDIPI]], RecallTable[EDIPI],RecallTable[SECTION],"NF")</f>
        <v>1PLT</v>
      </c>
      <c r="C14" s="97">
        <f>_xlfn.XLOOKUP(PFTTableCompany[[#This Row],[EDIPI]], RecallTable[EDIPI],RecallTable[MOS],"NF")</f>
        <v>1721</v>
      </c>
      <c r="D14" s="97" t="str">
        <f>_xlfn.XLOOKUP(PFTTableCompany[[#This Row],[EDIPI]], RecallTable[EDIPI],RecallTable[GRADE],"NF")</f>
        <v>E4</v>
      </c>
      <c r="E14" t="str">
        <f>_xlfn.XLOOKUP(PFTTableCompany[[#This Row],[EDIPI]], RecallTable[EDIPI],RecallTable[NAME],"NF")</f>
        <v>CABRERA, HAILIE A.</v>
      </c>
      <c r="F14" s="154" t="s">
        <v>36</v>
      </c>
      <c r="G14" s="154" t="s">
        <v>36</v>
      </c>
      <c r="J1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14"/>
      <c r="L14" s="125" t="s">
        <v>494</v>
      </c>
      <c r="M14" s="97">
        <f>COUNTIF(PFTTableCompany[H/W],"")-COUNTIFS(PFTTableCompany[H/W],"",PFTTableCompany[Comments],"*")</f>
        <v>54</v>
      </c>
      <c r="N14" s="126">
        <f>M14/M10</f>
        <v>0.68354430379746833</v>
      </c>
      <c r="O14" s="218" t="s">
        <v>498</v>
      </c>
      <c r="R14" s="154"/>
    </row>
    <row r="15" spans="1:18" x14ac:dyDescent="0.25">
      <c r="A15">
        <v>1342870108</v>
      </c>
      <c r="B15" s="97" t="str">
        <f>_xlfn.XLOOKUP(PFTTableCompany[[#This Row],[EDIPI]], RecallTable[EDIPI],RecallTable[SECTION],"NF")</f>
        <v>1PLT</v>
      </c>
      <c r="C15" s="97">
        <f>_xlfn.XLOOKUP(PFTTableCompany[[#This Row],[EDIPI]], RecallTable[EDIPI],RecallTable[MOS],"NF")</f>
        <v>1721</v>
      </c>
      <c r="D15" s="97" t="str">
        <f>_xlfn.XLOOKUP(PFTTableCompany[[#This Row],[EDIPI]], RecallTable[EDIPI],RecallTable[GRADE],"NF")</f>
        <v>E4</v>
      </c>
      <c r="E15" t="str">
        <f>_xlfn.XLOOKUP(PFTTableCompany[[#This Row],[EDIPI]], RecallTable[EDIPI],RecallTable[NAME],"NF")</f>
        <v>HODGES, ROSELYN A.</v>
      </c>
      <c r="F15" s="154"/>
      <c r="G15" s="154" t="s">
        <v>36</v>
      </c>
      <c r="J1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15"/>
      <c r="L15" s="125" t="s">
        <v>495</v>
      </c>
      <c r="M15" s="97">
        <f>M10-M14</f>
        <v>25</v>
      </c>
      <c r="N15" s="155">
        <f>M15/M10</f>
        <v>0.31645569620253167</v>
      </c>
      <c r="O15" s="219"/>
      <c r="R15" s="154"/>
    </row>
    <row r="16" spans="1:18" x14ac:dyDescent="0.25">
      <c r="A16">
        <v>1563539788</v>
      </c>
      <c r="B16" s="97" t="str">
        <f>_xlfn.XLOOKUP(PFTTableCompany[[#This Row],[EDIPI]], RecallTable[EDIPI],RecallTable[SECTION],"NF")</f>
        <v>1PLT</v>
      </c>
      <c r="C16" s="97">
        <f>_xlfn.XLOOKUP(PFTTableCompany[[#This Row],[EDIPI]], RecallTable[EDIPI],RecallTable[MOS],"NF")</f>
        <v>1721</v>
      </c>
      <c r="D16" s="97" t="str">
        <f>_xlfn.XLOOKUP(PFTTableCompany[[#This Row],[EDIPI]], RecallTable[EDIPI],RecallTable[GRADE],"NF")</f>
        <v>E4</v>
      </c>
      <c r="E16" t="str">
        <f>_xlfn.XLOOKUP(PFTTableCompany[[#This Row],[EDIPI]], RecallTable[EDIPI],RecallTable[NAME],"NF")</f>
        <v>ACEVEDO, GRIFFIN A.</v>
      </c>
      <c r="F16" s="154" t="s">
        <v>36</v>
      </c>
      <c r="G16" s="154">
        <v>45331</v>
      </c>
      <c r="J1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No</v>
      </c>
      <c r="K16"/>
      <c r="R16" s="154"/>
    </row>
    <row r="17" spans="1:18" x14ac:dyDescent="0.25">
      <c r="A17">
        <v>1243619874</v>
      </c>
      <c r="B17" s="97" t="str">
        <f>_xlfn.XLOOKUP(PFTTableCompany[[#This Row],[EDIPI]], RecallTable[EDIPI],RecallTable[SECTION],"NF")</f>
        <v>1PLT</v>
      </c>
      <c r="C17" s="97">
        <f>_xlfn.XLOOKUP(PFTTableCompany[[#This Row],[EDIPI]], RecallTable[EDIPI],RecallTable[MOS],"NF")</f>
        <v>1721</v>
      </c>
      <c r="D17" s="97" t="str">
        <f>_xlfn.XLOOKUP(PFTTableCompany[[#This Row],[EDIPI]], RecallTable[EDIPI],RecallTable[GRADE],"NF")</f>
        <v>E3</v>
      </c>
      <c r="E17" t="str">
        <f>_xlfn.XLOOKUP(PFTTableCompany[[#This Row],[EDIPI]], RecallTable[EDIPI],RecallTable[NAME],"NF")</f>
        <v>ALLEN, KALE A.</v>
      </c>
      <c r="F17" s="154" t="s">
        <v>36</v>
      </c>
      <c r="G17" s="154" t="s">
        <v>36</v>
      </c>
      <c r="J1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17"/>
      <c r="R17" s="154"/>
    </row>
    <row r="18" spans="1:18" x14ac:dyDescent="0.25">
      <c r="A18">
        <v>1204889319</v>
      </c>
      <c r="B18" s="97" t="str">
        <f>_xlfn.XLOOKUP(PFTTableCompany[[#This Row],[EDIPI]], RecallTable[EDIPI],RecallTable[SECTION],"NF")</f>
        <v>2PLT</v>
      </c>
      <c r="C18" s="97">
        <f>_xlfn.XLOOKUP(PFTTableCompany[[#This Row],[EDIPI]], RecallTable[EDIPI],RecallTable[MOS],"NF")</f>
        <v>1702</v>
      </c>
      <c r="D18" s="97" t="str">
        <f>_xlfn.XLOOKUP(PFTTableCompany[[#This Row],[EDIPI]], RecallTable[EDIPI],RecallTable[GRADE],"NF")</f>
        <v>O2</v>
      </c>
      <c r="E18" t="str">
        <f>_xlfn.XLOOKUP(PFTTableCompany[[#This Row],[EDIPI]], RecallTable[EDIPI],RecallTable[NAME],"NF")</f>
        <v>DAVENPORT, IMMANUEL A.</v>
      </c>
      <c r="F18" s="154" t="s">
        <v>36</v>
      </c>
      <c r="G18" s="154">
        <v>45313</v>
      </c>
      <c r="J1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Success</v>
      </c>
      <c r="K18"/>
      <c r="R18" s="154"/>
    </row>
    <row r="19" spans="1:18" x14ac:dyDescent="0.25">
      <c r="A19">
        <v>1598039312</v>
      </c>
      <c r="B19" s="97" t="str">
        <f>_xlfn.XLOOKUP(PFTTableCompany[[#This Row],[EDIPI]], RecallTable[EDIPI],RecallTable[SECTION],"NF")</f>
        <v>2PLT</v>
      </c>
      <c r="C19" s="97">
        <f>_xlfn.XLOOKUP(PFTTableCompany[[#This Row],[EDIPI]], RecallTable[EDIPI],RecallTable[MOS],"NF")</f>
        <v>1721</v>
      </c>
      <c r="D19" s="97" t="str">
        <f>_xlfn.XLOOKUP(PFTTableCompany[[#This Row],[EDIPI]], RecallTable[EDIPI],RecallTable[GRADE],"NF")</f>
        <v>E7</v>
      </c>
      <c r="E19" t="str">
        <f>_xlfn.XLOOKUP(PFTTableCompany[[#This Row],[EDIPI]], RecallTable[EDIPI],RecallTable[NAME],"NF")</f>
        <v>CHANDLER, TREVON A.</v>
      </c>
      <c r="F19" s="154">
        <v>45330</v>
      </c>
      <c r="G19" s="154">
        <v>45313</v>
      </c>
      <c r="J1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19"/>
      <c r="R19" s="154"/>
    </row>
    <row r="20" spans="1:18" x14ac:dyDescent="0.25">
      <c r="A20">
        <v>1057200841</v>
      </c>
      <c r="B20" s="97" t="str">
        <f>_xlfn.XLOOKUP(PFTTableCompany[[#This Row],[EDIPI]], RecallTable[EDIPI],RecallTable[SECTION],"NF")</f>
        <v>2PLT</v>
      </c>
      <c r="C20" s="97">
        <f>_xlfn.XLOOKUP(PFTTableCompany[[#This Row],[EDIPI]], RecallTable[EDIPI],RecallTable[MOS],"NF")</f>
        <v>1721</v>
      </c>
      <c r="D20" s="97" t="str">
        <f>_xlfn.XLOOKUP(PFTTableCompany[[#This Row],[EDIPI]], RecallTable[EDIPI],RecallTable[GRADE],"NF")</f>
        <v>E6</v>
      </c>
      <c r="E20" t="str">
        <f>_xlfn.XLOOKUP(PFTTableCompany[[#This Row],[EDIPI]], RecallTable[EDIPI],RecallTable[NAME],"NF")</f>
        <v>CLEMENTS, ALISSON A.</v>
      </c>
      <c r="F20" s="154" t="s">
        <v>36</v>
      </c>
      <c r="G20" s="154" t="s">
        <v>36</v>
      </c>
      <c r="J2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0"/>
      <c r="R20" s="154"/>
    </row>
    <row r="21" spans="1:18" x14ac:dyDescent="0.25">
      <c r="A21">
        <v>1605838371</v>
      </c>
      <c r="B21" s="97" t="str">
        <f>_xlfn.XLOOKUP(PFTTableCompany[[#This Row],[EDIPI]], RecallTable[EDIPI],RecallTable[SECTION],"NF")</f>
        <v>2PLT</v>
      </c>
      <c r="C21" s="97">
        <f>_xlfn.XLOOKUP(PFTTableCompany[[#This Row],[EDIPI]], RecallTable[EDIPI],RecallTable[MOS],"NF")</f>
        <v>1721</v>
      </c>
      <c r="D21" s="97" t="str">
        <f>_xlfn.XLOOKUP(PFTTableCompany[[#This Row],[EDIPI]], RecallTable[EDIPI],RecallTable[GRADE],"NF")</f>
        <v>E6</v>
      </c>
      <c r="E21" t="str">
        <f>_xlfn.XLOOKUP(PFTTableCompany[[#This Row],[EDIPI]], RecallTable[EDIPI],RecallTable[NAME],"NF")</f>
        <v>MULLEN, LILLIE A.</v>
      </c>
      <c r="F21" s="154" t="s">
        <v>36</v>
      </c>
      <c r="G21" s="154" t="s">
        <v>36</v>
      </c>
      <c r="J2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No</v>
      </c>
      <c r="K21"/>
      <c r="R21" s="154"/>
    </row>
    <row r="22" spans="1:18" x14ac:dyDescent="0.25">
      <c r="A22">
        <v>1583777566</v>
      </c>
      <c r="B22" s="97" t="str">
        <f>_xlfn.XLOOKUP(PFTTableCompany[[#This Row],[EDIPI]], RecallTable[EDIPI],RecallTable[SECTION],"NF")</f>
        <v>2PLT</v>
      </c>
      <c r="C22" s="97">
        <f>_xlfn.XLOOKUP(PFTTableCompany[[#This Row],[EDIPI]], RecallTable[EDIPI],RecallTable[MOS],"NF")</f>
        <v>1721</v>
      </c>
      <c r="D22" s="97" t="str">
        <f>_xlfn.XLOOKUP(PFTTableCompany[[#This Row],[EDIPI]], RecallTable[EDIPI],RecallTable[GRADE],"NF")</f>
        <v>E5</v>
      </c>
      <c r="E22" t="str">
        <f>_xlfn.XLOOKUP(PFTTableCompany[[#This Row],[EDIPI]], RecallTable[EDIPI],RecallTable[NAME],"NF")</f>
        <v>WONG, KATELYNN A.</v>
      </c>
      <c r="F22" s="154" t="s">
        <v>36</v>
      </c>
      <c r="G22" s="154">
        <v>45313</v>
      </c>
      <c r="J2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22"/>
      <c r="R22" s="154"/>
    </row>
    <row r="23" spans="1:18" x14ac:dyDescent="0.25">
      <c r="A23">
        <v>1309210629</v>
      </c>
      <c r="B23" s="97" t="str">
        <f>_xlfn.XLOOKUP(PFTTableCompany[[#This Row],[EDIPI]], RecallTable[EDIPI],RecallTable[SECTION],"NF")</f>
        <v>2PLT</v>
      </c>
      <c r="C23" s="97">
        <f>_xlfn.XLOOKUP(PFTTableCompany[[#This Row],[EDIPI]], RecallTable[EDIPI],RecallTable[MOS],"NF")</f>
        <v>1721</v>
      </c>
      <c r="D23" s="97" t="str">
        <f>_xlfn.XLOOKUP(PFTTableCompany[[#This Row],[EDIPI]], RecallTable[EDIPI],RecallTable[GRADE],"NF")</f>
        <v>E5</v>
      </c>
      <c r="E23" t="str">
        <f>_xlfn.XLOOKUP(PFTTableCompany[[#This Row],[EDIPI]], RecallTable[EDIPI],RecallTable[NAME],"NF")</f>
        <v>FRANK, DAVIN A.</v>
      </c>
      <c r="F23" s="154">
        <v>45376</v>
      </c>
      <c r="G23" s="154">
        <v>45314</v>
      </c>
      <c r="J2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3"/>
      <c r="R23" s="154"/>
    </row>
    <row r="24" spans="1:18" x14ac:dyDescent="0.25">
      <c r="A24">
        <v>1068605275</v>
      </c>
      <c r="B24" s="97" t="str">
        <f>_xlfn.XLOOKUP(PFTTableCompany[[#This Row],[EDIPI]], RecallTable[EDIPI],RecallTable[SECTION],"NF")</f>
        <v>2PLT</v>
      </c>
      <c r="C24" s="97">
        <f>_xlfn.XLOOKUP(PFTTableCompany[[#This Row],[EDIPI]], RecallTable[EDIPI],RecallTable[MOS],"NF")</f>
        <v>1700</v>
      </c>
      <c r="D24" s="97" t="str">
        <f>_xlfn.XLOOKUP(PFTTableCompany[[#This Row],[EDIPI]], RecallTable[EDIPI],RecallTable[GRADE],"NF")</f>
        <v>E5</v>
      </c>
      <c r="E24" t="str">
        <f>_xlfn.XLOOKUP(PFTTableCompany[[#This Row],[EDIPI]], RecallTable[EDIPI],RecallTable[NAME],"NF")</f>
        <v>MOODY, TIANNA A.</v>
      </c>
      <c r="F24" s="154" t="s">
        <v>36</v>
      </c>
      <c r="G24" s="154" t="s">
        <v>36</v>
      </c>
      <c r="J2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24"/>
      <c r="R24" s="154"/>
    </row>
    <row r="25" spans="1:18" x14ac:dyDescent="0.25">
      <c r="A25">
        <v>1504022008</v>
      </c>
      <c r="B25" s="97" t="str">
        <f>_xlfn.XLOOKUP(PFTTableCompany[[#This Row],[EDIPI]], RecallTable[EDIPI],RecallTable[SECTION],"NF")</f>
        <v>2PLT</v>
      </c>
      <c r="C25" s="97">
        <f>_xlfn.XLOOKUP(PFTTableCompany[[#This Row],[EDIPI]], RecallTable[EDIPI],RecallTable[MOS],"NF")</f>
        <v>1721</v>
      </c>
      <c r="D25" s="97" t="str">
        <f>_xlfn.XLOOKUP(PFTTableCompany[[#This Row],[EDIPI]], RecallTable[EDIPI],RecallTable[GRADE],"NF")</f>
        <v>E4</v>
      </c>
      <c r="E25" t="str">
        <f>_xlfn.XLOOKUP(PFTTableCompany[[#This Row],[EDIPI]], RecallTable[EDIPI],RecallTable[NAME],"NF")</f>
        <v>MAYO, SANIYAH A.</v>
      </c>
      <c r="F25" s="154" t="s">
        <v>36</v>
      </c>
      <c r="G25" s="154" t="s">
        <v>36</v>
      </c>
      <c r="J2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5"/>
      <c r="R25" s="154"/>
    </row>
    <row r="26" spans="1:18" x14ac:dyDescent="0.25">
      <c r="A26">
        <v>1306349386</v>
      </c>
      <c r="B26" s="97" t="str">
        <f>_xlfn.XLOOKUP(PFTTableCompany[[#This Row],[EDIPI]], RecallTable[EDIPI],RecallTable[SECTION],"NF")</f>
        <v>2PLT</v>
      </c>
      <c r="C26" s="97">
        <f>_xlfn.XLOOKUP(PFTTableCompany[[#This Row],[EDIPI]], RecallTable[EDIPI],RecallTable[MOS],"NF")</f>
        <v>1721</v>
      </c>
      <c r="D26" s="97" t="str">
        <f>_xlfn.XLOOKUP(PFTTableCompany[[#This Row],[EDIPI]], RecallTable[EDIPI],RecallTable[GRADE],"NF")</f>
        <v>E4</v>
      </c>
      <c r="E26" t="str">
        <f>_xlfn.XLOOKUP(PFTTableCompany[[#This Row],[EDIPI]], RecallTable[EDIPI],RecallTable[NAME],"NF")</f>
        <v>TERRELL, KAMORA A.</v>
      </c>
      <c r="F26" s="154" t="s">
        <v>36</v>
      </c>
      <c r="G26" s="154" t="s">
        <v>36</v>
      </c>
      <c r="J2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6"/>
      <c r="R26" s="154"/>
    </row>
    <row r="27" spans="1:18" x14ac:dyDescent="0.25">
      <c r="A27">
        <v>1320652076</v>
      </c>
      <c r="B27" s="97" t="str">
        <f>_xlfn.XLOOKUP(PFTTableCompany[[#This Row],[EDIPI]], RecallTable[EDIPI],RecallTable[SECTION],"NF")</f>
        <v>2PLT</v>
      </c>
      <c r="C27" s="97">
        <f>_xlfn.XLOOKUP(PFTTableCompany[[#This Row],[EDIPI]], RecallTable[EDIPI],RecallTable[MOS],"NF")</f>
        <v>1721</v>
      </c>
      <c r="D27" s="97" t="str">
        <f>_xlfn.XLOOKUP(PFTTableCompany[[#This Row],[EDIPI]], RecallTable[EDIPI],RecallTable[GRADE],"NF")</f>
        <v>E4</v>
      </c>
      <c r="E27" t="str">
        <f>_xlfn.XLOOKUP(PFTTableCompany[[#This Row],[EDIPI]], RecallTable[EDIPI],RecallTable[NAME],"NF")</f>
        <v>ARNOLD, MARY A.</v>
      </c>
      <c r="F27" s="154">
        <v>45330</v>
      </c>
      <c r="G27" s="154">
        <v>45313</v>
      </c>
      <c r="J2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7"/>
      <c r="R27" s="154"/>
    </row>
    <row r="28" spans="1:18" x14ac:dyDescent="0.25">
      <c r="A28">
        <v>1478966980</v>
      </c>
      <c r="B28" s="97" t="str">
        <f>_xlfn.XLOOKUP(PFTTableCompany[[#This Row],[EDIPI]], RecallTable[EDIPI],RecallTable[SECTION],"NF")</f>
        <v>2PLT</v>
      </c>
      <c r="C28" s="97">
        <f>_xlfn.XLOOKUP(PFTTableCompany[[#This Row],[EDIPI]], RecallTable[EDIPI],RecallTable[MOS],"NF")</f>
        <v>1721</v>
      </c>
      <c r="D28" s="97" t="str">
        <f>_xlfn.XLOOKUP(PFTTableCompany[[#This Row],[EDIPI]], RecallTable[EDIPI],RecallTable[GRADE],"NF")</f>
        <v>E4</v>
      </c>
      <c r="E28" t="str">
        <f>_xlfn.XLOOKUP(PFTTableCompany[[#This Row],[EDIPI]], RecallTable[EDIPI],RecallTable[NAME],"NF")</f>
        <v>WILLIS, AKIRA A.</v>
      </c>
      <c r="F28" s="154">
        <v>45376</v>
      </c>
      <c r="G28" s="154" t="s">
        <v>36</v>
      </c>
      <c r="J2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8"/>
      <c r="R28" s="154"/>
    </row>
    <row r="29" spans="1:18" x14ac:dyDescent="0.25">
      <c r="A29">
        <v>1308481514</v>
      </c>
      <c r="B29" s="97" t="str">
        <f>_xlfn.XLOOKUP(PFTTableCompany[[#This Row],[EDIPI]], RecallTable[EDIPI],RecallTable[SECTION],"NF")</f>
        <v>2PLT</v>
      </c>
      <c r="C29" s="97">
        <f>_xlfn.XLOOKUP(PFTTableCompany[[#This Row],[EDIPI]], RecallTable[EDIPI],RecallTable[MOS],"NF")</f>
        <v>1721</v>
      </c>
      <c r="D29" s="97" t="str">
        <f>_xlfn.XLOOKUP(PFTTableCompany[[#This Row],[EDIPI]], RecallTable[EDIPI],RecallTable[GRADE],"NF")</f>
        <v>E4</v>
      </c>
      <c r="E29" t="str">
        <f>_xlfn.XLOOKUP(PFTTableCompany[[#This Row],[EDIPI]], RecallTable[EDIPI],RecallTable[NAME],"NF")</f>
        <v>RITTER, DEMETRIUS A.</v>
      </c>
      <c r="F29" s="154" t="s">
        <v>36</v>
      </c>
      <c r="G29" s="154" t="s">
        <v>36</v>
      </c>
      <c r="J2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29"/>
      <c r="R29" s="154"/>
    </row>
    <row r="30" spans="1:18" x14ac:dyDescent="0.25">
      <c r="A30" s="182">
        <v>1511922179</v>
      </c>
      <c r="B30" s="97" t="str">
        <f>_xlfn.XLOOKUP(PFTTableCompany[[#This Row],[EDIPI]], RecallTable[EDIPI],RecallTable[SECTION],"NF")</f>
        <v>2PLT</v>
      </c>
      <c r="C30" s="97">
        <f>_xlfn.XLOOKUP(PFTTableCompany[[#This Row],[EDIPI]], RecallTable[EDIPI],RecallTable[MOS],"NF")</f>
        <v>1721</v>
      </c>
      <c r="D30" s="97" t="str">
        <f>_xlfn.XLOOKUP(PFTTableCompany[[#This Row],[EDIPI]], RecallTable[EDIPI],RecallTable[GRADE],"NF")</f>
        <v>E4</v>
      </c>
      <c r="E30" t="str">
        <f>_xlfn.XLOOKUP(PFTTableCompany[[#This Row],[EDIPI]], RecallTable[EDIPI],RecallTable[NAME],"NF")</f>
        <v>HARTMAN, DANE A.</v>
      </c>
      <c r="F30" s="181">
        <v>45376</v>
      </c>
      <c r="G30" s="181"/>
      <c r="H30" s="73"/>
      <c r="I30" s="73"/>
      <c r="J30" s="180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0"/>
      <c r="R30" s="154"/>
    </row>
    <row r="31" spans="1:18" x14ac:dyDescent="0.25">
      <c r="A31">
        <v>1363966758</v>
      </c>
      <c r="B31" s="97" t="str">
        <f>_xlfn.XLOOKUP(PFTTableCompany[[#This Row],[EDIPI]], RecallTable[EDIPI],RecallTable[SECTION],"NF")</f>
        <v>2PLT</v>
      </c>
      <c r="C31" s="97">
        <f>_xlfn.XLOOKUP(PFTTableCompany[[#This Row],[EDIPI]], RecallTable[EDIPI],RecallTable[MOS],"NF")</f>
        <v>1721</v>
      </c>
      <c r="D31" s="97" t="str">
        <f>_xlfn.XLOOKUP(PFTTableCompany[[#This Row],[EDIPI]], RecallTable[EDIPI],RecallTable[GRADE],"NF")</f>
        <v>E4</v>
      </c>
      <c r="E31" t="str">
        <f>_xlfn.XLOOKUP(PFTTableCompany[[#This Row],[EDIPI]], RecallTable[EDIPI],RecallTable[NAME],"NF")</f>
        <v>FRY, DARIUS A.</v>
      </c>
      <c r="F31" s="154" t="s">
        <v>36</v>
      </c>
      <c r="G31" s="154" t="s">
        <v>36</v>
      </c>
      <c r="J3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1"/>
      <c r="R31" s="154"/>
    </row>
    <row r="32" spans="1:18" x14ac:dyDescent="0.25">
      <c r="A32">
        <v>1212075255</v>
      </c>
      <c r="B32" s="97" t="str">
        <f>_xlfn.XLOOKUP(PFTTableCompany[[#This Row],[EDIPI]], RecallTable[EDIPI],RecallTable[SECTION],"NF")</f>
        <v>2PLT</v>
      </c>
      <c r="C32" s="97">
        <f>_xlfn.XLOOKUP(PFTTableCompany[[#This Row],[EDIPI]], RecallTable[EDIPI],RecallTable[MOS],"NF")</f>
        <v>1721</v>
      </c>
      <c r="D32" s="97" t="str">
        <f>_xlfn.XLOOKUP(PFTTableCompany[[#This Row],[EDIPI]], RecallTable[EDIPI],RecallTable[GRADE],"NF")</f>
        <v>E3</v>
      </c>
      <c r="E32" t="str">
        <f>_xlfn.XLOOKUP(PFTTableCompany[[#This Row],[EDIPI]], RecallTable[EDIPI],RecallTable[NAME],"NF")</f>
        <v>NASH, KIERAN A.</v>
      </c>
      <c r="F32" s="154" t="s">
        <v>36</v>
      </c>
      <c r="G32" s="154" t="s">
        <v>36</v>
      </c>
      <c r="J3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2"/>
      <c r="R32" s="154"/>
    </row>
    <row r="33" spans="1:18" x14ac:dyDescent="0.25">
      <c r="A33">
        <v>1039148847</v>
      </c>
      <c r="B33" s="97" t="str">
        <f>_xlfn.XLOOKUP(PFTTableCompany[[#This Row],[EDIPI]], RecallTable[EDIPI],RecallTable[SECTION],"NF")</f>
        <v>3PLT</v>
      </c>
      <c r="C33" s="97">
        <f>_xlfn.XLOOKUP(PFTTableCompany[[#This Row],[EDIPI]], RecallTable[EDIPI],RecallTable[MOS],"NF")</f>
        <v>1702</v>
      </c>
      <c r="D33" s="97" t="str">
        <f>_xlfn.XLOOKUP(PFTTableCompany[[#This Row],[EDIPI]], RecallTable[EDIPI],RecallTable[GRADE],"NF")</f>
        <v>O2</v>
      </c>
      <c r="E33" t="str">
        <f>_xlfn.XLOOKUP(PFTTableCompany[[#This Row],[EDIPI]], RecallTable[EDIPI],RecallTable[NAME],"NF")</f>
        <v>SHAH, BRYNN A.</v>
      </c>
      <c r="F33" s="154" t="s">
        <v>36</v>
      </c>
      <c r="G33" s="154">
        <v>45314</v>
      </c>
      <c r="J3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3"/>
      <c r="R33" s="154"/>
    </row>
    <row r="34" spans="1:18" x14ac:dyDescent="0.25">
      <c r="A34">
        <v>1282303798</v>
      </c>
      <c r="B34" s="97" t="str">
        <f>_xlfn.XLOOKUP(PFTTableCompany[[#This Row],[EDIPI]], RecallTable[EDIPI],RecallTable[SECTION],"NF")</f>
        <v>3PLT</v>
      </c>
      <c r="C34" s="97">
        <f>_xlfn.XLOOKUP(PFTTableCompany[[#This Row],[EDIPI]], RecallTable[EDIPI],RecallTable[MOS],"NF")</f>
        <v>1721</v>
      </c>
      <c r="D34" s="97" t="str">
        <f>_xlfn.XLOOKUP(PFTTableCompany[[#This Row],[EDIPI]], RecallTable[EDIPI],RecallTable[GRADE],"NF")</f>
        <v>E7</v>
      </c>
      <c r="E34" t="str">
        <f>_xlfn.XLOOKUP(PFTTableCompany[[#This Row],[EDIPI]], RecallTable[EDIPI],RecallTable[NAME],"NF")</f>
        <v>WEISS, BRAXTON A.</v>
      </c>
      <c r="F34" s="154" t="s">
        <v>36</v>
      </c>
      <c r="G34" s="154" t="s">
        <v>36</v>
      </c>
      <c r="J3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4"/>
      <c r="R34" s="154"/>
    </row>
    <row r="35" spans="1:18" x14ac:dyDescent="0.25">
      <c r="A35">
        <v>1456272150</v>
      </c>
      <c r="B35" s="97" t="str">
        <f>_xlfn.XLOOKUP(PFTTableCompany[[#This Row],[EDIPI]], RecallTable[EDIPI],RecallTable[SECTION],"NF")</f>
        <v>3PLT</v>
      </c>
      <c r="C35" s="97">
        <f>_xlfn.XLOOKUP(PFTTableCompany[[#This Row],[EDIPI]], RecallTable[EDIPI],RecallTable[MOS],"NF")</f>
        <v>1721</v>
      </c>
      <c r="D35" s="97" t="str">
        <f>_xlfn.XLOOKUP(PFTTableCompany[[#This Row],[EDIPI]], RecallTable[EDIPI],RecallTable[GRADE],"NF")</f>
        <v>E6</v>
      </c>
      <c r="E35" t="str">
        <f>_xlfn.XLOOKUP(PFTTableCompany[[#This Row],[EDIPI]], RecallTable[EDIPI],RecallTable[NAME],"NF")</f>
        <v>HOPKINS, NICK A.</v>
      </c>
      <c r="F35" s="154" t="s">
        <v>36</v>
      </c>
      <c r="G35" s="154" t="s">
        <v>36</v>
      </c>
      <c r="J3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35"/>
      <c r="R35" s="154"/>
    </row>
    <row r="36" spans="1:18" x14ac:dyDescent="0.25">
      <c r="A36">
        <v>1364104581</v>
      </c>
      <c r="B36" s="97" t="str">
        <f>_xlfn.XLOOKUP(PFTTableCompany[[#This Row],[EDIPI]], RecallTable[EDIPI],RecallTable[SECTION],"NF")</f>
        <v>3PLT</v>
      </c>
      <c r="C36" s="97">
        <f>_xlfn.XLOOKUP(PFTTableCompany[[#This Row],[EDIPI]], RecallTable[EDIPI],RecallTable[MOS],"NF")</f>
        <v>1721</v>
      </c>
      <c r="D36" s="97" t="str">
        <f>_xlfn.XLOOKUP(PFTTableCompany[[#This Row],[EDIPI]], RecallTable[EDIPI],RecallTable[GRADE],"NF")</f>
        <v>E6</v>
      </c>
      <c r="E36" t="str">
        <f>_xlfn.XLOOKUP(PFTTableCompany[[#This Row],[EDIPI]], RecallTable[EDIPI],RecallTable[NAME],"NF")</f>
        <v>GIBBS, SANDRA A.</v>
      </c>
      <c r="F36" s="154" t="s">
        <v>36</v>
      </c>
      <c r="G36" s="154" t="s">
        <v>36</v>
      </c>
      <c r="J3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6"/>
      <c r="R36" s="154"/>
    </row>
    <row r="37" spans="1:18" x14ac:dyDescent="0.25">
      <c r="A37">
        <v>1599673202</v>
      </c>
      <c r="B37" s="97" t="str">
        <f>_xlfn.XLOOKUP(PFTTableCompany[[#This Row],[EDIPI]], RecallTable[EDIPI],RecallTable[SECTION],"NF")</f>
        <v>3PLT</v>
      </c>
      <c r="C37" s="97">
        <f>_xlfn.XLOOKUP(PFTTableCompany[[#This Row],[EDIPI]], RecallTable[EDIPI],RecallTable[MOS],"NF")</f>
        <v>1721</v>
      </c>
      <c r="D37" s="97" t="str">
        <f>_xlfn.XLOOKUP(PFTTableCompany[[#This Row],[EDIPI]], RecallTable[EDIPI],RecallTable[GRADE],"NF")</f>
        <v>E5</v>
      </c>
      <c r="E37" t="str">
        <f>_xlfn.XLOOKUP(PFTTableCompany[[#This Row],[EDIPI]], RecallTable[EDIPI],RecallTable[NAME],"NF")</f>
        <v>FRIEDMAN, ROHAN A.</v>
      </c>
      <c r="F37" s="154" t="s">
        <v>36</v>
      </c>
      <c r="G37" s="154" t="s">
        <v>36</v>
      </c>
      <c r="J3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7"/>
      <c r="R37" s="154"/>
    </row>
    <row r="38" spans="1:18" x14ac:dyDescent="0.25">
      <c r="A38">
        <v>1163508456</v>
      </c>
      <c r="B38" s="97" t="str">
        <f>_xlfn.XLOOKUP(PFTTableCompany[[#This Row],[EDIPI]], RecallTable[EDIPI],RecallTable[SECTION],"NF")</f>
        <v>3PLT</v>
      </c>
      <c r="C38" s="97">
        <f>_xlfn.XLOOKUP(PFTTableCompany[[#This Row],[EDIPI]], RecallTable[EDIPI],RecallTable[MOS],"NF")</f>
        <v>1721</v>
      </c>
      <c r="D38" s="97" t="str">
        <f>_xlfn.XLOOKUP(PFTTableCompany[[#This Row],[EDIPI]], RecallTable[EDIPI],RecallTable[GRADE],"NF")</f>
        <v>E5</v>
      </c>
      <c r="E38" t="str">
        <f>_xlfn.XLOOKUP(PFTTableCompany[[#This Row],[EDIPI]], RecallTable[EDIPI],RecallTable[NAME],"NF")</f>
        <v>SPEARS, TRIPP A.</v>
      </c>
      <c r="F38" s="154" t="s">
        <v>36</v>
      </c>
      <c r="G38" s="154" t="s">
        <v>36</v>
      </c>
      <c r="J3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No</v>
      </c>
      <c r="K38"/>
      <c r="R38" s="154"/>
    </row>
    <row r="39" spans="1:18" x14ac:dyDescent="0.25">
      <c r="A39">
        <v>1093026721</v>
      </c>
      <c r="B39" s="97" t="str">
        <f>_xlfn.XLOOKUP(PFTTableCompany[[#This Row],[EDIPI]], RecallTable[EDIPI],RecallTable[SECTION],"NF")</f>
        <v>3PLT</v>
      </c>
      <c r="C39" s="97">
        <f>_xlfn.XLOOKUP(PFTTableCompany[[#This Row],[EDIPI]], RecallTable[EDIPI],RecallTable[MOS],"NF")</f>
        <v>1700</v>
      </c>
      <c r="D39" s="97" t="str">
        <f>_xlfn.XLOOKUP(PFTTableCompany[[#This Row],[EDIPI]], RecallTable[EDIPI],RecallTable[GRADE],"NF")</f>
        <v>E5</v>
      </c>
      <c r="E39" t="str">
        <f>_xlfn.XLOOKUP(PFTTableCompany[[#This Row],[EDIPI]], RecallTable[EDIPI],RecallTable[NAME],"NF")</f>
        <v>KENNEDY, RYAN A.</v>
      </c>
      <c r="F39" s="154" t="s">
        <v>36</v>
      </c>
      <c r="G39" s="154" t="s">
        <v>36</v>
      </c>
      <c r="J3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39"/>
      <c r="R39" s="154"/>
    </row>
    <row r="40" spans="1:18" x14ac:dyDescent="0.25">
      <c r="A40">
        <v>1523342542</v>
      </c>
      <c r="B40" s="97" t="str">
        <f>_xlfn.XLOOKUP(PFTTableCompany[[#This Row],[EDIPI]], RecallTable[EDIPI],RecallTable[SECTION],"NF")</f>
        <v>3PLT</v>
      </c>
      <c r="C40" s="97">
        <f>_xlfn.XLOOKUP(PFTTableCompany[[#This Row],[EDIPI]], RecallTable[EDIPI],RecallTable[MOS],"NF")</f>
        <v>1721</v>
      </c>
      <c r="D40" s="97" t="str">
        <f>_xlfn.XLOOKUP(PFTTableCompany[[#This Row],[EDIPI]], RecallTable[EDIPI],RecallTable[GRADE],"NF")</f>
        <v>E4</v>
      </c>
      <c r="E40" t="str">
        <f>_xlfn.XLOOKUP(PFTTableCompany[[#This Row],[EDIPI]], RecallTable[EDIPI],RecallTable[NAME],"NF")</f>
        <v>CHEN, ANGELINE A.</v>
      </c>
      <c r="F40" s="154" t="s">
        <v>36</v>
      </c>
      <c r="G40" s="154">
        <v>45313</v>
      </c>
      <c r="J4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40"/>
      <c r="R40" s="154"/>
    </row>
    <row r="41" spans="1:18" x14ac:dyDescent="0.25">
      <c r="A41">
        <v>1128365853</v>
      </c>
      <c r="B41" s="97" t="str">
        <f>_xlfn.XLOOKUP(PFTTableCompany[[#This Row],[EDIPI]], RecallTable[EDIPI],RecallTable[SECTION],"NF")</f>
        <v>3PLT</v>
      </c>
      <c r="C41" s="97">
        <f>_xlfn.XLOOKUP(PFTTableCompany[[#This Row],[EDIPI]], RecallTable[EDIPI],RecallTable[MOS],"NF")</f>
        <v>1721</v>
      </c>
      <c r="D41" s="97" t="str">
        <f>_xlfn.XLOOKUP(PFTTableCompany[[#This Row],[EDIPI]], RecallTable[EDIPI],RecallTable[GRADE],"NF")</f>
        <v>E4</v>
      </c>
      <c r="E41" t="str">
        <f>_xlfn.XLOOKUP(PFTTableCompany[[#This Row],[EDIPI]], RecallTable[EDIPI],RecallTable[NAME],"NF")</f>
        <v>BUCHANAN, TIMOTHY A.</v>
      </c>
      <c r="F41" s="154" t="s">
        <v>36</v>
      </c>
      <c r="G41" s="154" t="s">
        <v>36</v>
      </c>
      <c r="J4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41"/>
      <c r="R41" s="154"/>
    </row>
    <row r="42" spans="1:18" x14ac:dyDescent="0.25">
      <c r="A42">
        <v>1164109197</v>
      </c>
      <c r="B42" s="97" t="str">
        <f>_xlfn.XLOOKUP(PFTTableCompany[[#This Row],[EDIPI]], RecallTable[EDIPI],RecallTable[SECTION],"NF")</f>
        <v>3PLT</v>
      </c>
      <c r="C42" s="97">
        <f>_xlfn.XLOOKUP(PFTTableCompany[[#This Row],[EDIPI]], RecallTable[EDIPI],RecallTable[MOS],"NF")</f>
        <v>1721</v>
      </c>
      <c r="D42" s="97" t="str">
        <f>_xlfn.XLOOKUP(PFTTableCompany[[#This Row],[EDIPI]], RecallTable[EDIPI],RecallTable[GRADE],"NF")</f>
        <v>E4</v>
      </c>
      <c r="E42" t="str">
        <f>_xlfn.XLOOKUP(PFTTableCompany[[#This Row],[EDIPI]], RecallTable[EDIPI],RecallTable[NAME],"NF")</f>
        <v>LARSEN, JENSEN A.</v>
      </c>
      <c r="F42" s="154" t="s">
        <v>36</v>
      </c>
      <c r="G42" s="154" t="s">
        <v>36</v>
      </c>
      <c r="J4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42"/>
      <c r="R42" s="154"/>
    </row>
    <row r="43" spans="1:18" x14ac:dyDescent="0.25">
      <c r="A43">
        <v>1397980725</v>
      </c>
      <c r="B43" s="97" t="str">
        <f>_xlfn.XLOOKUP(PFTTableCompany[[#This Row],[EDIPI]], RecallTable[EDIPI],RecallTable[SECTION],"NF")</f>
        <v>3PLT</v>
      </c>
      <c r="C43" s="97">
        <f>_xlfn.XLOOKUP(PFTTableCompany[[#This Row],[EDIPI]], RecallTable[EDIPI],RecallTable[MOS],"NF")</f>
        <v>1721</v>
      </c>
      <c r="D43" s="97" t="str">
        <f>_xlfn.XLOOKUP(PFTTableCompany[[#This Row],[EDIPI]], RecallTable[EDIPI],RecallTable[GRADE],"NF")</f>
        <v>E4</v>
      </c>
      <c r="E43" t="str">
        <f>_xlfn.XLOOKUP(PFTTableCompany[[#This Row],[EDIPI]], RecallTable[EDIPI],RecallTable[NAME],"NF")</f>
        <v>MCBRIDE, ZION A.</v>
      </c>
      <c r="F43" s="154" t="s">
        <v>36</v>
      </c>
      <c r="G43" s="154" t="s">
        <v>36</v>
      </c>
      <c r="J4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43"/>
      <c r="R43" s="154"/>
    </row>
    <row r="44" spans="1:18" x14ac:dyDescent="0.25">
      <c r="A44">
        <v>1135673321</v>
      </c>
      <c r="B44" s="97" t="str">
        <f>_xlfn.XLOOKUP(PFTTableCompany[[#This Row],[EDIPI]], RecallTable[EDIPI],RecallTable[SECTION],"NF")</f>
        <v>3PLT</v>
      </c>
      <c r="C44" s="97">
        <f>_xlfn.XLOOKUP(PFTTableCompany[[#This Row],[EDIPI]], RecallTable[EDIPI],RecallTable[MOS],"NF")</f>
        <v>1721</v>
      </c>
      <c r="D44" s="97" t="str">
        <f>_xlfn.XLOOKUP(PFTTableCompany[[#This Row],[EDIPI]], RecallTable[EDIPI],RecallTable[GRADE],"NF")</f>
        <v>E4</v>
      </c>
      <c r="E44" t="str">
        <f>_xlfn.XLOOKUP(PFTTableCompany[[#This Row],[EDIPI]], RecallTable[EDIPI],RecallTable[NAME],"NF")</f>
        <v>CORDOVA, GRADY A.</v>
      </c>
      <c r="F44" s="154" t="s">
        <v>36</v>
      </c>
      <c r="G44" s="154" t="s">
        <v>36</v>
      </c>
      <c r="J4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44"/>
      <c r="R44" s="154"/>
    </row>
    <row r="45" spans="1:18" x14ac:dyDescent="0.25">
      <c r="A45">
        <v>1502371969</v>
      </c>
      <c r="B45" s="97" t="str">
        <f>_xlfn.XLOOKUP(PFTTableCompany[[#This Row],[EDIPI]], RecallTable[EDIPI],RecallTable[SECTION],"NF")</f>
        <v>3PLT</v>
      </c>
      <c r="C45" s="97">
        <f>_xlfn.XLOOKUP(PFTTableCompany[[#This Row],[EDIPI]], RecallTable[EDIPI],RecallTable[MOS],"NF")</f>
        <v>1721</v>
      </c>
      <c r="D45" s="97" t="str">
        <f>_xlfn.XLOOKUP(PFTTableCompany[[#This Row],[EDIPI]], RecallTable[EDIPI],RecallTable[GRADE],"NF")</f>
        <v>E4</v>
      </c>
      <c r="E45" t="str">
        <f>_xlfn.XLOOKUP(PFTTableCompany[[#This Row],[EDIPI]], RecallTable[EDIPI],RecallTable[NAME],"NF")</f>
        <v>HARRISON, FIONA A.</v>
      </c>
      <c r="F45" s="154" t="s">
        <v>36</v>
      </c>
      <c r="G45" s="154" t="s">
        <v>36</v>
      </c>
      <c r="J4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45"/>
      <c r="R45" s="154"/>
    </row>
    <row r="46" spans="1:18" x14ac:dyDescent="0.25">
      <c r="A46">
        <v>1397447603</v>
      </c>
      <c r="B46" s="97" t="str">
        <f>_xlfn.XLOOKUP(PFTTableCompany[[#This Row],[EDIPI]], RecallTable[EDIPI],RecallTable[SECTION],"NF")</f>
        <v>3PLT</v>
      </c>
      <c r="C46" s="97">
        <f>_xlfn.XLOOKUP(PFTTableCompany[[#This Row],[EDIPI]], RecallTable[EDIPI],RecallTable[MOS],"NF")</f>
        <v>1721</v>
      </c>
      <c r="D46" s="97" t="str">
        <f>_xlfn.XLOOKUP(PFTTableCompany[[#This Row],[EDIPI]], RecallTable[EDIPI],RecallTable[GRADE],"NF")</f>
        <v>E4</v>
      </c>
      <c r="E46" t="str">
        <f>_xlfn.XLOOKUP(PFTTableCompany[[#This Row],[EDIPI]], RecallTable[EDIPI],RecallTable[NAME],"NF")</f>
        <v>HAAS, VALERY A.</v>
      </c>
      <c r="F46" s="154" t="s">
        <v>36</v>
      </c>
      <c r="G46" s="154" t="s">
        <v>36</v>
      </c>
      <c r="J4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46"/>
      <c r="R46" s="154"/>
    </row>
    <row r="47" spans="1:18" x14ac:dyDescent="0.25">
      <c r="A47">
        <v>1207085014</v>
      </c>
      <c r="B47" s="97" t="str">
        <f>_xlfn.XLOOKUP(PFTTableCompany[[#This Row],[EDIPI]], RecallTable[EDIPI],RecallTable[SECTION],"NF")</f>
        <v>3PLT</v>
      </c>
      <c r="C47" s="97">
        <f>_xlfn.XLOOKUP(PFTTableCompany[[#This Row],[EDIPI]], RecallTable[EDIPI],RecallTable[MOS],"NF")</f>
        <v>1721</v>
      </c>
      <c r="D47" s="97" t="str">
        <f>_xlfn.XLOOKUP(PFTTableCompany[[#This Row],[EDIPI]], RecallTable[EDIPI],RecallTable[GRADE],"NF")</f>
        <v>E3</v>
      </c>
      <c r="E47" t="str">
        <f>_xlfn.XLOOKUP(PFTTableCompany[[#This Row],[EDIPI]], RecallTable[EDIPI],RecallTable[NAME],"NF")</f>
        <v>BRADFORD, CADENCE A.</v>
      </c>
      <c r="F47" s="154" t="s">
        <v>36</v>
      </c>
      <c r="G47" s="154" t="s">
        <v>36</v>
      </c>
      <c r="J4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47"/>
      <c r="R47" s="154"/>
    </row>
    <row r="48" spans="1:18" x14ac:dyDescent="0.25">
      <c r="A48">
        <v>1045261897</v>
      </c>
      <c r="B48" s="97" t="str">
        <f>_xlfn.XLOOKUP(PFTTableCompany[[#This Row],[EDIPI]], RecallTable[EDIPI],RecallTable[SECTION],"NF")</f>
        <v>3PLT</v>
      </c>
      <c r="C48" s="97">
        <f>_xlfn.XLOOKUP(PFTTableCompany[[#This Row],[EDIPI]], RecallTable[EDIPI],RecallTable[MOS],"NF")</f>
        <v>1721</v>
      </c>
      <c r="D48" s="97" t="str">
        <f>_xlfn.XLOOKUP(PFTTableCompany[[#This Row],[EDIPI]], RecallTable[EDIPI],RecallTable[GRADE],"NF")</f>
        <v>E5</v>
      </c>
      <c r="E48" t="str">
        <f>_xlfn.XLOOKUP(PFTTableCompany[[#This Row],[EDIPI]], RecallTable[EDIPI],RecallTable[NAME],"NF")</f>
        <v>BERGER, PAYTON A.</v>
      </c>
      <c r="F48" s="154" t="s">
        <v>36</v>
      </c>
      <c r="G48" s="154" t="s">
        <v>36</v>
      </c>
      <c r="J4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48"/>
      <c r="R48" s="154"/>
    </row>
    <row r="49" spans="1:18" x14ac:dyDescent="0.25">
      <c r="A49">
        <v>1043584855</v>
      </c>
      <c r="B49" s="97" t="str">
        <f>_xlfn.XLOOKUP(PFTTableCompany[[#This Row],[EDIPI]], RecallTable[EDIPI],RecallTable[SECTION],"NF")</f>
        <v>3PLT</v>
      </c>
      <c r="C49" s="97">
        <f>_xlfn.XLOOKUP(PFTTableCompany[[#This Row],[EDIPI]], RecallTable[EDIPI],RecallTable[MOS],"NF")</f>
        <v>1721</v>
      </c>
      <c r="D49" s="97" t="str">
        <f>_xlfn.XLOOKUP(PFTTableCompany[[#This Row],[EDIPI]], RecallTable[EDIPI],RecallTable[GRADE],"NF")</f>
        <v>E3</v>
      </c>
      <c r="E49" t="str">
        <f>_xlfn.XLOOKUP(PFTTableCompany[[#This Row],[EDIPI]], RecallTable[EDIPI],RecallTable[NAME],"NF")</f>
        <v>MCCOY, EILEEN A.</v>
      </c>
      <c r="F49" s="154" t="s">
        <v>36</v>
      </c>
      <c r="G49" s="154" t="s">
        <v>36</v>
      </c>
      <c r="J4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No</v>
      </c>
      <c r="K49"/>
      <c r="R49" s="154"/>
    </row>
    <row r="50" spans="1:18" x14ac:dyDescent="0.25">
      <c r="A50">
        <v>1466955974</v>
      </c>
      <c r="B50" s="97" t="str">
        <f>_xlfn.XLOOKUP(PFTTableCompany[[#This Row],[EDIPI]], RecallTable[EDIPI],RecallTable[SECTION],"NF")</f>
        <v>4PLT</v>
      </c>
      <c r="C50" s="97">
        <f>_xlfn.XLOOKUP(PFTTableCompany[[#This Row],[EDIPI]], RecallTable[EDIPI],RecallTable[MOS],"NF")</f>
        <v>1702</v>
      </c>
      <c r="D50" s="97" t="str">
        <f>_xlfn.XLOOKUP(PFTTableCompany[[#This Row],[EDIPI]], RecallTable[EDIPI],RecallTable[GRADE],"NF")</f>
        <v>O2</v>
      </c>
      <c r="E50" t="str">
        <f>_xlfn.XLOOKUP(PFTTableCompany[[#This Row],[EDIPI]], RecallTable[EDIPI],RecallTable[NAME],"NF")</f>
        <v>MALONE, DAMARION A.</v>
      </c>
      <c r="F50" s="154" t="s">
        <v>36</v>
      </c>
      <c r="G50" s="154" t="s">
        <v>36</v>
      </c>
      <c r="J5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0"/>
      <c r="R50" s="154"/>
    </row>
    <row r="51" spans="1:18" x14ac:dyDescent="0.25">
      <c r="A51">
        <v>1086482908</v>
      </c>
      <c r="B51" s="97" t="str">
        <f>_xlfn.XLOOKUP(PFTTableCompany[[#This Row],[EDIPI]], RecallTable[EDIPI],RecallTable[SECTION],"NF")</f>
        <v>4PLT</v>
      </c>
      <c r="C51" s="97">
        <f>_xlfn.XLOOKUP(PFTTableCompany[[#This Row],[EDIPI]], RecallTable[EDIPI],RecallTable[MOS],"NF")</f>
        <v>1721</v>
      </c>
      <c r="D51" s="97" t="str">
        <f>_xlfn.XLOOKUP(PFTTableCompany[[#This Row],[EDIPI]], RecallTable[EDIPI],RecallTable[GRADE],"NF")</f>
        <v>E7</v>
      </c>
      <c r="E51" t="str">
        <f>_xlfn.XLOOKUP(PFTTableCompany[[#This Row],[EDIPI]], RecallTable[EDIPI],RecallTable[NAME],"NF")</f>
        <v>GROSS, SHERLYN A.</v>
      </c>
      <c r="F51" s="154" t="s">
        <v>36</v>
      </c>
      <c r="G51" s="154" t="s">
        <v>36</v>
      </c>
      <c r="J5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51"/>
      <c r="R51" s="154"/>
    </row>
    <row r="52" spans="1:18" x14ac:dyDescent="0.25">
      <c r="A52">
        <v>1378280647</v>
      </c>
      <c r="B52" s="97" t="str">
        <f>_xlfn.XLOOKUP(PFTTableCompany[[#This Row],[EDIPI]], RecallTable[EDIPI],RecallTable[SECTION],"NF")</f>
        <v>4PLT</v>
      </c>
      <c r="C52" s="97">
        <f>_xlfn.XLOOKUP(PFTTableCompany[[#This Row],[EDIPI]], RecallTable[EDIPI],RecallTable[MOS],"NF")</f>
        <v>1721</v>
      </c>
      <c r="D52" s="97" t="str">
        <f>_xlfn.XLOOKUP(PFTTableCompany[[#This Row],[EDIPI]], RecallTable[EDIPI],RecallTable[GRADE],"NF")</f>
        <v>E6</v>
      </c>
      <c r="E52" t="str">
        <f>_xlfn.XLOOKUP(PFTTableCompany[[#This Row],[EDIPI]], RecallTable[EDIPI],RecallTable[NAME],"NF")</f>
        <v>BECK, LEVI A.</v>
      </c>
      <c r="F52" s="154" t="s">
        <v>36</v>
      </c>
      <c r="G52" s="154" t="s">
        <v>36</v>
      </c>
      <c r="J5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2"/>
      <c r="R52" s="154"/>
    </row>
    <row r="53" spans="1:18" x14ac:dyDescent="0.25">
      <c r="A53">
        <v>1376933246</v>
      </c>
      <c r="B53" s="97" t="str">
        <f>_xlfn.XLOOKUP(PFTTableCompany[[#This Row],[EDIPI]], RecallTable[EDIPI],RecallTable[SECTION],"NF")</f>
        <v>4PLT</v>
      </c>
      <c r="C53" s="97">
        <f>_xlfn.XLOOKUP(PFTTableCompany[[#This Row],[EDIPI]], RecallTable[EDIPI],RecallTable[MOS],"NF")</f>
        <v>1721</v>
      </c>
      <c r="D53" s="97" t="str">
        <f>_xlfn.XLOOKUP(PFTTableCompany[[#This Row],[EDIPI]], RecallTable[EDIPI],RecallTable[GRADE],"NF")</f>
        <v>E6</v>
      </c>
      <c r="E53" t="str">
        <f>_xlfn.XLOOKUP(PFTTableCompany[[#This Row],[EDIPI]], RecallTable[EDIPI],RecallTable[NAME],"NF")</f>
        <v>SILVA, ABIGAIL A.</v>
      </c>
      <c r="F53" s="154" t="s">
        <v>36</v>
      </c>
      <c r="G53" s="154" t="s">
        <v>36</v>
      </c>
      <c r="J5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3"/>
      <c r="R53" s="154"/>
    </row>
    <row r="54" spans="1:18" x14ac:dyDescent="0.25">
      <c r="A54">
        <v>1480655370</v>
      </c>
      <c r="B54" s="97" t="str">
        <f>_xlfn.XLOOKUP(PFTTableCompany[[#This Row],[EDIPI]], RecallTable[EDIPI],RecallTable[SECTION],"NF")</f>
        <v>4PLT</v>
      </c>
      <c r="C54" s="97">
        <f>_xlfn.XLOOKUP(PFTTableCompany[[#This Row],[EDIPI]], RecallTable[EDIPI],RecallTable[MOS],"NF")</f>
        <v>1721</v>
      </c>
      <c r="D54" s="97" t="str">
        <f>_xlfn.XLOOKUP(PFTTableCompany[[#This Row],[EDIPI]], RecallTable[EDIPI],RecallTable[GRADE],"NF")</f>
        <v>E5</v>
      </c>
      <c r="E54" t="str">
        <f>_xlfn.XLOOKUP(PFTTableCompany[[#This Row],[EDIPI]], RecallTable[EDIPI],RecallTable[NAME],"NF")</f>
        <v>CONWAY, TATIANA A.</v>
      </c>
      <c r="F54" s="154" t="s">
        <v>36</v>
      </c>
      <c r="G54" s="154" t="s">
        <v>36</v>
      </c>
      <c r="J5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4"/>
      <c r="R54" s="154"/>
    </row>
    <row r="55" spans="1:18" x14ac:dyDescent="0.25">
      <c r="A55">
        <v>1328891644</v>
      </c>
      <c r="B55" s="97" t="str">
        <f>_xlfn.XLOOKUP(PFTTableCompany[[#This Row],[EDIPI]], RecallTable[EDIPI],RecallTable[SECTION],"NF")</f>
        <v>4PLT</v>
      </c>
      <c r="C55" s="97">
        <f>_xlfn.XLOOKUP(PFTTableCompany[[#This Row],[EDIPI]], RecallTable[EDIPI],RecallTable[MOS],"NF")</f>
        <v>1721</v>
      </c>
      <c r="D55" s="97" t="str">
        <f>_xlfn.XLOOKUP(PFTTableCompany[[#This Row],[EDIPI]], RecallTable[EDIPI],RecallTable[GRADE],"NF")</f>
        <v>E5</v>
      </c>
      <c r="E55" t="str">
        <f>_xlfn.XLOOKUP(PFTTableCompany[[#This Row],[EDIPI]], RecallTable[EDIPI],RecallTable[NAME],"NF")</f>
        <v>HUGHES, GILBERTO A.</v>
      </c>
      <c r="F55" s="154" t="s">
        <v>36</v>
      </c>
      <c r="G55" s="154" t="s">
        <v>36</v>
      </c>
      <c r="J5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5"/>
      <c r="R55" s="154"/>
    </row>
    <row r="56" spans="1:18" x14ac:dyDescent="0.25">
      <c r="A56">
        <v>1583347169</v>
      </c>
      <c r="B56" s="97" t="str">
        <f>_xlfn.XLOOKUP(PFTTableCompany[[#This Row],[EDIPI]], RecallTable[EDIPI],RecallTable[SECTION],"NF")</f>
        <v>4PLT</v>
      </c>
      <c r="C56" s="97">
        <f>_xlfn.XLOOKUP(PFTTableCompany[[#This Row],[EDIPI]], RecallTable[EDIPI],RecallTable[MOS],"NF")</f>
        <v>1700</v>
      </c>
      <c r="D56" s="97" t="str">
        <f>_xlfn.XLOOKUP(PFTTableCompany[[#This Row],[EDIPI]], RecallTable[EDIPI],RecallTable[GRADE],"NF")</f>
        <v>E5</v>
      </c>
      <c r="E56" t="str">
        <f>_xlfn.XLOOKUP(PFTTableCompany[[#This Row],[EDIPI]], RecallTable[EDIPI],RecallTable[NAME],"NF")</f>
        <v>NASH, LEONARDO A.</v>
      </c>
      <c r="F56" s="154" t="s">
        <v>36</v>
      </c>
      <c r="G56" s="154" t="s">
        <v>36</v>
      </c>
      <c r="J5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6"/>
      <c r="R56" s="154"/>
    </row>
    <row r="57" spans="1:18" x14ac:dyDescent="0.25">
      <c r="A57">
        <v>1110516278</v>
      </c>
      <c r="B57" s="97" t="str">
        <f>_xlfn.XLOOKUP(PFTTableCompany[[#This Row],[EDIPI]], RecallTable[EDIPI],RecallTable[SECTION],"NF")</f>
        <v>4PLT</v>
      </c>
      <c r="C57" s="97">
        <f>_xlfn.XLOOKUP(PFTTableCompany[[#This Row],[EDIPI]], RecallTable[EDIPI],RecallTable[MOS],"NF")</f>
        <v>1721</v>
      </c>
      <c r="D57" s="97" t="str">
        <f>_xlfn.XLOOKUP(PFTTableCompany[[#This Row],[EDIPI]], RecallTable[EDIPI],RecallTable[GRADE],"NF")</f>
        <v>E4</v>
      </c>
      <c r="E57" t="str">
        <f>_xlfn.XLOOKUP(PFTTableCompany[[#This Row],[EDIPI]], RecallTable[EDIPI],RecallTable[NAME],"NF")</f>
        <v>MONROE, MARIAM A.</v>
      </c>
      <c r="F57" s="154" t="s">
        <v>36</v>
      </c>
      <c r="G57" s="154" t="s">
        <v>36</v>
      </c>
      <c r="J5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57"/>
      <c r="R57" s="154"/>
    </row>
    <row r="58" spans="1:18" x14ac:dyDescent="0.25">
      <c r="A58">
        <v>1288365821</v>
      </c>
      <c r="B58" s="97" t="str">
        <f>_xlfn.XLOOKUP(PFTTableCompany[[#This Row],[EDIPI]], RecallTable[EDIPI],RecallTable[SECTION],"NF")</f>
        <v>4PLT</v>
      </c>
      <c r="C58" s="97">
        <f>_xlfn.XLOOKUP(PFTTableCompany[[#This Row],[EDIPI]], RecallTable[EDIPI],RecallTable[MOS],"NF")</f>
        <v>1721</v>
      </c>
      <c r="D58" s="97" t="str">
        <f>_xlfn.XLOOKUP(PFTTableCompany[[#This Row],[EDIPI]], RecallTable[EDIPI],RecallTable[GRADE],"NF")</f>
        <v>E4</v>
      </c>
      <c r="E58" t="str">
        <f>_xlfn.XLOOKUP(PFTTableCompany[[#This Row],[EDIPI]], RecallTable[EDIPI],RecallTable[NAME],"NF")</f>
        <v>MCDONALD, DESIREE A.</v>
      </c>
      <c r="F58" s="154" t="s">
        <v>36</v>
      </c>
      <c r="G58" s="154">
        <v>45296</v>
      </c>
      <c r="J5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58"/>
      <c r="R58" s="154"/>
    </row>
    <row r="59" spans="1:18" x14ac:dyDescent="0.25">
      <c r="A59">
        <v>1236623846</v>
      </c>
      <c r="B59" s="97" t="str">
        <f>_xlfn.XLOOKUP(PFTTableCompany[[#This Row],[EDIPI]], RecallTable[EDIPI],RecallTable[SECTION],"NF")</f>
        <v>4PLT</v>
      </c>
      <c r="C59" s="97">
        <f>_xlfn.XLOOKUP(PFTTableCompany[[#This Row],[EDIPI]], RecallTable[EDIPI],RecallTable[MOS],"NF")</f>
        <v>1721</v>
      </c>
      <c r="D59" s="97" t="str">
        <f>_xlfn.XLOOKUP(PFTTableCompany[[#This Row],[EDIPI]], RecallTable[EDIPI],RecallTable[GRADE],"NF")</f>
        <v>E4</v>
      </c>
      <c r="E59" t="str">
        <f>_xlfn.XLOOKUP(PFTTableCompany[[#This Row],[EDIPI]], RecallTable[EDIPI],RecallTable[NAME],"NF")</f>
        <v>FOWLER, DEVYN A.</v>
      </c>
      <c r="F59" s="154" t="s">
        <v>36</v>
      </c>
      <c r="G59" s="154" t="s">
        <v>36</v>
      </c>
      <c r="J5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59"/>
      <c r="R59" s="154"/>
    </row>
    <row r="60" spans="1:18" x14ac:dyDescent="0.25">
      <c r="A60">
        <v>1565683368</v>
      </c>
      <c r="B60" s="97" t="str">
        <f>_xlfn.XLOOKUP(PFTTableCompany[[#This Row],[EDIPI]], RecallTable[EDIPI],RecallTable[SECTION],"NF")</f>
        <v>4PLT</v>
      </c>
      <c r="C60" s="97">
        <f>_xlfn.XLOOKUP(PFTTableCompany[[#This Row],[EDIPI]], RecallTable[EDIPI],RecallTable[MOS],"NF")</f>
        <v>1721</v>
      </c>
      <c r="D60" s="97" t="str">
        <f>_xlfn.XLOOKUP(PFTTableCompany[[#This Row],[EDIPI]], RecallTable[EDIPI],RecallTable[GRADE],"NF")</f>
        <v>E4</v>
      </c>
      <c r="E60" t="str">
        <f>_xlfn.XLOOKUP(PFTTableCompany[[#This Row],[EDIPI]], RecallTable[EDIPI],RecallTable[NAME],"NF")</f>
        <v>MCGEE, MAYRA A.</v>
      </c>
      <c r="F60" s="154" t="s">
        <v>36</v>
      </c>
      <c r="G60" s="154">
        <v>45302</v>
      </c>
      <c r="J6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0"/>
      <c r="R60" s="154"/>
    </row>
    <row r="61" spans="1:18" x14ac:dyDescent="0.25">
      <c r="A61">
        <v>1064194807</v>
      </c>
      <c r="B61" s="97" t="str">
        <f>_xlfn.XLOOKUP(PFTTableCompany[[#This Row],[EDIPI]], RecallTable[EDIPI],RecallTable[SECTION],"NF")</f>
        <v>4PLT</v>
      </c>
      <c r="C61" s="97">
        <f>_xlfn.XLOOKUP(PFTTableCompany[[#This Row],[EDIPI]], RecallTable[EDIPI],RecallTable[MOS],"NF")</f>
        <v>1721</v>
      </c>
      <c r="D61" s="97" t="str">
        <f>_xlfn.XLOOKUP(PFTTableCompany[[#This Row],[EDIPI]], RecallTable[EDIPI],RecallTable[GRADE],"NF")</f>
        <v>E4</v>
      </c>
      <c r="E61" t="str">
        <f>_xlfn.XLOOKUP(PFTTableCompany[[#This Row],[EDIPI]], RecallTable[EDIPI],RecallTable[NAME],"NF")</f>
        <v>SCHAEFER, JAYLA A.</v>
      </c>
      <c r="F61" s="154" t="s">
        <v>36</v>
      </c>
      <c r="G61" s="154" t="s">
        <v>36</v>
      </c>
      <c r="J6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1"/>
      <c r="R61" s="154"/>
    </row>
    <row r="62" spans="1:18" x14ac:dyDescent="0.25">
      <c r="A62">
        <v>1288033004</v>
      </c>
      <c r="B62" s="97" t="str">
        <f>_xlfn.XLOOKUP(PFTTableCompany[[#This Row],[EDIPI]], RecallTable[EDIPI],RecallTable[SECTION],"NF")</f>
        <v>4PLT</v>
      </c>
      <c r="C62" s="97">
        <f>_xlfn.XLOOKUP(PFTTableCompany[[#This Row],[EDIPI]], RecallTable[EDIPI],RecallTable[MOS],"NF")</f>
        <v>1721</v>
      </c>
      <c r="D62" s="97" t="str">
        <f>_xlfn.XLOOKUP(PFTTableCompany[[#This Row],[EDIPI]], RecallTable[EDIPI],RecallTable[GRADE],"NF")</f>
        <v>E4</v>
      </c>
      <c r="E62" t="str">
        <f>_xlfn.XLOOKUP(PFTTableCompany[[#This Row],[EDIPI]], RecallTable[EDIPI],RecallTable[NAME],"NF")</f>
        <v>LARSON, TYREE A.</v>
      </c>
      <c r="F62" s="154" t="s">
        <v>36</v>
      </c>
      <c r="G62" s="154">
        <v>45296</v>
      </c>
      <c r="J6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2"/>
      <c r="R62" s="154"/>
    </row>
    <row r="63" spans="1:18" x14ac:dyDescent="0.25">
      <c r="A63">
        <v>1392481230</v>
      </c>
      <c r="B63" s="97" t="str">
        <f>_xlfn.XLOOKUP(PFTTableCompany[[#This Row],[EDIPI]], RecallTable[EDIPI],RecallTable[SECTION],"NF")</f>
        <v>OPS</v>
      </c>
      <c r="C63" s="97">
        <f>_xlfn.XLOOKUP(PFTTableCompany[[#This Row],[EDIPI]], RecallTable[EDIPI],RecallTable[MOS],"NF")</f>
        <v>1702</v>
      </c>
      <c r="D63" s="97" t="str">
        <f>_xlfn.XLOOKUP(PFTTableCompany[[#This Row],[EDIPI]], RecallTable[EDIPI],RecallTable[GRADE],"NF")</f>
        <v>O3</v>
      </c>
      <c r="E63" t="str">
        <f>_xlfn.XLOOKUP(PFTTableCompany[[#This Row],[EDIPI]], RecallTable[EDIPI],RecallTable[NAME],"NF")</f>
        <v>DAVID, HEATHER A.</v>
      </c>
      <c r="F63" s="154" t="s">
        <v>36</v>
      </c>
      <c r="G63" s="154" t="s">
        <v>36</v>
      </c>
      <c r="J6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3"/>
      <c r="R63" s="154"/>
    </row>
    <row r="64" spans="1:18" x14ac:dyDescent="0.25">
      <c r="A64">
        <v>1218608114</v>
      </c>
      <c r="B64" s="97" t="str">
        <f>_xlfn.XLOOKUP(PFTTableCompany[[#This Row],[EDIPI]], RecallTable[EDIPI],RecallTable[SECTION],"NF")</f>
        <v>OPS</v>
      </c>
      <c r="C64" s="97">
        <f>_xlfn.XLOOKUP(PFTTableCompany[[#This Row],[EDIPI]], RecallTable[EDIPI],RecallTable[MOS],"NF")</f>
        <v>1702</v>
      </c>
      <c r="D64" s="97" t="str">
        <f>_xlfn.XLOOKUP(PFTTableCompany[[#This Row],[EDIPI]], RecallTable[EDIPI],RecallTable[GRADE],"NF")</f>
        <v>O2</v>
      </c>
      <c r="E64" t="str">
        <f>_xlfn.XLOOKUP(PFTTableCompany[[#This Row],[EDIPI]], RecallTable[EDIPI],RecallTable[NAME],"NF")</f>
        <v>DAWSON, DEMARION A.</v>
      </c>
      <c r="F64" s="154" t="s">
        <v>36</v>
      </c>
      <c r="G64" s="154">
        <v>45316</v>
      </c>
      <c r="J6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4"/>
      <c r="R64" s="154"/>
    </row>
    <row r="65" spans="1:18" x14ac:dyDescent="0.25">
      <c r="A65">
        <v>1337008006</v>
      </c>
      <c r="B65" s="97" t="str">
        <f>_xlfn.XLOOKUP(PFTTableCompany[[#This Row],[EDIPI]], RecallTable[EDIPI],RecallTable[SECTION],"NF")</f>
        <v>OPS</v>
      </c>
      <c r="C65" s="97">
        <f>_xlfn.XLOOKUP(PFTTableCompany[[#This Row],[EDIPI]], RecallTable[EDIPI],RecallTable[MOS],"NF")</f>
        <v>1799</v>
      </c>
      <c r="D65" s="97" t="str">
        <f>_xlfn.XLOOKUP(PFTTableCompany[[#This Row],[EDIPI]], RecallTable[EDIPI],RecallTable[GRADE],"NF")</f>
        <v>E8</v>
      </c>
      <c r="E65" t="str">
        <f>_xlfn.XLOOKUP(PFTTableCompany[[#This Row],[EDIPI]], RecallTable[EDIPI],RecallTable[NAME],"NF")</f>
        <v>SOLOMON, DILLON A.</v>
      </c>
      <c r="F65" s="154" t="s">
        <v>36</v>
      </c>
      <c r="G65" s="154" t="s">
        <v>36</v>
      </c>
      <c r="J6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5"/>
      <c r="R65" s="154"/>
    </row>
    <row r="66" spans="1:18" x14ac:dyDescent="0.25">
      <c r="A66">
        <v>1492116113</v>
      </c>
      <c r="B66" s="97" t="str">
        <f>_xlfn.XLOOKUP(PFTTableCompany[[#This Row],[EDIPI]], RecallTable[EDIPI],RecallTable[SECTION],"NF")</f>
        <v>OPS</v>
      </c>
      <c r="C66" s="97">
        <f>_xlfn.XLOOKUP(PFTTableCompany[[#This Row],[EDIPI]], RecallTable[EDIPI],RecallTable[MOS],"NF")</f>
        <v>1721</v>
      </c>
      <c r="D66" s="97" t="str">
        <f>_xlfn.XLOOKUP(PFTTableCompany[[#This Row],[EDIPI]], RecallTable[EDIPI],RecallTable[GRADE],"NF")</f>
        <v>E7</v>
      </c>
      <c r="E66" t="str">
        <f>_xlfn.XLOOKUP(PFTTableCompany[[#This Row],[EDIPI]], RecallTable[EDIPI],RecallTable[NAME],"NF")</f>
        <v>VELAZQUEZ, EMILIE A.</v>
      </c>
      <c r="F66" s="154" t="s">
        <v>36</v>
      </c>
      <c r="G66" s="154">
        <v>45296</v>
      </c>
      <c r="J6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6"/>
      <c r="R66" s="154"/>
    </row>
    <row r="67" spans="1:18" x14ac:dyDescent="0.25">
      <c r="A67">
        <v>1362430276</v>
      </c>
      <c r="B67" s="97" t="str">
        <f>_xlfn.XLOOKUP(PFTTableCompany[[#This Row],[EDIPI]], RecallTable[EDIPI],RecallTable[SECTION],"NF")</f>
        <v>OPS</v>
      </c>
      <c r="C67" s="97">
        <f>_xlfn.XLOOKUP(PFTTableCompany[[#This Row],[EDIPI]], RecallTable[EDIPI],RecallTable[MOS],"NF")</f>
        <v>1721</v>
      </c>
      <c r="D67" s="97" t="str">
        <f>_xlfn.XLOOKUP(PFTTableCompany[[#This Row],[EDIPI]], RecallTable[EDIPI],RecallTable[GRADE],"NF")</f>
        <v>E6</v>
      </c>
      <c r="E67" t="str">
        <f>_xlfn.XLOOKUP(PFTTableCompany[[#This Row],[EDIPI]], RecallTable[EDIPI],RecallTable[NAME],"NF")</f>
        <v>WALKER, ANAYA A.</v>
      </c>
      <c r="F67" s="154" t="s">
        <v>36</v>
      </c>
      <c r="G67" s="154">
        <v>45322</v>
      </c>
      <c r="J6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7"/>
      <c r="R67" s="154"/>
    </row>
    <row r="68" spans="1:18" x14ac:dyDescent="0.25">
      <c r="A68">
        <v>1505173816</v>
      </c>
      <c r="B68" s="97" t="str">
        <f>_xlfn.XLOOKUP(PFTTableCompany[[#This Row],[EDIPI]], RecallTable[EDIPI],RecallTable[SECTION],"NF")</f>
        <v>OPS</v>
      </c>
      <c r="C68" s="97">
        <f>_xlfn.XLOOKUP(PFTTableCompany[[#This Row],[EDIPI]], RecallTable[EDIPI],RecallTable[MOS],"NF")</f>
        <v>1721</v>
      </c>
      <c r="D68" s="97" t="str">
        <f>_xlfn.XLOOKUP(PFTTableCompany[[#This Row],[EDIPI]], RecallTable[EDIPI],RecallTable[GRADE],"NF")</f>
        <v>E6</v>
      </c>
      <c r="E68" t="str">
        <f>_xlfn.XLOOKUP(PFTTableCompany[[#This Row],[EDIPI]], RecallTable[EDIPI],RecallTable[NAME],"NF")</f>
        <v>HEBERT, MAYRA A.</v>
      </c>
      <c r="F68" s="154">
        <v>45327</v>
      </c>
      <c r="G68" s="154">
        <v>45331</v>
      </c>
      <c r="J6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8"/>
      <c r="R68" s="154"/>
    </row>
    <row r="69" spans="1:18" x14ac:dyDescent="0.25">
      <c r="A69">
        <v>1224436146</v>
      </c>
      <c r="B69" s="97" t="str">
        <f>_xlfn.XLOOKUP(PFTTableCompany[[#This Row],[EDIPI]], RecallTable[EDIPI],RecallTable[SECTION],"NF")</f>
        <v>OPS</v>
      </c>
      <c r="C69" s="97">
        <f>_xlfn.XLOOKUP(PFTTableCompany[[#This Row],[EDIPI]], RecallTable[EDIPI],RecallTable[MOS],"NF")</f>
        <v>1721</v>
      </c>
      <c r="D69" s="97" t="str">
        <f>_xlfn.XLOOKUP(PFTTableCompany[[#This Row],[EDIPI]], RecallTable[EDIPI],RecallTable[GRADE],"NF")</f>
        <v>E5</v>
      </c>
      <c r="E69" t="str">
        <f>_xlfn.XLOOKUP(PFTTableCompany[[#This Row],[EDIPI]], RecallTable[EDIPI],RecallTable[NAME],"NF")</f>
        <v>JOSEPH, GUADALUPE A.</v>
      </c>
      <c r="F69" s="154" t="s">
        <v>36</v>
      </c>
      <c r="G69" s="154" t="s">
        <v>36</v>
      </c>
      <c r="J6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69"/>
      <c r="R69" s="154"/>
    </row>
    <row r="70" spans="1:18" x14ac:dyDescent="0.25">
      <c r="A70">
        <v>1273180803</v>
      </c>
      <c r="B70" s="97" t="str">
        <f>_xlfn.XLOOKUP(PFTTableCompany[[#This Row],[EDIPI]], RecallTable[EDIPI],RecallTable[SECTION],"NF")</f>
        <v>OPS</v>
      </c>
      <c r="C70" s="97">
        <f>_xlfn.XLOOKUP(PFTTableCompany[[#This Row],[EDIPI]], RecallTable[EDIPI],RecallTable[MOS],"NF")</f>
        <v>1721</v>
      </c>
      <c r="D70" s="97" t="str">
        <f>_xlfn.XLOOKUP(PFTTableCompany[[#This Row],[EDIPI]], RecallTable[EDIPI],RecallTable[GRADE],"NF")</f>
        <v>E5</v>
      </c>
      <c r="E70" t="str">
        <f>_xlfn.XLOOKUP(PFTTableCompany[[#This Row],[EDIPI]], RecallTable[EDIPI],RecallTable[NAME],"NF")</f>
        <v>TODD, GLENN A.</v>
      </c>
      <c r="F70" s="154" t="s">
        <v>36</v>
      </c>
      <c r="G70" s="154" t="s">
        <v>36</v>
      </c>
      <c r="J7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0"/>
      <c r="R70" s="154"/>
    </row>
    <row r="71" spans="1:18" x14ac:dyDescent="0.25">
      <c r="A71">
        <v>1144600478</v>
      </c>
      <c r="B71" s="97" t="str">
        <f>_xlfn.XLOOKUP(PFTTableCompany[[#This Row],[EDIPI]], RecallTable[EDIPI],RecallTable[SECTION],"NF")</f>
        <v>SOC</v>
      </c>
      <c r="C71" s="97">
        <f>_xlfn.XLOOKUP(PFTTableCompany[[#This Row],[EDIPI]], RecallTable[EDIPI],RecallTable[MOS],"NF")</f>
        <v>1702</v>
      </c>
      <c r="D71" s="97" t="str">
        <f>_xlfn.XLOOKUP(PFTTableCompany[[#This Row],[EDIPI]], RecallTable[EDIPI],RecallTable[GRADE],"NF")</f>
        <v>O2</v>
      </c>
      <c r="E71" t="str">
        <f>_xlfn.XLOOKUP(PFTTableCompany[[#This Row],[EDIPI]], RecallTable[EDIPI],RecallTable[NAME],"NF")</f>
        <v>RIOS, LEWIS A.</v>
      </c>
      <c r="F71" s="154" t="s">
        <v>36</v>
      </c>
      <c r="G71" s="154" t="s">
        <v>36</v>
      </c>
      <c r="J71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1"/>
      <c r="R71" s="154"/>
    </row>
    <row r="72" spans="1:18" x14ac:dyDescent="0.25">
      <c r="A72">
        <v>1208649546</v>
      </c>
      <c r="B72" s="97" t="str">
        <f>_xlfn.XLOOKUP(PFTTableCompany[[#This Row],[EDIPI]], RecallTable[EDIPI],RecallTable[SECTION],"NF")</f>
        <v>SOC</v>
      </c>
      <c r="C72" s="97">
        <f>_xlfn.XLOOKUP(PFTTableCompany[[#This Row],[EDIPI]], RecallTable[EDIPI],RecallTable[MOS],"NF")</f>
        <v>1721</v>
      </c>
      <c r="D72" s="97" t="str">
        <f>_xlfn.XLOOKUP(PFTTableCompany[[#This Row],[EDIPI]], RecallTable[EDIPI],RecallTable[GRADE],"NF")</f>
        <v>E7</v>
      </c>
      <c r="E72" t="str">
        <f>_xlfn.XLOOKUP(PFTTableCompany[[#This Row],[EDIPI]], RecallTable[EDIPI],RecallTable[NAME],"NF")</f>
        <v>MAXWELL, COBY A.</v>
      </c>
      <c r="F72" s="154" t="s">
        <v>36</v>
      </c>
      <c r="G72" s="154">
        <v>45316</v>
      </c>
      <c r="J72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72"/>
      <c r="R72" s="154"/>
    </row>
    <row r="73" spans="1:18" x14ac:dyDescent="0.25">
      <c r="A73">
        <v>1433270027</v>
      </c>
      <c r="B73" s="97" t="str">
        <f>_xlfn.XLOOKUP(PFTTableCompany[[#This Row],[EDIPI]], RecallTable[EDIPI],RecallTable[SECTION],"NF")</f>
        <v>SOC</v>
      </c>
      <c r="C73" s="97">
        <f>_xlfn.XLOOKUP(PFTTableCompany[[#This Row],[EDIPI]], RecallTable[EDIPI],RecallTable[MOS],"NF")</f>
        <v>1721</v>
      </c>
      <c r="D73" s="97" t="str">
        <f>_xlfn.XLOOKUP(PFTTableCompany[[#This Row],[EDIPI]], RecallTable[EDIPI],RecallTable[GRADE],"NF")</f>
        <v>E5</v>
      </c>
      <c r="E73" t="str">
        <f>_xlfn.XLOOKUP(PFTTableCompany[[#This Row],[EDIPI]], RecallTable[EDIPI],RecallTable[NAME],"NF")</f>
        <v>DAVENPORT, ANYA A.</v>
      </c>
      <c r="F73" s="154" t="s">
        <v>36</v>
      </c>
      <c r="G73" s="154" t="s">
        <v>36</v>
      </c>
      <c r="J73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Success</v>
      </c>
      <c r="K73"/>
      <c r="R73" s="154"/>
    </row>
    <row r="74" spans="1:18" x14ac:dyDescent="0.25">
      <c r="A74">
        <v>1517276328</v>
      </c>
      <c r="B74" s="97" t="str">
        <f>_xlfn.XLOOKUP(PFTTableCompany[[#This Row],[EDIPI]], RecallTable[EDIPI],RecallTable[SECTION],"NF")</f>
        <v>SOC</v>
      </c>
      <c r="C74" s="97">
        <f>_xlfn.XLOOKUP(PFTTableCompany[[#This Row],[EDIPI]], RecallTable[EDIPI],RecallTable[MOS],"NF")</f>
        <v>1721</v>
      </c>
      <c r="D74" s="97" t="str">
        <f>_xlfn.XLOOKUP(PFTTableCompany[[#This Row],[EDIPI]], RecallTable[EDIPI],RecallTable[GRADE],"NF")</f>
        <v>E4</v>
      </c>
      <c r="E74" t="str">
        <f>_xlfn.XLOOKUP(PFTTableCompany[[#This Row],[EDIPI]], RecallTable[EDIPI],RecallTable[NAME],"NF")</f>
        <v>ALVAREZ, KIANA A.</v>
      </c>
      <c r="F74" s="154" t="s">
        <v>36</v>
      </c>
      <c r="G74" s="154" t="s">
        <v>36</v>
      </c>
      <c r="J74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4"/>
      <c r="R74" s="154"/>
    </row>
    <row r="75" spans="1:18" x14ac:dyDescent="0.25">
      <c r="A75">
        <v>1312308399</v>
      </c>
      <c r="B75" s="97" t="str">
        <f>_xlfn.XLOOKUP(PFTTableCompany[[#This Row],[EDIPI]], RecallTable[EDIPI],RecallTable[SECTION],"NF")</f>
        <v>SOC</v>
      </c>
      <c r="C75" s="97">
        <f>_xlfn.XLOOKUP(PFTTableCompany[[#This Row],[EDIPI]], RecallTable[EDIPI],RecallTable[MOS],"NF")</f>
        <v>231</v>
      </c>
      <c r="D75" s="97" t="str">
        <f>_xlfn.XLOOKUP(PFTTableCompany[[#This Row],[EDIPI]], RecallTable[EDIPI],RecallTable[GRADE],"NF")</f>
        <v>E3</v>
      </c>
      <c r="E75" t="str">
        <f>_xlfn.XLOOKUP(PFTTableCompany[[#This Row],[EDIPI]], RecallTable[EDIPI],RecallTable[NAME],"NF")</f>
        <v>TRAVIS, ANGELINA A.</v>
      </c>
      <c r="F75" s="154" t="s">
        <v>36</v>
      </c>
      <c r="G75" s="154">
        <v>45296</v>
      </c>
      <c r="J75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5"/>
      <c r="R75" s="154"/>
    </row>
    <row r="76" spans="1:18" x14ac:dyDescent="0.25">
      <c r="A76">
        <v>1025451492</v>
      </c>
      <c r="B76" s="97" t="str">
        <f>_xlfn.XLOOKUP(PFTTableCompany[[#This Row],[EDIPI]], RecallTable[EDIPI],RecallTable[SECTION],"NF")</f>
        <v>SOC</v>
      </c>
      <c r="C76" s="97">
        <f>_xlfn.XLOOKUP(PFTTableCompany[[#This Row],[EDIPI]], RecallTable[EDIPI],RecallTable[MOS],"NF")</f>
        <v>1721</v>
      </c>
      <c r="D76" s="97" t="str">
        <f>_xlfn.XLOOKUP(PFTTableCompany[[#This Row],[EDIPI]], RecallTable[EDIPI],RecallTable[GRADE],"NF")</f>
        <v>E3</v>
      </c>
      <c r="E76" t="str">
        <f>_xlfn.XLOOKUP(PFTTableCompany[[#This Row],[EDIPI]], RecallTable[EDIPI],RecallTable[NAME],"NF")</f>
        <v>BLEVINS, TOBIAS A.</v>
      </c>
      <c r="F76" s="154" t="s">
        <v>36</v>
      </c>
      <c r="G76" s="154">
        <v>45316</v>
      </c>
      <c r="J76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6"/>
      <c r="R76" s="154"/>
    </row>
    <row r="77" spans="1:18" x14ac:dyDescent="0.25">
      <c r="A77">
        <v>1041964509</v>
      </c>
      <c r="B77" s="97" t="str">
        <f>_xlfn.XLOOKUP(PFTTableCompany[[#This Row],[EDIPI]], RecallTable[EDIPI],RecallTable[SECTION],"NF")</f>
        <v>HQ</v>
      </c>
      <c r="C77" s="97">
        <f>_xlfn.XLOOKUP(PFTTableCompany[[#This Row],[EDIPI]], RecallTable[EDIPI],RecallTable[MOS],"NF")</f>
        <v>1702</v>
      </c>
      <c r="D77" s="97" t="str">
        <f>_xlfn.XLOOKUP(PFTTableCompany[[#This Row],[EDIPI]], RecallTable[EDIPI],RecallTable[GRADE],"NF")</f>
        <v>O4</v>
      </c>
      <c r="E77" t="str">
        <f>_xlfn.XLOOKUP(PFTTableCompany[[#This Row],[EDIPI]], RecallTable[EDIPI],RecallTable[NAME],"NF")</f>
        <v>ROSE, YUSUF A.</v>
      </c>
      <c r="F77" s="154" t="s">
        <v>36</v>
      </c>
      <c r="G77" s="154">
        <v>45316</v>
      </c>
      <c r="J77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7"/>
      <c r="R77" s="154"/>
    </row>
    <row r="78" spans="1:18" x14ac:dyDescent="0.25">
      <c r="A78">
        <v>1366872660</v>
      </c>
      <c r="B78" s="97" t="str">
        <f>_xlfn.XLOOKUP(PFTTableCompany[[#This Row],[EDIPI]], RecallTable[EDIPI],RecallTable[SECTION],"NF")</f>
        <v>HQ</v>
      </c>
      <c r="C78" s="97">
        <f>_xlfn.XLOOKUP(PFTTableCompany[[#This Row],[EDIPI]], RecallTable[EDIPI],RecallTable[MOS],"NF")</f>
        <v>1702</v>
      </c>
      <c r="D78" s="97" t="str">
        <f>_xlfn.XLOOKUP(PFTTableCompany[[#This Row],[EDIPI]], RecallTable[EDIPI],RecallTable[GRADE],"NF")</f>
        <v>O2</v>
      </c>
      <c r="E78" t="str">
        <f>_xlfn.XLOOKUP(PFTTableCompany[[#This Row],[EDIPI]], RecallTable[EDIPI],RecallTable[NAME],"NF")</f>
        <v>HARRINGTON, TODD A.</v>
      </c>
      <c r="F78" s="154" t="s">
        <v>36</v>
      </c>
      <c r="G78" s="154">
        <v>45296</v>
      </c>
      <c r="J78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8"/>
      <c r="R78" s="154"/>
    </row>
    <row r="79" spans="1:18" x14ac:dyDescent="0.25">
      <c r="A79">
        <v>1163650418</v>
      </c>
      <c r="B79" s="97" t="str">
        <f>_xlfn.XLOOKUP(PFTTableCompany[[#This Row],[EDIPI]], RecallTable[EDIPI],RecallTable[SECTION],"NF")</f>
        <v>HQ</v>
      </c>
      <c r="C79" s="97">
        <f>_xlfn.XLOOKUP(PFTTableCompany[[#This Row],[EDIPI]], RecallTable[EDIPI],RecallTable[MOS],"NF")</f>
        <v>8999</v>
      </c>
      <c r="D79" s="97" t="str">
        <f>_xlfn.XLOOKUP(PFTTableCompany[[#This Row],[EDIPI]], RecallTable[EDIPI],RecallTable[GRADE],"NF")</f>
        <v>E8</v>
      </c>
      <c r="E79" t="str">
        <f>_xlfn.XLOOKUP(PFTTableCompany[[#This Row],[EDIPI]], RecallTable[EDIPI],RecallTable[NAME],"NF")</f>
        <v>STAFFORD, ALLYSON A.</v>
      </c>
      <c r="F79" s="154" t="s">
        <v>36</v>
      </c>
      <c r="G79" s="154">
        <v>45316</v>
      </c>
      <c r="J79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79"/>
      <c r="R79" s="154"/>
    </row>
    <row r="80" spans="1:18" x14ac:dyDescent="0.25">
      <c r="A80">
        <v>1269922284</v>
      </c>
      <c r="B80" s="97" t="str">
        <f>_xlfn.XLOOKUP(PFTTableCompany[[#This Row],[EDIPI]], RecallTable[EDIPI],RecallTable[SECTION],"NF")</f>
        <v>HQ</v>
      </c>
      <c r="C80" s="97">
        <f>_xlfn.XLOOKUP(PFTTableCompany[[#This Row],[EDIPI]], RecallTable[EDIPI],RecallTable[MOS],"NF")</f>
        <v>1721</v>
      </c>
      <c r="D80" s="97" t="str">
        <f>_xlfn.XLOOKUP(PFTTableCompany[[#This Row],[EDIPI]], RecallTable[EDIPI],RecallTable[GRADE],"NF")</f>
        <v>E6</v>
      </c>
      <c r="E80" t="str">
        <f>_xlfn.XLOOKUP(PFTTableCompany[[#This Row],[EDIPI]], RecallTable[EDIPI],RecallTable[NAME],"NF")</f>
        <v>THOMAS, AVA A.</v>
      </c>
      <c r="F80" s="154" t="s">
        <v>36</v>
      </c>
      <c r="G80" s="154">
        <v>45316</v>
      </c>
      <c r="J80" s="146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No, H/W: No</v>
      </c>
      <c r="K80"/>
      <c r="R80" s="154"/>
    </row>
    <row r="81" spans="1:18" x14ac:dyDescent="0.25">
      <c r="A81" s="182">
        <v>1410597200</v>
      </c>
      <c r="B81" s="97" t="str">
        <f>_xlfn.XLOOKUP(PFTTableCompany[[#This Row],[EDIPI]], RecallTable[EDIPI],RecallTable[SECTION],"NF")</f>
        <v>HQ</v>
      </c>
      <c r="C81" s="97">
        <f>_xlfn.XLOOKUP(PFTTableCompany[[#This Row],[EDIPI]], RecallTable[EDIPI],RecallTable[MOS],"NF")</f>
        <v>1721</v>
      </c>
      <c r="D81" s="97" t="str">
        <f>_xlfn.XLOOKUP(PFTTableCompany[[#This Row],[EDIPI]], RecallTable[EDIPI],RecallTable[GRADE],"NF")</f>
        <v>E4</v>
      </c>
      <c r="E81" t="str">
        <f>_xlfn.XLOOKUP(PFTTableCompany[[#This Row],[EDIPI]], RecallTable[EDIPI],RecallTable[NAME],"NF")</f>
        <v>POWERS, BLAKE A.</v>
      </c>
      <c r="F81" s="183">
        <v>45350</v>
      </c>
      <c r="G81" s="183"/>
      <c r="H81" s="73"/>
      <c r="I81" s="73"/>
      <c r="J81" s="180" t="str">
        <f>_xlfn.CONCAT("PFT: ", IF(_xlfn.XLOOKUP(PFTTableCompany[[#This Row],[EDIPI]],PFTTable[DOD ID],PFTTable[MCTFS Status],"")="Success",_xlfn.XLOOKUP(PFTTableCompany[[#This Row],[EDIPI]],PFTTable[DOD ID],PFTTable[MCTFS Status],""),"No"), ", H/W: ", IF(_xlfn.XLOOKUP(PFTTableCompany[[#This Row],[EDIPI]],HTWTTable[DOD ID],HTWTTable[MCTFS Status],"")="Success",_xlfn.XLOOKUP(PFTTableCompany[[#This Row],[EDIPI]],HTWTTable[DOD ID],HTWTTable[MCTFS Status],""),"No"))</f>
        <v>PFT: Success, H/W: Success</v>
      </c>
      <c r="K81"/>
      <c r="R81" s="154"/>
    </row>
    <row r="82" spans="1:18" x14ac:dyDescent="0.25">
      <c r="K82"/>
      <c r="R82" s="154"/>
    </row>
    <row r="83" spans="1:18" x14ac:dyDescent="0.25">
      <c r="K83"/>
      <c r="R83" s="154"/>
    </row>
    <row r="84" spans="1:18" x14ac:dyDescent="0.25">
      <c r="K84"/>
      <c r="R84" s="154"/>
    </row>
    <row r="85" spans="1:18" x14ac:dyDescent="0.25">
      <c r="K85"/>
      <c r="R85" s="154"/>
    </row>
    <row r="86" spans="1:18" x14ac:dyDescent="0.25">
      <c r="K86"/>
      <c r="R86" s="154"/>
    </row>
    <row r="87" spans="1:18" x14ac:dyDescent="0.25">
      <c r="K87"/>
      <c r="R87" s="154"/>
    </row>
    <row r="88" spans="1:18" x14ac:dyDescent="0.25">
      <c r="K88"/>
      <c r="R88" s="154"/>
    </row>
    <row r="89" spans="1:18" x14ac:dyDescent="0.25">
      <c r="K89"/>
      <c r="R89" s="154"/>
    </row>
    <row r="90" spans="1:18" x14ac:dyDescent="0.25">
      <c r="K90"/>
      <c r="R90" s="154"/>
    </row>
    <row r="91" spans="1:18" x14ac:dyDescent="0.25">
      <c r="K91"/>
      <c r="R91" s="154"/>
    </row>
    <row r="92" spans="1:18" x14ac:dyDescent="0.25">
      <c r="K92"/>
      <c r="R92" s="154"/>
    </row>
    <row r="93" spans="1:18" x14ac:dyDescent="0.25">
      <c r="K93"/>
      <c r="R93" s="154"/>
    </row>
    <row r="94" spans="1:18" x14ac:dyDescent="0.25">
      <c r="K94"/>
      <c r="R94" s="154"/>
    </row>
    <row r="95" spans="1:18" x14ac:dyDescent="0.25">
      <c r="K95"/>
      <c r="R95" s="154"/>
    </row>
    <row r="96" spans="1:18" x14ac:dyDescent="0.25">
      <c r="K96"/>
      <c r="R96" s="154"/>
    </row>
    <row r="97" spans="11:18" x14ac:dyDescent="0.25">
      <c r="K97"/>
      <c r="R97" s="154"/>
    </row>
    <row r="98" spans="11:18" x14ac:dyDescent="0.25">
      <c r="K98"/>
      <c r="R98" s="154"/>
    </row>
    <row r="99" spans="11:18" x14ac:dyDescent="0.25">
      <c r="K99"/>
      <c r="R99" s="154"/>
    </row>
    <row r="100" spans="11:18" x14ac:dyDescent="0.25">
      <c r="K100"/>
      <c r="R100" s="154"/>
    </row>
    <row r="101" spans="11:18" x14ac:dyDescent="0.25">
      <c r="K101"/>
      <c r="R101" s="154"/>
    </row>
    <row r="102" spans="11:18" x14ac:dyDescent="0.25">
      <c r="K102"/>
      <c r="R102" s="154"/>
    </row>
    <row r="103" spans="11:18" x14ac:dyDescent="0.25">
      <c r="K103"/>
      <c r="R103" s="154"/>
    </row>
    <row r="104" spans="11:18" x14ac:dyDescent="0.25">
      <c r="K104"/>
      <c r="R104" s="154"/>
    </row>
    <row r="105" spans="11:18" x14ac:dyDescent="0.25">
      <c r="K105"/>
      <c r="R105" s="154"/>
    </row>
    <row r="106" spans="11:18" x14ac:dyDescent="0.25">
      <c r="K106"/>
      <c r="R106" s="154"/>
    </row>
    <row r="107" spans="11:18" x14ac:dyDescent="0.25">
      <c r="K107"/>
      <c r="R107" s="154"/>
    </row>
    <row r="108" spans="11:18" x14ac:dyDescent="0.25">
      <c r="K108"/>
      <c r="R108" s="154"/>
    </row>
    <row r="109" spans="11:18" x14ac:dyDescent="0.25">
      <c r="K109"/>
      <c r="R109" s="154"/>
    </row>
    <row r="110" spans="11:18" x14ac:dyDescent="0.25">
      <c r="K110"/>
      <c r="R110" s="154"/>
    </row>
    <row r="111" spans="11:18" x14ac:dyDescent="0.25">
      <c r="K111"/>
      <c r="R111" s="154"/>
    </row>
    <row r="112" spans="11:18" x14ac:dyDescent="0.25">
      <c r="K112"/>
      <c r="R112" s="154"/>
    </row>
    <row r="113" spans="11:18" x14ac:dyDescent="0.25">
      <c r="K113"/>
      <c r="R113" s="154"/>
    </row>
    <row r="114" spans="11:18" x14ac:dyDescent="0.25">
      <c r="K114"/>
      <c r="R114" s="154"/>
    </row>
    <row r="115" spans="11:18" x14ac:dyDescent="0.25">
      <c r="K115"/>
      <c r="R115" s="154"/>
    </row>
    <row r="116" spans="11:18" x14ac:dyDescent="0.25">
      <c r="K116"/>
      <c r="R116" s="154"/>
    </row>
    <row r="117" spans="11:18" x14ac:dyDescent="0.25">
      <c r="K117"/>
      <c r="R117" s="154"/>
    </row>
    <row r="118" spans="11:18" x14ac:dyDescent="0.25">
      <c r="K118"/>
      <c r="R118" s="154"/>
    </row>
    <row r="119" spans="11:18" x14ac:dyDescent="0.25">
      <c r="K119"/>
    </row>
  </sheetData>
  <mergeCells count="4">
    <mergeCell ref="A1:I1"/>
    <mergeCell ref="O11:O12"/>
    <mergeCell ref="O14:O15"/>
    <mergeCell ref="M1:Q1"/>
  </mergeCells>
  <conditionalFormatting sqref="F3:G81">
    <cfRule type="containsBlanks" dxfId="76" priority="2">
      <formula>LEN(TRIM(F3))=0</formula>
    </cfRule>
  </conditionalFormatting>
  <conditionalFormatting sqref="F3:G81">
    <cfRule type="notContainsBlanks" dxfId="75" priority="1">
      <formula>LEN(TRIM(F3))&gt;0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FF2D-2802-422C-8268-9E789D6BAEF1}">
  <sheetPr>
    <tabColor theme="9" tint="0.59999389629810485"/>
  </sheetPr>
  <dimension ref="A1:N119"/>
  <sheetViews>
    <sheetView topLeftCell="L10" workbookViewId="0">
      <selection activeCell="L10" sqref="L10"/>
    </sheetView>
  </sheetViews>
  <sheetFormatPr defaultRowHeight="15" x14ac:dyDescent="0.25"/>
  <cols>
    <col min="1" max="1" width="10" bestFit="1" customWidth="1"/>
    <col min="2" max="2" width="8.7109375" bestFit="1" customWidth="1"/>
    <col min="3" max="3" width="8.85546875" bestFit="1" customWidth="1"/>
    <col min="4" max="4" width="26.5703125" bestFit="1" customWidth="1"/>
    <col min="5" max="6" width="9.85546875" bestFit="1" customWidth="1"/>
    <col min="7" max="7" width="29.85546875" bestFit="1" customWidth="1"/>
    <col min="8" max="8" width="18" customWidth="1"/>
    <col min="11" max="11" width="11" bestFit="1" customWidth="1"/>
    <col min="12" max="12" width="10.42578125" bestFit="1" customWidth="1"/>
    <col min="13" max="13" width="11.28515625" bestFit="1" customWidth="1"/>
    <col min="14" max="14" width="19.42578125" customWidth="1"/>
  </cols>
  <sheetData>
    <row r="1" spans="1:14" x14ac:dyDescent="0.25">
      <c r="A1" s="95"/>
      <c r="B1" s="96"/>
      <c r="C1" s="96"/>
      <c r="D1" s="96"/>
      <c r="L1" s="97" t="s">
        <v>591</v>
      </c>
      <c r="M1" s="97" t="s">
        <v>480</v>
      </c>
    </row>
    <row r="2" spans="1:14" ht="30" x14ac:dyDescent="0.25">
      <c r="A2" s="98" t="s">
        <v>202</v>
      </c>
      <c r="B2" s="98" t="s">
        <v>341</v>
      </c>
      <c r="C2" s="99" t="s">
        <v>200</v>
      </c>
      <c r="D2" s="100" t="s">
        <v>201</v>
      </c>
      <c r="E2" s="99" t="s">
        <v>193</v>
      </c>
      <c r="F2" s="99" t="s">
        <v>475</v>
      </c>
      <c r="G2" s="99" t="s">
        <v>476</v>
      </c>
      <c r="H2" s="100" t="s">
        <v>477</v>
      </c>
      <c r="K2" s="97" t="s">
        <v>230</v>
      </c>
      <c r="L2" s="97">
        <f>COUNTIFS(CFTTableCompany[Section],K2,CFTTableCompany[CFT],"",CFTTableCompany[Comments],"")</f>
        <v>0</v>
      </c>
      <c r="M2" s="97">
        <f>COUNTIFS(CFTTableCompany[Section],K2,CFTTableCompany[H/W],"",CFTTableCompany[Comments],"")</f>
        <v>0</v>
      </c>
    </row>
    <row r="3" spans="1:14" x14ac:dyDescent="0.25">
      <c r="A3" s="101" t="s">
        <v>490</v>
      </c>
      <c r="B3" s="102">
        <v>1721</v>
      </c>
      <c r="C3" s="103" t="s">
        <v>160</v>
      </c>
      <c r="D3" s="128" t="s">
        <v>561</v>
      </c>
      <c r="E3" s="104">
        <v>20231026</v>
      </c>
      <c r="F3" s="104">
        <v>20231031</v>
      </c>
      <c r="K3" s="97" t="s">
        <v>225</v>
      </c>
      <c r="L3" s="97">
        <f>COUNTIFS(CFTTableCompany[Section],K3,CFTTableCompany[CFT],"",CFTTableCompany[Comments],"")</f>
        <v>0</v>
      </c>
      <c r="M3" s="97">
        <f>COUNTIFS(CFTTableCompany[Section],K3,CFTTableCompany[H/W],"",CFTTableCompany[Comments],"")</f>
        <v>1</v>
      </c>
    </row>
    <row r="4" spans="1:14" x14ac:dyDescent="0.25">
      <c r="A4" s="105" t="s">
        <v>211</v>
      </c>
      <c r="B4" s="106">
        <v>1721</v>
      </c>
      <c r="C4" s="107" t="s">
        <v>150</v>
      </c>
      <c r="D4" s="108" t="s">
        <v>539</v>
      </c>
      <c r="E4" s="104">
        <v>20231025</v>
      </c>
      <c r="F4" s="104">
        <v>20231108</v>
      </c>
      <c r="G4" t="s">
        <v>592</v>
      </c>
      <c r="K4" s="97" t="s">
        <v>211</v>
      </c>
      <c r="L4" s="97">
        <f>COUNTIFS(CFTTableCompany[Section],K4,CFTTableCompany[CFT],"",CFTTableCompany[Comments],"")</f>
        <v>0</v>
      </c>
      <c r="M4" s="97">
        <f>COUNTIFS(CFTTableCompany[Section],K4,CFTTableCompany[H/W],"",CFTTableCompany[Comments],"")</f>
        <v>0</v>
      </c>
    </row>
    <row r="5" spans="1:14" x14ac:dyDescent="0.25">
      <c r="A5" s="105" t="s">
        <v>486</v>
      </c>
      <c r="B5" s="106">
        <v>1721</v>
      </c>
      <c r="C5" s="107" t="s">
        <v>146</v>
      </c>
      <c r="D5" s="108" t="s">
        <v>576</v>
      </c>
      <c r="E5" s="104">
        <v>20231026</v>
      </c>
      <c r="F5" s="104">
        <v>20231016</v>
      </c>
      <c r="K5" s="97" t="s">
        <v>486</v>
      </c>
      <c r="L5" s="97">
        <f>COUNTIFS(CFTTableCompany[Section],K5,CFTTableCompany[CFT],"",CFTTableCompany[Comments],"")</f>
        <v>0</v>
      </c>
      <c r="M5" s="97">
        <f>COUNTIFS(CFTTableCompany[Section],K5,CFTTableCompany[H/W],"",CFTTableCompany[Comments],"")</f>
        <v>0</v>
      </c>
    </row>
    <row r="6" spans="1:14" x14ac:dyDescent="0.25">
      <c r="A6" s="105" t="s">
        <v>490</v>
      </c>
      <c r="B6" s="106">
        <v>1702</v>
      </c>
      <c r="C6" s="107" t="s">
        <v>172</v>
      </c>
      <c r="D6" s="110" t="s">
        <v>562</v>
      </c>
      <c r="E6" s="104">
        <v>20231026</v>
      </c>
      <c r="F6" s="104">
        <v>20231031</v>
      </c>
      <c r="K6" s="97" t="s">
        <v>488</v>
      </c>
      <c r="L6" s="97">
        <f>COUNTIFS(CFTTableCompany[Section],K6,CFTTableCompany[CFT],"",CFTTableCompany[Comments],"")</f>
        <v>0</v>
      </c>
      <c r="M6" s="97">
        <f>COUNTIFS(CFTTableCompany[Section],K6,CFTTableCompany[H/W],"",CFTTableCompany[Comments],"")</f>
        <v>0</v>
      </c>
    </row>
    <row r="7" spans="1:14" x14ac:dyDescent="0.25">
      <c r="A7" s="105" t="s">
        <v>225</v>
      </c>
      <c r="B7" s="106">
        <v>1702</v>
      </c>
      <c r="C7" s="107" t="s">
        <v>169</v>
      </c>
      <c r="D7" s="108" t="s">
        <v>514</v>
      </c>
      <c r="E7" s="104">
        <v>20231108</v>
      </c>
      <c r="F7" s="104">
        <v>20231031</v>
      </c>
      <c r="K7" s="97" t="s">
        <v>490</v>
      </c>
      <c r="L7" s="97">
        <f>COUNTIFS(CFTTableCompany[Section],K7,CFTTableCompany[CFT],"",CFTTableCompany[Comments],"")</f>
        <v>0</v>
      </c>
      <c r="M7" s="97">
        <f>COUNTIFS(CFTTableCompany[Section],K7,CFTTableCompany[H/W],"",CFTTableCompany[Comments],"")</f>
        <v>0</v>
      </c>
    </row>
    <row r="8" spans="1:14" x14ac:dyDescent="0.25">
      <c r="A8" s="105" t="s">
        <v>211</v>
      </c>
      <c r="B8" s="106">
        <v>1721</v>
      </c>
      <c r="C8" s="107" t="s">
        <v>150</v>
      </c>
      <c r="D8" s="108" t="s">
        <v>540</v>
      </c>
      <c r="E8" s="104">
        <v>20231026</v>
      </c>
      <c r="F8" s="104">
        <v>20231031</v>
      </c>
    </row>
    <row r="9" spans="1:14" x14ac:dyDescent="0.25">
      <c r="A9" s="105" t="s">
        <v>211</v>
      </c>
      <c r="B9" s="106">
        <v>1721</v>
      </c>
      <c r="C9" s="107" t="s">
        <v>146</v>
      </c>
      <c r="D9" s="108" t="s">
        <v>541</v>
      </c>
      <c r="E9" s="104">
        <v>20230926</v>
      </c>
      <c r="F9" s="104">
        <v>20230828</v>
      </c>
      <c r="K9" t="s">
        <v>3</v>
      </c>
      <c r="L9" s="97">
        <f>COUNTIF(CFTTableCompany[Name],"*")</f>
        <v>117</v>
      </c>
    </row>
    <row r="10" spans="1:14" x14ac:dyDescent="0.25">
      <c r="A10" s="105" t="s">
        <v>230</v>
      </c>
      <c r="B10" s="106">
        <v>1721</v>
      </c>
      <c r="C10" s="107" t="s">
        <v>146</v>
      </c>
      <c r="D10" s="111" t="s">
        <v>483</v>
      </c>
      <c r="E10" s="104">
        <v>20230919</v>
      </c>
      <c r="F10" s="104">
        <v>20230927</v>
      </c>
      <c r="K10" s="97"/>
    </row>
    <row r="11" spans="1:14" x14ac:dyDescent="0.25">
      <c r="A11" s="105" t="s">
        <v>230</v>
      </c>
      <c r="B11" s="106">
        <v>1721</v>
      </c>
      <c r="C11" s="107" t="s">
        <v>150</v>
      </c>
      <c r="D11" s="108" t="s">
        <v>565</v>
      </c>
      <c r="E11" s="104">
        <v>20231108</v>
      </c>
      <c r="F11" s="104">
        <v>20231020</v>
      </c>
      <c r="G11" t="s">
        <v>593</v>
      </c>
      <c r="K11" s="125" t="s">
        <v>494</v>
      </c>
      <c r="L11" s="97">
        <f>COUNTIF(CFTTableCompany[CFT],"")-COUNTIFS(CFTTableCompany[CFT],"",CFTTableCompany[Medical Comment put in?],"Yes")</f>
        <v>0</v>
      </c>
      <c r="M11" s="126">
        <f>L11/L9</f>
        <v>0</v>
      </c>
      <c r="N11" s="218" t="s">
        <v>193</v>
      </c>
    </row>
    <row r="12" spans="1:14" x14ac:dyDescent="0.25">
      <c r="A12" s="105" t="s">
        <v>230</v>
      </c>
      <c r="B12" s="106">
        <v>1721</v>
      </c>
      <c r="C12" s="107" t="s">
        <v>150</v>
      </c>
      <c r="D12" s="108" t="s">
        <v>484</v>
      </c>
      <c r="E12" s="104">
        <v>20230724</v>
      </c>
      <c r="F12" s="104">
        <v>20231031</v>
      </c>
      <c r="K12" s="125" t="s">
        <v>495</v>
      </c>
      <c r="L12" s="97">
        <f>L9-L11</f>
        <v>117</v>
      </c>
      <c r="M12" s="126">
        <f>L12/L9</f>
        <v>1</v>
      </c>
      <c r="N12" s="219"/>
    </row>
    <row r="13" spans="1:14" x14ac:dyDescent="0.25">
      <c r="A13" s="105" t="s">
        <v>211</v>
      </c>
      <c r="B13" s="106">
        <v>1721</v>
      </c>
      <c r="C13" s="107" t="s">
        <v>157</v>
      </c>
      <c r="D13" s="108" t="s">
        <v>542</v>
      </c>
      <c r="E13" s="104">
        <v>20231026</v>
      </c>
      <c r="F13" s="104">
        <v>20231031</v>
      </c>
    </row>
    <row r="14" spans="1:14" x14ac:dyDescent="0.25">
      <c r="A14" s="105" t="s">
        <v>211</v>
      </c>
      <c r="B14" s="106">
        <v>1721</v>
      </c>
      <c r="C14" s="107" t="s">
        <v>154</v>
      </c>
      <c r="D14" s="108" t="s">
        <v>543</v>
      </c>
      <c r="E14" s="104">
        <v>20230926</v>
      </c>
      <c r="F14" s="104">
        <v>20230828</v>
      </c>
      <c r="K14" s="125" t="s">
        <v>494</v>
      </c>
      <c r="L14" s="97">
        <f>COUNTIF(CFTTableCompany[H/W],"")-COUNTIFS(CFTTableCompany[H/W],"",CFTTableCompany[Comments],"*")+1</f>
        <v>2</v>
      </c>
      <c r="M14" s="126">
        <f>L14/L9</f>
        <v>1.7094017094017096E-2</v>
      </c>
      <c r="N14" s="218" t="s">
        <v>498</v>
      </c>
    </row>
    <row r="15" spans="1:14" x14ac:dyDescent="0.25">
      <c r="A15" s="105" t="s">
        <v>211</v>
      </c>
      <c r="B15" s="106">
        <v>1721</v>
      </c>
      <c r="C15" s="107" t="s">
        <v>146</v>
      </c>
      <c r="D15" s="108" t="s">
        <v>544</v>
      </c>
      <c r="E15" s="104">
        <v>20230228</v>
      </c>
      <c r="F15" s="109"/>
      <c r="G15" t="s">
        <v>594</v>
      </c>
      <c r="K15" s="125" t="s">
        <v>495</v>
      </c>
      <c r="L15" s="97">
        <f>L9-L14</f>
        <v>115</v>
      </c>
      <c r="M15" s="126">
        <f>L15/L9</f>
        <v>0.98290598290598286</v>
      </c>
      <c r="N15" s="219"/>
    </row>
    <row r="16" spans="1:14" x14ac:dyDescent="0.25">
      <c r="A16" s="105" t="s">
        <v>211</v>
      </c>
      <c r="B16" s="106">
        <v>1700</v>
      </c>
      <c r="C16" s="107" t="s">
        <v>154</v>
      </c>
      <c r="D16" s="108" t="s">
        <v>545</v>
      </c>
      <c r="E16" s="104">
        <v>20231006</v>
      </c>
      <c r="F16" s="104">
        <v>20230908</v>
      </c>
    </row>
    <row r="17" spans="1:7" x14ac:dyDescent="0.25">
      <c r="A17" s="105" t="s">
        <v>486</v>
      </c>
      <c r="B17" s="106">
        <v>1702</v>
      </c>
      <c r="C17" s="107" t="s">
        <v>169</v>
      </c>
      <c r="D17" s="108" t="s">
        <v>577</v>
      </c>
      <c r="E17" s="104">
        <v>20231026</v>
      </c>
      <c r="F17" s="104">
        <v>20231031</v>
      </c>
    </row>
    <row r="18" spans="1:7" x14ac:dyDescent="0.25">
      <c r="A18" s="105" t="s">
        <v>488</v>
      </c>
      <c r="B18" s="106">
        <v>1721</v>
      </c>
      <c r="C18" s="107" t="s">
        <v>150</v>
      </c>
      <c r="D18" s="110" t="s">
        <v>566</v>
      </c>
      <c r="E18" s="104">
        <v>20231011</v>
      </c>
      <c r="F18" s="104">
        <v>20231018</v>
      </c>
    </row>
    <row r="19" spans="1:7" x14ac:dyDescent="0.25">
      <c r="A19" s="105" t="s">
        <v>225</v>
      </c>
      <c r="B19" s="106">
        <v>1721</v>
      </c>
      <c r="C19" s="107" t="s">
        <v>154</v>
      </c>
      <c r="D19" s="110" t="s">
        <v>595</v>
      </c>
      <c r="E19" s="104">
        <v>20230915</v>
      </c>
      <c r="F19" s="109"/>
      <c r="G19" t="s">
        <v>596</v>
      </c>
    </row>
    <row r="20" spans="1:7" x14ac:dyDescent="0.25">
      <c r="A20" s="105" t="s">
        <v>211</v>
      </c>
      <c r="B20" s="106">
        <v>1700</v>
      </c>
      <c r="C20" s="107" t="s">
        <v>154</v>
      </c>
      <c r="D20" s="108" t="s">
        <v>597</v>
      </c>
      <c r="E20" s="104">
        <v>20230920</v>
      </c>
      <c r="F20" s="104">
        <v>20230927</v>
      </c>
    </row>
    <row r="21" spans="1:7" x14ac:dyDescent="0.25">
      <c r="A21" s="105" t="e">
        <v>#N/A</v>
      </c>
      <c r="B21" s="106" t="e">
        <v>#N/A</v>
      </c>
      <c r="C21" s="107" t="s">
        <v>166</v>
      </c>
      <c r="D21" s="111" t="s">
        <v>590</v>
      </c>
      <c r="E21" s="104">
        <v>20231026</v>
      </c>
      <c r="F21" s="104">
        <v>20231031</v>
      </c>
    </row>
    <row r="22" spans="1:7" x14ac:dyDescent="0.25">
      <c r="A22" s="105" t="e">
        <v>#N/A</v>
      </c>
      <c r="B22" s="106" t="e">
        <v>#N/A</v>
      </c>
      <c r="C22" s="107" t="e">
        <v>#N/A</v>
      </c>
      <c r="D22" s="112" t="s">
        <v>560</v>
      </c>
      <c r="E22" s="104">
        <v>20231020</v>
      </c>
      <c r="F22" s="104">
        <v>20231017</v>
      </c>
    </row>
    <row r="23" spans="1:7" x14ac:dyDescent="0.25">
      <c r="A23" s="105" t="s">
        <v>225</v>
      </c>
      <c r="B23" s="106">
        <v>1700</v>
      </c>
      <c r="C23" s="107" t="s">
        <v>150</v>
      </c>
      <c r="D23" s="111" t="s">
        <v>515</v>
      </c>
      <c r="E23" s="104">
        <v>20231108</v>
      </c>
      <c r="F23" s="104">
        <v>20231031</v>
      </c>
    </row>
    <row r="24" spans="1:7" x14ac:dyDescent="0.25">
      <c r="A24" s="105" t="s">
        <v>486</v>
      </c>
      <c r="B24" s="106">
        <v>1702</v>
      </c>
      <c r="C24" s="107" t="s">
        <v>598</v>
      </c>
      <c r="D24" s="111" t="s">
        <v>546</v>
      </c>
      <c r="E24" s="104">
        <v>20231026</v>
      </c>
      <c r="F24" s="104">
        <v>20230829</v>
      </c>
    </row>
    <row r="25" spans="1:7" x14ac:dyDescent="0.25">
      <c r="A25" s="105" t="s">
        <v>490</v>
      </c>
      <c r="B25" s="106">
        <v>1702</v>
      </c>
      <c r="C25" s="107" t="s">
        <v>169</v>
      </c>
      <c r="D25" s="111" t="s">
        <v>578</v>
      </c>
      <c r="E25" s="109">
        <v>20231201</v>
      </c>
      <c r="F25" s="104">
        <v>20231031</v>
      </c>
      <c r="G25" t="s">
        <v>599</v>
      </c>
    </row>
    <row r="26" spans="1:7" x14ac:dyDescent="0.25">
      <c r="A26" s="105" t="s">
        <v>225</v>
      </c>
      <c r="B26" s="106">
        <v>1700</v>
      </c>
      <c r="C26" s="107" t="s">
        <v>154</v>
      </c>
      <c r="D26" s="108" t="s">
        <v>516</v>
      </c>
      <c r="E26" s="104">
        <v>20231026</v>
      </c>
      <c r="F26" s="104">
        <v>20231030</v>
      </c>
    </row>
    <row r="27" spans="1:7" x14ac:dyDescent="0.25">
      <c r="A27" s="105" t="s">
        <v>225</v>
      </c>
      <c r="B27" s="106">
        <v>1700</v>
      </c>
      <c r="C27" s="107" t="s">
        <v>154</v>
      </c>
      <c r="D27" s="108" t="s">
        <v>517</v>
      </c>
      <c r="E27" s="104">
        <v>20231120</v>
      </c>
      <c r="F27" s="104">
        <v>20231120</v>
      </c>
    </row>
    <row r="28" spans="1:7" x14ac:dyDescent="0.25">
      <c r="A28" s="105" t="s">
        <v>225</v>
      </c>
      <c r="B28" s="106">
        <v>1721</v>
      </c>
      <c r="C28" s="107" t="s">
        <v>157</v>
      </c>
      <c r="D28" s="108" t="s">
        <v>518</v>
      </c>
      <c r="E28" s="104">
        <v>20231026</v>
      </c>
      <c r="F28" s="104">
        <v>20231031</v>
      </c>
    </row>
    <row r="29" spans="1:7" x14ac:dyDescent="0.25">
      <c r="A29" s="105" t="s">
        <v>230</v>
      </c>
      <c r="B29" s="106">
        <v>1700</v>
      </c>
      <c r="C29" s="107" t="s">
        <v>150</v>
      </c>
      <c r="D29" s="108" t="s">
        <v>485</v>
      </c>
      <c r="E29" s="104">
        <v>20230911</v>
      </c>
      <c r="F29" s="104">
        <v>20230816</v>
      </c>
    </row>
    <row r="30" spans="1:7" x14ac:dyDescent="0.25">
      <c r="A30" s="105" t="s">
        <v>225</v>
      </c>
      <c r="B30" s="106">
        <v>1721</v>
      </c>
      <c r="C30" s="107" t="s">
        <v>150</v>
      </c>
      <c r="D30" s="110" t="s">
        <v>600</v>
      </c>
      <c r="E30" s="104">
        <v>20231120</v>
      </c>
      <c r="F30" s="104">
        <v>20231115</v>
      </c>
    </row>
    <row r="31" spans="1:7" x14ac:dyDescent="0.25">
      <c r="A31" s="105" t="s">
        <v>225</v>
      </c>
      <c r="B31" s="106">
        <v>1721</v>
      </c>
      <c r="C31" s="107" t="s">
        <v>146</v>
      </c>
      <c r="D31" s="108" t="s">
        <v>519</v>
      </c>
      <c r="E31" s="104">
        <v>20231120</v>
      </c>
      <c r="F31" s="104">
        <v>20231031</v>
      </c>
      <c r="G31" t="s">
        <v>601</v>
      </c>
    </row>
    <row r="32" spans="1:7" x14ac:dyDescent="0.25">
      <c r="A32" s="105" t="s">
        <v>486</v>
      </c>
      <c r="B32" s="106">
        <v>1721</v>
      </c>
      <c r="C32" s="107" t="s">
        <v>160</v>
      </c>
      <c r="D32" s="129" t="s">
        <v>579</v>
      </c>
      <c r="E32" s="104">
        <v>20231026</v>
      </c>
      <c r="F32" s="109">
        <v>20231205</v>
      </c>
    </row>
    <row r="33" spans="1:8" x14ac:dyDescent="0.25">
      <c r="A33" s="105" t="s">
        <v>490</v>
      </c>
      <c r="B33" s="106">
        <v>1721</v>
      </c>
      <c r="C33" s="107" t="s">
        <v>157</v>
      </c>
      <c r="D33" s="108" t="s">
        <v>563</v>
      </c>
      <c r="E33" s="104">
        <v>20231026</v>
      </c>
      <c r="F33" s="104">
        <v>20231031</v>
      </c>
    </row>
    <row r="34" spans="1:8" x14ac:dyDescent="0.25">
      <c r="A34" s="105" t="s">
        <v>230</v>
      </c>
      <c r="B34" s="106">
        <v>1721</v>
      </c>
      <c r="C34" s="107" t="s">
        <v>154</v>
      </c>
      <c r="D34" s="129" t="s">
        <v>487</v>
      </c>
      <c r="E34" s="109"/>
      <c r="F34" s="104">
        <v>20231129</v>
      </c>
      <c r="G34" t="s">
        <v>602</v>
      </c>
      <c r="H34" s="113" t="s">
        <v>374</v>
      </c>
    </row>
    <row r="35" spans="1:8" x14ac:dyDescent="0.25">
      <c r="A35" s="105" t="s">
        <v>225</v>
      </c>
      <c r="B35" s="106">
        <v>1721</v>
      </c>
      <c r="C35" s="107" t="s">
        <v>150</v>
      </c>
      <c r="D35" s="110" t="s">
        <v>520</v>
      </c>
      <c r="E35" s="104">
        <v>20230724</v>
      </c>
      <c r="F35" s="104">
        <v>20231030</v>
      </c>
    </row>
    <row r="36" spans="1:8" x14ac:dyDescent="0.25">
      <c r="A36" s="105" t="s">
        <v>488</v>
      </c>
      <c r="B36" s="106">
        <v>1799</v>
      </c>
      <c r="C36" s="107" t="s">
        <v>163</v>
      </c>
      <c r="D36" s="108" t="s">
        <v>567</v>
      </c>
      <c r="E36" s="104">
        <v>20231026</v>
      </c>
      <c r="F36" s="104">
        <v>20231026</v>
      </c>
    </row>
    <row r="37" spans="1:8" x14ac:dyDescent="0.25">
      <c r="A37" s="105" t="s">
        <v>225</v>
      </c>
      <c r="B37" s="106">
        <v>1721</v>
      </c>
      <c r="C37" s="107" t="s">
        <v>150</v>
      </c>
      <c r="D37" s="110" t="s">
        <v>521</v>
      </c>
      <c r="E37" s="104">
        <v>20231120</v>
      </c>
      <c r="F37" s="104">
        <v>20231120</v>
      </c>
      <c r="G37" t="s">
        <v>603</v>
      </c>
    </row>
    <row r="38" spans="1:8" x14ac:dyDescent="0.25">
      <c r="A38" s="105" t="s">
        <v>486</v>
      </c>
      <c r="B38" s="106">
        <v>231</v>
      </c>
      <c r="C38" s="107" t="s">
        <v>157</v>
      </c>
      <c r="D38" s="108" t="s">
        <v>580</v>
      </c>
      <c r="E38" s="104">
        <v>20231101</v>
      </c>
      <c r="F38" s="104"/>
      <c r="G38" t="s">
        <v>342</v>
      </c>
      <c r="H38" s="113" t="s">
        <v>374</v>
      </c>
    </row>
    <row r="39" spans="1:8" x14ac:dyDescent="0.25">
      <c r="A39" s="105" t="s">
        <v>488</v>
      </c>
      <c r="B39" s="106">
        <v>1702</v>
      </c>
      <c r="C39" s="107" t="s">
        <v>172</v>
      </c>
      <c r="D39" s="108" t="s">
        <v>568</v>
      </c>
      <c r="E39" s="104">
        <v>20231026</v>
      </c>
      <c r="F39" s="104">
        <v>20231031</v>
      </c>
    </row>
    <row r="40" spans="1:8" x14ac:dyDescent="0.25">
      <c r="A40" s="105" t="s">
        <v>488</v>
      </c>
      <c r="B40" s="106">
        <v>1721</v>
      </c>
      <c r="C40" s="107" t="s">
        <v>150</v>
      </c>
      <c r="D40" s="108" t="s">
        <v>569</v>
      </c>
      <c r="E40" s="104">
        <v>20231011</v>
      </c>
      <c r="F40" s="104">
        <v>20231018</v>
      </c>
    </row>
    <row r="41" spans="1:8" x14ac:dyDescent="0.25">
      <c r="A41" s="105" t="s">
        <v>230</v>
      </c>
      <c r="B41" s="106">
        <v>1721</v>
      </c>
      <c r="C41" s="107" t="s">
        <v>160</v>
      </c>
      <c r="D41" s="108" t="s">
        <v>489</v>
      </c>
      <c r="E41" s="104">
        <v>20231120</v>
      </c>
      <c r="F41" s="104">
        <v>20231120</v>
      </c>
      <c r="H41" s="113" t="s">
        <v>374</v>
      </c>
    </row>
    <row r="42" spans="1:8" x14ac:dyDescent="0.25">
      <c r="A42" s="105" t="s">
        <v>488</v>
      </c>
      <c r="B42" s="106">
        <v>1721</v>
      </c>
      <c r="C42" s="107" t="s">
        <v>150</v>
      </c>
      <c r="D42" s="108" t="s">
        <v>570</v>
      </c>
      <c r="E42" s="109"/>
      <c r="F42" s="104">
        <v>20231031</v>
      </c>
      <c r="G42" t="s">
        <v>446</v>
      </c>
      <c r="H42" s="113" t="s">
        <v>374</v>
      </c>
    </row>
    <row r="43" spans="1:8" x14ac:dyDescent="0.25">
      <c r="A43" s="105" t="s">
        <v>211</v>
      </c>
      <c r="B43" s="106">
        <v>1721</v>
      </c>
      <c r="C43" s="107" t="s">
        <v>150</v>
      </c>
      <c r="D43" s="108" t="s">
        <v>548</v>
      </c>
      <c r="E43" s="104">
        <v>20231108</v>
      </c>
      <c r="F43" s="104">
        <v>20231023</v>
      </c>
      <c r="G43">
        <v>20231120</v>
      </c>
    </row>
    <row r="44" spans="1:8" x14ac:dyDescent="0.25">
      <c r="A44" s="105" t="s">
        <v>230</v>
      </c>
      <c r="B44" s="106">
        <v>1700</v>
      </c>
      <c r="C44" s="107" t="s">
        <v>146</v>
      </c>
      <c r="D44" s="108" t="s">
        <v>491</v>
      </c>
      <c r="E44" s="104">
        <v>20231026</v>
      </c>
      <c r="F44" s="104">
        <v>20231016</v>
      </c>
    </row>
    <row r="45" spans="1:8" x14ac:dyDescent="0.25">
      <c r="A45" s="105" t="s">
        <v>211</v>
      </c>
      <c r="B45" s="106">
        <v>1721</v>
      </c>
      <c r="C45" s="107" t="s">
        <v>146</v>
      </c>
      <c r="D45" s="112" t="s">
        <v>604</v>
      </c>
      <c r="E45" s="104">
        <v>20230926</v>
      </c>
      <c r="F45" s="104">
        <v>20231031</v>
      </c>
    </row>
    <row r="46" spans="1:8" x14ac:dyDescent="0.25">
      <c r="A46" s="105" t="s">
        <v>230</v>
      </c>
      <c r="B46" s="106">
        <v>1721</v>
      </c>
      <c r="C46" s="107" t="s">
        <v>157</v>
      </c>
      <c r="D46" s="133" t="s">
        <v>492</v>
      </c>
      <c r="E46" s="109"/>
      <c r="F46" s="109"/>
      <c r="G46" t="s">
        <v>605</v>
      </c>
      <c r="H46" s="113" t="s">
        <v>374</v>
      </c>
    </row>
    <row r="47" spans="1:8" x14ac:dyDescent="0.25">
      <c r="A47" s="105" t="s">
        <v>230</v>
      </c>
      <c r="B47" s="106">
        <v>1721</v>
      </c>
      <c r="C47" s="107" t="s">
        <v>150</v>
      </c>
      <c r="D47" s="108" t="s">
        <v>606</v>
      </c>
      <c r="E47" s="109"/>
      <c r="F47" s="104">
        <v>20231016</v>
      </c>
      <c r="G47" t="s">
        <v>607</v>
      </c>
      <c r="H47" s="113" t="s">
        <v>374</v>
      </c>
    </row>
    <row r="48" spans="1:8" x14ac:dyDescent="0.25">
      <c r="A48" s="105" t="s">
        <v>490</v>
      </c>
      <c r="B48" s="106">
        <v>1702</v>
      </c>
      <c r="C48" s="107" t="s">
        <v>175</v>
      </c>
      <c r="D48" s="108" t="s">
        <v>608</v>
      </c>
      <c r="E48" s="104">
        <v>20231026</v>
      </c>
      <c r="F48" s="104">
        <v>20231031</v>
      </c>
    </row>
    <row r="49" spans="1:6" x14ac:dyDescent="0.25">
      <c r="A49" s="105" t="s">
        <v>486</v>
      </c>
      <c r="B49" s="106">
        <v>1721</v>
      </c>
      <c r="C49" s="107" t="s">
        <v>160</v>
      </c>
      <c r="D49" s="108" t="s">
        <v>581</v>
      </c>
      <c r="E49" s="104">
        <v>20231120</v>
      </c>
      <c r="F49" s="104">
        <v>20231106</v>
      </c>
    </row>
    <row r="50" spans="1:6" x14ac:dyDescent="0.25">
      <c r="A50" s="105" t="s">
        <v>211</v>
      </c>
      <c r="B50" s="106">
        <v>1721</v>
      </c>
      <c r="C50" s="107" t="s">
        <v>154</v>
      </c>
      <c r="D50" s="111" t="s">
        <v>549</v>
      </c>
      <c r="E50" s="104">
        <v>20230926</v>
      </c>
      <c r="F50" s="104">
        <v>20231031</v>
      </c>
    </row>
    <row r="51" spans="1:6" x14ac:dyDescent="0.25">
      <c r="A51" s="105" t="s">
        <v>211</v>
      </c>
      <c r="B51" s="106">
        <v>1721</v>
      </c>
      <c r="C51" s="107" t="s">
        <v>146</v>
      </c>
      <c r="D51" s="108" t="s">
        <v>550</v>
      </c>
      <c r="E51" s="104">
        <v>20231026</v>
      </c>
      <c r="F51" s="104">
        <v>20231016</v>
      </c>
    </row>
    <row r="52" spans="1:6" x14ac:dyDescent="0.25">
      <c r="A52" s="105" t="s">
        <v>225</v>
      </c>
      <c r="B52" s="106">
        <v>1700</v>
      </c>
      <c r="C52" s="107" t="s">
        <v>154</v>
      </c>
      <c r="D52" s="110" t="s">
        <v>522</v>
      </c>
      <c r="E52" s="104">
        <v>20231025</v>
      </c>
      <c r="F52" s="104">
        <v>20231018</v>
      </c>
    </row>
    <row r="53" spans="1:6" x14ac:dyDescent="0.25">
      <c r="A53" s="105" t="s">
        <v>225</v>
      </c>
      <c r="B53" s="106">
        <v>1721</v>
      </c>
      <c r="C53" s="107" t="s">
        <v>150</v>
      </c>
      <c r="D53" s="114" t="s">
        <v>523</v>
      </c>
      <c r="E53" s="104">
        <v>20231025</v>
      </c>
      <c r="F53" s="104">
        <v>20230714</v>
      </c>
    </row>
    <row r="54" spans="1:6" x14ac:dyDescent="0.25">
      <c r="A54" s="105" t="s">
        <v>230</v>
      </c>
      <c r="B54" s="106">
        <v>1721</v>
      </c>
      <c r="C54" s="107" t="s">
        <v>146</v>
      </c>
      <c r="D54" s="112" t="s">
        <v>493</v>
      </c>
      <c r="E54" s="104">
        <v>20231026</v>
      </c>
      <c r="F54" s="104">
        <v>20231025</v>
      </c>
    </row>
    <row r="55" spans="1:6" x14ac:dyDescent="0.25">
      <c r="A55" s="105" t="s">
        <v>211</v>
      </c>
      <c r="B55" s="106">
        <v>1721</v>
      </c>
      <c r="C55" s="107" t="s">
        <v>150</v>
      </c>
      <c r="D55" s="115" t="s">
        <v>551</v>
      </c>
      <c r="E55" s="104">
        <v>20230926</v>
      </c>
      <c r="F55" s="104">
        <v>20231107</v>
      </c>
    </row>
    <row r="56" spans="1:6" x14ac:dyDescent="0.25">
      <c r="A56" s="105" t="s">
        <v>230</v>
      </c>
      <c r="B56" s="106">
        <v>1721</v>
      </c>
      <c r="C56" s="107" t="s">
        <v>146</v>
      </c>
      <c r="D56" s="108" t="s">
        <v>496</v>
      </c>
      <c r="E56" s="104">
        <v>20231026</v>
      </c>
      <c r="F56" s="104">
        <v>20231016</v>
      </c>
    </row>
    <row r="57" spans="1:6" x14ac:dyDescent="0.25">
      <c r="A57" s="105" t="s">
        <v>488</v>
      </c>
      <c r="B57" s="106">
        <v>1702</v>
      </c>
      <c r="C57" s="107" t="s">
        <v>169</v>
      </c>
      <c r="D57" s="108" t="s">
        <v>571</v>
      </c>
      <c r="E57" s="104">
        <v>20231026</v>
      </c>
      <c r="F57" s="104">
        <v>20231101</v>
      </c>
    </row>
    <row r="58" spans="1:6" x14ac:dyDescent="0.25">
      <c r="A58" s="105" t="s">
        <v>225</v>
      </c>
      <c r="B58" s="106">
        <v>1721</v>
      </c>
      <c r="C58" s="107" t="s">
        <v>146</v>
      </c>
      <c r="D58" s="112" t="s">
        <v>524</v>
      </c>
      <c r="E58" s="104">
        <v>20231108</v>
      </c>
      <c r="F58" s="104">
        <v>20230822</v>
      </c>
    </row>
    <row r="59" spans="1:6" x14ac:dyDescent="0.25">
      <c r="A59" s="105" t="s">
        <v>230</v>
      </c>
      <c r="B59" s="106">
        <v>1702</v>
      </c>
      <c r="C59" s="107" t="s">
        <v>169</v>
      </c>
      <c r="D59" s="112" t="s">
        <v>497</v>
      </c>
      <c r="E59" s="104">
        <v>20231026</v>
      </c>
      <c r="F59" s="104">
        <v>20230803</v>
      </c>
    </row>
    <row r="60" spans="1:6" x14ac:dyDescent="0.25">
      <c r="A60" s="105" t="s">
        <v>230</v>
      </c>
      <c r="B60" s="106">
        <v>1721</v>
      </c>
      <c r="C60" s="107" t="s">
        <v>146</v>
      </c>
      <c r="D60" s="108" t="s">
        <v>499</v>
      </c>
      <c r="E60" s="104">
        <v>20231026</v>
      </c>
      <c r="F60" s="104">
        <v>20231102</v>
      </c>
    </row>
    <row r="61" spans="1:6" x14ac:dyDescent="0.25">
      <c r="A61" s="105" t="s">
        <v>486</v>
      </c>
      <c r="B61" s="106">
        <v>231</v>
      </c>
      <c r="C61" s="107" t="s">
        <v>150</v>
      </c>
      <c r="D61" s="108" t="s">
        <v>582</v>
      </c>
      <c r="E61" s="104">
        <v>20231026</v>
      </c>
      <c r="F61" s="104">
        <v>20231031</v>
      </c>
    </row>
    <row r="62" spans="1:6" x14ac:dyDescent="0.25">
      <c r="A62" s="105" t="s">
        <v>211</v>
      </c>
      <c r="B62" s="106">
        <v>1700</v>
      </c>
      <c r="C62" s="107" t="s">
        <v>154</v>
      </c>
      <c r="D62" s="116" t="s">
        <v>609</v>
      </c>
      <c r="E62" s="104">
        <v>20230926</v>
      </c>
      <c r="F62" s="104">
        <v>20230926</v>
      </c>
    </row>
    <row r="63" spans="1:6" x14ac:dyDescent="0.25">
      <c r="A63" s="105" t="s">
        <v>230</v>
      </c>
      <c r="B63" s="106">
        <v>1700</v>
      </c>
      <c r="C63" s="107" t="s">
        <v>154</v>
      </c>
      <c r="D63" s="108" t="s">
        <v>500</v>
      </c>
      <c r="E63" s="104">
        <v>20230926</v>
      </c>
      <c r="F63" s="104">
        <v>20230926</v>
      </c>
    </row>
    <row r="64" spans="1:6" x14ac:dyDescent="0.25">
      <c r="A64" s="105" t="s">
        <v>230</v>
      </c>
      <c r="B64" s="106">
        <v>1721</v>
      </c>
      <c r="C64" s="107" t="s">
        <v>157</v>
      </c>
      <c r="D64" s="108" t="s">
        <v>501</v>
      </c>
      <c r="E64" s="104">
        <v>20231026</v>
      </c>
      <c r="F64" s="104">
        <v>20231031</v>
      </c>
    </row>
    <row r="65" spans="1:7" x14ac:dyDescent="0.25">
      <c r="A65" s="105" t="s">
        <v>486</v>
      </c>
      <c r="B65" s="106">
        <v>1721</v>
      </c>
      <c r="C65" s="107" t="s">
        <v>150</v>
      </c>
      <c r="D65" s="108" t="s">
        <v>583</v>
      </c>
      <c r="E65" s="104">
        <v>20231026</v>
      </c>
      <c r="F65" s="104">
        <v>20231025</v>
      </c>
    </row>
    <row r="66" spans="1:7" x14ac:dyDescent="0.25">
      <c r="A66" s="105" t="s">
        <v>225</v>
      </c>
      <c r="B66" s="106">
        <v>1721</v>
      </c>
      <c r="C66" s="107" t="s">
        <v>150</v>
      </c>
      <c r="D66" s="110" t="s">
        <v>525</v>
      </c>
      <c r="E66" s="104">
        <v>20231011</v>
      </c>
      <c r="F66" s="104">
        <v>20231107</v>
      </c>
    </row>
    <row r="67" spans="1:7" x14ac:dyDescent="0.25">
      <c r="A67" s="105" t="s">
        <v>211</v>
      </c>
      <c r="B67" s="106">
        <v>1721</v>
      </c>
      <c r="C67" s="107" t="s">
        <v>160</v>
      </c>
      <c r="D67" s="108" t="s">
        <v>553</v>
      </c>
      <c r="E67" s="104">
        <v>20231025</v>
      </c>
      <c r="F67" s="104">
        <v>20230710</v>
      </c>
    </row>
    <row r="68" spans="1:7" x14ac:dyDescent="0.25">
      <c r="A68" s="105" t="s">
        <v>488</v>
      </c>
      <c r="B68" s="106">
        <v>1721</v>
      </c>
      <c r="C68" s="107" t="s">
        <v>157</v>
      </c>
      <c r="D68" s="108" t="s">
        <v>610</v>
      </c>
      <c r="E68" s="104">
        <v>20231115</v>
      </c>
      <c r="F68" s="104">
        <v>20231011</v>
      </c>
    </row>
    <row r="69" spans="1:7" x14ac:dyDescent="0.25">
      <c r="A69" s="105" t="s">
        <v>488</v>
      </c>
      <c r="B69" s="106">
        <v>1702</v>
      </c>
      <c r="C69" s="107" t="s">
        <v>172</v>
      </c>
      <c r="D69" s="108" t="s">
        <v>572</v>
      </c>
      <c r="E69" s="104">
        <v>20231026</v>
      </c>
      <c r="F69" s="104">
        <v>20231031</v>
      </c>
    </row>
    <row r="70" spans="1:7" x14ac:dyDescent="0.25">
      <c r="A70" s="105" t="s">
        <v>225</v>
      </c>
      <c r="B70" s="106">
        <v>1700</v>
      </c>
      <c r="C70" s="107" t="s">
        <v>150</v>
      </c>
      <c r="D70" s="116" t="s">
        <v>611</v>
      </c>
      <c r="E70" s="104">
        <v>20230724</v>
      </c>
      <c r="F70" s="104">
        <v>20231107</v>
      </c>
    </row>
    <row r="71" spans="1:7" x14ac:dyDescent="0.25">
      <c r="A71" s="105" t="s">
        <v>225</v>
      </c>
      <c r="B71" s="106">
        <v>1700</v>
      </c>
      <c r="C71" s="107" t="s">
        <v>146</v>
      </c>
      <c r="D71" s="108" t="s">
        <v>526</v>
      </c>
      <c r="E71" s="104">
        <v>20231108</v>
      </c>
      <c r="F71" s="104">
        <v>20230929</v>
      </c>
    </row>
    <row r="72" spans="1:7" x14ac:dyDescent="0.25">
      <c r="A72" s="105" t="s">
        <v>486</v>
      </c>
      <c r="B72" s="106">
        <v>1721</v>
      </c>
      <c r="C72" s="107" t="s">
        <v>154</v>
      </c>
      <c r="D72" s="108" t="s">
        <v>584</v>
      </c>
      <c r="E72" s="104">
        <v>20231026</v>
      </c>
      <c r="F72" s="104">
        <v>20231016</v>
      </c>
    </row>
    <row r="73" spans="1:7" x14ac:dyDescent="0.25">
      <c r="A73" s="105" t="s">
        <v>490</v>
      </c>
      <c r="B73" s="106">
        <v>1702</v>
      </c>
      <c r="C73" s="107" t="s">
        <v>169</v>
      </c>
      <c r="D73" s="108" t="s">
        <v>564</v>
      </c>
      <c r="E73" s="104">
        <v>20230919</v>
      </c>
      <c r="F73" s="104">
        <v>20231029</v>
      </c>
    </row>
    <row r="74" spans="1:7" x14ac:dyDescent="0.25">
      <c r="A74" s="105" t="s">
        <v>225</v>
      </c>
      <c r="B74" s="106">
        <v>1721</v>
      </c>
      <c r="C74" s="107" t="s">
        <v>150</v>
      </c>
      <c r="D74" s="110" t="s">
        <v>527</v>
      </c>
      <c r="E74" s="104">
        <v>20231026</v>
      </c>
      <c r="F74" s="104">
        <v>20231031</v>
      </c>
    </row>
    <row r="75" spans="1:7" x14ac:dyDescent="0.25">
      <c r="A75" s="105" t="s">
        <v>486</v>
      </c>
      <c r="B75" s="106">
        <v>1721</v>
      </c>
      <c r="C75" s="107" t="s">
        <v>150</v>
      </c>
      <c r="D75" s="108" t="s">
        <v>585</v>
      </c>
      <c r="E75" s="104">
        <v>20230815</v>
      </c>
      <c r="F75" s="104">
        <v>20231031</v>
      </c>
    </row>
    <row r="76" spans="1:7" x14ac:dyDescent="0.25">
      <c r="A76" s="105" t="s">
        <v>230</v>
      </c>
      <c r="B76" s="106">
        <v>1721</v>
      </c>
      <c r="C76" s="107" t="s">
        <v>154</v>
      </c>
      <c r="D76" s="111" t="s">
        <v>502</v>
      </c>
      <c r="E76" s="104">
        <v>20231026</v>
      </c>
      <c r="F76" s="104">
        <v>20231107</v>
      </c>
    </row>
    <row r="77" spans="1:7" x14ac:dyDescent="0.25">
      <c r="A77" s="105" t="s">
        <v>230</v>
      </c>
      <c r="B77" s="106">
        <v>1700</v>
      </c>
      <c r="C77" s="107" t="s">
        <v>150</v>
      </c>
      <c r="D77" s="116" t="s">
        <v>504</v>
      </c>
      <c r="E77" s="104">
        <v>20231026</v>
      </c>
      <c r="F77" s="104">
        <v>20231114</v>
      </c>
      <c r="G77" s="117"/>
    </row>
    <row r="78" spans="1:7" x14ac:dyDescent="0.25">
      <c r="A78" s="105" t="s">
        <v>211</v>
      </c>
      <c r="B78" s="106">
        <v>1700</v>
      </c>
      <c r="C78" s="107" t="s">
        <v>154</v>
      </c>
      <c r="D78" s="118" t="s">
        <v>554</v>
      </c>
      <c r="E78" s="104">
        <v>20230926</v>
      </c>
      <c r="F78" s="104">
        <v>20230926</v>
      </c>
    </row>
    <row r="79" spans="1:7" x14ac:dyDescent="0.25">
      <c r="A79" s="105" t="s">
        <v>230</v>
      </c>
      <c r="B79" s="106">
        <v>1721</v>
      </c>
      <c r="C79" s="107" t="s">
        <v>154</v>
      </c>
      <c r="D79" s="108" t="s">
        <v>505</v>
      </c>
      <c r="E79" s="104">
        <v>20231026</v>
      </c>
      <c r="F79" s="104">
        <v>20231107</v>
      </c>
    </row>
    <row r="80" spans="1:7" x14ac:dyDescent="0.25">
      <c r="A80" s="105" t="s">
        <v>225</v>
      </c>
      <c r="B80" s="106">
        <v>1721</v>
      </c>
      <c r="C80" s="107" t="s">
        <v>154</v>
      </c>
      <c r="D80" s="108" t="s">
        <v>529</v>
      </c>
      <c r="E80" s="104">
        <v>20231025</v>
      </c>
      <c r="F80" s="104">
        <v>20231031</v>
      </c>
    </row>
    <row r="81" spans="1:7" x14ac:dyDescent="0.25">
      <c r="A81" s="105" t="s">
        <v>486</v>
      </c>
      <c r="B81" s="106">
        <v>1721</v>
      </c>
      <c r="C81" s="107" t="s">
        <v>157</v>
      </c>
      <c r="D81" s="110" t="s">
        <v>586</v>
      </c>
      <c r="E81" s="104">
        <v>20230828</v>
      </c>
      <c r="F81" s="104">
        <v>20230907</v>
      </c>
    </row>
    <row r="82" spans="1:7" x14ac:dyDescent="0.25">
      <c r="A82" s="105" t="s">
        <v>225</v>
      </c>
      <c r="B82" s="106">
        <v>1721</v>
      </c>
      <c r="C82" s="107" t="s">
        <v>157</v>
      </c>
      <c r="D82" s="111" t="s">
        <v>530</v>
      </c>
      <c r="E82" s="104">
        <v>20231026</v>
      </c>
      <c r="F82" s="104">
        <v>20231024</v>
      </c>
    </row>
    <row r="83" spans="1:7" x14ac:dyDescent="0.25">
      <c r="A83" s="105" t="s">
        <v>230</v>
      </c>
      <c r="B83" s="106">
        <v>1700</v>
      </c>
      <c r="C83" s="107" t="s">
        <v>150</v>
      </c>
      <c r="D83" s="111" t="s">
        <v>506</v>
      </c>
      <c r="E83" s="104">
        <v>20230926</v>
      </c>
      <c r="F83" s="104">
        <v>20230901</v>
      </c>
    </row>
    <row r="84" spans="1:7" x14ac:dyDescent="0.25">
      <c r="A84" s="105" t="s">
        <v>225</v>
      </c>
      <c r="B84" s="106">
        <v>1721</v>
      </c>
      <c r="C84" s="107" t="s">
        <v>150</v>
      </c>
      <c r="D84" s="112" t="s">
        <v>531</v>
      </c>
      <c r="E84" s="104">
        <v>20231120</v>
      </c>
      <c r="F84" s="104">
        <v>20230822</v>
      </c>
      <c r="G84" t="s">
        <v>603</v>
      </c>
    </row>
    <row r="85" spans="1:7" x14ac:dyDescent="0.25">
      <c r="A85" s="105" t="s">
        <v>211</v>
      </c>
      <c r="B85" s="106">
        <v>1700</v>
      </c>
      <c r="C85" s="107" t="s">
        <v>150</v>
      </c>
      <c r="D85" s="108" t="s">
        <v>555</v>
      </c>
      <c r="E85" s="104">
        <v>20231026</v>
      </c>
      <c r="F85" s="104">
        <v>20230927</v>
      </c>
    </row>
    <row r="86" spans="1:7" x14ac:dyDescent="0.25">
      <c r="A86" s="105" t="s">
        <v>211</v>
      </c>
      <c r="B86" s="106">
        <v>1721</v>
      </c>
      <c r="C86" s="107" t="s">
        <v>146</v>
      </c>
      <c r="D86" s="112" t="s">
        <v>556</v>
      </c>
      <c r="E86" s="104">
        <v>20230814</v>
      </c>
      <c r="F86" s="104">
        <v>20230713</v>
      </c>
    </row>
    <row r="87" spans="1:7" x14ac:dyDescent="0.25">
      <c r="A87" s="105" t="s">
        <v>211</v>
      </c>
      <c r="B87" s="106">
        <v>1702</v>
      </c>
      <c r="C87" s="107" t="s">
        <v>166</v>
      </c>
      <c r="D87" s="118" t="s">
        <v>612</v>
      </c>
      <c r="E87" s="104">
        <v>20231025</v>
      </c>
      <c r="F87" s="104">
        <v>20231031</v>
      </c>
    </row>
    <row r="88" spans="1:7" x14ac:dyDescent="0.25">
      <c r="A88" s="105" t="e">
        <v>#N/A</v>
      </c>
      <c r="B88" s="106" t="e">
        <v>#N/A</v>
      </c>
      <c r="C88" s="107" t="e">
        <v>#N/A</v>
      </c>
      <c r="D88" s="108" t="s">
        <v>613</v>
      </c>
      <c r="E88" s="104">
        <v>20230724</v>
      </c>
      <c r="F88" s="104">
        <v>20231031</v>
      </c>
      <c r="G88" t="s">
        <v>614</v>
      </c>
    </row>
    <row r="89" spans="1:7" x14ac:dyDescent="0.25">
      <c r="A89" s="105" t="s">
        <v>230</v>
      </c>
      <c r="B89" s="106">
        <v>1700</v>
      </c>
      <c r="C89" s="107" t="s">
        <v>154</v>
      </c>
      <c r="D89" s="108" t="s">
        <v>507</v>
      </c>
      <c r="E89" s="104">
        <v>20231103</v>
      </c>
      <c r="F89" s="104">
        <v>20231003</v>
      </c>
    </row>
    <row r="90" spans="1:7" x14ac:dyDescent="0.25">
      <c r="A90" s="105" t="s">
        <v>211</v>
      </c>
      <c r="B90" s="106">
        <v>1721</v>
      </c>
      <c r="C90" s="107" t="s">
        <v>150</v>
      </c>
      <c r="D90" s="108" t="s">
        <v>557</v>
      </c>
      <c r="E90" s="104">
        <v>20231026</v>
      </c>
      <c r="F90" s="104">
        <v>20231031</v>
      </c>
    </row>
    <row r="91" spans="1:7" x14ac:dyDescent="0.25">
      <c r="A91" s="105" t="s">
        <v>488</v>
      </c>
      <c r="B91" s="106">
        <v>1721</v>
      </c>
      <c r="C91" s="107" t="s">
        <v>146</v>
      </c>
      <c r="D91" s="119" t="s">
        <v>573</v>
      </c>
      <c r="E91" s="104">
        <v>20231011</v>
      </c>
      <c r="F91" s="104">
        <v>20231024</v>
      </c>
    </row>
    <row r="92" spans="1:7" x14ac:dyDescent="0.25">
      <c r="A92" s="105" t="s">
        <v>225</v>
      </c>
      <c r="B92" s="106">
        <v>1700</v>
      </c>
      <c r="C92" s="107" t="s">
        <v>154</v>
      </c>
      <c r="D92" s="120" t="s">
        <v>615</v>
      </c>
      <c r="E92" s="104">
        <v>20231120</v>
      </c>
      <c r="F92" s="109">
        <v>20231120</v>
      </c>
      <c r="G92" t="s">
        <v>616</v>
      </c>
    </row>
    <row r="93" spans="1:7" x14ac:dyDescent="0.25">
      <c r="A93" s="105" t="s">
        <v>488</v>
      </c>
      <c r="B93" s="106">
        <v>1720</v>
      </c>
      <c r="C93" s="107" t="s">
        <v>178</v>
      </c>
      <c r="D93" s="130" t="s">
        <v>574</v>
      </c>
      <c r="E93" s="104">
        <v>20231026</v>
      </c>
      <c r="F93" s="104">
        <v>20231031</v>
      </c>
    </row>
    <row r="94" spans="1:7" x14ac:dyDescent="0.25">
      <c r="A94" s="105" t="s">
        <v>225</v>
      </c>
      <c r="B94" s="106">
        <v>1721</v>
      </c>
      <c r="C94" s="107" t="s">
        <v>146</v>
      </c>
      <c r="D94" s="131" t="s">
        <v>533</v>
      </c>
      <c r="E94" s="104">
        <v>20231120</v>
      </c>
      <c r="F94" s="104">
        <v>20231031</v>
      </c>
      <c r="G94" t="s">
        <v>603</v>
      </c>
    </row>
    <row r="95" spans="1:7" x14ac:dyDescent="0.25">
      <c r="A95" s="105" t="s">
        <v>225</v>
      </c>
      <c r="B95" s="106">
        <v>1721</v>
      </c>
      <c r="C95" s="107" t="s">
        <v>146</v>
      </c>
      <c r="D95" s="121" t="s">
        <v>534</v>
      </c>
      <c r="E95" s="104">
        <v>20231120</v>
      </c>
      <c r="F95" s="104">
        <v>20231031</v>
      </c>
      <c r="G95" t="s">
        <v>603</v>
      </c>
    </row>
    <row r="96" spans="1:7" x14ac:dyDescent="0.25">
      <c r="A96" s="105" t="s">
        <v>230</v>
      </c>
      <c r="B96" s="106">
        <v>1700</v>
      </c>
      <c r="C96" s="107" t="s">
        <v>150</v>
      </c>
      <c r="D96" s="121" t="s">
        <v>508</v>
      </c>
      <c r="E96" s="104">
        <v>20231016</v>
      </c>
      <c r="F96" s="104">
        <v>20231107</v>
      </c>
    </row>
    <row r="97" spans="1:7" x14ac:dyDescent="0.25">
      <c r="A97" s="105" t="s">
        <v>211</v>
      </c>
      <c r="B97" s="106">
        <v>1721</v>
      </c>
      <c r="C97" s="107" t="s">
        <v>150</v>
      </c>
      <c r="D97" s="121" t="s">
        <v>617</v>
      </c>
      <c r="E97" s="104">
        <v>20231108</v>
      </c>
      <c r="F97" s="104">
        <v>20231031</v>
      </c>
    </row>
    <row r="98" spans="1:7" x14ac:dyDescent="0.25">
      <c r="A98" s="105" t="s">
        <v>225</v>
      </c>
      <c r="B98" s="106">
        <v>1700</v>
      </c>
      <c r="C98" s="107" t="s">
        <v>154</v>
      </c>
      <c r="D98" s="120" t="s">
        <v>536</v>
      </c>
      <c r="E98" s="104">
        <v>20231026</v>
      </c>
      <c r="F98" s="104">
        <v>20231030</v>
      </c>
    </row>
    <row r="99" spans="1:7" x14ac:dyDescent="0.25">
      <c r="A99" s="105" t="s">
        <v>225</v>
      </c>
      <c r="B99" s="106">
        <v>1721</v>
      </c>
      <c r="C99" s="107" t="s">
        <v>146</v>
      </c>
      <c r="D99" s="121" t="s">
        <v>537</v>
      </c>
      <c r="E99" s="104">
        <v>20230919</v>
      </c>
      <c r="F99" s="104">
        <v>20230929</v>
      </c>
    </row>
    <row r="100" spans="1:7" x14ac:dyDescent="0.25">
      <c r="A100" s="105" t="s">
        <v>230</v>
      </c>
      <c r="B100" s="106">
        <v>1721</v>
      </c>
      <c r="C100" s="107" t="s">
        <v>146</v>
      </c>
      <c r="D100" s="132" t="s">
        <v>587</v>
      </c>
      <c r="E100" s="104">
        <v>20231026</v>
      </c>
      <c r="F100" s="104">
        <v>20231031</v>
      </c>
    </row>
    <row r="101" spans="1:7" x14ac:dyDescent="0.25">
      <c r="A101" s="105" t="s">
        <v>488</v>
      </c>
      <c r="B101" s="106">
        <v>1799</v>
      </c>
      <c r="C101" s="107" t="s">
        <v>163</v>
      </c>
      <c r="D101" s="130" t="s">
        <v>575</v>
      </c>
      <c r="E101" s="104">
        <v>20231026</v>
      </c>
      <c r="F101" s="104">
        <v>20231114</v>
      </c>
      <c r="G101" t="s">
        <v>618</v>
      </c>
    </row>
    <row r="102" spans="1:7" x14ac:dyDescent="0.25">
      <c r="A102" s="105" t="s">
        <v>225</v>
      </c>
      <c r="B102" s="106">
        <v>1721</v>
      </c>
      <c r="C102" s="107" t="s">
        <v>160</v>
      </c>
      <c r="D102" s="122" t="s">
        <v>538</v>
      </c>
      <c r="E102" s="104">
        <v>20231025</v>
      </c>
      <c r="F102" s="104">
        <v>20231031</v>
      </c>
    </row>
    <row r="103" spans="1:7" x14ac:dyDescent="0.25">
      <c r="A103" s="105" t="s">
        <v>211</v>
      </c>
      <c r="B103" s="106">
        <v>1721</v>
      </c>
      <c r="C103" s="107" t="s">
        <v>150</v>
      </c>
      <c r="D103" s="121" t="s">
        <v>558</v>
      </c>
      <c r="E103" s="104">
        <v>20230926</v>
      </c>
      <c r="F103" s="104">
        <v>20231002</v>
      </c>
    </row>
    <row r="104" spans="1:7" x14ac:dyDescent="0.25">
      <c r="A104" s="105" t="s">
        <v>230</v>
      </c>
      <c r="B104" s="106">
        <v>1721</v>
      </c>
      <c r="C104" s="107" t="s">
        <v>150</v>
      </c>
      <c r="D104" s="121" t="s">
        <v>509</v>
      </c>
      <c r="E104" s="104">
        <v>20231026</v>
      </c>
      <c r="F104" s="104">
        <v>20231101</v>
      </c>
    </row>
    <row r="105" spans="1:7" x14ac:dyDescent="0.25">
      <c r="A105" s="105" t="s">
        <v>211</v>
      </c>
      <c r="B105" s="106">
        <v>1721</v>
      </c>
      <c r="C105" s="107" t="s">
        <v>157</v>
      </c>
      <c r="D105" s="121" t="s">
        <v>619</v>
      </c>
      <c r="E105" s="104">
        <v>20231026</v>
      </c>
      <c r="F105" s="104">
        <v>20231031</v>
      </c>
    </row>
    <row r="106" spans="1:7" x14ac:dyDescent="0.25">
      <c r="A106" s="105" t="s">
        <v>230</v>
      </c>
      <c r="B106" s="106">
        <v>1721</v>
      </c>
      <c r="C106" s="107" t="s">
        <v>150</v>
      </c>
      <c r="D106" s="123" t="s">
        <v>510</v>
      </c>
      <c r="E106" s="104">
        <v>20231026</v>
      </c>
      <c r="F106" s="104">
        <v>20230828</v>
      </c>
    </row>
    <row r="107" spans="1:7" x14ac:dyDescent="0.25">
      <c r="A107" s="105" t="s">
        <v>230</v>
      </c>
      <c r="B107" s="106">
        <v>1721</v>
      </c>
      <c r="C107" s="107" t="s">
        <v>150</v>
      </c>
      <c r="D107" s="121" t="s">
        <v>511</v>
      </c>
      <c r="E107" s="104">
        <v>20231108</v>
      </c>
      <c r="F107" s="104">
        <v>20231023</v>
      </c>
    </row>
    <row r="108" spans="1:7" x14ac:dyDescent="0.25">
      <c r="A108" s="105" t="s">
        <v>230</v>
      </c>
      <c r="B108" s="106">
        <v>1721</v>
      </c>
      <c r="C108" s="107" t="s">
        <v>154</v>
      </c>
      <c r="D108" s="123" t="s">
        <v>512</v>
      </c>
      <c r="E108" s="104">
        <v>20231103</v>
      </c>
      <c r="F108" s="104">
        <v>20231031</v>
      </c>
    </row>
    <row r="109" spans="1:7" x14ac:dyDescent="0.25">
      <c r="A109" s="105" t="s">
        <v>230</v>
      </c>
      <c r="B109" s="106">
        <v>1721</v>
      </c>
      <c r="C109" s="107" t="s">
        <v>154</v>
      </c>
      <c r="D109" s="124" t="s">
        <v>513</v>
      </c>
      <c r="E109" s="104">
        <v>20231026</v>
      </c>
      <c r="F109" s="104">
        <v>20231025</v>
      </c>
    </row>
    <row r="110" spans="1:7" x14ac:dyDescent="0.25">
      <c r="A110" s="127" t="s">
        <v>486</v>
      </c>
      <c r="B110" s="127">
        <v>1721</v>
      </c>
      <c r="C110" s="127" t="s">
        <v>146</v>
      </c>
      <c r="D110" s="124" t="s">
        <v>588</v>
      </c>
      <c r="E110" s="104">
        <v>20231026</v>
      </c>
      <c r="F110" s="104">
        <v>20230720</v>
      </c>
    </row>
    <row r="111" spans="1:7" x14ac:dyDescent="0.25">
      <c r="A111" s="127" t="s">
        <v>486</v>
      </c>
      <c r="B111" s="127">
        <v>231</v>
      </c>
      <c r="C111" s="127" t="s">
        <v>146</v>
      </c>
      <c r="D111" s="73" t="s">
        <v>589</v>
      </c>
      <c r="E111" s="104">
        <v>20231120</v>
      </c>
      <c r="F111" s="104">
        <v>20231031</v>
      </c>
    </row>
    <row r="112" spans="1:7" x14ac:dyDescent="0.25">
      <c r="A112" s="97" t="s">
        <v>211</v>
      </c>
      <c r="B112">
        <v>1721</v>
      </c>
      <c r="C112" s="97" t="s">
        <v>146</v>
      </c>
      <c r="D112" s="66" t="s">
        <v>547</v>
      </c>
      <c r="E112" s="104">
        <v>20231107</v>
      </c>
      <c r="F112" s="104">
        <v>20230721</v>
      </c>
    </row>
    <row r="113" spans="1:7" x14ac:dyDescent="0.25">
      <c r="A113" s="97" t="s">
        <v>211</v>
      </c>
      <c r="B113">
        <v>1700</v>
      </c>
      <c r="C113" s="97" t="s">
        <v>146</v>
      </c>
      <c r="D113" s="66" t="s">
        <v>620</v>
      </c>
      <c r="E113" s="104">
        <v>20231107</v>
      </c>
      <c r="F113" s="104">
        <v>20230721</v>
      </c>
    </row>
    <row r="114" spans="1:7" x14ac:dyDescent="0.25">
      <c r="A114" s="97" t="s">
        <v>225</v>
      </c>
      <c r="B114">
        <v>1721</v>
      </c>
      <c r="C114" s="134" t="s">
        <v>150</v>
      </c>
      <c r="D114" s="66" t="s">
        <v>552</v>
      </c>
      <c r="E114" s="104">
        <v>20231107</v>
      </c>
      <c r="F114" s="104">
        <v>20230721</v>
      </c>
    </row>
    <row r="115" spans="1:7" x14ac:dyDescent="0.25">
      <c r="A115" s="97" t="s">
        <v>225</v>
      </c>
      <c r="B115">
        <v>1721</v>
      </c>
      <c r="C115" s="134" t="s">
        <v>154</v>
      </c>
      <c r="D115" s="66" t="s">
        <v>528</v>
      </c>
      <c r="E115" s="104">
        <v>20231020</v>
      </c>
      <c r="F115" s="104">
        <v>20231103</v>
      </c>
    </row>
    <row r="116" spans="1:7" x14ac:dyDescent="0.25">
      <c r="A116" s="97" t="s">
        <v>225</v>
      </c>
      <c r="B116">
        <v>1721</v>
      </c>
      <c r="C116" s="134" t="s">
        <v>154</v>
      </c>
      <c r="D116" s="66" t="s">
        <v>532</v>
      </c>
      <c r="E116" s="104">
        <v>20231027</v>
      </c>
      <c r="F116" s="109"/>
    </row>
    <row r="117" spans="1:7" x14ac:dyDescent="0.25">
      <c r="A117" s="97" t="s">
        <v>490</v>
      </c>
      <c r="B117">
        <v>1700</v>
      </c>
      <c r="C117" s="134" t="s">
        <v>146</v>
      </c>
      <c r="D117" s="66" t="s">
        <v>535</v>
      </c>
      <c r="E117" s="104">
        <v>20231129</v>
      </c>
      <c r="F117" s="104">
        <v>20230721</v>
      </c>
      <c r="G117" t="s">
        <v>621</v>
      </c>
    </row>
    <row r="118" spans="1:7" x14ac:dyDescent="0.25">
      <c r="A118" s="97" t="s">
        <v>230</v>
      </c>
      <c r="B118">
        <v>1721</v>
      </c>
      <c r="C118" s="134" t="s">
        <v>150</v>
      </c>
      <c r="D118" s="66" t="s">
        <v>559</v>
      </c>
      <c r="E118" s="104">
        <v>20231027</v>
      </c>
      <c r="F118" s="104">
        <v>20231103</v>
      </c>
    </row>
    <row r="119" spans="1:7" x14ac:dyDescent="0.25">
      <c r="A119" s="97" t="s">
        <v>230</v>
      </c>
      <c r="B119">
        <v>1721</v>
      </c>
      <c r="C119" s="134" t="s">
        <v>146</v>
      </c>
      <c r="D119" s="66" t="s">
        <v>503</v>
      </c>
      <c r="E119" s="104">
        <v>20231107</v>
      </c>
      <c r="F119" s="104">
        <v>20230721</v>
      </c>
    </row>
  </sheetData>
  <mergeCells count="2">
    <mergeCell ref="N11:N12"/>
    <mergeCell ref="N14:N15"/>
  </mergeCells>
  <conditionalFormatting sqref="D216:D234">
    <cfRule type="uniqueValues" dxfId="74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9F58-9280-4C17-8F0E-2F33C27DC7AF}">
  <dimension ref="A1:AP81"/>
  <sheetViews>
    <sheetView workbookViewId="0">
      <selection activeCell="A82" sqref="A82:A10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2.28515625" bestFit="1" customWidth="1"/>
    <col min="4" max="4" width="5.85546875" bestFit="1" customWidth="1"/>
    <col min="6" max="6" width="10.28515625" bestFit="1" customWidth="1"/>
    <col min="7" max="7" width="7.7109375" bestFit="1" customWidth="1"/>
    <col min="8" max="8" width="9.42578125" bestFit="1" customWidth="1"/>
    <col min="9" max="9" width="7" bestFit="1" customWidth="1"/>
    <col min="10" max="10" width="10.140625" customWidth="1"/>
    <col min="11" max="11" width="13.140625" bestFit="1" customWidth="1"/>
    <col min="12" max="12" width="12.28515625" bestFit="1" customWidth="1"/>
    <col min="13" max="15" width="13.7109375" bestFit="1" customWidth="1"/>
    <col min="16" max="16" width="13.140625" bestFit="1" customWidth="1"/>
    <col min="17" max="19" width="13.7109375" bestFit="1" customWidth="1"/>
    <col min="20" max="20" width="13.140625" bestFit="1" customWidth="1"/>
    <col min="21" max="23" width="13.7109375" bestFit="1" customWidth="1"/>
    <col min="24" max="24" width="13.140625" bestFit="1" customWidth="1"/>
    <col min="25" max="30" width="13.7109375" bestFit="1" customWidth="1"/>
    <col min="31" max="34" width="13.7109375" customWidth="1"/>
    <col min="35" max="38" width="13.7109375" bestFit="1" customWidth="1"/>
  </cols>
  <sheetData>
    <row r="1" spans="1:42" ht="18.75" x14ac:dyDescent="0.3">
      <c r="A1" s="220" t="s">
        <v>622</v>
      </c>
      <c r="B1" s="220"/>
      <c r="C1" s="220"/>
      <c r="D1" s="220"/>
      <c r="E1" s="220"/>
      <c r="F1" s="220"/>
      <c r="G1" s="220"/>
      <c r="H1" s="220"/>
      <c r="I1" s="220"/>
      <c r="J1" s="220"/>
      <c r="K1" s="221" t="s">
        <v>14</v>
      </c>
      <c r="L1" s="221"/>
      <c r="M1" s="221"/>
      <c r="N1" s="222"/>
      <c r="O1" s="221" t="s">
        <v>19</v>
      </c>
      <c r="P1" s="221"/>
      <c r="Q1" s="221"/>
      <c r="R1" s="222"/>
      <c r="S1" s="221" t="s">
        <v>9</v>
      </c>
      <c r="T1" s="221"/>
      <c r="U1" s="221"/>
      <c r="V1" s="222"/>
      <c r="W1" s="221" t="s">
        <v>15</v>
      </c>
      <c r="X1" s="221"/>
      <c r="Y1" s="221"/>
      <c r="Z1" s="222"/>
      <c r="AA1" s="221" t="s">
        <v>21</v>
      </c>
      <c r="AB1" s="221"/>
      <c r="AC1" s="221"/>
      <c r="AD1" s="222"/>
      <c r="AE1" s="223" t="s">
        <v>23</v>
      </c>
      <c r="AF1" s="221"/>
      <c r="AG1" s="221"/>
      <c r="AH1" s="221"/>
      <c r="AI1" s="224" t="s">
        <v>17</v>
      </c>
      <c r="AJ1" s="224"/>
      <c r="AK1" s="224"/>
      <c r="AL1" s="224"/>
      <c r="AM1" s="224" t="s">
        <v>27</v>
      </c>
      <c r="AN1" s="224"/>
      <c r="AO1" s="224"/>
      <c r="AP1" s="224"/>
    </row>
    <row r="2" spans="1:42" ht="39" x14ac:dyDescent="0.25">
      <c r="A2" s="69" t="s">
        <v>337</v>
      </c>
      <c r="B2" s="69" t="s">
        <v>338</v>
      </c>
      <c r="C2" s="69" t="s">
        <v>339</v>
      </c>
      <c r="D2" s="69" t="s">
        <v>340</v>
      </c>
      <c r="E2" s="69" t="s">
        <v>207</v>
      </c>
      <c r="F2" s="69" t="s">
        <v>434</v>
      </c>
      <c r="G2" s="69" t="s">
        <v>341</v>
      </c>
      <c r="H2" s="69" t="s">
        <v>623</v>
      </c>
      <c r="I2" s="69" t="s">
        <v>192</v>
      </c>
      <c r="J2" s="69" t="s">
        <v>343</v>
      </c>
      <c r="K2" s="69" t="s">
        <v>624</v>
      </c>
      <c r="L2" s="69" t="s">
        <v>625</v>
      </c>
      <c r="M2" s="69" t="s">
        <v>437</v>
      </c>
      <c r="N2" s="69" t="s">
        <v>626</v>
      </c>
      <c r="O2" s="69" t="s">
        <v>627</v>
      </c>
      <c r="P2" s="69" t="s">
        <v>628</v>
      </c>
      <c r="Q2" s="69" t="s">
        <v>629</v>
      </c>
      <c r="R2" s="69" t="s">
        <v>630</v>
      </c>
      <c r="S2" s="69" t="s">
        <v>631</v>
      </c>
      <c r="T2" s="69" t="s">
        <v>632</v>
      </c>
      <c r="U2" s="69" t="s">
        <v>633</v>
      </c>
      <c r="V2" s="69" t="s">
        <v>634</v>
      </c>
      <c r="W2" s="69" t="s">
        <v>635</v>
      </c>
      <c r="X2" s="69" t="s">
        <v>636</v>
      </c>
      <c r="Y2" s="69" t="s">
        <v>637</v>
      </c>
      <c r="Z2" s="69" t="s">
        <v>638</v>
      </c>
      <c r="AA2" s="69" t="s">
        <v>639</v>
      </c>
      <c r="AB2" s="69" t="s">
        <v>640</v>
      </c>
      <c r="AC2" s="69" t="s">
        <v>641</v>
      </c>
      <c r="AD2" s="69" t="s">
        <v>642</v>
      </c>
      <c r="AE2" s="69" t="s">
        <v>643</v>
      </c>
      <c r="AF2" s="69" t="s">
        <v>644</v>
      </c>
      <c r="AG2" s="69" t="s">
        <v>645</v>
      </c>
      <c r="AH2" s="69" t="s">
        <v>646</v>
      </c>
      <c r="AI2" s="69" t="s">
        <v>647</v>
      </c>
      <c r="AJ2" s="69" t="s">
        <v>648</v>
      </c>
      <c r="AK2" s="69" t="s">
        <v>649</v>
      </c>
      <c r="AL2" s="69" t="s">
        <v>650</v>
      </c>
      <c r="AM2" s="69" t="s">
        <v>651</v>
      </c>
      <c r="AN2" s="69" t="s">
        <v>652</v>
      </c>
      <c r="AO2" s="69" t="s">
        <v>653</v>
      </c>
      <c r="AP2" s="69" t="s">
        <v>654</v>
      </c>
    </row>
    <row r="3" spans="1:42" ht="39" x14ac:dyDescent="0.25">
      <c r="A3" s="32">
        <v>4741999075</v>
      </c>
      <c r="B3" s="32" t="s">
        <v>742</v>
      </c>
      <c r="C3" s="32" t="s">
        <v>743</v>
      </c>
      <c r="D3" s="32" t="s">
        <v>354</v>
      </c>
      <c r="E3" s="32" t="s">
        <v>170</v>
      </c>
      <c r="F3" s="32" t="s">
        <v>440</v>
      </c>
      <c r="G3" s="32">
        <v>1702</v>
      </c>
      <c r="H3" s="32" t="s">
        <v>414</v>
      </c>
      <c r="I3" s="32" t="s">
        <v>230</v>
      </c>
      <c r="J3" s="32" t="s">
        <v>360</v>
      </c>
      <c r="K3" s="32"/>
      <c r="L3" s="33"/>
      <c r="M3" s="32"/>
      <c r="N3" s="32"/>
      <c r="O3" s="32"/>
      <c r="P3" s="33"/>
      <c r="Q3" s="32"/>
      <c r="R3" s="32"/>
      <c r="S3" s="32"/>
      <c r="T3" s="33"/>
      <c r="U3" s="32"/>
      <c r="V3" s="32"/>
      <c r="W3" s="32"/>
      <c r="X3" s="33"/>
      <c r="Y3" s="32"/>
      <c r="Z3" s="32"/>
      <c r="AA3" s="32"/>
      <c r="AB3" s="33"/>
      <c r="AC3" s="32"/>
      <c r="AD3" s="32"/>
      <c r="AE3" s="32"/>
      <c r="AF3" s="33"/>
      <c r="AG3" s="32"/>
      <c r="AH3" s="32"/>
      <c r="AI3" s="32"/>
      <c r="AJ3" s="33"/>
      <c r="AK3" s="35"/>
      <c r="AL3" s="38"/>
      <c r="AM3" s="38"/>
      <c r="AN3" s="70"/>
      <c r="AO3" s="38"/>
      <c r="AP3" s="38"/>
    </row>
    <row r="4" spans="1:42" ht="51.75" x14ac:dyDescent="0.25">
      <c r="A4" s="32">
        <v>1538999384</v>
      </c>
      <c r="B4" s="32" t="s">
        <v>744</v>
      </c>
      <c r="C4" s="32" t="s">
        <v>745</v>
      </c>
      <c r="D4" s="32" t="s">
        <v>354</v>
      </c>
      <c r="E4" s="32" t="s">
        <v>161</v>
      </c>
      <c r="F4" s="32" t="s">
        <v>440</v>
      </c>
      <c r="G4" s="32">
        <v>1721</v>
      </c>
      <c r="H4" s="32" t="s">
        <v>368</v>
      </c>
      <c r="I4" s="32" t="s">
        <v>230</v>
      </c>
      <c r="J4" s="32" t="s">
        <v>375</v>
      </c>
      <c r="K4" s="32"/>
      <c r="L4" s="33"/>
      <c r="M4" s="32"/>
      <c r="N4" s="32"/>
      <c r="O4" s="32"/>
      <c r="P4" s="33"/>
      <c r="Q4" s="32"/>
      <c r="R4" s="32"/>
      <c r="S4" s="32"/>
      <c r="T4" s="33"/>
      <c r="U4" s="32"/>
      <c r="V4" s="32"/>
      <c r="W4" s="32"/>
      <c r="X4" s="33"/>
      <c r="Y4" s="32"/>
      <c r="Z4" s="32"/>
      <c r="AA4" s="32"/>
      <c r="AB4" s="33"/>
      <c r="AC4" s="32"/>
      <c r="AD4" s="32"/>
      <c r="AE4" s="32"/>
      <c r="AF4" s="33"/>
      <c r="AG4" s="32"/>
      <c r="AH4" s="32"/>
      <c r="AI4" s="32"/>
      <c r="AJ4" s="33"/>
      <c r="AK4" s="35"/>
      <c r="AL4" s="38"/>
      <c r="AM4" s="38"/>
      <c r="AN4" s="70"/>
      <c r="AO4" s="38"/>
      <c r="AP4" s="38"/>
    </row>
    <row r="5" spans="1:42" ht="51.75" x14ac:dyDescent="0.25">
      <c r="A5" s="32">
        <v>1160110691</v>
      </c>
      <c r="B5" s="32" t="s">
        <v>746</v>
      </c>
      <c r="C5" s="32" t="s">
        <v>747</v>
      </c>
      <c r="D5" s="32" t="s">
        <v>354</v>
      </c>
      <c r="E5" s="32" t="s">
        <v>158</v>
      </c>
      <c r="F5" s="32" t="s">
        <v>440</v>
      </c>
      <c r="G5" s="32">
        <v>1721</v>
      </c>
      <c r="H5" s="32" t="s">
        <v>368</v>
      </c>
      <c r="I5" s="32" t="s">
        <v>230</v>
      </c>
      <c r="J5" s="32" t="s">
        <v>375</v>
      </c>
      <c r="K5" s="32"/>
      <c r="L5" s="33"/>
      <c r="M5" s="32"/>
      <c r="N5" s="32"/>
      <c r="O5" s="32"/>
      <c r="P5" s="33"/>
      <c r="Q5" s="32"/>
      <c r="R5" s="32"/>
      <c r="S5" s="32"/>
      <c r="T5" s="33"/>
      <c r="U5" s="32"/>
      <c r="V5" s="32"/>
      <c r="W5" s="32"/>
      <c r="X5" s="33"/>
      <c r="Y5" s="32"/>
      <c r="Z5" s="32"/>
      <c r="AA5" s="32"/>
      <c r="AB5" s="33"/>
      <c r="AC5" s="32"/>
      <c r="AD5" s="32"/>
      <c r="AE5" s="32"/>
      <c r="AF5" s="32"/>
      <c r="AG5" s="32"/>
      <c r="AH5" s="32"/>
      <c r="AI5" s="32"/>
      <c r="AJ5" s="33"/>
      <c r="AK5" s="35"/>
      <c r="AL5" s="38"/>
      <c r="AM5" s="38"/>
      <c r="AN5" s="38"/>
      <c r="AO5" s="38"/>
      <c r="AP5" s="38"/>
    </row>
    <row r="6" spans="1:42" ht="51.75" x14ac:dyDescent="0.25">
      <c r="A6" s="32">
        <v>1520074788</v>
      </c>
      <c r="B6" s="32" t="s">
        <v>748</v>
      </c>
      <c r="C6" s="32" t="s">
        <v>749</v>
      </c>
      <c r="D6" s="32" t="s">
        <v>354</v>
      </c>
      <c r="E6" s="32" t="s">
        <v>158</v>
      </c>
      <c r="F6" s="32" t="s">
        <v>440</v>
      </c>
      <c r="G6" s="32">
        <v>1721</v>
      </c>
      <c r="H6" s="32" t="s">
        <v>368</v>
      </c>
      <c r="I6" s="32" t="s">
        <v>230</v>
      </c>
      <c r="J6" s="32" t="s">
        <v>375</v>
      </c>
      <c r="K6" s="32"/>
      <c r="L6" s="33"/>
      <c r="M6" s="32"/>
      <c r="N6" s="32"/>
      <c r="O6" s="32"/>
      <c r="P6" s="33"/>
      <c r="Q6" s="32"/>
      <c r="R6" s="32"/>
      <c r="S6" s="32"/>
      <c r="T6" s="33"/>
      <c r="U6" s="32"/>
      <c r="V6" s="32"/>
      <c r="W6" s="32" t="s">
        <v>655</v>
      </c>
      <c r="X6" s="33">
        <v>45296</v>
      </c>
      <c r="Y6" s="32" t="s">
        <v>212</v>
      </c>
      <c r="Z6" s="32" t="s">
        <v>4</v>
      </c>
      <c r="AA6" s="32" t="s">
        <v>655</v>
      </c>
      <c r="AB6" s="33">
        <v>45296</v>
      </c>
      <c r="AC6" s="32" t="s">
        <v>443</v>
      </c>
      <c r="AD6" s="32" t="s">
        <v>4</v>
      </c>
      <c r="AE6" s="32" t="s">
        <v>655</v>
      </c>
      <c r="AF6" s="33">
        <v>45296</v>
      </c>
      <c r="AG6" s="32" t="s">
        <v>443</v>
      </c>
      <c r="AH6" s="32" t="s">
        <v>4</v>
      </c>
      <c r="AI6" s="32" t="s">
        <v>655</v>
      </c>
      <c r="AJ6" s="33">
        <v>45296</v>
      </c>
      <c r="AK6" s="35" t="s">
        <v>212</v>
      </c>
      <c r="AL6" s="38" t="s">
        <v>4</v>
      </c>
      <c r="AM6" s="38" t="s">
        <v>655</v>
      </c>
      <c r="AN6" s="70">
        <v>45296</v>
      </c>
      <c r="AO6" s="38" t="s">
        <v>212</v>
      </c>
      <c r="AP6" s="38" t="s">
        <v>4</v>
      </c>
    </row>
    <row r="7" spans="1:42" ht="51.75" x14ac:dyDescent="0.25">
      <c r="A7" s="32">
        <v>1220711349</v>
      </c>
      <c r="B7" s="32" t="s">
        <v>750</v>
      </c>
      <c r="C7" s="32" t="s">
        <v>751</v>
      </c>
      <c r="D7" s="32" t="s">
        <v>354</v>
      </c>
      <c r="E7" s="32" t="s">
        <v>155</v>
      </c>
      <c r="F7" s="32" t="s">
        <v>440</v>
      </c>
      <c r="G7" s="32">
        <v>1721</v>
      </c>
      <c r="H7" s="32" t="s">
        <v>368</v>
      </c>
      <c r="I7" s="32" t="s">
        <v>230</v>
      </c>
      <c r="J7" s="32" t="s">
        <v>375</v>
      </c>
      <c r="K7" s="32"/>
      <c r="L7" s="33"/>
      <c r="M7" s="32"/>
      <c r="N7" s="32"/>
      <c r="O7" s="32"/>
      <c r="P7" s="33"/>
      <c r="Q7" s="32"/>
      <c r="R7" s="32"/>
      <c r="S7" s="32"/>
      <c r="T7" s="33"/>
      <c r="U7" s="32"/>
      <c r="V7" s="32"/>
      <c r="W7" s="32"/>
      <c r="X7" s="33"/>
      <c r="Y7" s="32"/>
      <c r="Z7" s="32"/>
      <c r="AA7" s="32"/>
      <c r="AB7" s="33"/>
      <c r="AC7" s="32"/>
      <c r="AD7" s="32"/>
      <c r="AE7" s="32"/>
      <c r="AF7" s="33"/>
      <c r="AG7" s="32"/>
      <c r="AH7" s="32"/>
      <c r="AI7" s="32"/>
      <c r="AJ7" s="33"/>
      <c r="AK7" s="35"/>
      <c r="AL7" s="38"/>
      <c r="AM7" s="38"/>
      <c r="AN7" s="70"/>
      <c r="AO7" s="38"/>
      <c r="AP7" s="38"/>
    </row>
    <row r="8" spans="1:42" ht="51.75" x14ac:dyDescent="0.25">
      <c r="A8" s="32">
        <v>1534568011</v>
      </c>
      <c r="B8" s="32" t="s">
        <v>752</v>
      </c>
      <c r="C8" s="32" t="s">
        <v>753</v>
      </c>
      <c r="D8" s="32" t="s">
        <v>354</v>
      </c>
      <c r="E8" s="32" t="s">
        <v>155</v>
      </c>
      <c r="F8" s="32" t="s">
        <v>440</v>
      </c>
      <c r="G8" s="32">
        <v>1721</v>
      </c>
      <c r="H8" s="32" t="s">
        <v>368</v>
      </c>
      <c r="I8" s="32" t="s">
        <v>230</v>
      </c>
      <c r="J8" s="32" t="s">
        <v>375</v>
      </c>
      <c r="K8" s="32"/>
      <c r="L8" s="33"/>
      <c r="M8" s="32"/>
      <c r="N8" s="32"/>
      <c r="O8" s="32"/>
      <c r="P8" s="33"/>
      <c r="Q8" s="32"/>
      <c r="R8" s="32"/>
      <c r="S8" s="32"/>
      <c r="T8" s="33"/>
      <c r="U8" s="32"/>
      <c r="V8" s="32"/>
      <c r="W8" s="32"/>
      <c r="X8" s="33"/>
      <c r="Y8" s="32"/>
      <c r="Z8" s="32"/>
      <c r="AA8" s="32"/>
      <c r="AB8" s="33"/>
      <c r="AC8" s="32"/>
      <c r="AD8" s="32"/>
      <c r="AE8" s="32"/>
      <c r="AF8" s="33"/>
      <c r="AG8" s="32"/>
      <c r="AH8" s="32"/>
      <c r="AI8" s="32"/>
      <c r="AJ8" s="33"/>
      <c r="AK8" s="35"/>
      <c r="AL8" s="38"/>
      <c r="AM8" s="38"/>
      <c r="AN8" s="70"/>
      <c r="AO8" s="38"/>
      <c r="AP8" s="38"/>
    </row>
    <row r="9" spans="1:42" ht="51.75" x14ac:dyDescent="0.25">
      <c r="A9" s="32">
        <v>1418134206</v>
      </c>
      <c r="B9" s="32" t="s">
        <v>754</v>
      </c>
      <c r="C9" s="32" t="s">
        <v>755</v>
      </c>
      <c r="D9" s="32" t="s">
        <v>354</v>
      </c>
      <c r="E9" s="32" t="s">
        <v>155</v>
      </c>
      <c r="F9" s="32" t="s">
        <v>440</v>
      </c>
      <c r="G9" s="32">
        <v>1700</v>
      </c>
      <c r="H9" s="32" t="s">
        <v>368</v>
      </c>
      <c r="I9" s="32" t="s">
        <v>230</v>
      </c>
      <c r="J9" s="32" t="s">
        <v>375</v>
      </c>
      <c r="K9" s="32"/>
      <c r="L9" s="33"/>
      <c r="M9" s="32"/>
      <c r="N9" s="32"/>
      <c r="O9" s="32"/>
      <c r="P9" s="33"/>
      <c r="Q9" s="32"/>
      <c r="R9" s="32"/>
      <c r="S9" s="32"/>
      <c r="T9" s="33"/>
      <c r="U9" s="32"/>
      <c r="V9" s="32"/>
      <c r="W9" s="32"/>
      <c r="X9" s="33"/>
      <c r="Y9" s="32"/>
      <c r="Z9" s="66"/>
      <c r="AA9" s="32"/>
      <c r="AB9" s="33"/>
      <c r="AC9" s="32"/>
      <c r="AD9" s="32"/>
      <c r="AE9" s="32"/>
      <c r="AF9" s="33"/>
      <c r="AG9" s="32"/>
      <c r="AH9" s="32"/>
      <c r="AI9" s="32"/>
      <c r="AJ9" s="33"/>
      <c r="AK9" s="35"/>
      <c r="AL9" s="38"/>
      <c r="AM9" s="38"/>
      <c r="AN9" s="70"/>
      <c r="AO9" s="38"/>
      <c r="AP9" s="38"/>
    </row>
    <row r="10" spans="1:42" ht="51.75" x14ac:dyDescent="0.25">
      <c r="A10" s="32">
        <v>1007476454</v>
      </c>
      <c r="B10" s="32" t="s">
        <v>756</v>
      </c>
      <c r="C10" s="32" t="s">
        <v>757</v>
      </c>
      <c r="D10" s="32" t="s">
        <v>354</v>
      </c>
      <c r="E10" s="32" t="s">
        <v>151</v>
      </c>
      <c r="F10" s="32" t="s">
        <v>440</v>
      </c>
      <c r="G10" s="32">
        <v>1721</v>
      </c>
      <c r="H10" s="32" t="s">
        <v>368</v>
      </c>
      <c r="I10" s="32" t="s">
        <v>230</v>
      </c>
      <c r="J10" s="32" t="s">
        <v>375</v>
      </c>
      <c r="K10" s="32"/>
      <c r="L10" s="33"/>
      <c r="M10" s="32"/>
      <c r="N10" s="32"/>
      <c r="O10" s="32"/>
      <c r="P10" s="33"/>
      <c r="Q10" s="32"/>
      <c r="R10" s="32"/>
      <c r="S10" s="32"/>
      <c r="T10" s="33"/>
      <c r="U10" s="32"/>
      <c r="V10" s="32"/>
      <c r="W10" s="32" t="s">
        <v>655</v>
      </c>
      <c r="X10" s="33">
        <v>45296</v>
      </c>
      <c r="Y10" s="32" t="s">
        <v>212</v>
      </c>
      <c r="Z10" s="32" t="s">
        <v>4</v>
      </c>
      <c r="AA10" s="32" t="s">
        <v>655</v>
      </c>
      <c r="AB10" s="33">
        <v>45296</v>
      </c>
      <c r="AC10" s="32" t="s">
        <v>443</v>
      </c>
      <c r="AD10" s="32" t="s">
        <v>4</v>
      </c>
      <c r="AE10" s="32" t="s">
        <v>655</v>
      </c>
      <c r="AF10" s="33">
        <v>45296</v>
      </c>
      <c r="AG10" s="32" t="s">
        <v>443</v>
      </c>
      <c r="AH10" s="32" t="s">
        <v>4</v>
      </c>
      <c r="AI10" s="32" t="s">
        <v>655</v>
      </c>
      <c r="AJ10" s="33">
        <v>45296</v>
      </c>
      <c r="AK10" s="35" t="s">
        <v>212</v>
      </c>
      <c r="AL10" s="38" t="s">
        <v>4</v>
      </c>
      <c r="AM10" s="38" t="s">
        <v>655</v>
      </c>
      <c r="AN10" s="70">
        <v>45296</v>
      </c>
      <c r="AO10" s="38" t="s">
        <v>212</v>
      </c>
      <c r="AP10" s="38" t="s">
        <v>4</v>
      </c>
    </row>
    <row r="11" spans="1:42" ht="51.75" x14ac:dyDescent="0.25">
      <c r="A11" s="32">
        <v>1245991266</v>
      </c>
      <c r="B11" s="32" t="s">
        <v>758</v>
      </c>
      <c r="C11" s="32" t="s">
        <v>759</v>
      </c>
      <c r="D11" s="32" t="s">
        <v>354</v>
      </c>
      <c r="E11" s="32" t="s">
        <v>151</v>
      </c>
      <c r="F11" s="32" t="s">
        <v>440</v>
      </c>
      <c r="G11" s="32">
        <v>1721</v>
      </c>
      <c r="H11" s="32" t="s">
        <v>368</v>
      </c>
      <c r="I11" s="32" t="s">
        <v>230</v>
      </c>
      <c r="J11" s="32" t="s">
        <v>375</v>
      </c>
      <c r="K11" s="32"/>
      <c r="L11" s="33"/>
      <c r="M11" s="32"/>
      <c r="N11" s="32"/>
      <c r="O11" s="32"/>
      <c r="P11" s="33"/>
      <c r="Q11" s="32"/>
      <c r="R11" s="32"/>
      <c r="S11" s="32"/>
      <c r="T11" s="33"/>
      <c r="U11" s="32"/>
      <c r="V11" s="32"/>
      <c r="W11" s="32" t="s">
        <v>655</v>
      </c>
      <c r="X11" s="33">
        <v>45296</v>
      </c>
      <c r="Y11" s="32" t="s">
        <v>212</v>
      </c>
      <c r="Z11" s="32" t="s">
        <v>4</v>
      </c>
      <c r="AA11" s="32" t="s">
        <v>655</v>
      </c>
      <c r="AB11" s="33">
        <v>45296</v>
      </c>
      <c r="AC11" s="32" t="s">
        <v>443</v>
      </c>
      <c r="AD11" s="32" t="s">
        <v>4</v>
      </c>
      <c r="AE11" s="32" t="s">
        <v>655</v>
      </c>
      <c r="AF11" s="33">
        <v>45296</v>
      </c>
      <c r="AG11" s="32" t="s">
        <v>443</v>
      </c>
      <c r="AH11" s="32" t="s">
        <v>4</v>
      </c>
      <c r="AI11" s="32" t="s">
        <v>655</v>
      </c>
      <c r="AJ11" s="33">
        <v>45296</v>
      </c>
      <c r="AK11" s="35" t="s">
        <v>212</v>
      </c>
      <c r="AL11" s="38" t="s">
        <v>4</v>
      </c>
      <c r="AM11" s="38" t="s">
        <v>655</v>
      </c>
      <c r="AN11" s="70">
        <v>45296</v>
      </c>
      <c r="AO11" s="38" t="s">
        <v>212</v>
      </c>
      <c r="AP11" s="38" t="s">
        <v>4</v>
      </c>
    </row>
    <row r="12" spans="1:42" ht="51.75" x14ac:dyDescent="0.25">
      <c r="A12" s="32">
        <v>1019647482</v>
      </c>
      <c r="B12" s="32" t="s">
        <v>760</v>
      </c>
      <c r="C12" s="32" t="s">
        <v>761</v>
      </c>
      <c r="D12" s="32" t="s">
        <v>354</v>
      </c>
      <c r="E12" s="32" t="s">
        <v>151</v>
      </c>
      <c r="F12" s="32" t="s">
        <v>440</v>
      </c>
      <c r="G12" s="32">
        <v>1721</v>
      </c>
      <c r="H12" s="32" t="s">
        <v>368</v>
      </c>
      <c r="I12" s="32" t="s">
        <v>230</v>
      </c>
      <c r="J12" s="32" t="s">
        <v>375</v>
      </c>
      <c r="K12" s="32"/>
      <c r="L12" s="33"/>
      <c r="M12" s="32"/>
      <c r="N12" s="32"/>
      <c r="O12" s="32"/>
      <c r="P12" s="33"/>
      <c r="Q12" s="32"/>
      <c r="R12" s="32"/>
      <c r="S12" s="32"/>
      <c r="T12" s="33"/>
      <c r="U12" s="32"/>
      <c r="V12" s="32"/>
      <c r="W12" s="32"/>
      <c r="X12" s="33"/>
      <c r="Y12" s="32"/>
      <c r="Z12" s="32"/>
      <c r="AA12" s="32"/>
      <c r="AB12" s="33"/>
      <c r="AC12" s="32"/>
      <c r="AD12" s="32"/>
      <c r="AE12" s="32"/>
      <c r="AF12" s="33"/>
      <c r="AG12" s="32"/>
      <c r="AH12" s="32"/>
      <c r="AI12" s="32"/>
      <c r="AJ12" s="33"/>
      <c r="AK12" s="35"/>
      <c r="AL12" s="38"/>
      <c r="AM12" s="38"/>
      <c r="AN12" s="70"/>
      <c r="AO12" s="38"/>
      <c r="AP12" s="38"/>
    </row>
    <row r="13" spans="1:42" ht="51.75" x14ac:dyDescent="0.25">
      <c r="A13" s="32">
        <v>1216965036</v>
      </c>
      <c r="B13" s="32" t="s">
        <v>762</v>
      </c>
      <c r="C13" s="32" t="s">
        <v>763</v>
      </c>
      <c r="D13" s="32" t="s">
        <v>354</v>
      </c>
      <c r="E13" s="32" t="s">
        <v>151</v>
      </c>
      <c r="F13" s="32" t="s">
        <v>440</v>
      </c>
      <c r="G13" s="32">
        <v>1721</v>
      </c>
      <c r="H13" s="32" t="s">
        <v>368</v>
      </c>
      <c r="I13" s="32" t="s">
        <v>230</v>
      </c>
      <c r="J13" s="32" t="s">
        <v>375</v>
      </c>
      <c r="K13" s="32"/>
      <c r="L13" s="33"/>
      <c r="M13" s="32"/>
      <c r="N13" s="32"/>
      <c r="O13" s="32"/>
      <c r="P13" s="33"/>
      <c r="Q13" s="32"/>
      <c r="R13" s="32"/>
      <c r="S13" s="32"/>
      <c r="T13" s="33"/>
      <c r="U13" s="32"/>
      <c r="V13" s="32"/>
      <c r="W13" s="32"/>
      <c r="X13" s="33"/>
      <c r="Y13" s="32"/>
      <c r="Z13" s="32"/>
      <c r="AA13" s="32"/>
      <c r="AB13" s="33"/>
      <c r="AC13" s="32"/>
      <c r="AD13" s="32"/>
      <c r="AE13" s="32"/>
      <c r="AF13" s="33"/>
      <c r="AG13" s="32"/>
      <c r="AH13" s="32"/>
      <c r="AI13" s="32"/>
      <c r="AJ13" s="33"/>
      <c r="AK13" s="35"/>
      <c r="AL13" s="38"/>
      <c r="AM13" s="38"/>
      <c r="AN13" s="70"/>
      <c r="AO13" s="38"/>
      <c r="AP13" s="38"/>
    </row>
    <row r="14" spans="1:42" ht="51.75" x14ac:dyDescent="0.25">
      <c r="A14" s="32">
        <v>1014426852</v>
      </c>
      <c r="B14" s="32" t="s">
        <v>764</v>
      </c>
      <c r="C14" s="32" t="s">
        <v>765</v>
      </c>
      <c r="D14" s="32" t="s">
        <v>354</v>
      </c>
      <c r="E14" s="32" t="s">
        <v>151</v>
      </c>
      <c r="F14" s="32" t="s">
        <v>440</v>
      </c>
      <c r="G14" s="32">
        <v>1721</v>
      </c>
      <c r="H14" s="32" t="s">
        <v>368</v>
      </c>
      <c r="I14" s="32" t="s">
        <v>230</v>
      </c>
      <c r="J14" s="32" t="s">
        <v>375</v>
      </c>
      <c r="K14" s="32"/>
      <c r="L14" s="33"/>
      <c r="M14" s="32"/>
      <c r="N14" s="32"/>
      <c r="O14" s="32"/>
      <c r="P14" s="33"/>
      <c r="Q14" s="32"/>
      <c r="R14" s="32"/>
      <c r="S14" s="32"/>
      <c r="T14" s="33"/>
      <c r="U14" s="32"/>
      <c r="V14" s="32"/>
      <c r="W14" s="32"/>
      <c r="X14" s="33"/>
      <c r="Y14" s="32"/>
      <c r="Z14" s="32"/>
      <c r="AA14" s="32"/>
      <c r="AB14" s="33"/>
      <c r="AC14" s="32"/>
      <c r="AD14" s="32"/>
      <c r="AE14" s="32"/>
      <c r="AF14" s="32"/>
      <c r="AG14" s="32"/>
      <c r="AH14" s="32"/>
      <c r="AI14" s="32"/>
      <c r="AJ14" s="33"/>
      <c r="AK14" s="35"/>
      <c r="AL14" s="38"/>
      <c r="AM14" s="38"/>
      <c r="AN14" s="70"/>
      <c r="AO14" s="38"/>
      <c r="AP14" s="38"/>
    </row>
    <row r="15" spans="1:42" ht="51.75" x14ac:dyDescent="0.25">
      <c r="A15" s="32">
        <v>1342870108</v>
      </c>
      <c r="B15" s="32" t="s">
        <v>766</v>
      </c>
      <c r="C15" s="32" t="s">
        <v>767</v>
      </c>
      <c r="D15" s="32" t="s">
        <v>354</v>
      </c>
      <c r="E15" s="32" t="s">
        <v>151</v>
      </c>
      <c r="F15" s="32" t="s">
        <v>440</v>
      </c>
      <c r="G15" s="32">
        <v>1721</v>
      </c>
      <c r="H15" s="32" t="s">
        <v>368</v>
      </c>
      <c r="I15" s="32" t="s">
        <v>230</v>
      </c>
      <c r="J15" s="32" t="s">
        <v>375</v>
      </c>
      <c r="K15" s="32"/>
      <c r="L15" s="33"/>
      <c r="M15" s="32"/>
      <c r="N15" s="32"/>
      <c r="O15" s="32"/>
      <c r="P15" s="33"/>
      <c r="Q15" s="32"/>
      <c r="R15" s="32"/>
      <c r="S15" s="32"/>
      <c r="T15" s="33"/>
      <c r="U15" s="32"/>
      <c r="V15" s="32"/>
      <c r="W15" s="32"/>
      <c r="X15" s="33"/>
      <c r="Y15" s="32"/>
      <c r="Z15" s="32"/>
      <c r="AA15" s="32"/>
      <c r="AB15" s="33"/>
      <c r="AC15" s="32"/>
      <c r="AD15" s="67"/>
      <c r="AE15" s="67"/>
      <c r="AF15" s="33"/>
      <c r="AG15" s="67"/>
      <c r="AH15" s="67"/>
      <c r="AI15" s="32"/>
      <c r="AJ15" s="33"/>
      <c r="AK15" s="35"/>
      <c r="AL15" s="38"/>
      <c r="AM15" s="38"/>
      <c r="AN15" s="38"/>
      <c r="AO15" s="38"/>
      <c r="AP15" s="38"/>
    </row>
    <row r="16" spans="1:42" ht="51.75" x14ac:dyDescent="0.25">
      <c r="A16" s="32">
        <v>1563539788</v>
      </c>
      <c r="B16" s="32" t="s">
        <v>768</v>
      </c>
      <c r="C16" s="32" t="s">
        <v>769</v>
      </c>
      <c r="D16" s="32" t="s">
        <v>354</v>
      </c>
      <c r="E16" s="32" t="s">
        <v>151</v>
      </c>
      <c r="F16" s="32" t="s">
        <v>440</v>
      </c>
      <c r="G16" s="32">
        <v>1721</v>
      </c>
      <c r="H16" s="32" t="s">
        <v>368</v>
      </c>
      <c r="I16" s="32" t="s">
        <v>230</v>
      </c>
      <c r="J16" s="32" t="s">
        <v>375</v>
      </c>
      <c r="K16" s="32"/>
      <c r="L16" s="33"/>
      <c r="M16" s="32"/>
      <c r="N16" s="32"/>
      <c r="O16" s="32"/>
      <c r="P16" s="33"/>
      <c r="Q16" s="32"/>
      <c r="R16" s="32"/>
      <c r="S16" s="32"/>
      <c r="T16" s="33"/>
      <c r="U16" s="32"/>
      <c r="V16" s="32"/>
      <c r="W16" s="32"/>
      <c r="X16" s="33"/>
      <c r="Y16" s="32"/>
      <c r="Z16" s="32"/>
      <c r="AA16" s="32"/>
      <c r="AB16" s="33"/>
      <c r="AC16" s="32"/>
      <c r="AD16" s="32"/>
      <c r="AE16" s="32"/>
      <c r="AF16" s="33"/>
      <c r="AG16" s="32"/>
      <c r="AH16" s="32"/>
      <c r="AI16" s="32"/>
      <c r="AJ16" s="33"/>
      <c r="AK16" s="35"/>
      <c r="AL16" s="38"/>
      <c r="AM16" s="38"/>
      <c r="AN16" s="70"/>
      <c r="AO16" s="38"/>
      <c r="AP16" s="38"/>
    </row>
    <row r="17" spans="1:42" ht="51.75" x14ac:dyDescent="0.25">
      <c r="A17" s="32">
        <v>1243619874</v>
      </c>
      <c r="B17" s="32" t="s">
        <v>770</v>
      </c>
      <c r="C17" s="32" t="s">
        <v>771</v>
      </c>
      <c r="D17" s="32" t="s">
        <v>354</v>
      </c>
      <c r="E17" s="32" t="s">
        <v>147</v>
      </c>
      <c r="F17" s="32" t="s">
        <v>440</v>
      </c>
      <c r="G17" s="32">
        <v>1721</v>
      </c>
      <c r="H17" s="32" t="s">
        <v>368</v>
      </c>
      <c r="I17" s="32" t="s">
        <v>230</v>
      </c>
      <c r="J17" s="32" t="s">
        <v>375</v>
      </c>
      <c r="K17" s="32"/>
      <c r="L17" s="33"/>
      <c r="M17" s="32"/>
      <c r="N17" s="32"/>
      <c r="O17" s="32"/>
      <c r="P17" s="33"/>
      <c r="Q17" s="32"/>
      <c r="R17" s="32"/>
      <c r="S17" s="32"/>
      <c r="T17" s="33"/>
      <c r="U17" s="32"/>
      <c r="V17" s="32"/>
      <c r="W17" s="32"/>
      <c r="X17" s="33"/>
      <c r="Y17" s="32"/>
      <c r="Z17" s="32"/>
      <c r="AA17" s="32"/>
      <c r="AB17" s="33"/>
      <c r="AC17" s="32"/>
      <c r="AD17" s="32"/>
      <c r="AE17" s="32"/>
      <c r="AF17" s="33"/>
      <c r="AG17" s="32"/>
      <c r="AH17" s="32"/>
      <c r="AI17" s="32"/>
      <c r="AJ17" s="33"/>
      <c r="AK17" s="35"/>
      <c r="AL17" s="38"/>
      <c r="AM17" s="38"/>
      <c r="AN17" s="70"/>
      <c r="AO17" s="38"/>
      <c r="AP17" s="38"/>
    </row>
    <row r="18" spans="1:42" ht="39" x14ac:dyDescent="0.25">
      <c r="A18" s="32">
        <v>1204889319</v>
      </c>
      <c r="B18" s="32" t="s">
        <v>772</v>
      </c>
      <c r="C18" s="32" t="s">
        <v>773</v>
      </c>
      <c r="D18" s="32" t="s">
        <v>354</v>
      </c>
      <c r="E18" s="32" t="s">
        <v>170</v>
      </c>
      <c r="F18" s="32" t="s">
        <v>440</v>
      </c>
      <c r="G18" s="32">
        <v>1702</v>
      </c>
      <c r="H18" s="32" t="s">
        <v>414</v>
      </c>
      <c r="I18" s="32" t="s">
        <v>225</v>
      </c>
      <c r="J18" s="32" t="s">
        <v>360</v>
      </c>
      <c r="K18" s="32"/>
      <c r="L18" s="33"/>
      <c r="M18" s="32"/>
      <c r="N18" s="32"/>
      <c r="O18" s="32"/>
      <c r="P18" s="33"/>
      <c r="Q18" s="32"/>
      <c r="R18" s="32"/>
      <c r="S18" s="32"/>
      <c r="T18" s="33"/>
      <c r="U18" s="32"/>
      <c r="V18" s="32"/>
      <c r="W18" s="32"/>
      <c r="X18" s="33"/>
      <c r="Y18" s="32"/>
      <c r="Z18" s="32"/>
      <c r="AA18" s="32"/>
      <c r="AB18" s="33"/>
      <c r="AC18" s="32"/>
      <c r="AD18" s="32"/>
      <c r="AE18" s="32"/>
      <c r="AF18" s="33"/>
      <c r="AG18" s="32"/>
      <c r="AH18" s="32"/>
      <c r="AI18" s="32"/>
      <c r="AJ18" s="33"/>
      <c r="AK18" s="35"/>
      <c r="AL18" s="38"/>
      <c r="AM18" s="38"/>
      <c r="AN18" s="70"/>
      <c r="AO18" s="38"/>
      <c r="AP18" s="38"/>
    </row>
    <row r="19" spans="1:42" ht="51.75" x14ac:dyDescent="0.25">
      <c r="A19" s="32">
        <v>1598039312</v>
      </c>
      <c r="B19" s="32" t="s">
        <v>774</v>
      </c>
      <c r="C19" s="32" t="s">
        <v>775</v>
      </c>
      <c r="D19" s="32" t="s">
        <v>354</v>
      </c>
      <c r="E19" s="32" t="s">
        <v>161</v>
      </c>
      <c r="F19" s="32" t="s">
        <v>440</v>
      </c>
      <c r="G19" s="32">
        <v>1721</v>
      </c>
      <c r="H19" s="32" t="s">
        <v>368</v>
      </c>
      <c r="I19" s="32" t="s">
        <v>225</v>
      </c>
      <c r="J19" s="32" t="s">
        <v>375</v>
      </c>
      <c r="K19" s="32"/>
      <c r="L19" s="33"/>
      <c r="M19" s="32"/>
      <c r="N19" s="32"/>
      <c r="O19" s="32"/>
      <c r="P19" s="33"/>
      <c r="Q19" s="32"/>
      <c r="R19" s="32"/>
      <c r="S19" s="32"/>
      <c r="T19" s="33"/>
      <c r="U19" s="32"/>
      <c r="V19" s="32"/>
      <c r="W19" s="32"/>
      <c r="X19" s="33"/>
      <c r="Y19" s="32"/>
      <c r="Z19" s="32"/>
      <c r="AA19" s="32"/>
      <c r="AB19" s="33"/>
      <c r="AC19" s="32"/>
      <c r="AD19" s="32"/>
      <c r="AE19" s="32"/>
      <c r="AF19" s="33"/>
      <c r="AG19" s="32"/>
      <c r="AH19" s="32"/>
      <c r="AI19" s="32"/>
      <c r="AJ19" s="33"/>
      <c r="AK19" s="35"/>
      <c r="AL19" s="38"/>
      <c r="AM19" s="38"/>
      <c r="AN19" s="38"/>
      <c r="AO19" s="38"/>
      <c r="AP19" s="38"/>
    </row>
    <row r="20" spans="1:42" ht="51.75" x14ac:dyDescent="0.25">
      <c r="A20" s="32">
        <v>1057200841</v>
      </c>
      <c r="B20" s="32" t="s">
        <v>776</v>
      </c>
      <c r="C20" s="32" t="s">
        <v>777</v>
      </c>
      <c r="D20" s="32" t="s">
        <v>354</v>
      </c>
      <c r="E20" s="32" t="s">
        <v>158</v>
      </c>
      <c r="F20" s="32" t="s">
        <v>440</v>
      </c>
      <c r="G20" s="32">
        <v>1721</v>
      </c>
      <c r="H20" s="32" t="s">
        <v>368</v>
      </c>
      <c r="I20" s="32" t="s">
        <v>225</v>
      </c>
      <c r="J20" s="32" t="s">
        <v>375</v>
      </c>
      <c r="K20" s="32"/>
      <c r="L20" s="33"/>
      <c r="M20" s="32"/>
      <c r="N20" s="32"/>
      <c r="O20" s="32"/>
      <c r="P20" s="33"/>
      <c r="Q20" s="32"/>
      <c r="R20" s="32"/>
      <c r="S20" s="32"/>
      <c r="T20" s="33"/>
      <c r="U20" s="32"/>
      <c r="V20" s="32"/>
      <c r="W20" s="32" t="s">
        <v>655</v>
      </c>
      <c r="X20" s="33">
        <v>45296</v>
      </c>
      <c r="Y20" s="32" t="s">
        <v>212</v>
      </c>
      <c r="Z20" s="32" t="s">
        <v>4</v>
      </c>
      <c r="AA20" s="32" t="s">
        <v>655</v>
      </c>
      <c r="AB20" s="33">
        <v>45296</v>
      </c>
      <c r="AC20" s="32" t="s">
        <v>443</v>
      </c>
      <c r="AD20" s="32" t="s">
        <v>4</v>
      </c>
      <c r="AE20" s="32" t="s">
        <v>655</v>
      </c>
      <c r="AF20" s="33">
        <v>45296</v>
      </c>
      <c r="AG20" s="32" t="s">
        <v>443</v>
      </c>
      <c r="AH20" s="32" t="s">
        <v>4</v>
      </c>
      <c r="AI20" s="32" t="s">
        <v>655</v>
      </c>
      <c r="AJ20" s="33">
        <v>45296</v>
      </c>
      <c r="AK20" s="35" t="s">
        <v>212</v>
      </c>
      <c r="AL20" s="38" t="s">
        <v>4</v>
      </c>
      <c r="AM20" s="38" t="s">
        <v>655</v>
      </c>
      <c r="AN20" s="70">
        <v>45296</v>
      </c>
      <c r="AO20" s="38" t="s">
        <v>212</v>
      </c>
      <c r="AP20" s="38" t="s">
        <v>4</v>
      </c>
    </row>
    <row r="21" spans="1:42" ht="51.75" x14ac:dyDescent="0.25">
      <c r="A21" s="32">
        <v>1605838371</v>
      </c>
      <c r="B21" s="32" t="s">
        <v>778</v>
      </c>
      <c r="C21" s="32" t="s">
        <v>779</v>
      </c>
      <c r="D21" s="32" t="s">
        <v>354</v>
      </c>
      <c r="E21" s="32" t="s">
        <v>158</v>
      </c>
      <c r="F21" s="32" t="s">
        <v>440</v>
      </c>
      <c r="G21" s="32">
        <v>1721</v>
      </c>
      <c r="H21" s="32" t="s">
        <v>368</v>
      </c>
      <c r="I21" s="32" t="s">
        <v>225</v>
      </c>
      <c r="J21" s="32" t="s">
        <v>375</v>
      </c>
      <c r="K21" s="32"/>
      <c r="L21" s="33"/>
      <c r="M21" s="32"/>
      <c r="N21" s="32"/>
      <c r="O21" s="32"/>
      <c r="P21" s="33"/>
      <c r="Q21" s="32"/>
      <c r="R21" s="32"/>
      <c r="S21" s="32"/>
      <c r="T21" s="33"/>
      <c r="U21" s="32"/>
      <c r="V21" s="32"/>
      <c r="W21" s="32"/>
      <c r="X21" s="33"/>
      <c r="Y21" s="32"/>
      <c r="Z21" s="32"/>
      <c r="AA21" s="32"/>
      <c r="AB21" s="33"/>
      <c r="AC21" s="32"/>
      <c r="AD21" s="32"/>
      <c r="AE21" s="32"/>
      <c r="AF21" s="32"/>
      <c r="AG21" s="32"/>
      <c r="AH21" s="32"/>
      <c r="AI21" s="32"/>
      <c r="AJ21" s="33"/>
      <c r="AK21" s="35"/>
      <c r="AL21" s="38"/>
      <c r="AM21" s="38"/>
      <c r="AN21" s="70"/>
      <c r="AO21" s="38"/>
      <c r="AP21" s="38"/>
    </row>
    <row r="22" spans="1:42" ht="51.75" x14ac:dyDescent="0.25">
      <c r="A22" s="32">
        <v>1583777566</v>
      </c>
      <c r="B22" s="32" t="s">
        <v>780</v>
      </c>
      <c r="C22" s="32" t="s">
        <v>781</v>
      </c>
      <c r="D22" s="32" t="s">
        <v>354</v>
      </c>
      <c r="E22" s="32" t="s">
        <v>155</v>
      </c>
      <c r="F22" s="32" t="s">
        <v>440</v>
      </c>
      <c r="G22" s="32">
        <v>1721</v>
      </c>
      <c r="H22" s="32" t="s">
        <v>368</v>
      </c>
      <c r="I22" s="32" t="s">
        <v>225</v>
      </c>
      <c r="J22" s="32" t="s">
        <v>375</v>
      </c>
      <c r="K22" s="32"/>
      <c r="L22" s="33"/>
      <c r="M22" s="32"/>
      <c r="N22" s="32"/>
      <c r="O22" s="32"/>
      <c r="P22" s="33"/>
      <c r="Q22" s="32"/>
      <c r="R22" s="32"/>
      <c r="S22" s="32"/>
      <c r="T22" s="33"/>
      <c r="U22" s="32"/>
      <c r="V22" s="32"/>
      <c r="W22" s="32"/>
      <c r="X22" s="33"/>
      <c r="Y22" s="32"/>
      <c r="Z22" s="32"/>
      <c r="AA22" s="32"/>
      <c r="AB22" s="33"/>
      <c r="AC22" s="32"/>
      <c r="AD22" s="32"/>
      <c r="AE22" s="32"/>
      <c r="AF22" s="33"/>
      <c r="AG22" s="32"/>
      <c r="AH22" s="32"/>
      <c r="AI22" s="32"/>
      <c r="AJ22" s="33"/>
      <c r="AK22" s="35"/>
      <c r="AL22" s="38"/>
      <c r="AM22" s="38"/>
      <c r="AN22" s="38"/>
      <c r="AO22" s="38"/>
      <c r="AP22" s="38"/>
    </row>
    <row r="23" spans="1:42" ht="51.75" x14ac:dyDescent="0.25">
      <c r="A23" s="32">
        <v>1309210629</v>
      </c>
      <c r="B23" s="32" t="s">
        <v>782</v>
      </c>
      <c r="C23" s="32" t="s">
        <v>783</v>
      </c>
      <c r="D23" s="32" t="s">
        <v>354</v>
      </c>
      <c r="E23" s="32" t="s">
        <v>155</v>
      </c>
      <c r="F23" s="32" t="s">
        <v>440</v>
      </c>
      <c r="G23" s="32">
        <v>1721</v>
      </c>
      <c r="H23" s="32" t="s">
        <v>368</v>
      </c>
      <c r="I23" s="32" t="s">
        <v>225</v>
      </c>
      <c r="J23" s="32" t="s">
        <v>375</v>
      </c>
      <c r="K23" s="32"/>
      <c r="L23" s="33"/>
      <c r="M23" s="32"/>
      <c r="N23" s="32"/>
      <c r="O23" s="32"/>
      <c r="P23" s="33"/>
      <c r="Q23" s="32"/>
      <c r="R23" s="32"/>
      <c r="S23" s="32"/>
      <c r="T23" s="33"/>
      <c r="U23" s="32"/>
      <c r="V23" s="32"/>
      <c r="W23" s="32"/>
      <c r="X23" s="33"/>
      <c r="Y23" s="32"/>
      <c r="Z23" s="32"/>
      <c r="AA23" s="32"/>
      <c r="AB23" s="33"/>
      <c r="AC23" s="32"/>
      <c r="AD23" s="32"/>
      <c r="AE23" s="32"/>
      <c r="AF23" s="33"/>
      <c r="AG23" s="32"/>
      <c r="AH23" s="32"/>
      <c r="AI23" s="32"/>
      <c r="AJ23" s="33"/>
      <c r="AK23" s="35"/>
      <c r="AL23" s="38"/>
      <c r="AM23" s="38"/>
      <c r="AN23" s="70"/>
      <c r="AO23" s="38"/>
      <c r="AP23" s="38"/>
    </row>
    <row r="24" spans="1:42" ht="51.75" x14ac:dyDescent="0.25">
      <c r="A24" s="32">
        <v>1068605275</v>
      </c>
      <c r="B24" s="32" t="s">
        <v>784</v>
      </c>
      <c r="C24" s="32" t="s">
        <v>785</v>
      </c>
      <c r="D24" s="32" t="s">
        <v>354</v>
      </c>
      <c r="E24" s="32" t="s">
        <v>155</v>
      </c>
      <c r="F24" s="32" t="s">
        <v>440</v>
      </c>
      <c r="G24" s="32">
        <v>1700</v>
      </c>
      <c r="H24" s="32" t="s">
        <v>368</v>
      </c>
      <c r="I24" s="32" t="s">
        <v>225</v>
      </c>
      <c r="J24" s="32" t="s">
        <v>375</v>
      </c>
      <c r="K24" s="32"/>
      <c r="L24" s="33"/>
      <c r="M24" s="32"/>
      <c r="N24" s="32"/>
      <c r="O24" s="32"/>
      <c r="P24" s="33"/>
      <c r="Q24" s="32"/>
      <c r="R24" s="32"/>
      <c r="S24" s="32"/>
      <c r="T24" s="33"/>
      <c r="U24" s="32"/>
      <c r="V24" s="32"/>
      <c r="W24" s="32"/>
      <c r="X24" s="33"/>
      <c r="Y24" s="32"/>
      <c r="Z24" s="32"/>
      <c r="AA24" s="32"/>
      <c r="AB24" s="33"/>
      <c r="AC24" s="32"/>
      <c r="AD24" s="32"/>
      <c r="AE24" s="32"/>
      <c r="AF24" s="33"/>
      <c r="AG24" s="32"/>
      <c r="AH24" s="32"/>
      <c r="AI24" s="32"/>
      <c r="AJ24" s="33"/>
      <c r="AK24" s="35"/>
      <c r="AL24" s="38"/>
      <c r="AM24" s="38"/>
      <c r="AN24" s="38"/>
      <c r="AO24" s="38"/>
      <c r="AP24" s="38"/>
    </row>
    <row r="25" spans="1:42" ht="51.75" x14ac:dyDescent="0.25">
      <c r="A25" s="32">
        <v>1504022008</v>
      </c>
      <c r="B25" s="32" t="s">
        <v>786</v>
      </c>
      <c r="C25" s="32" t="s">
        <v>787</v>
      </c>
      <c r="D25" s="32" t="s">
        <v>354</v>
      </c>
      <c r="E25" s="32" t="s">
        <v>151</v>
      </c>
      <c r="F25" s="32" t="s">
        <v>440</v>
      </c>
      <c r="G25" s="32">
        <v>1721</v>
      </c>
      <c r="H25" s="32" t="s">
        <v>368</v>
      </c>
      <c r="I25" s="32" t="s">
        <v>225</v>
      </c>
      <c r="J25" s="32" t="s">
        <v>375</v>
      </c>
      <c r="K25" s="32"/>
      <c r="L25" s="33"/>
      <c r="M25" s="32"/>
      <c r="N25" s="32"/>
      <c r="O25" s="32"/>
      <c r="P25" s="33"/>
      <c r="Q25" s="32"/>
      <c r="R25" s="32"/>
      <c r="S25" s="32"/>
      <c r="T25" s="33"/>
      <c r="U25" s="32"/>
      <c r="V25" s="32"/>
      <c r="W25" s="32"/>
      <c r="X25" s="33"/>
      <c r="Y25" s="32"/>
      <c r="Z25" s="32"/>
      <c r="AA25" s="32"/>
      <c r="AB25" s="33"/>
      <c r="AC25" s="32"/>
      <c r="AD25" s="32"/>
      <c r="AE25" s="32"/>
      <c r="AF25" s="33"/>
      <c r="AG25" s="32"/>
      <c r="AH25" s="32"/>
      <c r="AI25" s="32"/>
      <c r="AJ25" s="33"/>
      <c r="AK25" s="35"/>
      <c r="AL25" s="38"/>
      <c r="AM25" s="38"/>
      <c r="AN25" s="70"/>
      <c r="AO25" s="38"/>
      <c r="AP25" s="38"/>
    </row>
    <row r="26" spans="1:42" ht="51.75" x14ac:dyDescent="0.25">
      <c r="A26" s="32">
        <v>1306349386</v>
      </c>
      <c r="B26" s="32" t="s">
        <v>788</v>
      </c>
      <c r="C26" s="32" t="s">
        <v>789</v>
      </c>
      <c r="D26" s="32" t="s">
        <v>354</v>
      </c>
      <c r="E26" s="32" t="s">
        <v>151</v>
      </c>
      <c r="F26" s="32" t="s">
        <v>440</v>
      </c>
      <c r="G26" s="32">
        <v>1721</v>
      </c>
      <c r="H26" s="32" t="s">
        <v>368</v>
      </c>
      <c r="I26" s="32" t="s">
        <v>225</v>
      </c>
      <c r="J26" s="32" t="s">
        <v>375</v>
      </c>
      <c r="K26" s="32"/>
      <c r="L26" s="33"/>
      <c r="M26" s="32"/>
      <c r="N26" s="32"/>
      <c r="O26" s="32"/>
      <c r="P26" s="33"/>
      <c r="Q26" s="32"/>
      <c r="R26" s="32"/>
      <c r="S26" s="32"/>
      <c r="T26" s="33"/>
      <c r="U26" s="32"/>
      <c r="V26" s="32"/>
      <c r="W26" s="32"/>
      <c r="X26" s="33"/>
      <c r="Y26" s="32"/>
      <c r="Z26" s="32"/>
      <c r="AA26" s="32"/>
      <c r="AB26" s="33"/>
      <c r="AC26" s="32"/>
      <c r="AD26" s="32"/>
      <c r="AE26" s="32"/>
      <c r="AF26" s="33"/>
      <c r="AG26" s="32"/>
      <c r="AH26" s="32"/>
      <c r="AI26" s="32"/>
      <c r="AJ26" s="33"/>
      <c r="AK26" s="35"/>
      <c r="AL26" s="38"/>
      <c r="AM26" s="38"/>
      <c r="AN26" s="70"/>
      <c r="AO26" s="38"/>
      <c r="AP26" s="38"/>
    </row>
    <row r="27" spans="1:42" ht="51.75" x14ac:dyDescent="0.25">
      <c r="A27" s="32">
        <v>1320652076</v>
      </c>
      <c r="B27" s="32" t="s">
        <v>790</v>
      </c>
      <c r="C27" s="32" t="s">
        <v>791</v>
      </c>
      <c r="D27" s="32" t="s">
        <v>354</v>
      </c>
      <c r="E27" s="32" t="s">
        <v>151</v>
      </c>
      <c r="F27" s="32" t="s">
        <v>440</v>
      </c>
      <c r="G27" s="32">
        <v>1721</v>
      </c>
      <c r="H27" s="32" t="s">
        <v>368</v>
      </c>
      <c r="I27" s="32" t="s">
        <v>225</v>
      </c>
      <c r="J27" s="32" t="s">
        <v>375</v>
      </c>
      <c r="K27" s="32"/>
      <c r="L27" s="33"/>
      <c r="M27" s="32"/>
      <c r="N27" s="32"/>
      <c r="O27" s="32"/>
      <c r="P27" s="33"/>
      <c r="Q27" s="32"/>
      <c r="R27" s="32"/>
      <c r="S27" s="32"/>
      <c r="T27" s="33"/>
      <c r="U27" s="32"/>
      <c r="V27" s="32"/>
      <c r="W27" s="32"/>
      <c r="X27" s="33"/>
      <c r="Y27" s="32"/>
      <c r="Z27" s="32"/>
      <c r="AA27" s="32"/>
      <c r="AB27" s="33"/>
      <c r="AC27" s="32"/>
      <c r="AD27" s="32"/>
      <c r="AE27" s="32"/>
      <c r="AF27" s="32"/>
      <c r="AG27" s="32"/>
      <c r="AH27" s="32"/>
      <c r="AI27" s="32"/>
      <c r="AJ27" s="33"/>
      <c r="AK27" s="35"/>
      <c r="AL27" s="38"/>
      <c r="AM27" s="38"/>
      <c r="AN27" s="38"/>
      <c r="AO27" s="38"/>
      <c r="AP27" s="38"/>
    </row>
    <row r="28" spans="1:42" ht="51.75" x14ac:dyDescent="0.25">
      <c r="A28" s="32">
        <v>1478966980</v>
      </c>
      <c r="B28" s="32" t="s">
        <v>792</v>
      </c>
      <c r="C28" s="32" t="s">
        <v>793</v>
      </c>
      <c r="D28" s="32" t="s">
        <v>354</v>
      </c>
      <c r="E28" s="32" t="s">
        <v>151</v>
      </c>
      <c r="F28" s="32" t="s">
        <v>440</v>
      </c>
      <c r="G28" s="32">
        <v>1721</v>
      </c>
      <c r="H28" s="32" t="s">
        <v>368</v>
      </c>
      <c r="I28" s="32" t="s">
        <v>225</v>
      </c>
      <c r="J28" s="32" t="s">
        <v>375</v>
      </c>
      <c r="K28" s="32"/>
      <c r="L28" s="33"/>
      <c r="M28" s="32"/>
      <c r="N28" s="32"/>
      <c r="O28" s="32"/>
      <c r="P28" s="33"/>
      <c r="Q28" s="32"/>
      <c r="R28" s="32"/>
      <c r="S28" s="32"/>
      <c r="T28" s="33"/>
      <c r="U28" s="32"/>
      <c r="V28" s="32"/>
      <c r="W28" s="32"/>
      <c r="X28" s="33"/>
      <c r="Y28" s="32"/>
      <c r="Z28" s="32"/>
      <c r="AA28" s="32"/>
      <c r="AB28" s="33"/>
      <c r="AC28" s="32"/>
      <c r="AD28" s="32"/>
      <c r="AE28" s="32"/>
      <c r="AF28" s="32"/>
      <c r="AG28" s="32"/>
      <c r="AH28" s="32"/>
      <c r="AI28" s="32"/>
      <c r="AJ28" s="33"/>
      <c r="AK28" s="35"/>
      <c r="AL28" s="38"/>
      <c r="AM28" s="38"/>
      <c r="AN28" s="70"/>
      <c r="AO28" s="38"/>
      <c r="AP28" s="38"/>
    </row>
    <row r="29" spans="1:42" ht="51.75" x14ac:dyDescent="0.25">
      <c r="A29" s="32">
        <v>1308481514</v>
      </c>
      <c r="B29" s="32" t="s">
        <v>794</v>
      </c>
      <c r="C29" s="32" t="s">
        <v>795</v>
      </c>
      <c r="D29" s="32" t="s">
        <v>354</v>
      </c>
      <c r="E29" s="32" t="s">
        <v>151</v>
      </c>
      <c r="F29" s="32" t="s">
        <v>440</v>
      </c>
      <c r="G29" s="32">
        <v>1721</v>
      </c>
      <c r="H29" s="32" t="s">
        <v>368</v>
      </c>
      <c r="I29" s="32" t="s">
        <v>225</v>
      </c>
      <c r="J29" s="32" t="s">
        <v>375</v>
      </c>
      <c r="K29" s="32"/>
      <c r="L29" s="33"/>
      <c r="M29" s="32"/>
      <c r="N29" s="32"/>
      <c r="O29" s="32"/>
      <c r="P29" s="33"/>
      <c r="Q29" s="32"/>
      <c r="R29" s="32"/>
      <c r="S29" s="32"/>
      <c r="T29" s="33"/>
      <c r="U29" s="32"/>
      <c r="V29" s="32"/>
      <c r="W29" s="32"/>
      <c r="X29" s="33"/>
      <c r="Y29" s="32"/>
      <c r="Z29" s="32"/>
      <c r="AA29" s="32"/>
      <c r="AB29" s="33"/>
      <c r="AC29" s="32"/>
      <c r="AD29" s="32"/>
      <c r="AE29" s="32"/>
      <c r="AF29" s="33"/>
      <c r="AG29" s="32"/>
      <c r="AH29" s="32"/>
      <c r="AI29" s="32"/>
      <c r="AJ29" s="33"/>
      <c r="AK29" s="35"/>
      <c r="AL29" s="38"/>
      <c r="AM29" s="38"/>
      <c r="AN29" s="70"/>
      <c r="AO29" s="38"/>
      <c r="AP29" s="38"/>
    </row>
    <row r="30" spans="1:42" ht="51.75" x14ac:dyDescent="0.25">
      <c r="A30" s="32">
        <v>1511922179</v>
      </c>
      <c r="B30" s="32" t="s">
        <v>796</v>
      </c>
      <c r="C30" s="32" t="s">
        <v>797</v>
      </c>
      <c r="D30" s="32" t="s">
        <v>354</v>
      </c>
      <c r="E30" s="32" t="s">
        <v>151</v>
      </c>
      <c r="F30" s="32" t="s">
        <v>440</v>
      </c>
      <c r="G30" s="32">
        <v>1721</v>
      </c>
      <c r="H30" s="32" t="s">
        <v>368</v>
      </c>
      <c r="I30" s="32" t="s">
        <v>225</v>
      </c>
      <c r="J30" s="32" t="s">
        <v>375</v>
      </c>
      <c r="K30" s="32"/>
      <c r="L30" s="33"/>
      <c r="M30" s="32"/>
      <c r="N30" s="32"/>
      <c r="O30" s="32"/>
      <c r="P30" s="33"/>
      <c r="Q30" s="32"/>
      <c r="R30" s="32"/>
      <c r="S30" s="32"/>
      <c r="T30" s="33"/>
      <c r="U30" s="32"/>
      <c r="V30" s="32"/>
      <c r="W30" s="32" t="s">
        <v>655</v>
      </c>
      <c r="X30" s="33">
        <v>45296</v>
      </c>
      <c r="Y30" s="32" t="s">
        <v>212</v>
      </c>
      <c r="Z30" s="32" t="s">
        <v>4</v>
      </c>
      <c r="AA30" s="32" t="s">
        <v>655</v>
      </c>
      <c r="AB30" s="33">
        <v>45296</v>
      </c>
      <c r="AC30" s="32" t="s">
        <v>443</v>
      </c>
      <c r="AD30" s="32" t="s">
        <v>4</v>
      </c>
      <c r="AE30" s="32" t="s">
        <v>655</v>
      </c>
      <c r="AF30" s="33">
        <v>45296</v>
      </c>
      <c r="AG30" s="32" t="s">
        <v>443</v>
      </c>
      <c r="AH30" s="32" t="s">
        <v>4</v>
      </c>
      <c r="AI30" s="32" t="s">
        <v>655</v>
      </c>
      <c r="AJ30" s="33">
        <v>45296</v>
      </c>
      <c r="AK30" s="35" t="s">
        <v>212</v>
      </c>
      <c r="AL30" s="38" t="s">
        <v>4</v>
      </c>
      <c r="AM30" s="38" t="s">
        <v>655</v>
      </c>
      <c r="AN30" s="70">
        <v>45296</v>
      </c>
      <c r="AO30" s="38" t="s">
        <v>212</v>
      </c>
      <c r="AP30" s="38" t="s">
        <v>4</v>
      </c>
    </row>
    <row r="31" spans="1:42" ht="51.75" x14ac:dyDescent="0.25">
      <c r="A31" s="32">
        <v>1363966758</v>
      </c>
      <c r="B31" s="32" t="s">
        <v>798</v>
      </c>
      <c r="C31" s="32" t="s">
        <v>799</v>
      </c>
      <c r="D31" s="32" t="s">
        <v>354</v>
      </c>
      <c r="E31" s="32" t="s">
        <v>151</v>
      </c>
      <c r="F31" s="32" t="s">
        <v>440</v>
      </c>
      <c r="G31" s="32">
        <v>1721</v>
      </c>
      <c r="H31" s="32" t="s">
        <v>368</v>
      </c>
      <c r="I31" s="32" t="s">
        <v>225</v>
      </c>
      <c r="J31" s="32" t="s">
        <v>375</v>
      </c>
      <c r="K31" s="32"/>
      <c r="L31" s="33"/>
      <c r="M31" s="32"/>
      <c r="N31" s="32"/>
      <c r="O31" s="32"/>
      <c r="P31" s="33"/>
      <c r="Q31" s="32"/>
      <c r="R31" s="32"/>
      <c r="S31" s="32"/>
      <c r="T31" s="33"/>
      <c r="U31" s="32"/>
      <c r="V31" s="32"/>
      <c r="W31" s="32"/>
      <c r="X31" s="33"/>
      <c r="Y31" s="32"/>
      <c r="Z31" s="32"/>
      <c r="AA31" s="32"/>
      <c r="AB31" s="33"/>
      <c r="AC31" s="32"/>
      <c r="AD31" s="32"/>
      <c r="AE31" s="32"/>
      <c r="AF31" s="33"/>
      <c r="AG31" s="32"/>
      <c r="AH31" s="32"/>
      <c r="AI31" s="32"/>
      <c r="AJ31" s="33"/>
      <c r="AK31" s="35"/>
      <c r="AL31" s="38"/>
      <c r="AM31" s="38"/>
      <c r="AN31" s="70"/>
      <c r="AO31" s="38"/>
      <c r="AP31" s="38"/>
    </row>
    <row r="32" spans="1:42" ht="51.75" x14ac:dyDescent="0.25">
      <c r="A32" s="32">
        <v>1212075255</v>
      </c>
      <c r="B32" s="32" t="s">
        <v>800</v>
      </c>
      <c r="C32" s="32" t="s">
        <v>801</v>
      </c>
      <c r="D32" s="32" t="s">
        <v>354</v>
      </c>
      <c r="E32" s="32" t="s">
        <v>147</v>
      </c>
      <c r="F32" s="32" t="s">
        <v>440</v>
      </c>
      <c r="G32" s="32">
        <v>1721</v>
      </c>
      <c r="H32" s="32" t="s">
        <v>368</v>
      </c>
      <c r="I32" s="32" t="s">
        <v>225</v>
      </c>
      <c r="J32" s="32" t="s">
        <v>375</v>
      </c>
      <c r="K32" s="32"/>
      <c r="L32" s="33"/>
      <c r="M32" s="32"/>
      <c r="N32" s="32"/>
      <c r="O32" s="32"/>
      <c r="P32" s="33"/>
      <c r="Q32" s="32"/>
      <c r="R32" s="32"/>
      <c r="S32" s="32"/>
      <c r="T32" s="33"/>
      <c r="U32" s="32"/>
      <c r="V32" s="32"/>
      <c r="W32" s="32"/>
      <c r="X32" s="33"/>
      <c r="Y32" s="32"/>
      <c r="Z32" s="32"/>
      <c r="AA32" s="32"/>
      <c r="AB32" s="33"/>
      <c r="AC32" s="32"/>
      <c r="AD32" s="32"/>
      <c r="AE32" s="32"/>
      <c r="AF32" s="33"/>
      <c r="AG32" s="32"/>
      <c r="AH32" s="32"/>
      <c r="AI32" s="32"/>
      <c r="AJ32" s="33"/>
      <c r="AK32" s="35"/>
      <c r="AL32" s="38"/>
      <c r="AM32" s="38"/>
      <c r="AN32" s="70"/>
      <c r="AO32" s="38"/>
      <c r="AP32" s="38"/>
    </row>
    <row r="33" spans="1:42" ht="39" x14ac:dyDescent="0.25">
      <c r="A33" s="32">
        <v>1039148847</v>
      </c>
      <c r="B33" s="32" t="s">
        <v>802</v>
      </c>
      <c r="C33" s="32" t="s">
        <v>803</v>
      </c>
      <c r="D33" s="32" t="s">
        <v>354</v>
      </c>
      <c r="E33" s="32" t="s">
        <v>170</v>
      </c>
      <c r="F33" s="32" t="s">
        <v>440</v>
      </c>
      <c r="G33" s="32">
        <v>1702</v>
      </c>
      <c r="H33" s="32" t="s">
        <v>368</v>
      </c>
      <c r="I33" s="32" t="s">
        <v>211</v>
      </c>
      <c r="J33" s="32" t="s">
        <v>360</v>
      </c>
      <c r="K33" s="32" t="s">
        <v>655</v>
      </c>
      <c r="L33" s="33">
        <v>45301</v>
      </c>
      <c r="M33" s="32" t="s">
        <v>212</v>
      </c>
      <c r="N33" s="32" t="s">
        <v>4</v>
      </c>
      <c r="O33" s="32"/>
      <c r="P33" s="33"/>
      <c r="Q33" s="32"/>
      <c r="R33" s="32"/>
      <c r="S33" s="32" t="s">
        <v>655</v>
      </c>
      <c r="T33" s="33">
        <v>45301</v>
      </c>
      <c r="U33" s="32" t="s">
        <v>212</v>
      </c>
      <c r="V33" s="32" t="s">
        <v>4</v>
      </c>
      <c r="W33" s="32"/>
      <c r="X33" s="33"/>
      <c r="Y33" s="32"/>
      <c r="Z33" s="32"/>
      <c r="AA33" s="32"/>
      <c r="AB33" s="33"/>
      <c r="AC33" s="32"/>
      <c r="AD33" s="32"/>
      <c r="AE33" s="32"/>
      <c r="AF33" s="32"/>
      <c r="AG33" s="32"/>
      <c r="AH33" s="32"/>
      <c r="AI33" s="32"/>
      <c r="AJ33" s="33"/>
      <c r="AK33" s="35"/>
      <c r="AL33" s="38"/>
      <c r="AM33" s="38"/>
      <c r="AN33" s="70"/>
      <c r="AO33" s="38"/>
      <c r="AP33" s="38"/>
    </row>
    <row r="34" spans="1:42" ht="51.75" x14ac:dyDescent="0.25">
      <c r="A34" s="32">
        <v>1282303798</v>
      </c>
      <c r="B34" s="32" t="s">
        <v>804</v>
      </c>
      <c r="C34" s="32" t="s">
        <v>805</v>
      </c>
      <c r="D34" s="32" t="s">
        <v>354</v>
      </c>
      <c r="E34" s="32" t="s">
        <v>161</v>
      </c>
      <c r="F34" s="32" t="s">
        <v>440</v>
      </c>
      <c r="G34" s="32">
        <v>1721</v>
      </c>
      <c r="H34" s="32" t="s">
        <v>414</v>
      </c>
      <c r="I34" s="32" t="s">
        <v>211</v>
      </c>
      <c r="J34" s="32" t="s">
        <v>375</v>
      </c>
      <c r="K34" s="32"/>
      <c r="L34" s="33"/>
      <c r="M34" s="32"/>
      <c r="N34" s="32"/>
      <c r="O34" s="32"/>
      <c r="P34" s="33"/>
      <c r="Q34" s="32"/>
      <c r="R34" s="32"/>
      <c r="S34" s="32"/>
      <c r="T34" s="33"/>
      <c r="U34" s="32"/>
      <c r="V34" s="32"/>
      <c r="W34" s="32"/>
      <c r="X34" s="33"/>
      <c r="Y34" s="32"/>
      <c r="Z34" s="32"/>
      <c r="AA34" s="32"/>
      <c r="AB34" s="33"/>
      <c r="AC34" s="32"/>
      <c r="AD34" s="32"/>
      <c r="AE34" s="32"/>
      <c r="AF34" s="33"/>
      <c r="AG34" s="32"/>
      <c r="AH34" s="32"/>
      <c r="AI34" s="32"/>
      <c r="AJ34" s="33"/>
      <c r="AK34" s="35"/>
      <c r="AL34" s="38"/>
      <c r="AM34" s="38"/>
      <c r="AN34" s="70"/>
      <c r="AO34" s="38"/>
      <c r="AP34" s="38"/>
    </row>
    <row r="35" spans="1:42" ht="51.75" x14ac:dyDescent="0.25">
      <c r="A35" s="32">
        <v>1456272150</v>
      </c>
      <c r="B35" s="32" t="s">
        <v>806</v>
      </c>
      <c r="C35" s="32" t="s">
        <v>807</v>
      </c>
      <c r="D35" s="32" t="s">
        <v>354</v>
      </c>
      <c r="E35" s="32" t="s">
        <v>158</v>
      </c>
      <c r="F35" s="32" t="s">
        <v>440</v>
      </c>
      <c r="G35" s="32">
        <v>1721</v>
      </c>
      <c r="H35" s="32" t="s">
        <v>368</v>
      </c>
      <c r="I35" s="32" t="s">
        <v>211</v>
      </c>
      <c r="J35" s="32" t="s">
        <v>375</v>
      </c>
      <c r="K35" s="32"/>
      <c r="L35" s="33"/>
      <c r="M35" s="32"/>
      <c r="N35" s="32"/>
      <c r="O35" s="32"/>
      <c r="P35" s="33"/>
      <c r="Q35" s="32"/>
      <c r="R35" s="32"/>
      <c r="S35" s="32"/>
      <c r="T35" s="33"/>
      <c r="U35" s="32"/>
      <c r="V35" s="32"/>
      <c r="W35" s="32"/>
      <c r="X35" s="33"/>
      <c r="Y35" s="32"/>
      <c r="Z35" s="32"/>
      <c r="AA35" s="32"/>
      <c r="AB35" s="33"/>
      <c r="AC35" s="32"/>
      <c r="AD35" s="32"/>
      <c r="AE35" s="32"/>
      <c r="AF35" s="33"/>
      <c r="AG35" s="32"/>
      <c r="AH35" s="32"/>
      <c r="AI35" s="32"/>
      <c r="AJ35" s="33"/>
      <c r="AK35" s="35"/>
      <c r="AL35" s="38"/>
      <c r="AM35" s="38"/>
      <c r="AN35" s="70"/>
      <c r="AO35" s="38"/>
      <c r="AP35" s="38"/>
    </row>
    <row r="36" spans="1:42" ht="51.75" x14ac:dyDescent="0.25">
      <c r="A36" s="32">
        <v>1364104581</v>
      </c>
      <c r="B36" s="32" t="s">
        <v>808</v>
      </c>
      <c r="C36" s="32" t="s">
        <v>809</v>
      </c>
      <c r="D36" s="32" t="s">
        <v>354</v>
      </c>
      <c r="E36" s="32" t="s">
        <v>158</v>
      </c>
      <c r="F36" s="32" t="s">
        <v>440</v>
      </c>
      <c r="G36" s="32">
        <v>1721</v>
      </c>
      <c r="H36" s="32" t="s">
        <v>368</v>
      </c>
      <c r="I36" s="32" t="s">
        <v>211</v>
      </c>
      <c r="J36" s="32" t="s">
        <v>375</v>
      </c>
      <c r="K36" s="32"/>
      <c r="L36" s="33"/>
      <c r="M36" s="32"/>
      <c r="N36" s="32"/>
      <c r="O36" s="32"/>
      <c r="P36" s="33"/>
      <c r="Q36" s="32"/>
      <c r="R36" s="32"/>
      <c r="S36" s="32"/>
      <c r="T36" s="33"/>
      <c r="U36" s="32"/>
      <c r="V36" s="32"/>
      <c r="W36" s="32"/>
      <c r="X36" s="33"/>
      <c r="Y36" s="32"/>
      <c r="Z36" s="32"/>
      <c r="AA36" s="32"/>
      <c r="AB36" s="33"/>
      <c r="AC36" s="32"/>
      <c r="AD36" s="32"/>
      <c r="AE36" s="32"/>
      <c r="AF36" s="33"/>
      <c r="AG36" s="32"/>
      <c r="AH36" s="32"/>
      <c r="AI36" s="32"/>
      <c r="AJ36" s="33"/>
      <c r="AK36" s="35"/>
      <c r="AL36" s="38"/>
      <c r="AM36" s="38"/>
      <c r="AN36" s="70"/>
      <c r="AO36" s="38"/>
      <c r="AP36" s="38"/>
    </row>
    <row r="37" spans="1:42" ht="51.75" x14ac:dyDescent="0.25">
      <c r="A37" s="32">
        <v>1599673202</v>
      </c>
      <c r="B37" s="32" t="s">
        <v>810</v>
      </c>
      <c r="C37" s="32" t="s">
        <v>811</v>
      </c>
      <c r="D37" s="32" t="s">
        <v>354</v>
      </c>
      <c r="E37" s="32" t="s">
        <v>155</v>
      </c>
      <c r="F37" s="32" t="s">
        <v>440</v>
      </c>
      <c r="G37" s="32">
        <v>1721</v>
      </c>
      <c r="H37" s="32" t="s">
        <v>368</v>
      </c>
      <c r="I37" s="32" t="s">
        <v>211</v>
      </c>
      <c r="J37" s="32" t="s">
        <v>375</v>
      </c>
      <c r="K37" s="32"/>
      <c r="L37" s="33"/>
      <c r="M37" s="32"/>
      <c r="N37" s="32"/>
      <c r="O37" s="32"/>
      <c r="P37" s="33"/>
      <c r="Q37" s="32"/>
      <c r="R37" s="32"/>
      <c r="S37" s="32"/>
      <c r="T37" s="33"/>
      <c r="U37" s="32"/>
      <c r="V37" s="32"/>
      <c r="W37" s="32"/>
      <c r="X37" s="33"/>
      <c r="Y37" s="32"/>
      <c r="Z37" s="32"/>
      <c r="AA37" s="32"/>
      <c r="AB37" s="33"/>
      <c r="AC37" s="32"/>
      <c r="AD37" s="32"/>
      <c r="AE37" s="32"/>
      <c r="AF37" s="33"/>
      <c r="AG37" s="32"/>
      <c r="AH37" s="32"/>
      <c r="AI37" s="32"/>
      <c r="AJ37" s="33"/>
      <c r="AK37" s="35"/>
      <c r="AL37" s="38"/>
      <c r="AM37" s="38"/>
      <c r="AN37" s="70"/>
      <c r="AO37" s="38"/>
      <c r="AP37" s="38"/>
    </row>
    <row r="38" spans="1:42" ht="51.75" x14ac:dyDescent="0.25">
      <c r="A38" s="32">
        <v>1163508456</v>
      </c>
      <c r="B38" s="32" t="s">
        <v>812</v>
      </c>
      <c r="C38" s="32" t="s">
        <v>813</v>
      </c>
      <c r="D38" s="32" t="s">
        <v>354</v>
      </c>
      <c r="E38" s="32" t="s">
        <v>155</v>
      </c>
      <c r="F38" s="32" t="s">
        <v>440</v>
      </c>
      <c r="G38" s="32">
        <v>1721</v>
      </c>
      <c r="H38" s="32" t="s">
        <v>368</v>
      </c>
      <c r="I38" s="32" t="s">
        <v>211</v>
      </c>
      <c r="J38" s="32" t="s">
        <v>375</v>
      </c>
      <c r="K38" s="32"/>
      <c r="L38" s="33"/>
      <c r="M38" s="32"/>
      <c r="N38" s="32"/>
      <c r="O38" s="32"/>
      <c r="P38" s="33"/>
      <c r="Q38" s="32"/>
      <c r="R38" s="32"/>
      <c r="S38" s="32"/>
      <c r="T38" s="33"/>
      <c r="U38" s="32"/>
      <c r="V38" s="32"/>
      <c r="W38" s="32"/>
      <c r="X38" s="33"/>
      <c r="Y38" s="32"/>
      <c r="Z38" s="32"/>
      <c r="AA38" s="32"/>
      <c r="AB38" s="33"/>
      <c r="AC38" s="32"/>
      <c r="AD38" s="32"/>
      <c r="AE38" s="32"/>
      <c r="AF38" s="33"/>
      <c r="AG38" s="32"/>
      <c r="AH38" s="32"/>
      <c r="AI38" s="32"/>
      <c r="AJ38" s="33"/>
      <c r="AK38" s="35"/>
      <c r="AL38" s="38"/>
      <c r="AM38" s="38"/>
      <c r="AN38" s="70"/>
      <c r="AO38" s="38"/>
      <c r="AP38" s="38"/>
    </row>
    <row r="39" spans="1:42" ht="51.75" x14ac:dyDescent="0.25">
      <c r="A39" s="32">
        <v>1093026721</v>
      </c>
      <c r="B39" s="32" t="s">
        <v>814</v>
      </c>
      <c r="C39" s="32" t="s">
        <v>815</v>
      </c>
      <c r="D39" s="32" t="s">
        <v>354</v>
      </c>
      <c r="E39" s="32" t="s">
        <v>155</v>
      </c>
      <c r="F39" s="32" t="s">
        <v>440</v>
      </c>
      <c r="G39" s="32">
        <v>1700</v>
      </c>
      <c r="H39" s="32" t="s">
        <v>368</v>
      </c>
      <c r="I39" s="32" t="s">
        <v>211</v>
      </c>
      <c r="J39" s="32" t="s">
        <v>375</v>
      </c>
      <c r="K39" s="32"/>
      <c r="L39" s="33"/>
      <c r="M39" s="32"/>
      <c r="N39" s="32"/>
      <c r="O39" s="32"/>
      <c r="P39" s="33"/>
      <c r="Q39" s="32"/>
      <c r="R39" s="32"/>
      <c r="S39" s="32"/>
      <c r="T39" s="33"/>
      <c r="U39" s="32"/>
      <c r="V39" s="32"/>
      <c r="W39" s="32"/>
      <c r="X39" s="33"/>
      <c r="Y39" s="32"/>
      <c r="Z39" s="32"/>
      <c r="AA39" s="32"/>
      <c r="AB39" s="33"/>
      <c r="AC39" s="32"/>
      <c r="AD39" s="32"/>
      <c r="AE39" s="32"/>
      <c r="AF39" s="33"/>
      <c r="AG39" s="32"/>
      <c r="AH39" s="32"/>
      <c r="AI39" s="32"/>
      <c r="AJ39" s="33"/>
      <c r="AK39" s="35"/>
      <c r="AL39" s="38"/>
      <c r="AM39" s="38"/>
      <c r="AN39" s="70"/>
      <c r="AO39" s="38"/>
      <c r="AP39" s="38"/>
    </row>
    <row r="40" spans="1:42" ht="51.75" x14ac:dyDescent="0.25">
      <c r="A40" s="32">
        <v>1523342542</v>
      </c>
      <c r="B40" s="32" t="s">
        <v>816</v>
      </c>
      <c r="C40" s="32" t="s">
        <v>817</v>
      </c>
      <c r="D40" s="32" t="s">
        <v>354</v>
      </c>
      <c r="E40" s="32" t="s">
        <v>151</v>
      </c>
      <c r="F40" s="32" t="s">
        <v>440</v>
      </c>
      <c r="G40" s="32">
        <v>1721</v>
      </c>
      <c r="H40" s="32" t="s">
        <v>368</v>
      </c>
      <c r="I40" s="32" t="s">
        <v>211</v>
      </c>
      <c r="J40" s="32" t="s">
        <v>375</v>
      </c>
      <c r="K40" s="32"/>
      <c r="L40" s="33"/>
      <c r="M40" s="32"/>
      <c r="N40" s="32"/>
      <c r="O40" s="32"/>
      <c r="P40" s="33"/>
      <c r="Q40" s="32"/>
      <c r="R40" s="32"/>
      <c r="S40" s="32"/>
      <c r="T40" s="33"/>
      <c r="U40" s="32"/>
      <c r="V40" s="32"/>
      <c r="W40" s="32"/>
      <c r="X40" s="33"/>
      <c r="Y40" s="32"/>
      <c r="Z40" s="32"/>
      <c r="AA40" s="32"/>
      <c r="AB40" s="33"/>
      <c r="AC40" s="32"/>
      <c r="AD40" s="32"/>
      <c r="AE40" s="32"/>
      <c r="AF40" s="33"/>
      <c r="AG40" s="32"/>
      <c r="AH40" s="32"/>
      <c r="AI40" s="32"/>
      <c r="AJ40" s="33"/>
      <c r="AK40" s="35"/>
      <c r="AL40" s="38"/>
      <c r="AM40" s="38"/>
      <c r="AN40" s="70"/>
      <c r="AO40" s="38"/>
      <c r="AP40" s="38"/>
    </row>
    <row r="41" spans="1:42" ht="51.75" x14ac:dyDescent="0.25">
      <c r="A41" s="32">
        <v>1128365853</v>
      </c>
      <c r="B41" s="32" t="s">
        <v>818</v>
      </c>
      <c r="C41" s="32" t="s">
        <v>819</v>
      </c>
      <c r="D41" s="32" t="s">
        <v>354</v>
      </c>
      <c r="E41" s="32" t="s">
        <v>151</v>
      </c>
      <c r="F41" s="32" t="s">
        <v>440</v>
      </c>
      <c r="G41" s="32">
        <v>1721</v>
      </c>
      <c r="H41" s="32" t="s">
        <v>368</v>
      </c>
      <c r="I41" s="32" t="s">
        <v>211</v>
      </c>
      <c r="J41" s="32" t="s">
        <v>375</v>
      </c>
      <c r="K41" s="32"/>
      <c r="L41" s="33"/>
      <c r="M41" s="32"/>
      <c r="N41" s="32"/>
      <c r="O41" s="32"/>
      <c r="P41" s="33"/>
      <c r="Q41" s="32"/>
      <c r="R41" s="32"/>
      <c r="S41" s="32"/>
      <c r="T41" s="33"/>
      <c r="U41" s="32"/>
      <c r="V41" s="32"/>
      <c r="W41" s="32"/>
      <c r="X41" s="33"/>
      <c r="Y41" s="32"/>
      <c r="Z41" s="32"/>
      <c r="AA41" s="32"/>
      <c r="AB41" s="33"/>
      <c r="AC41" s="32"/>
      <c r="AD41" s="32"/>
      <c r="AE41" s="32"/>
      <c r="AF41" s="33"/>
      <c r="AG41" s="32"/>
      <c r="AH41" s="32"/>
      <c r="AI41" s="32"/>
      <c r="AJ41" s="33"/>
      <c r="AK41" s="35"/>
      <c r="AL41" s="38"/>
      <c r="AM41" s="38"/>
      <c r="AN41" s="70"/>
      <c r="AO41" s="38"/>
      <c r="AP41" s="38"/>
    </row>
    <row r="42" spans="1:42" ht="51.75" x14ac:dyDescent="0.25">
      <c r="A42" s="32">
        <v>1164109197</v>
      </c>
      <c r="B42" s="32" t="s">
        <v>820</v>
      </c>
      <c r="C42" s="32" t="s">
        <v>821</v>
      </c>
      <c r="D42" s="32" t="s">
        <v>354</v>
      </c>
      <c r="E42" s="32" t="s">
        <v>151</v>
      </c>
      <c r="F42" s="32" t="s">
        <v>440</v>
      </c>
      <c r="G42" s="32">
        <v>1721</v>
      </c>
      <c r="H42" s="32" t="s">
        <v>368</v>
      </c>
      <c r="I42" s="32" t="s">
        <v>211</v>
      </c>
      <c r="J42" s="32" t="s">
        <v>375</v>
      </c>
      <c r="K42" s="32"/>
      <c r="L42" s="33"/>
      <c r="M42" s="32"/>
      <c r="N42" s="32"/>
      <c r="O42" s="32"/>
      <c r="P42" s="33"/>
      <c r="Q42" s="32"/>
      <c r="R42" s="32"/>
      <c r="S42" s="32"/>
      <c r="T42" s="33"/>
      <c r="U42" s="32"/>
      <c r="V42" s="32"/>
      <c r="W42" s="32"/>
      <c r="X42" s="33"/>
      <c r="Y42" s="32"/>
      <c r="Z42" s="32"/>
      <c r="AA42" s="32"/>
      <c r="AB42" s="33"/>
      <c r="AC42" s="32"/>
      <c r="AD42" s="32"/>
      <c r="AE42" s="32"/>
      <c r="AF42" s="33"/>
      <c r="AG42" s="32"/>
      <c r="AH42" s="32"/>
      <c r="AI42" s="32"/>
      <c r="AJ42" s="33"/>
      <c r="AK42" s="35"/>
      <c r="AL42" s="38"/>
      <c r="AM42" s="38"/>
      <c r="AN42" s="70"/>
      <c r="AO42" s="38"/>
      <c r="AP42" s="38"/>
    </row>
    <row r="43" spans="1:42" ht="51.75" x14ac:dyDescent="0.25">
      <c r="A43" s="32">
        <v>1397980725</v>
      </c>
      <c r="B43" s="32" t="s">
        <v>822</v>
      </c>
      <c r="C43" s="32" t="s">
        <v>823</v>
      </c>
      <c r="D43" s="32" t="s">
        <v>354</v>
      </c>
      <c r="E43" s="32" t="s">
        <v>151</v>
      </c>
      <c r="F43" s="32" t="s">
        <v>440</v>
      </c>
      <c r="G43" s="32">
        <v>1721</v>
      </c>
      <c r="H43" s="32" t="s">
        <v>368</v>
      </c>
      <c r="I43" s="32" t="s">
        <v>211</v>
      </c>
      <c r="J43" s="32" t="s">
        <v>375</v>
      </c>
      <c r="K43" s="32"/>
      <c r="L43" s="33"/>
      <c r="M43" s="32"/>
      <c r="N43" s="32"/>
      <c r="O43" s="32"/>
      <c r="P43" s="33"/>
      <c r="Q43" s="32"/>
      <c r="R43" s="32"/>
      <c r="S43" s="32"/>
      <c r="T43" s="33"/>
      <c r="U43" s="32"/>
      <c r="V43" s="32"/>
      <c r="W43" s="32"/>
      <c r="X43" s="33"/>
      <c r="Y43" s="32"/>
      <c r="Z43" s="32"/>
      <c r="AA43" s="32"/>
      <c r="AB43" s="33"/>
      <c r="AC43" s="32"/>
      <c r="AD43" s="32"/>
      <c r="AE43" s="32"/>
      <c r="AF43" s="33"/>
      <c r="AG43" s="32"/>
      <c r="AH43" s="32"/>
      <c r="AI43" s="32"/>
      <c r="AJ43" s="33"/>
      <c r="AK43" s="35"/>
      <c r="AL43" s="38"/>
      <c r="AM43" s="38"/>
      <c r="AN43" s="70"/>
      <c r="AO43" s="38"/>
      <c r="AP43" s="38"/>
    </row>
    <row r="44" spans="1:42" ht="51.75" x14ac:dyDescent="0.25">
      <c r="A44" s="32">
        <v>1135673321</v>
      </c>
      <c r="B44" s="32" t="s">
        <v>824</v>
      </c>
      <c r="C44" s="32" t="s">
        <v>825</v>
      </c>
      <c r="D44" s="32" t="s">
        <v>354</v>
      </c>
      <c r="E44" s="32" t="s">
        <v>151</v>
      </c>
      <c r="F44" s="32" t="s">
        <v>440</v>
      </c>
      <c r="G44" s="32">
        <v>1721</v>
      </c>
      <c r="H44" s="32" t="s">
        <v>368</v>
      </c>
      <c r="I44" s="32" t="s">
        <v>211</v>
      </c>
      <c r="J44" s="32" t="s">
        <v>375</v>
      </c>
      <c r="K44" s="32"/>
      <c r="L44" s="33"/>
      <c r="M44" s="32"/>
      <c r="N44" s="32"/>
      <c r="O44" s="32"/>
      <c r="P44" s="33"/>
      <c r="Q44" s="32"/>
      <c r="R44" s="32"/>
      <c r="S44" s="32"/>
      <c r="T44" s="33"/>
      <c r="U44" s="32"/>
      <c r="V44" s="32"/>
      <c r="W44" s="32"/>
      <c r="X44" s="33"/>
      <c r="Y44" s="32"/>
      <c r="Z44" s="32"/>
      <c r="AA44" s="32"/>
      <c r="AB44" s="33"/>
      <c r="AC44" s="32"/>
      <c r="AD44" s="32"/>
      <c r="AE44" s="32"/>
      <c r="AF44" s="33"/>
      <c r="AG44" s="32"/>
      <c r="AH44" s="32"/>
      <c r="AI44" s="32"/>
      <c r="AJ44" s="33"/>
      <c r="AK44" s="35"/>
      <c r="AL44" s="38"/>
      <c r="AM44" s="38"/>
      <c r="AN44" s="70"/>
      <c r="AO44" s="38"/>
      <c r="AP44" s="38"/>
    </row>
    <row r="45" spans="1:42" ht="51.75" x14ac:dyDescent="0.25">
      <c r="A45" s="32">
        <v>1502371969</v>
      </c>
      <c r="B45" s="32" t="s">
        <v>826</v>
      </c>
      <c r="C45" s="32" t="s">
        <v>827</v>
      </c>
      <c r="D45" s="32" t="s">
        <v>354</v>
      </c>
      <c r="E45" s="32" t="s">
        <v>151</v>
      </c>
      <c r="F45" s="32" t="s">
        <v>440</v>
      </c>
      <c r="G45" s="32">
        <v>1721</v>
      </c>
      <c r="H45" s="32" t="s">
        <v>368</v>
      </c>
      <c r="I45" s="32" t="s">
        <v>211</v>
      </c>
      <c r="J45" s="32" t="s">
        <v>375</v>
      </c>
      <c r="K45" s="32"/>
      <c r="L45" s="33"/>
      <c r="M45" s="32"/>
      <c r="N45" s="32"/>
      <c r="O45" s="32"/>
      <c r="P45" s="33"/>
      <c r="Q45" s="32"/>
      <c r="R45" s="32"/>
      <c r="S45" s="32"/>
      <c r="T45" s="33"/>
      <c r="U45" s="32"/>
      <c r="V45" s="32"/>
      <c r="W45" s="32"/>
      <c r="X45" s="33"/>
      <c r="Y45" s="32"/>
      <c r="Z45" s="32"/>
      <c r="AA45" s="32" t="s">
        <v>655</v>
      </c>
      <c r="AB45" s="33">
        <v>45301</v>
      </c>
      <c r="AC45" s="32" t="s">
        <v>443</v>
      </c>
      <c r="AD45" s="32" t="s">
        <v>4</v>
      </c>
      <c r="AE45" s="32"/>
      <c r="AF45" s="33"/>
      <c r="AG45" s="32"/>
      <c r="AH45" s="32"/>
      <c r="AI45" s="32"/>
      <c r="AJ45" s="33"/>
      <c r="AK45" s="35"/>
      <c r="AL45" s="38"/>
      <c r="AM45" s="38"/>
      <c r="AN45" s="70"/>
      <c r="AO45" s="38"/>
      <c r="AP45" s="38"/>
    </row>
    <row r="46" spans="1:42" ht="51.75" x14ac:dyDescent="0.25">
      <c r="A46" s="32">
        <v>1397447603</v>
      </c>
      <c r="B46" s="32" t="s">
        <v>828</v>
      </c>
      <c r="C46" s="32" t="s">
        <v>829</v>
      </c>
      <c r="D46" s="32" t="s">
        <v>354</v>
      </c>
      <c r="E46" s="32" t="s">
        <v>151</v>
      </c>
      <c r="F46" s="32" t="s">
        <v>440</v>
      </c>
      <c r="G46" s="32">
        <v>1721</v>
      </c>
      <c r="H46" s="32" t="s">
        <v>368</v>
      </c>
      <c r="I46" s="32" t="s">
        <v>211</v>
      </c>
      <c r="J46" s="32" t="s">
        <v>375</v>
      </c>
      <c r="K46" s="32"/>
      <c r="L46" s="33"/>
      <c r="M46" s="32"/>
      <c r="N46" s="32"/>
      <c r="O46" s="32"/>
      <c r="P46" s="33"/>
      <c r="Q46" s="32"/>
      <c r="R46" s="32"/>
      <c r="S46" s="32"/>
      <c r="T46" s="33"/>
      <c r="U46" s="32"/>
      <c r="V46" s="32"/>
      <c r="W46" s="32"/>
      <c r="X46" s="33"/>
      <c r="Y46" s="32"/>
      <c r="Z46" s="32"/>
      <c r="AA46" s="32"/>
      <c r="AB46" s="33"/>
      <c r="AC46" s="32"/>
      <c r="AD46" s="32"/>
      <c r="AE46" s="32"/>
      <c r="AF46" s="33"/>
      <c r="AG46" s="32"/>
      <c r="AH46" s="32"/>
      <c r="AI46" s="32"/>
      <c r="AJ46" s="33"/>
      <c r="AK46" s="35"/>
      <c r="AL46" s="38"/>
      <c r="AM46" s="38"/>
      <c r="AN46" s="70"/>
      <c r="AO46" s="38"/>
      <c r="AP46" s="38"/>
    </row>
    <row r="47" spans="1:42" ht="51.75" x14ac:dyDescent="0.25">
      <c r="A47" s="32">
        <v>1207085014</v>
      </c>
      <c r="B47" s="32" t="s">
        <v>830</v>
      </c>
      <c r="C47" s="32" t="s">
        <v>831</v>
      </c>
      <c r="D47" s="32" t="s">
        <v>354</v>
      </c>
      <c r="E47" s="32" t="s">
        <v>147</v>
      </c>
      <c r="F47" s="32" t="s">
        <v>440</v>
      </c>
      <c r="G47" s="32">
        <v>1721</v>
      </c>
      <c r="H47" s="32" t="s">
        <v>414</v>
      </c>
      <c r="I47" s="32" t="s">
        <v>211</v>
      </c>
      <c r="J47" s="32" t="s">
        <v>375</v>
      </c>
      <c r="K47" s="32"/>
      <c r="L47" s="33"/>
      <c r="M47" s="32"/>
      <c r="N47" s="32"/>
      <c r="O47" s="32"/>
      <c r="P47" s="33"/>
      <c r="Q47" s="32"/>
      <c r="R47" s="32"/>
      <c r="S47" s="32"/>
      <c r="T47" s="33"/>
      <c r="U47" s="32"/>
      <c r="V47" s="32"/>
      <c r="W47" s="32"/>
      <c r="X47" s="33"/>
      <c r="Y47" s="32"/>
      <c r="Z47" s="32"/>
      <c r="AA47" s="32"/>
      <c r="AB47" s="33"/>
      <c r="AC47" s="32"/>
      <c r="AD47" s="32"/>
      <c r="AE47" s="32"/>
      <c r="AF47" s="33"/>
      <c r="AG47" s="32"/>
      <c r="AH47" s="32"/>
      <c r="AI47" s="32"/>
      <c r="AJ47" s="33"/>
      <c r="AK47" s="35"/>
      <c r="AL47" s="38"/>
      <c r="AM47" s="38"/>
      <c r="AN47" s="70"/>
      <c r="AO47" s="38"/>
      <c r="AP47" s="38"/>
    </row>
    <row r="48" spans="1:42" ht="51.75" x14ac:dyDescent="0.25">
      <c r="A48" s="32">
        <v>1045261897</v>
      </c>
      <c r="B48" s="32" t="s">
        <v>832</v>
      </c>
      <c r="C48" s="32" t="s">
        <v>833</v>
      </c>
      <c r="D48" s="32" t="s">
        <v>354</v>
      </c>
      <c r="E48" s="32" t="s">
        <v>155</v>
      </c>
      <c r="F48" s="32" t="s">
        <v>440</v>
      </c>
      <c r="G48" s="32">
        <v>1721</v>
      </c>
      <c r="H48" s="32" t="s">
        <v>368</v>
      </c>
      <c r="I48" s="32" t="s">
        <v>211</v>
      </c>
      <c r="J48" s="32" t="s">
        <v>375</v>
      </c>
      <c r="K48" s="32"/>
      <c r="L48" s="33"/>
      <c r="M48" s="32"/>
      <c r="N48" s="32"/>
      <c r="O48" s="32"/>
      <c r="P48" s="33"/>
      <c r="Q48" s="32"/>
      <c r="R48" s="32"/>
      <c r="S48" s="32"/>
      <c r="T48" s="33"/>
      <c r="U48" s="32"/>
      <c r="V48" s="32"/>
      <c r="W48" s="32"/>
      <c r="X48" s="33"/>
      <c r="Y48" s="32"/>
      <c r="Z48" s="32"/>
      <c r="AA48" s="32"/>
      <c r="AB48" s="33"/>
      <c r="AC48" s="32"/>
      <c r="AD48" s="32"/>
      <c r="AE48" s="32"/>
      <c r="AF48" s="32"/>
      <c r="AG48" s="32"/>
      <c r="AH48" s="32"/>
      <c r="AI48" s="32"/>
      <c r="AJ48" s="33"/>
      <c r="AK48" s="35"/>
      <c r="AL48" s="38"/>
      <c r="AM48" s="38"/>
      <c r="AN48" s="38"/>
      <c r="AO48" s="38"/>
      <c r="AP48" s="38"/>
    </row>
    <row r="49" spans="1:42" ht="51.75" x14ac:dyDescent="0.25">
      <c r="A49" s="32">
        <v>1043584855</v>
      </c>
      <c r="B49" s="32" t="s">
        <v>834</v>
      </c>
      <c r="C49" s="32" t="s">
        <v>835</v>
      </c>
      <c r="D49" s="32" t="s">
        <v>354</v>
      </c>
      <c r="E49" s="32" t="s">
        <v>147</v>
      </c>
      <c r="F49" s="32" t="s">
        <v>440</v>
      </c>
      <c r="G49" s="32">
        <v>1721</v>
      </c>
      <c r="H49" s="32" t="s">
        <v>368</v>
      </c>
      <c r="I49" s="32" t="s">
        <v>211</v>
      </c>
      <c r="J49" s="32" t="s">
        <v>375</v>
      </c>
      <c r="K49" s="32"/>
      <c r="L49" s="33"/>
      <c r="M49" s="32"/>
      <c r="N49" s="32"/>
      <c r="O49" s="32"/>
      <c r="P49" s="33"/>
      <c r="Q49" s="32"/>
      <c r="R49" s="32"/>
      <c r="S49" s="32"/>
      <c r="T49" s="33"/>
      <c r="U49" s="32"/>
      <c r="V49" s="32"/>
      <c r="W49" s="32"/>
      <c r="X49" s="33"/>
      <c r="Y49" s="32"/>
      <c r="Z49" s="32"/>
      <c r="AA49" s="32"/>
      <c r="AB49" s="33"/>
      <c r="AC49" s="32"/>
      <c r="AD49" s="32"/>
      <c r="AE49" s="32"/>
      <c r="AF49" s="33"/>
      <c r="AG49" s="32"/>
      <c r="AH49" s="32"/>
      <c r="AI49" s="32"/>
      <c r="AJ49" s="33"/>
      <c r="AK49" s="35"/>
      <c r="AL49" s="38"/>
      <c r="AM49" s="38"/>
      <c r="AN49" s="70"/>
      <c r="AO49" s="38"/>
      <c r="AP49" s="38"/>
    </row>
    <row r="50" spans="1:42" ht="39" x14ac:dyDescent="0.25">
      <c r="A50" s="32">
        <v>1466955974</v>
      </c>
      <c r="B50" s="32" t="s">
        <v>836</v>
      </c>
      <c r="C50" s="32" t="s">
        <v>837</v>
      </c>
      <c r="D50" s="32" t="s">
        <v>354</v>
      </c>
      <c r="E50" s="32" t="s">
        <v>170</v>
      </c>
      <c r="F50" s="32" t="s">
        <v>440</v>
      </c>
      <c r="G50" s="32">
        <v>1702</v>
      </c>
      <c r="H50" s="32" t="s">
        <v>368</v>
      </c>
      <c r="I50" s="32" t="s">
        <v>945</v>
      </c>
      <c r="J50" s="32" t="s">
        <v>360</v>
      </c>
      <c r="K50" s="32"/>
      <c r="L50" s="33"/>
      <c r="M50" s="32"/>
      <c r="N50" s="32"/>
      <c r="O50" s="32" t="s">
        <v>655</v>
      </c>
      <c r="P50" s="33">
        <v>45300</v>
      </c>
      <c r="Q50" s="32" t="s">
        <v>212</v>
      </c>
      <c r="R50" s="32" t="s">
        <v>4</v>
      </c>
      <c r="S50" s="32"/>
      <c r="T50" s="33"/>
      <c r="U50" s="32"/>
      <c r="V50" s="32"/>
      <c r="W50" s="32" t="s">
        <v>655</v>
      </c>
      <c r="X50" s="33">
        <v>45296</v>
      </c>
      <c r="Y50" s="32" t="s">
        <v>212</v>
      </c>
      <c r="Z50" s="32" t="s">
        <v>4</v>
      </c>
      <c r="AA50" s="32" t="s">
        <v>655</v>
      </c>
      <c r="AB50" s="33">
        <v>45296</v>
      </c>
      <c r="AC50" s="32" t="s">
        <v>443</v>
      </c>
      <c r="AD50" s="32" t="s">
        <v>4</v>
      </c>
      <c r="AE50" s="32" t="s">
        <v>655</v>
      </c>
      <c r="AF50" s="33">
        <v>45296</v>
      </c>
      <c r="AG50" s="32" t="s">
        <v>443</v>
      </c>
      <c r="AH50" s="32" t="s">
        <v>4</v>
      </c>
      <c r="AI50" s="32" t="s">
        <v>655</v>
      </c>
      <c r="AJ50" s="33">
        <v>45296</v>
      </c>
      <c r="AK50" s="35" t="s">
        <v>212</v>
      </c>
      <c r="AL50" s="38" t="s">
        <v>4</v>
      </c>
      <c r="AM50" s="38" t="s">
        <v>655</v>
      </c>
      <c r="AN50" s="70">
        <v>45296</v>
      </c>
      <c r="AO50" s="38" t="s">
        <v>212</v>
      </c>
      <c r="AP50" s="38" t="s">
        <v>4</v>
      </c>
    </row>
    <row r="51" spans="1:42" ht="51.75" x14ac:dyDescent="0.25">
      <c r="A51" s="32">
        <v>1086482908</v>
      </c>
      <c r="B51" s="32" t="s">
        <v>838</v>
      </c>
      <c r="C51" s="32" t="s">
        <v>839</v>
      </c>
      <c r="D51" s="32" t="s">
        <v>354</v>
      </c>
      <c r="E51" s="32" t="s">
        <v>161</v>
      </c>
      <c r="F51" s="32" t="s">
        <v>440</v>
      </c>
      <c r="G51" s="32">
        <v>1721</v>
      </c>
      <c r="H51" s="32" t="s">
        <v>368</v>
      </c>
      <c r="I51" s="32" t="s">
        <v>945</v>
      </c>
      <c r="J51" s="32" t="s">
        <v>375</v>
      </c>
      <c r="K51" s="32"/>
      <c r="L51" s="33"/>
      <c r="M51" s="32"/>
      <c r="N51" s="32"/>
      <c r="O51" s="32"/>
      <c r="P51" s="33"/>
      <c r="Q51" s="32"/>
      <c r="R51" s="32"/>
      <c r="S51" s="32"/>
      <c r="T51" s="33"/>
      <c r="U51" s="32"/>
      <c r="V51" s="32"/>
      <c r="W51" s="32"/>
      <c r="X51" s="33"/>
      <c r="Y51" s="32"/>
      <c r="Z51" s="32"/>
      <c r="AA51" s="32"/>
      <c r="AB51" s="33"/>
      <c r="AC51" s="32"/>
      <c r="AD51" s="32"/>
      <c r="AE51" s="32"/>
      <c r="AF51" s="32"/>
      <c r="AG51" s="32"/>
      <c r="AH51" s="32"/>
      <c r="AI51" s="32"/>
      <c r="AJ51" s="33"/>
      <c r="AK51" s="35"/>
      <c r="AL51" s="38"/>
      <c r="AM51" s="38"/>
      <c r="AN51" s="38"/>
      <c r="AO51" s="38"/>
      <c r="AP51" s="38"/>
    </row>
    <row r="52" spans="1:42" ht="51.75" x14ac:dyDescent="0.25">
      <c r="A52" s="32">
        <v>1378280647</v>
      </c>
      <c r="B52" s="32" t="s">
        <v>840</v>
      </c>
      <c r="C52" s="32" t="s">
        <v>841</v>
      </c>
      <c r="D52" s="32" t="s">
        <v>354</v>
      </c>
      <c r="E52" s="32" t="s">
        <v>158</v>
      </c>
      <c r="F52" s="32" t="s">
        <v>440</v>
      </c>
      <c r="G52" s="32">
        <v>1721</v>
      </c>
      <c r="H52" s="32" t="s">
        <v>368</v>
      </c>
      <c r="I52" s="32" t="s">
        <v>945</v>
      </c>
      <c r="J52" s="32" t="s">
        <v>375</v>
      </c>
      <c r="K52" s="32"/>
      <c r="L52" s="33"/>
      <c r="M52" s="32"/>
      <c r="N52" s="32"/>
      <c r="O52" s="32"/>
      <c r="P52" s="33"/>
      <c r="Q52" s="32"/>
      <c r="R52" s="32"/>
      <c r="S52" s="32"/>
      <c r="T52" s="33"/>
      <c r="U52" s="32"/>
      <c r="V52" s="32"/>
      <c r="W52" s="32"/>
      <c r="X52" s="33"/>
      <c r="Y52" s="32"/>
      <c r="Z52" s="32"/>
      <c r="AA52" s="32"/>
      <c r="AB52" s="33"/>
      <c r="AC52" s="32"/>
      <c r="AD52" s="32"/>
      <c r="AE52" s="32"/>
      <c r="AF52" s="33"/>
      <c r="AG52" s="32"/>
      <c r="AH52" s="32"/>
      <c r="AI52" s="32"/>
      <c r="AJ52" s="33"/>
      <c r="AK52" s="35"/>
      <c r="AL52" s="38"/>
      <c r="AM52" s="38"/>
      <c r="AN52" s="38"/>
      <c r="AO52" s="38"/>
      <c r="AP52" s="38"/>
    </row>
    <row r="53" spans="1:42" ht="51.75" x14ac:dyDescent="0.25">
      <c r="A53" s="32">
        <v>1376933246</v>
      </c>
      <c r="B53" s="32" t="s">
        <v>842</v>
      </c>
      <c r="C53" s="32" t="s">
        <v>843</v>
      </c>
      <c r="D53" s="32" t="s">
        <v>354</v>
      </c>
      <c r="E53" s="32" t="s">
        <v>158</v>
      </c>
      <c r="F53" s="32" t="s">
        <v>440</v>
      </c>
      <c r="G53" s="32">
        <v>1721</v>
      </c>
      <c r="H53" s="32" t="s">
        <v>368</v>
      </c>
      <c r="I53" s="32" t="s">
        <v>945</v>
      </c>
      <c r="J53" s="32" t="s">
        <v>375</v>
      </c>
      <c r="K53" s="32"/>
      <c r="L53" s="33"/>
      <c r="M53" s="32"/>
      <c r="N53" s="32"/>
      <c r="O53" s="32"/>
      <c r="P53" s="33"/>
      <c r="Q53" s="32"/>
      <c r="R53" s="32"/>
      <c r="S53" s="32"/>
      <c r="T53" s="33"/>
      <c r="U53" s="32"/>
      <c r="V53" s="32"/>
      <c r="W53" s="32"/>
      <c r="X53" s="33"/>
      <c r="Y53" s="32"/>
      <c r="Z53" s="32"/>
      <c r="AA53" s="32"/>
      <c r="AB53" s="33"/>
      <c r="AC53" s="32"/>
      <c r="AD53" s="32"/>
      <c r="AE53" s="32"/>
      <c r="AF53" s="33"/>
      <c r="AG53" s="32"/>
      <c r="AH53" s="32"/>
      <c r="AI53" s="32"/>
      <c r="AJ53" s="33"/>
      <c r="AK53" s="35"/>
      <c r="AL53" s="38"/>
      <c r="AM53" s="38"/>
      <c r="AN53" s="70"/>
      <c r="AO53" s="38"/>
      <c r="AP53" s="38"/>
    </row>
    <row r="54" spans="1:42" ht="51.75" x14ac:dyDescent="0.25">
      <c r="A54" s="32">
        <v>1480655370</v>
      </c>
      <c r="B54" s="32" t="s">
        <v>844</v>
      </c>
      <c r="C54" s="32" t="s">
        <v>845</v>
      </c>
      <c r="D54" s="32" t="s">
        <v>354</v>
      </c>
      <c r="E54" s="32" t="s">
        <v>155</v>
      </c>
      <c r="F54" s="32" t="s">
        <v>440</v>
      </c>
      <c r="G54" s="32">
        <v>1721</v>
      </c>
      <c r="H54" s="32" t="s">
        <v>368</v>
      </c>
      <c r="I54" s="32" t="s">
        <v>945</v>
      </c>
      <c r="J54" s="32" t="s">
        <v>375</v>
      </c>
      <c r="K54" s="32"/>
      <c r="L54" s="33"/>
      <c r="M54" s="32"/>
      <c r="N54" s="32"/>
      <c r="O54" s="32"/>
      <c r="P54" s="33"/>
      <c r="Q54" s="32"/>
      <c r="R54" s="32"/>
      <c r="S54" s="32"/>
      <c r="T54" s="33"/>
      <c r="U54" s="32"/>
      <c r="V54" s="32"/>
      <c r="W54" s="32"/>
      <c r="X54" s="33"/>
      <c r="Y54" s="32"/>
      <c r="Z54" s="32"/>
      <c r="AA54" s="32"/>
      <c r="AB54" s="33"/>
      <c r="AC54" s="32"/>
      <c r="AD54" s="32"/>
      <c r="AE54" s="32"/>
      <c r="AF54" s="33"/>
      <c r="AG54" s="32"/>
      <c r="AH54" s="32"/>
      <c r="AI54" s="32"/>
      <c r="AJ54" s="33"/>
      <c r="AK54" s="35"/>
      <c r="AL54" s="38"/>
      <c r="AM54" s="38"/>
      <c r="AN54" s="70"/>
      <c r="AO54" s="38"/>
      <c r="AP54" s="38"/>
    </row>
    <row r="55" spans="1:42" ht="51.75" x14ac:dyDescent="0.25">
      <c r="A55" s="32">
        <v>1328891644</v>
      </c>
      <c r="B55" s="32" t="s">
        <v>846</v>
      </c>
      <c r="C55" s="32" t="s">
        <v>847</v>
      </c>
      <c r="D55" s="32" t="s">
        <v>354</v>
      </c>
      <c r="E55" s="32" t="s">
        <v>155</v>
      </c>
      <c r="F55" s="32" t="s">
        <v>440</v>
      </c>
      <c r="G55" s="32">
        <v>1721</v>
      </c>
      <c r="H55" s="32" t="s">
        <v>368</v>
      </c>
      <c r="I55" s="32" t="s">
        <v>945</v>
      </c>
      <c r="J55" s="32" t="s">
        <v>375</v>
      </c>
      <c r="K55" s="32"/>
      <c r="L55" s="33"/>
      <c r="M55" s="32"/>
      <c r="N55" s="32"/>
      <c r="O55" s="32"/>
      <c r="P55" s="33"/>
      <c r="Q55" s="32"/>
      <c r="R55" s="32"/>
      <c r="S55" s="32"/>
      <c r="T55" s="33"/>
      <c r="U55" s="32"/>
      <c r="V55" s="32"/>
      <c r="W55" s="32"/>
      <c r="X55" s="33"/>
      <c r="Y55" s="32"/>
      <c r="Z55" s="32"/>
      <c r="AA55" s="32"/>
      <c r="AB55" s="33"/>
      <c r="AC55" s="32"/>
      <c r="AD55" s="32"/>
      <c r="AE55" s="32"/>
      <c r="AF55" s="33"/>
      <c r="AG55" s="32"/>
      <c r="AH55" s="32"/>
      <c r="AI55" s="32"/>
      <c r="AJ55" s="33"/>
      <c r="AK55" s="35"/>
      <c r="AL55" s="38"/>
      <c r="AM55" s="38"/>
      <c r="AN55" s="38"/>
      <c r="AO55" s="38"/>
      <c r="AP55" s="38"/>
    </row>
    <row r="56" spans="1:42" ht="51.75" x14ac:dyDescent="0.25">
      <c r="A56" s="32">
        <v>1583347169</v>
      </c>
      <c r="B56" s="32" t="s">
        <v>800</v>
      </c>
      <c r="C56" s="32" t="s">
        <v>848</v>
      </c>
      <c r="D56" s="32" t="s">
        <v>354</v>
      </c>
      <c r="E56" s="32" t="s">
        <v>155</v>
      </c>
      <c r="F56" s="32" t="s">
        <v>440</v>
      </c>
      <c r="G56" s="32">
        <v>1700</v>
      </c>
      <c r="H56" s="32" t="s">
        <v>368</v>
      </c>
      <c r="I56" s="32" t="s">
        <v>945</v>
      </c>
      <c r="J56" s="32" t="s">
        <v>375</v>
      </c>
      <c r="K56" s="32"/>
      <c r="L56" s="33"/>
      <c r="M56" s="32"/>
      <c r="N56" s="32"/>
      <c r="O56" s="32"/>
      <c r="P56" s="33"/>
      <c r="Q56" s="32"/>
      <c r="R56" s="32"/>
      <c r="S56" s="32"/>
      <c r="T56" s="33"/>
      <c r="U56" s="32"/>
      <c r="V56" s="32"/>
      <c r="W56" s="32"/>
      <c r="X56" s="33"/>
      <c r="Y56" s="32"/>
      <c r="Z56" s="32"/>
      <c r="AA56" s="32"/>
      <c r="AB56" s="33"/>
      <c r="AC56" s="32"/>
      <c r="AD56" s="32"/>
      <c r="AE56" s="32"/>
      <c r="AF56" s="33"/>
      <c r="AG56" s="32"/>
      <c r="AH56" s="32"/>
      <c r="AI56" s="32"/>
      <c r="AJ56" s="33"/>
      <c r="AK56" s="35"/>
      <c r="AL56" s="38"/>
      <c r="AM56" s="38"/>
      <c r="AN56" s="70"/>
      <c r="AO56" s="38"/>
      <c r="AP56" s="38"/>
    </row>
    <row r="57" spans="1:42" ht="51.75" x14ac:dyDescent="0.25">
      <c r="A57" s="32">
        <v>1110516278</v>
      </c>
      <c r="B57" s="32" t="s">
        <v>849</v>
      </c>
      <c r="C57" s="32" t="s">
        <v>850</v>
      </c>
      <c r="D57" s="32" t="s">
        <v>354</v>
      </c>
      <c r="E57" s="32" t="s">
        <v>151</v>
      </c>
      <c r="F57" s="32" t="s">
        <v>440</v>
      </c>
      <c r="G57" s="32">
        <v>1721</v>
      </c>
      <c r="H57" s="32" t="s">
        <v>368</v>
      </c>
      <c r="I57" s="32" t="s">
        <v>945</v>
      </c>
      <c r="J57" s="32" t="s">
        <v>375</v>
      </c>
      <c r="K57" s="32"/>
      <c r="L57" s="33"/>
      <c r="M57" s="32"/>
      <c r="N57" s="32"/>
      <c r="O57" s="32"/>
      <c r="P57" s="33"/>
      <c r="Q57" s="32"/>
      <c r="R57" s="32"/>
      <c r="S57" s="32"/>
      <c r="T57" s="33"/>
      <c r="U57" s="32"/>
      <c r="V57" s="32"/>
      <c r="W57" s="32"/>
      <c r="X57" s="33"/>
      <c r="Y57" s="32"/>
      <c r="Z57" s="32"/>
      <c r="AA57" s="32"/>
      <c r="AB57" s="33"/>
      <c r="AC57" s="32"/>
      <c r="AD57" s="32"/>
      <c r="AE57" s="32"/>
      <c r="AF57" s="33"/>
      <c r="AG57" s="32"/>
      <c r="AH57" s="32"/>
      <c r="AI57" s="32"/>
      <c r="AJ57" s="33"/>
      <c r="AK57" s="35"/>
      <c r="AL57" s="38"/>
      <c r="AM57" s="38"/>
      <c r="AN57" s="70"/>
      <c r="AO57" s="38"/>
      <c r="AP57" s="38"/>
    </row>
    <row r="58" spans="1:42" ht="51.75" x14ac:dyDescent="0.25">
      <c r="A58" s="32">
        <v>1288365821</v>
      </c>
      <c r="B58" s="32" t="s">
        <v>851</v>
      </c>
      <c r="C58" s="32" t="s">
        <v>852</v>
      </c>
      <c r="D58" s="32" t="s">
        <v>354</v>
      </c>
      <c r="E58" s="32" t="s">
        <v>151</v>
      </c>
      <c r="F58" s="32" t="s">
        <v>440</v>
      </c>
      <c r="G58" s="32">
        <v>1721</v>
      </c>
      <c r="H58" s="32" t="s">
        <v>414</v>
      </c>
      <c r="I58" s="32" t="s">
        <v>945</v>
      </c>
      <c r="J58" s="32" t="s">
        <v>375</v>
      </c>
      <c r="K58" s="32"/>
      <c r="L58" s="33"/>
      <c r="M58" s="32"/>
      <c r="N58" s="32"/>
      <c r="O58" s="32"/>
      <c r="P58" s="33"/>
      <c r="Q58" s="32"/>
      <c r="R58" s="32"/>
      <c r="S58" s="32"/>
      <c r="T58" s="33"/>
      <c r="U58" s="32"/>
      <c r="V58" s="32"/>
      <c r="W58" s="32" t="s">
        <v>655</v>
      </c>
      <c r="X58" s="33">
        <v>45296</v>
      </c>
      <c r="Y58" s="32" t="s">
        <v>212</v>
      </c>
      <c r="Z58" s="32" t="s">
        <v>4</v>
      </c>
      <c r="AA58" s="32" t="s">
        <v>655</v>
      </c>
      <c r="AB58" s="33">
        <v>45296</v>
      </c>
      <c r="AC58" s="32" t="s">
        <v>443</v>
      </c>
      <c r="AD58" s="32" t="s">
        <v>4</v>
      </c>
      <c r="AE58" s="32" t="s">
        <v>655</v>
      </c>
      <c r="AF58" s="33">
        <v>45296</v>
      </c>
      <c r="AG58" s="32" t="s">
        <v>443</v>
      </c>
      <c r="AH58" s="32" t="s">
        <v>4</v>
      </c>
      <c r="AI58" s="32" t="s">
        <v>655</v>
      </c>
      <c r="AJ58" s="33">
        <v>45296</v>
      </c>
      <c r="AK58" s="35" t="s">
        <v>212</v>
      </c>
      <c r="AL58" s="38" t="s">
        <v>4</v>
      </c>
      <c r="AM58" s="38" t="s">
        <v>655</v>
      </c>
      <c r="AN58" s="70">
        <v>45296</v>
      </c>
      <c r="AO58" s="38" t="s">
        <v>212</v>
      </c>
      <c r="AP58" s="38" t="s">
        <v>4</v>
      </c>
    </row>
    <row r="59" spans="1:42" ht="51.75" x14ac:dyDescent="0.25">
      <c r="A59" s="32">
        <v>1236623846</v>
      </c>
      <c r="B59" s="32" t="s">
        <v>853</v>
      </c>
      <c r="C59" s="32" t="s">
        <v>854</v>
      </c>
      <c r="D59" s="32" t="s">
        <v>354</v>
      </c>
      <c r="E59" s="32" t="s">
        <v>151</v>
      </c>
      <c r="F59" s="32" t="s">
        <v>440</v>
      </c>
      <c r="G59" s="32">
        <v>1721</v>
      </c>
      <c r="H59" s="32" t="s">
        <v>368</v>
      </c>
      <c r="I59" s="32" t="s">
        <v>945</v>
      </c>
      <c r="J59" s="32" t="s">
        <v>375</v>
      </c>
      <c r="K59" s="32"/>
      <c r="L59" s="33"/>
      <c r="M59" s="32"/>
      <c r="N59" s="32"/>
      <c r="O59" s="32"/>
      <c r="P59" s="33"/>
      <c r="Q59" s="32"/>
      <c r="R59" s="32"/>
      <c r="S59" s="32"/>
      <c r="T59" s="33"/>
      <c r="U59" s="32"/>
      <c r="V59" s="32"/>
      <c r="W59" s="32"/>
      <c r="X59" s="33"/>
      <c r="Y59" s="32"/>
      <c r="Z59" s="32"/>
      <c r="AA59" s="32"/>
      <c r="AB59" s="33"/>
      <c r="AC59" s="32"/>
      <c r="AD59" s="32"/>
      <c r="AE59" s="32"/>
      <c r="AF59" s="33"/>
      <c r="AG59" s="32"/>
      <c r="AH59" s="32"/>
      <c r="AI59" s="32"/>
      <c r="AJ59" s="33"/>
      <c r="AK59" s="35"/>
      <c r="AL59" s="38"/>
      <c r="AM59" s="38"/>
      <c r="AN59" s="70"/>
      <c r="AO59" s="38"/>
      <c r="AP59" s="38"/>
    </row>
    <row r="60" spans="1:42" ht="51.75" x14ac:dyDescent="0.25">
      <c r="A60" s="32">
        <v>1565683368</v>
      </c>
      <c r="B60" s="32" t="s">
        <v>855</v>
      </c>
      <c r="C60" s="32" t="s">
        <v>856</v>
      </c>
      <c r="D60" s="32" t="s">
        <v>354</v>
      </c>
      <c r="E60" s="32" t="s">
        <v>151</v>
      </c>
      <c r="F60" s="32" t="s">
        <v>440</v>
      </c>
      <c r="G60" s="32">
        <v>1721</v>
      </c>
      <c r="H60" s="32" t="s">
        <v>368</v>
      </c>
      <c r="I60" s="32" t="s">
        <v>945</v>
      </c>
      <c r="J60" s="32" t="s">
        <v>375</v>
      </c>
      <c r="K60" s="32"/>
      <c r="L60" s="33"/>
      <c r="M60" s="32"/>
      <c r="N60" s="32"/>
      <c r="O60" s="32"/>
      <c r="P60" s="33"/>
      <c r="Q60" s="32"/>
      <c r="R60" s="32"/>
      <c r="S60" s="32"/>
      <c r="T60" s="33"/>
      <c r="U60" s="32"/>
      <c r="V60" s="32"/>
      <c r="W60" s="32"/>
      <c r="X60" s="33"/>
      <c r="Y60" s="32"/>
      <c r="Z60" s="32"/>
      <c r="AA60" s="32"/>
      <c r="AB60" s="33"/>
      <c r="AC60" s="32"/>
      <c r="AD60" s="32"/>
      <c r="AE60" s="32"/>
      <c r="AF60" s="33"/>
      <c r="AG60" s="32"/>
      <c r="AH60" s="32"/>
      <c r="AI60" s="32"/>
      <c r="AJ60" s="33"/>
      <c r="AK60" s="35"/>
      <c r="AL60" s="38"/>
      <c r="AM60" s="38"/>
      <c r="AN60" s="70"/>
      <c r="AO60" s="38"/>
      <c r="AP60" s="38"/>
    </row>
    <row r="61" spans="1:42" ht="51.75" x14ac:dyDescent="0.25">
      <c r="A61" s="32">
        <v>1064194807</v>
      </c>
      <c r="B61" s="32" t="s">
        <v>857</v>
      </c>
      <c r="C61" s="32" t="s">
        <v>858</v>
      </c>
      <c r="D61" s="32" t="s">
        <v>354</v>
      </c>
      <c r="E61" s="32" t="s">
        <v>151</v>
      </c>
      <c r="F61" s="32" t="s">
        <v>440</v>
      </c>
      <c r="G61" s="32">
        <v>1721</v>
      </c>
      <c r="H61" s="32" t="s">
        <v>368</v>
      </c>
      <c r="I61" s="32" t="s">
        <v>945</v>
      </c>
      <c r="J61" s="32" t="s">
        <v>375</v>
      </c>
      <c r="K61" s="32"/>
      <c r="L61" s="33"/>
      <c r="M61" s="32"/>
      <c r="N61" s="32"/>
      <c r="O61" s="32"/>
      <c r="P61" s="33"/>
      <c r="Q61" s="32"/>
      <c r="R61" s="32"/>
      <c r="S61" s="32"/>
      <c r="T61" s="33"/>
      <c r="U61" s="32"/>
      <c r="V61" s="32"/>
      <c r="W61" s="32"/>
      <c r="X61" s="33"/>
      <c r="Y61" s="32"/>
      <c r="Z61" s="32"/>
      <c r="AA61" s="32"/>
      <c r="AB61" s="33"/>
      <c r="AC61" s="32"/>
      <c r="AD61" s="32"/>
      <c r="AE61" s="32"/>
      <c r="AF61" s="33"/>
      <c r="AG61" s="32"/>
      <c r="AH61" s="32"/>
      <c r="AI61" s="32"/>
      <c r="AJ61" s="33"/>
      <c r="AK61" s="35"/>
      <c r="AL61" s="38"/>
      <c r="AM61" s="38"/>
      <c r="AN61" s="70"/>
      <c r="AO61" s="38"/>
      <c r="AP61" s="38"/>
    </row>
    <row r="62" spans="1:42" ht="51.75" x14ac:dyDescent="0.25">
      <c r="A62" s="32">
        <v>1288033004</v>
      </c>
      <c r="B62" s="32" t="s">
        <v>859</v>
      </c>
      <c r="C62" s="32" t="s">
        <v>860</v>
      </c>
      <c r="D62" s="32" t="s">
        <v>354</v>
      </c>
      <c r="E62" s="32" t="s">
        <v>151</v>
      </c>
      <c r="F62" s="32" t="s">
        <v>440</v>
      </c>
      <c r="G62" s="32">
        <v>1721</v>
      </c>
      <c r="H62" s="32" t="s">
        <v>368</v>
      </c>
      <c r="I62" s="32" t="s">
        <v>945</v>
      </c>
      <c r="J62" s="32" t="s">
        <v>375</v>
      </c>
      <c r="K62" s="32"/>
      <c r="L62" s="33"/>
      <c r="M62" s="32"/>
      <c r="N62" s="32"/>
      <c r="O62" s="32"/>
      <c r="P62" s="33"/>
      <c r="Q62" s="32"/>
      <c r="R62" s="32"/>
      <c r="S62" s="32"/>
      <c r="T62" s="33"/>
      <c r="U62" s="32"/>
      <c r="V62" s="32"/>
      <c r="W62" s="32"/>
      <c r="X62" s="33"/>
      <c r="Y62" s="32"/>
      <c r="Z62" s="32"/>
      <c r="AA62" s="32"/>
      <c r="AB62" s="33"/>
      <c r="AC62" s="32"/>
      <c r="AD62" s="32"/>
      <c r="AE62" s="32"/>
      <c r="AF62" s="33"/>
      <c r="AG62" s="32"/>
      <c r="AH62" s="32"/>
      <c r="AI62" s="32"/>
      <c r="AJ62" s="33"/>
      <c r="AK62" s="35"/>
      <c r="AL62" s="38"/>
      <c r="AM62" s="38"/>
      <c r="AN62" s="70"/>
      <c r="AO62" s="38"/>
      <c r="AP62" s="38"/>
    </row>
    <row r="63" spans="1:42" ht="39" x14ac:dyDescent="0.25">
      <c r="A63" s="32">
        <v>1392481230</v>
      </c>
      <c r="B63" s="32" t="s">
        <v>861</v>
      </c>
      <c r="C63" s="32" t="s">
        <v>862</v>
      </c>
      <c r="D63" s="32" t="s">
        <v>354</v>
      </c>
      <c r="E63" s="32" t="s">
        <v>173</v>
      </c>
      <c r="F63" s="32" t="s">
        <v>440</v>
      </c>
      <c r="G63" s="32">
        <v>1702</v>
      </c>
      <c r="H63" s="32" t="s">
        <v>368</v>
      </c>
      <c r="I63" s="32" t="s">
        <v>488</v>
      </c>
      <c r="J63" s="32" t="s">
        <v>360</v>
      </c>
      <c r="K63" s="32"/>
      <c r="L63" s="33"/>
      <c r="M63" s="32"/>
      <c r="N63" s="32"/>
      <c r="O63" s="32"/>
      <c r="P63" s="33"/>
      <c r="Q63" s="32"/>
      <c r="R63" s="32"/>
      <c r="S63" s="32"/>
      <c r="T63" s="33"/>
      <c r="U63" s="32"/>
      <c r="V63" s="32"/>
      <c r="W63" s="32"/>
      <c r="X63" s="33"/>
      <c r="Y63" s="32"/>
      <c r="Z63" s="32"/>
      <c r="AA63" s="32"/>
      <c r="AB63" s="33"/>
      <c r="AC63" s="32"/>
      <c r="AD63" s="32"/>
      <c r="AE63" s="32"/>
      <c r="AF63" s="33"/>
      <c r="AG63" s="32"/>
      <c r="AH63" s="32"/>
      <c r="AI63" s="32"/>
      <c r="AJ63" s="33"/>
      <c r="AK63" s="35"/>
      <c r="AL63" s="38"/>
      <c r="AM63" s="38"/>
      <c r="AN63" s="70"/>
      <c r="AO63" s="38"/>
      <c r="AP63" s="38"/>
    </row>
    <row r="64" spans="1:42" ht="39" x14ac:dyDescent="0.25">
      <c r="A64" s="32">
        <v>1218608114</v>
      </c>
      <c r="B64" s="32" t="s">
        <v>863</v>
      </c>
      <c r="C64" s="32" t="s">
        <v>864</v>
      </c>
      <c r="D64" s="32" t="s">
        <v>354</v>
      </c>
      <c r="E64" s="32" t="s">
        <v>170</v>
      </c>
      <c r="F64" s="32" t="s">
        <v>440</v>
      </c>
      <c r="G64" s="32">
        <v>1702</v>
      </c>
      <c r="H64" s="32" t="s">
        <v>368</v>
      </c>
      <c r="I64" s="32" t="s">
        <v>488</v>
      </c>
      <c r="J64" s="32" t="s">
        <v>360</v>
      </c>
      <c r="K64" s="32"/>
      <c r="L64" s="33"/>
      <c r="M64" s="32"/>
      <c r="N64" s="32"/>
      <c r="O64" s="32"/>
      <c r="P64" s="33"/>
      <c r="Q64" s="32"/>
      <c r="R64" s="32"/>
      <c r="S64" s="32"/>
      <c r="T64" s="33"/>
      <c r="U64" s="32"/>
      <c r="V64" s="32"/>
      <c r="W64" s="32"/>
      <c r="X64" s="33"/>
      <c r="Y64" s="32"/>
      <c r="Z64" s="32"/>
      <c r="AA64" s="32"/>
      <c r="AB64" s="33"/>
      <c r="AC64" s="32"/>
      <c r="AD64" s="32"/>
      <c r="AE64" s="32"/>
      <c r="AF64" s="33"/>
      <c r="AG64" s="32"/>
      <c r="AH64" s="32"/>
      <c r="AI64" s="32"/>
      <c r="AJ64" s="33"/>
      <c r="AK64" s="35"/>
      <c r="AL64" s="38"/>
      <c r="AM64" s="38"/>
      <c r="AN64" s="70"/>
      <c r="AO64" s="38"/>
      <c r="AP64" s="38"/>
    </row>
    <row r="65" spans="1:42" ht="51.75" x14ac:dyDescent="0.25">
      <c r="A65" s="32">
        <v>1337008006</v>
      </c>
      <c r="B65" s="32" t="s">
        <v>865</v>
      </c>
      <c r="C65" s="32" t="s">
        <v>866</v>
      </c>
      <c r="D65" s="32" t="s">
        <v>354</v>
      </c>
      <c r="E65" s="32" t="s">
        <v>867</v>
      </c>
      <c r="F65" s="32" t="s">
        <v>440</v>
      </c>
      <c r="G65" s="32">
        <v>1799</v>
      </c>
      <c r="H65" s="32" t="s">
        <v>368</v>
      </c>
      <c r="I65" s="32" t="s">
        <v>488</v>
      </c>
      <c r="J65" s="32" t="s">
        <v>375</v>
      </c>
      <c r="K65" s="32"/>
      <c r="L65" s="33"/>
      <c r="M65" s="32"/>
      <c r="N65" s="32"/>
      <c r="O65" s="32"/>
      <c r="P65" s="33"/>
      <c r="Q65" s="32"/>
      <c r="R65" s="32"/>
      <c r="S65" s="32"/>
      <c r="T65" s="33"/>
      <c r="U65" s="32"/>
      <c r="V65" s="32"/>
      <c r="W65" s="32"/>
      <c r="X65" s="33"/>
      <c r="Y65" s="32"/>
      <c r="Z65" s="32"/>
      <c r="AA65" s="32"/>
      <c r="AB65" s="33"/>
      <c r="AC65" s="32"/>
      <c r="AD65" s="32"/>
      <c r="AE65" s="32"/>
      <c r="AF65" s="33"/>
      <c r="AG65" s="32"/>
      <c r="AH65" s="32"/>
      <c r="AI65" s="32"/>
      <c r="AJ65" s="33"/>
      <c r="AK65" s="35"/>
      <c r="AL65" s="38"/>
      <c r="AM65" s="38"/>
      <c r="AN65" s="70"/>
      <c r="AO65" s="38"/>
      <c r="AP65" s="38"/>
    </row>
    <row r="66" spans="1:42" ht="51.75" x14ac:dyDescent="0.25">
      <c r="A66" s="32">
        <v>1492116113</v>
      </c>
      <c r="B66" s="32" t="s">
        <v>868</v>
      </c>
      <c r="C66" s="32" t="s">
        <v>869</v>
      </c>
      <c r="D66" s="32" t="s">
        <v>354</v>
      </c>
      <c r="E66" s="32" t="s">
        <v>161</v>
      </c>
      <c r="F66" s="32" t="s">
        <v>440</v>
      </c>
      <c r="G66" s="32">
        <v>1721</v>
      </c>
      <c r="H66" s="32" t="s">
        <v>368</v>
      </c>
      <c r="I66" s="32" t="s">
        <v>488</v>
      </c>
      <c r="J66" s="32" t="s">
        <v>375</v>
      </c>
      <c r="K66" s="32"/>
      <c r="L66" s="33"/>
      <c r="M66" s="32"/>
      <c r="N66" s="32"/>
      <c r="O66" s="32"/>
      <c r="P66" s="33"/>
      <c r="Q66" s="32"/>
      <c r="R66" s="32"/>
      <c r="S66" s="32"/>
      <c r="T66" s="33"/>
      <c r="U66" s="32"/>
      <c r="V66" s="32"/>
      <c r="W66" s="32"/>
      <c r="X66" s="33"/>
      <c r="Y66" s="32"/>
      <c r="Z66" s="32"/>
      <c r="AA66" s="32"/>
      <c r="AB66" s="33"/>
      <c r="AC66" s="32"/>
      <c r="AD66" s="32"/>
      <c r="AE66" s="32"/>
      <c r="AF66" s="33"/>
      <c r="AG66" s="32"/>
      <c r="AH66" s="32"/>
      <c r="AI66" s="32"/>
      <c r="AJ66" s="33"/>
      <c r="AK66" s="35"/>
      <c r="AL66" s="38"/>
      <c r="AM66" s="38"/>
      <c r="AN66" s="70"/>
      <c r="AO66" s="38"/>
      <c r="AP66" s="38"/>
    </row>
    <row r="67" spans="1:42" ht="51.75" x14ac:dyDescent="0.25">
      <c r="A67" s="32">
        <v>1362430276</v>
      </c>
      <c r="B67" s="32" t="s">
        <v>870</v>
      </c>
      <c r="C67" s="32" t="s">
        <v>871</v>
      </c>
      <c r="D67" s="32" t="s">
        <v>354</v>
      </c>
      <c r="E67" s="32" t="s">
        <v>158</v>
      </c>
      <c r="F67" s="32" t="s">
        <v>440</v>
      </c>
      <c r="G67" s="32">
        <v>1721</v>
      </c>
      <c r="H67" s="32" t="s">
        <v>368</v>
      </c>
      <c r="I67" s="32" t="s">
        <v>488</v>
      </c>
      <c r="J67" s="32" t="s">
        <v>375</v>
      </c>
      <c r="K67" s="32"/>
      <c r="L67" s="33"/>
      <c r="M67" s="32"/>
      <c r="N67" s="32"/>
      <c r="O67" s="32"/>
      <c r="P67" s="33"/>
      <c r="Q67" s="32"/>
      <c r="R67" s="32"/>
      <c r="S67" s="32"/>
      <c r="T67" s="33"/>
      <c r="U67" s="32"/>
      <c r="V67" s="32"/>
      <c r="W67" s="32"/>
      <c r="X67" s="33"/>
      <c r="Y67" s="32"/>
      <c r="Z67" s="32"/>
      <c r="AA67" s="32"/>
      <c r="AB67" s="33"/>
      <c r="AC67" s="32"/>
      <c r="AD67" s="32"/>
      <c r="AE67" s="32"/>
      <c r="AF67" s="33"/>
      <c r="AG67" s="32"/>
      <c r="AH67" s="32"/>
      <c r="AI67" s="32"/>
      <c r="AJ67" s="33"/>
      <c r="AK67" s="35"/>
      <c r="AL67" s="38"/>
      <c r="AM67" s="38"/>
      <c r="AN67" s="70"/>
      <c r="AO67" s="38"/>
      <c r="AP67" s="38"/>
    </row>
    <row r="68" spans="1:42" ht="51.75" x14ac:dyDescent="0.25">
      <c r="A68" s="32">
        <v>1505173816</v>
      </c>
      <c r="B68" s="32" t="s">
        <v>872</v>
      </c>
      <c r="C68" s="32" t="s">
        <v>856</v>
      </c>
      <c r="D68" s="32" t="s">
        <v>354</v>
      </c>
      <c r="E68" s="32" t="s">
        <v>158</v>
      </c>
      <c r="F68" s="32" t="s">
        <v>440</v>
      </c>
      <c r="G68" s="32">
        <v>1721</v>
      </c>
      <c r="H68" s="32" t="s">
        <v>414</v>
      </c>
      <c r="I68" s="32" t="s">
        <v>488</v>
      </c>
      <c r="J68" s="32" t="s">
        <v>375</v>
      </c>
      <c r="K68" s="32"/>
      <c r="L68" s="33"/>
      <c r="M68" s="32"/>
      <c r="N68" s="32"/>
      <c r="O68" s="32"/>
      <c r="P68" s="33"/>
      <c r="Q68" s="32"/>
      <c r="R68" s="32"/>
      <c r="S68" s="32"/>
      <c r="T68" s="33"/>
      <c r="U68" s="32"/>
      <c r="V68" s="32"/>
      <c r="W68" s="32"/>
      <c r="X68" s="33"/>
      <c r="Y68" s="32"/>
      <c r="Z68" s="32"/>
      <c r="AA68" s="32"/>
      <c r="AB68" s="33"/>
      <c r="AC68" s="32"/>
      <c r="AD68" s="32"/>
      <c r="AE68" s="32"/>
      <c r="AF68" s="33"/>
      <c r="AG68" s="32"/>
      <c r="AH68" s="32"/>
      <c r="AI68" s="32"/>
      <c r="AJ68" s="33"/>
      <c r="AK68" s="35"/>
      <c r="AL68" s="38"/>
      <c r="AM68" s="38"/>
      <c r="AN68" s="38"/>
      <c r="AO68" s="38"/>
      <c r="AP68" s="38"/>
    </row>
    <row r="69" spans="1:42" ht="51.75" x14ac:dyDescent="0.25">
      <c r="A69" s="32">
        <v>1224436146</v>
      </c>
      <c r="B69" s="32" t="s">
        <v>873</v>
      </c>
      <c r="C69" s="32" t="s">
        <v>874</v>
      </c>
      <c r="D69" s="32" t="s">
        <v>354</v>
      </c>
      <c r="E69" s="32" t="s">
        <v>155</v>
      </c>
      <c r="F69" s="32" t="s">
        <v>440</v>
      </c>
      <c r="G69" s="32">
        <v>1721</v>
      </c>
      <c r="H69" s="32" t="s">
        <v>368</v>
      </c>
      <c r="I69" s="32" t="s">
        <v>488</v>
      </c>
      <c r="J69" s="32" t="s">
        <v>375</v>
      </c>
      <c r="K69" s="32"/>
      <c r="L69" s="33"/>
      <c r="M69" s="32"/>
      <c r="N69" s="32"/>
      <c r="O69" s="32" t="s">
        <v>655</v>
      </c>
      <c r="P69" s="33">
        <v>45296</v>
      </c>
      <c r="Q69" s="32" t="s">
        <v>212</v>
      </c>
      <c r="R69" s="32" t="s">
        <v>4</v>
      </c>
      <c r="S69" s="32" t="s">
        <v>655</v>
      </c>
      <c r="T69" s="33">
        <v>45301</v>
      </c>
      <c r="U69" s="32" t="s">
        <v>212</v>
      </c>
      <c r="V69" s="32" t="s">
        <v>4</v>
      </c>
      <c r="W69" s="32" t="s">
        <v>655</v>
      </c>
      <c r="X69" s="33">
        <v>45296</v>
      </c>
      <c r="Y69" s="32" t="s">
        <v>212</v>
      </c>
      <c r="Z69" s="32" t="s">
        <v>4</v>
      </c>
      <c r="AA69" s="32" t="s">
        <v>655</v>
      </c>
      <c r="AB69" s="33">
        <v>45296</v>
      </c>
      <c r="AC69" s="32" t="s">
        <v>443</v>
      </c>
      <c r="AD69" s="32" t="s">
        <v>4</v>
      </c>
      <c r="AE69" s="32"/>
      <c r="AF69" s="32"/>
      <c r="AG69" s="32"/>
      <c r="AH69" s="32"/>
      <c r="AI69" s="32" t="s">
        <v>655</v>
      </c>
      <c r="AJ69" s="33">
        <v>45296</v>
      </c>
      <c r="AK69" s="35" t="s">
        <v>212</v>
      </c>
      <c r="AL69" s="38" t="s">
        <v>4</v>
      </c>
      <c r="AM69" s="38"/>
      <c r="AN69" s="38"/>
      <c r="AO69" s="38"/>
      <c r="AP69" s="38"/>
    </row>
    <row r="70" spans="1:42" ht="51.75" x14ac:dyDescent="0.25">
      <c r="A70" s="32">
        <v>1273180803</v>
      </c>
      <c r="B70" s="32" t="s">
        <v>875</v>
      </c>
      <c r="C70" s="32" t="s">
        <v>876</v>
      </c>
      <c r="D70" s="32" t="s">
        <v>354</v>
      </c>
      <c r="E70" s="32" t="s">
        <v>155</v>
      </c>
      <c r="F70" s="32" t="s">
        <v>440</v>
      </c>
      <c r="G70" s="32">
        <v>1721</v>
      </c>
      <c r="H70" s="32" t="s">
        <v>368</v>
      </c>
      <c r="I70" s="32" t="s">
        <v>488</v>
      </c>
      <c r="J70" s="32" t="s">
        <v>375</v>
      </c>
      <c r="K70" s="32"/>
      <c r="L70" s="33"/>
      <c r="M70" s="32"/>
      <c r="N70" s="32"/>
      <c r="O70" s="32"/>
      <c r="P70" s="33"/>
      <c r="Q70" s="32"/>
      <c r="R70" s="32"/>
      <c r="S70" s="32"/>
      <c r="T70" s="33"/>
      <c r="U70" s="32"/>
      <c r="V70" s="32"/>
      <c r="W70" s="32"/>
      <c r="X70" s="33"/>
      <c r="Y70" s="32"/>
      <c r="Z70" s="32"/>
      <c r="AA70" s="32"/>
      <c r="AB70" s="33"/>
      <c r="AC70" s="32"/>
      <c r="AD70" s="32"/>
      <c r="AE70" s="32"/>
      <c r="AF70" s="33"/>
      <c r="AG70" s="32"/>
      <c r="AH70" s="32"/>
      <c r="AI70" s="32"/>
      <c r="AJ70" s="33"/>
      <c r="AK70" s="35"/>
      <c r="AL70" s="38"/>
      <c r="AM70" s="38"/>
      <c r="AN70" s="70"/>
      <c r="AO70" s="38"/>
      <c r="AP70" s="38"/>
    </row>
    <row r="71" spans="1:42" ht="39" x14ac:dyDescent="0.25">
      <c r="A71" s="32">
        <v>1144600478</v>
      </c>
      <c r="B71" s="32" t="s">
        <v>877</v>
      </c>
      <c r="C71" s="32" t="s">
        <v>878</v>
      </c>
      <c r="D71" s="32" t="s">
        <v>354</v>
      </c>
      <c r="E71" s="32" t="s">
        <v>170</v>
      </c>
      <c r="F71" s="32" t="s">
        <v>440</v>
      </c>
      <c r="G71" s="32">
        <v>1702</v>
      </c>
      <c r="H71" s="32" t="s">
        <v>368</v>
      </c>
      <c r="I71" s="32" t="s">
        <v>486</v>
      </c>
      <c r="J71" s="32" t="s">
        <v>360</v>
      </c>
      <c r="K71" s="32"/>
      <c r="L71" s="33"/>
      <c r="M71" s="32"/>
      <c r="N71" s="32"/>
      <c r="O71" s="32"/>
      <c r="P71" s="33"/>
      <c r="Q71" s="32"/>
      <c r="R71" s="32"/>
      <c r="S71" s="32"/>
      <c r="T71" s="33"/>
      <c r="U71" s="32"/>
      <c r="V71" s="32"/>
      <c r="W71" s="32" t="s">
        <v>655</v>
      </c>
      <c r="X71" s="33">
        <v>45296</v>
      </c>
      <c r="Y71" s="32" t="s">
        <v>212</v>
      </c>
      <c r="Z71" s="32" t="s">
        <v>4</v>
      </c>
      <c r="AA71" s="32" t="s">
        <v>655</v>
      </c>
      <c r="AB71" s="33">
        <v>45296</v>
      </c>
      <c r="AC71" s="32" t="s">
        <v>443</v>
      </c>
      <c r="AD71" s="32" t="s">
        <v>4</v>
      </c>
      <c r="AE71" s="32" t="s">
        <v>655</v>
      </c>
      <c r="AF71" s="33">
        <v>45296</v>
      </c>
      <c r="AG71" s="32" t="s">
        <v>443</v>
      </c>
      <c r="AH71" s="32" t="s">
        <v>4</v>
      </c>
      <c r="AI71" s="32" t="s">
        <v>655</v>
      </c>
      <c r="AJ71" s="33">
        <v>45296</v>
      </c>
      <c r="AK71" s="35" t="s">
        <v>212</v>
      </c>
      <c r="AL71" s="38" t="s">
        <v>4</v>
      </c>
      <c r="AM71" s="38" t="s">
        <v>655</v>
      </c>
      <c r="AN71" s="70">
        <v>45296</v>
      </c>
      <c r="AO71" s="38" t="s">
        <v>212</v>
      </c>
      <c r="AP71" s="38" t="s">
        <v>4</v>
      </c>
    </row>
    <row r="72" spans="1:42" ht="51.75" x14ac:dyDescent="0.25">
      <c r="A72" s="32">
        <v>1208649546</v>
      </c>
      <c r="B72" s="32" t="s">
        <v>879</v>
      </c>
      <c r="C72" s="32" t="s">
        <v>880</v>
      </c>
      <c r="D72" s="32" t="s">
        <v>354</v>
      </c>
      <c r="E72" s="32" t="s">
        <v>161</v>
      </c>
      <c r="F72" s="32" t="s">
        <v>440</v>
      </c>
      <c r="G72" s="32">
        <v>1721</v>
      </c>
      <c r="H72" s="32" t="s">
        <v>368</v>
      </c>
      <c r="I72" s="32" t="s">
        <v>486</v>
      </c>
      <c r="J72" s="32" t="s">
        <v>375</v>
      </c>
      <c r="K72" s="32"/>
      <c r="L72" s="33"/>
      <c r="M72" s="32"/>
      <c r="N72" s="32"/>
      <c r="O72" s="32"/>
      <c r="P72" s="33"/>
      <c r="Q72" s="32"/>
      <c r="R72" s="32"/>
      <c r="S72" s="32"/>
      <c r="T72" s="33"/>
      <c r="U72" s="32"/>
      <c r="V72" s="32"/>
      <c r="W72" s="32"/>
      <c r="X72" s="33"/>
      <c r="Y72" s="32"/>
      <c r="Z72" s="32"/>
      <c r="AA72" s="32"/>
      <c r="AB72" s="33"/>
      <c r="AC72" s="32"/>
      <c r="AD72" s="32"/>
      <c r="AE72" s="32"/>
      <c r="AF72" s="33"/>
      <c r="AG72" s="32"/>
      <c r="AH72" s="32"/>
      <c r="AI72" s="32"/>
      <c r="AJ72" s="33"/>
      <c r="AK72" s="35"/>
      <c r="AL72" s="38"/>
      <c r="AM72" s="38"/>
      <c r="AN72" s="70"/>
      <c r="AO72" s="38"/>
      <c r="AP72" s="38"/>
    </row>
    <row r="73" spans="1:42" ht="51.75" x14ac:dyDescent="0.25">
      <c r="A73" s="32">
        <v>1433270027</v>
      </c>
      <c r="B73" s="32" t="s">
        <v>772</v>
      </c>
      <c r="C73" s="32" t="s">
        <v>881</v>
      </c>
      <c r="D73" s="32" t="s">
        <v>354</v>
      </c>
      <c r="E73" s="32" t="s">
        <v>155</v>
      </c>
      <c r="F73" s="32" t="s">
        <v>440</v>
      </c>
      <c r="G73" s="32">
        <v>1721</v>
      </c>
      <c r="H73" s="32" t="s">
        <v>368</v>
      </c>
      <c r="I73" s="32" t="s">
        <v>486</v>
      </c>
      <c r="J73" s="32" t="s">
        <v>375</v>
      </c>
      <c r="K73" s="32"/>
      <c r="L73" s="33"/>
      <c r="M73" s="32"/>
      <c r="N73" s="32"/>
      <c r="O73" s="32"/>
      <c r="P73" s="33"/>
      <c r="Q73" s="32"/>
      <c r="R73" s="32"/>
      <c r="S73" s="32"/>
      <c r="T73" s="33"/>
      <c r="U73" s="32"/>
      <c r="V73" s="32"/>
      <c r="W73" s="32" t="s">
        <v>655</v>
      </c>
      <c r="X73" s="33">
        <v>45296</v>
      </c>
      <c r="Y73" s="32" t="s">
        <v>212</v>
      </c>
      <c r="Z73" s="32" t="s">
        <v>4</v>
      </c>
      <c r="AA73" s="32" t="s">
        <v>655</v>
      </c>
      <c r="AB73" s="33">
        <v>45296</v>
      </c>
      <c r="AC73" s="32" t="s">
        <v>443</v>
      </c>
      <c r="AD73" s="32" t="s">
        <v>4</v>
      </c>
      <c r="AE73" s="32" t="s">
        <v>655</v>
      </c>
      <c r="AF73" s="33">
        <v>45296</v>
      </c>
      <c r="AG73" s="32" t="s">
        <v>443</v>
      </c>
      <c r="AH73" s="32" t="s">
        <v>4</v>
      </c>
      <c r="AI73" s="32" t="s">
        <v>655</v>
      </c>
      <c r="AJ73" s="33">
        <v>45296</v>
      </c>
      <c r="AK73" s="35" t="s">
        <v>212</v>
      </c>
      <c r="AL73" s="38" t="s">
        <v>4</v>
      </c>
      <c r="AM73" s="38" t="s">
        <v>655</v>
      </c>
      <c r="AN73" s="70">
        <v>45296</v>
      </c>
      <c r="AO73" s="38" t="s">
        <v>212</v>
      </c>
      <c r="AP73" s="38" t="s">
        <v>4</v>
      </c>
    </row>
    <row r="74" spans="1:42" ht="51.75" x14ac:dyDescent="0.25">
      <c r="A74" s="32">
        <v>1517276328</v>
      </c>
      <c r="B74" s="32" t="s">
        <v>882</v>
      </c>
      <c r="C74" s="32" t="s">
        <v>883</v>
      </c>
      <c r="D74" s="32" t="s">
        <v>354</v>
      </c>
      <c r="E74" s="32" t="s">
        <v>151</v>
      </c>
      <c r="F74" s="32" t="s">
        <v>440</v>
      </c>
      <c r="G74" s="32">
        <v>1721</v>
      </c>
      <c r="H74" s="32" t="s">
        <v>368</v>
      </c>
      <c r="I74" s="32" t="s">
        <v>486</v>
      </c>
      <c r="J74" s="32" t="s">
        <v>375</v>
      </c>
      <c r="K74" s="32"/>
      <c r="L74" s="33"/>
      <c r="M74" s="32"/>
      <c r="N74" s="32"/>
      <c r="O74" s="32"/>
      <c r="P74" s="33"/>
      <c r="Q74" s="32"/>
      <c r="R74" s="32"/>
      <c r="S74" s="32"/>
      <c r="T74" s="33"/>
      <c r="U74" s="32"/>
      <c r="V74" s="32"/>
      <c r="W74" s="32"/>
      <c r="X74" s="33"/>
      <c r="Y74" s="32"/>
      <c r="Z74" s="32"/>
      <c r="AA74" s="32"/>
      <c r="AB74" s="33"/>
      <c r="AC74" s="32"/>
      <c r="AD74" s="32"/>
      <c r="AE74" s="32"/>
      <c r="AF74" s="33"/>
      <c r="AG74" s="32"/>
      <c r="AH74" s="32"/>
      <c r="AI74" s="32"/>
      <c r="AJ74" s="33"/>
      <c r="AK74" s="35"/>
      <c r="AL74" s="38"/>
      <c r="AM74" s="38"/>
      <c r="AN74" s="38"/>
      <c r="AO74" s="38"/>
      <c r="AP74" s="38"/>
    </row>
    <row r="75" spans="1:42" ht="51.75" x14ac:dyDescent="0.25">
      <c r="A75" s="32">
        <v>1312308399</v>
      </c>
      <c r="B75" s="32" t="s">
        <v>884</v>
      </c>
      <c r="C75" s="32" t="s">
        <v>885</v>
      </c>
      <c r="D75" s="32" t="s">
        <v>354</v>
      </c>
      <c r="E75" s="32" t="s">
        <v>147</v>
      </c>
      <c r="F75" s="32" t="s">
        <v>440</v>
      </c>
      <c r="G75" s="32">
        <v>231</v>
      </c>
      <c r="H75" s="32" t="s">
        <v>368</v>
      </c>
      <c r="I75" s="32" t="s">
        <v>486</v>
      </c>
      <c r="J75" s="32" t="s">
        <v>375</v>
      </c>
      <c r="K75" s="32"/>
      <c r="L75" s="33"/>
      <c r="M75" s="32"/>
      <c r="N75" s="32"/>
      <c r="O75" s="32"/>
      <c r="P75" s="33"/>
      <c r="Q75" s="32"/>
      <c r="R75" s="32"/>
      <c r="S75" s="32"/>
      <c r="T75" s="33"/>
      <c r="U75" s="32"/>
      <c r="V75" s="32"/>
      <c r="W75" s="32"/>
      <c r="X75" s="33"/>
      <c r="Y75" s="32"/>
      <c r="Z75" s="32"/>
      <c r="AA75" s="32"/>
      <c r="AB75" s="33"/>
      <c r="AC75" s="32"/>
      <c r="AD75" s="32"/>
      <c r="AE75" s="32"/>
      <c r="AF75" s="33"/>
      <c r="AG75" s="32"/>
      <c r="AH75" s="32"/>
      <c r="AI75" s="32"/>
      <c r="AJ75" s="33"/>
      <c r="AK75" s="35"/>
      <c r="AL75" s="38"/>
      <c r="AM75" s="38"/>
      <c r="AN75" s="38"/>
      <c r="AO75" s="38"/>
      <c r="AP75" s="38"/>
    </row>
    <row r="76" spans="1:42" ht="51.75" x14ac:dyDescent="0.25">
      <c r="A76" s="32">
        <v>1025451492</v>
      </c>
      <c r="B76" s="32" t="s">
        <v>886</v>
      </c>
      <c r="C76" s="32" t="s">
        <v>887</v>
      </c>
      <c r="D76" s="32" t="s">
        <v>354</v>
      </c>
      <c r="E76" s="32" t="s">
        <v>147</v>
      </c>
      <c r="F76" s="32" t="s">
        <v>440</v>
      </c>
      <c r="G76" s="32">
        <v>1721</v>
      </c>
      <c r="H76" s="32" t="s">
        <v>368</v>
      </c>
      <c r="I76" s="32" t="s">
        <v>486</v>
      </c>
      <c r="J76" s="32" t="s">
        <v>375</v>
      </c>
      <c r="K76" s="32"/>
      <c r="L76" s="33"/>
      <c r="M76" s="32"/>
      <c r="N76" s="32"/>
      <c r="O76" s="32"/>
      <c r="P76" s="33"/>
      <c r="Q76" s="32"/>
      <c r="R76" s="32"/>
      <c r="S76" s="32"/>
      <c r="T76" s="33"/>
      <c r="U76" s="32"/>
      <c r="V76" s="32"/>
      <c r="W76" s="32" t="s">
        <v>655</v>
      </c>
      <c r="X76" s="33">
        <v>45296</v>
      </c>
      <c r="Y76" s="32" t="s">
        <v>212</v>
      </c>
      <c r="Z76" s="32" t="s">
        <v>4</v>
      </c>
      <c r="AA76" s="32" t="s">
        <v>655</v>
      </c>
      <c r="AB76" s="33">
        <v>45296</v>
      </c>
      <c r="AC76" s="32" t="s">
        <v>443</v>
      </c>
      <c r="AD76" s="32" t="s">
        <v>4</v>
      </c>
      <c r="AE76" s="32" t="s">
        <v>655</v>
      </c>
      <c r="AF76" s="33">
        <v>45296</v>
      </c>
      <c r="AG76" s="32" t="s">
        <v>443</v>
      </c>
      <c r="AH76" s="32" t="s">
        <v>4</v>
      </c>
      <c r="AI76" s="32" t="s">
        <v>655</v>
      </c>
      <c r="AJ76" s="33">
        <v>45296</v>
      </c>
      <c r="AK76" s="35" t="s">
        <v>212</v>
      </c>
      <c r="AL76" s="38" t="s">
        <v>4</v>
      </c>
      <c r="AM76" s="38" t="s">
        <v>655</v>
      </c>
      <c r="AN76" s="70">
        <v>45296</v>
      </c>
      <c r="AO76" s="38" t="s">
        <v>212</v>
      </c>
      <c r="AP76" s="38" t="s">
        <v>4</v>
      </c>
    </row>
    <row r="77" spans="1:42" ht="39" x14ac:dyDescent="0.25">
      <c r="A77" s="32">
        <v>1041964509</v>
      </c>
      <c r="B77" s="32" t="s">
        <v>888</v>
      </c>
      <c r="C77" s="32" t="s">
        <v>889</v>
      </c>
      <c r="D77" s="32" t="s">
        <v>354</v>
      </c>
      <c r="E77" s="32" t="s">
        <v>176</v>
      </c>
      <c r="F77" s="32" t="s">
        <v>440</v>
      </c>
      <c r="G77" s="32">
        <v>1702</v>
      </c>
      <c r="H77" s="32" t="s">
        <v>368</v>
      </c>
      <c r="I77" s="32" t="s">
        <v>490</v>
      </c>
      <c r="J77" s="32" t="s">
        <v>360</v>
      </c>
      <c r="K77" s="32"/>
      <c r="L77" s="33"/>
      <c r="M77" s="32"/>
      <c r="N77" s="32"/>
      <c r="O77" s="32"/>
      <c r="P77" s="33"/>
      <c r="Q77" s="32"/>
      <c r="R77" s="32"/>
      <c r="S77" s="32"/>
      <c r="T77" s="33"/>
      <c r="U77" s="32"/>
      <c r="V77" s="32"/>
      <c r="W77" s="32"/>
      <c r="X77" s="33"/>
      <c r="Y77" s="32"/>
      <c r="Z77" s="32"/>
      <c r="AA77" s="32"/>
      <c r="AB77" s="33"/>
      <c r="AC77" s="32"/>
      <c r="AD77" s="32"/>
      <c r="AE77" s="32"/>
      <c r="AF77" s="33"/>
      <c r="AG77" s="32"/>
      <c r="AH77" s="32"/>
      <c r="AI77" s="32"/>
      <c r="AJ77" s="33"/>
      <c r="AK77" s="35"/>
      <c r="AL77" s="38"/>
      <c r="AM77" s="38"/>
      <c r="AN77" s="38"/>
      <c r="AO77" s="38"/>
      <c r="AP77" s="38"/>
    </row>
    <row r="78" spans="1:42" ht="39" x14ac:dyDescent="0.25">
      <c r="A78" s="32">
        <v>1366872660</v>
      </c>
      <c r="B78" s="32" t="s">
        <v>890</v>
      </c>
      <c r="C78" s="32" t="s">
        <v>875</v>
      </c>
      <c r="D78" s="32" t="s">
        <v>354</v>
      </c>
      <c r="E78" s="32" t="s">
        <v>170</v>
      </c>
      <c r="F78" s="32" t="s">
        <v>440</v>
      </c>
      <c r="G78" s="32">
        <v>1702</v>
      </c>
      <c r="H78" s="32" t="s">
        <v>414</v>
      </c>
      <c r="I78" s="32" t="s">
        <v>490</v>
      </c>
      <c r="J78" s="32" t="s">
        <v>360</v>
      </c>
      <c r="K78" s="32"/>
      <c r="L78" s="33"/>
      <c r="M78" s="32"/>
      <c r="N78" s="32"/>
      <c r="O78" s="32"/>
      <c r="P78" s="33"/>
      <c r="Q78" s="32"/>
      <c r="R78" s="32"/>
      <c r="S78" s="32"/>
      <c r="T78" s="33"/>
      <c r="U78" s="32"/>
      <c r="V78" s="32"/>
      <c r="W78" s="32"/>
      <c r="X78" s="33"/>
      <c r="Y78" s="32"/>
      <c r="Z78" s="32"/>
      <c r="AA78" s="32"/>
      <c r="AB78" s="33"/>
      <c r="AC78" s="32"/>
      <c r="AD78" s="32"/>
      <c r="AE78" s="32"/>
      <c r="AF78" s="33"/>
      <c r="AG78" s="32"/>
      <c r="AH78" s="32"/>
      <c r="AI78" s="32"/>
      <c r="AJ78" s="33"/>
      <c r="AK78" s="35"/>
      <c r="AL78" s="38"/>
      <c r="AM78" s="38"/>
      <c r="AN78" s="38"/>
      <c r="AO78" s="38"/>
      <c r="AP78" s="38"/>
    </row>
    <row r="79" spans="1:42" ht="51.75" x14ac:dyDescent="0.25">
      <c r="A79" s="32">
        <v>1163650418</v>
      </c>
      <c r="B79" s="32" t="s">
        <v>891</v>
      </c>
      <c r="C79" s="32" t="s">
        <v>892</v>
      </c>
      <c r="D79" s="32" t="s">
        <v>354</v>
      </c>
      <c r="E79" s="32" t="s">
        <v>867</v>
      </c>
      <c r="F79" s="32" t="s">
        <v>440</v>
      </c>
      <c r="G79" s="32">
        <v>8999</v>
      </c>
      <c r="H79" s="32" t="s">
        <v>368</v>
      </c>
      <c r="I79" s="32" t="s">
        <v>490</v>
      </c>
      <c r="J79" s="32" t="s">
        <v>375</v>
      </c>
      <c r="K79" s="32"/>
      <c r="L79" s="33"/>
      <c r="M79" s="32"/>
      <c r="N79" s="32"/>
      <c r="O79" s="32"/>
      <c r="P79" s="33"/>
      <c r="Q79" s="32"/>
      <c r="R79" s="32"/>
      <c r="S79" s="32"/>
      <c r="T79" s="33"/>
      <c r="U79" s="32"/>
      <c r="V79" s="32"/>
      <c r="W79" s="32"/>
      <c r="X79" s="33"/>
      <c r="Y79" s="32"/>
      <c r="Z79" s="32"/>
      <c r="AA79" s="32"/>
      <c r="AB79" s="33"/>
      <c r="AC79" s="32"/>
      <c r="AD79" s="32"/>
      <c r="AE79" s="32"/>
      <c r="AF79" s="33"/>
      <c r="AG79" s="32"/>
      <c r="AH79" s="32"/>
      <c r="AI79" s="32"/>
      <c r="AJ79" s="33"/>
      <c r="AK79" s="35"/>
      <c r="AL79" s="38"/>
      <c r="AM79" s="38"/>
      <c r="AN79" s="70"/>
      <c r="AO79" s="38"/>
      <c r="AP79" s="38"/>
    </row>
    <row r="80" spans="1:42" ht="51.75" x14ac:dyDescent="0.25">
      <c r="A80" s="32">
        <v>1269922284</v>
      </c>
      <c r="B80" s="32" t="s">
        <v>893</v>
      </c>
      <c r="C80" s="32" t="s">
        <v>894</v>
      </c>
      <c r="D80" s="32" t="s">
        <v>354</v>
      </c>
      <c r="E80" s="32" t="s">
        <v>158</v>
      </c>
      <c r="F80" s="32" t="s">
        <v>440</v>
      </c>
      <c r="G80" s="32">
        <v>1721</v>
      </c>
      <c r="H80" s="32" t="s">
        <v>368</v>
      </c>
      <c r="I80" s="32" t="s">
        <v>490</v>
      </c>
      <c r="J80" s="32" t="s">
        <v>375</v>
      </c>
      <c r="K80" s="32"/>
      <c r="L80" s="33"/>
      <c r="M80" s="32"/>
      <c r="N80" s="32"/>
      <c r="O80" s="32"/>
      <c r="P80" s="33"/>
      <c r="Q80" s="32"/>
      <c r="R80" s="32"/>
      <c r="S80" s="32"/>
      <c r="T80" s="33"/>
      <c r="U80" s="32"/>
      <c r="V80" s="32"/>
      <c r="W80" s="32"/>
      <c r="X80" s="33"/>
      <c r="Y80" s="32"/>
      <c r="Z80" s="32"/>
      <c r="AA80" s="32"/>
      <c r="AB80" s="33"/>
      <c r="AC80" s="32"/>
      <c r="AD80" s="32"/>
      <c r="AE80" s="32"/>
      <c r="AF80" s="33"/>
      <c r="AG80" s="32"/>
      <c r="AH80" s="32"/>
      <c r="AI80" s="32"/>
      <c r="AJ80" s="33"/>
      <c r="AK80" s="35"/>
      <c r="AL80" s="38"/>
      <c r="AM80" s="38"/>
      <c r="AN80" s="70"/>
      <c r="AO80" s="38"/>
      <c r="AP80" s="38"/>
    </row>
    <row r="81" spans="1:42" ht="51.75" x14ac:dyDescent="0.25">
      <c r="A81" s="32">
        <v>1410597200</v>
      </c>
      <c r="B81" s="32" t="s">
        <v>895</v>
      </c>
      <c r="C81" s="32" t="s">
        <v>896</v>
      </c>
      <c r="D81" s="32" t="s">
        <v>354</v>
      </c>
      <c r="E81" s="32" t="s">
        <v>151</v>
      </c>
      <c r="F81" s="32" t="s">
        <v>440</v>
      </c>
      <c r="G81" s="32">
        <v>1721</v>
      </c>
      <c r="H81" s="32" t="s">
        <v>368</v>
      </c>
      <c r="I81" s="32" t="s">
        <v>490</v>
      </c>
      <c r="J81" s="32" t="s">
        <v>375</v>
      </c>
      <c r="K81" s="32"/>
      <c r="L81" s="33"/>
      <c r="M81" s="32"/>
      <c r="N81" s="32"/>
      <c r="O81" s="32"/>
      <c r="P81" s="33"/>
      <c r="Q81" s="32"/>
      <c r="R81" s="32"/>
      <c r="S81" s="32"/>
      <c r="T81" s="33"/>
      <c r="U81" s="32"/>
      <c r="V81" s="32"/>
      <c r="W81" s="32"/>
      <c r="X81" s="33"/>
      <c r="Y81" s="32"/>
      <c r="Z81" s="32"/>
      <c r="AA81" s="32"/>
      <c r="AB81" s="33"/>
      <c r="AC81" s="32"/>
      <c r="AD81" s="32"/>
      <c r="AE81" s="32"/>
      <c r="AF81" s="33"/>
      <c r="AG81" s="32"/>
      <c r="AH81" s="32"/>
      <c r="AI81" s="32"/>
      <c r="AJ81" s="33"/>
      <c r="AK81" s="35"/>
      <c r="AL81" s="38"/>
      <c r="AM81" s="38"/>
      <c r="AN81" s="38"/>
      <c r="AO81" s="38"/>
      <c r="AP81" s="38"/>
    </row>
  </sheetData>
  <sheetProtection sort="0"/>
  <mergeCells count="9">
    <mergeCell ref="A1:J1"/>
    <mergeCell ref="K1:N1"/>
    <mergeCell ref="O1:R1"/>
    <mergeCell ref="AE1:AH1"/>
    <mergeCell ref="AM1:AP1"/>
    <mergeCell ref="S1:V1"/>
    <mergeCell ref="W1:Z1"/>
    <mergeCell ref="AA1:AD1"/>
    <mergeCell ref="AI1:AL1"/>
  </mergeCells>
  <dataValidations count="1">
    <dataValidation type="whole" errorStyle="warning" allowBlank="1" showInputMessage="1" showErrorMessage="1" errorTitle="Don't Touch" error="Raw MCTIMS query outputs." sqref="AM1:AP3 AU1:XFD3 A1:AD1048576 AE2:AH1048576 AI1:AL1048576 AM4:XFD1048576" xr:uid="{7ADD4534-7306-4761-854C-84FC99BE5F45}">
      <formula1>500</formula1>
      <formula2>501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C188-F028-476F-BCA4-329C3D893D74}">
  <dimension ref="A1:BB81"/>
  <sheetViews>
    <sheetView workbookViewId="0">
      <selection activeCell="G84" sqref="G84"/>
    </sheetView>
  </sheetViews>
  <sheetFormatPr defaultRowHeight="15" x14ac:dyDescent="0.25"/>
  <cols>
    <col min="1" max="1" width="10.140625" bestFit="1" customWidth="1"/>
    <col min="2" max="3" width="11.42578125" bestFit="1" customWidth="1"/>
    <col min="4" max="4" width="5.85546875" bestFit="1" customWidth="1"/>
    <col min="6" max="6" width="10.28515625" bestFit="1" customWidth="1"/>
    <col min="7" max="7" width="7.7109375" bestFit="1" customWidth="1"/>
    <col min="8" max="8" width="9.42578125" bestFit="1" customWidth="1"/>
    <col min="9" max="9" width="7" bestFit="1" customWidth="1"/>
    <col min="11" max="17" width="11.42578125" bestFit="1" customWidth="1"/>
    <col min="18" max="18" width="9.5703125" bestFit="1" customWidth="1"/>
    <col min="20" max="41" width="11.42578125" bestFit="1" customWidth="1"/>
    <col min="42" max="42" width="10.28515625" bestFit="1" customWidth="1"/>
    <col min="45" max="54" width="11.42578125" bestFit="1" customWidth="1"/>
  </cols>
  <sheetData>
    <row r="1" spans="1:54" ht="18.75" x14ac:dyDescent="0.3">
      <c r="A1" s="220" t="s">
        <v>656</v>
      </c>
      <c r="B1" s="220"/>
      <c r="C1" s="220"/>
      <c r="D1" s="220"/>
      <c r="E1" s="220"/>
      <c r="F1" s="220"/>
      <c r="G1" s="220"/>
      <c r="H1" s="220"/>
      <c r="I1" s="220"/>
      <c r="J1" s="220"/>
      <c r="K1" s="225" t="s">
        <v>71</v>
      </c>
      <c r="L1" s="225"/>
      <c r="M1" s="225"/>
      <c r="N1" s="226"/>
      <c r="O1" s="225" t="s">
        <v>40</v>
      </c>
      <c r="P1" s="225"/>
      <c r="Q1" s="225"/>
      <c r="R1" s="225"/>
      <c r="S1" s="225"/>
      <c r="T1" s="225"/>
      <c r="U1" s="226"/>
      <c r="V1" s="225" t="s">
        <v>59</v>
      </c>
      <c r="W1" s="225"/>
      <c r="X1" s="225"/>
      <c r="Y1" s="226"/>
      <c r="Z1" s="225" t="s">
        <v>67</v>
      </c>
      <c r="AA1" s="225"/>
      <c r="AB1" s="225"/>
      <c r="AC1" s="226"/>
      <c r="AD1" s="225" t="s">
        <v>63</v>
      </c>
      <c r="AE1" s="225"/>
      <c r="AF1" s="225"/>
      <c r="AG1" s="226"/>
      <c r="AH1" s="225" t="s">
        <v>75</v>
      </c>
      <c r="AI1" s="225"/>
      <c r="AJ1" s="225"/>
      <c r="AK1" s="226"/>
      <c r="AL1" s="225" t="s">
        <v>45</v>
      </c>
      <c r="AM1" s="225"/>
      <c r="AN1" s="225"/>
      <c r="AO1" s="225"/>
      <c r="AP1" s="225"/>
      <c r="AQ1" s="225"/>
      <c r="AR1" s="225"/>
      <c r="AS1" s="225"/>
      <c r="AT1" s="226"/>
      <c r="AU1" s="225" t="s">
        <v>49</v>
      </c>
      <c r="AV1" s="225"/>
      <c r="AW1" s="225"/>
      <c r="AX1" s="226"/>
      <c r="AY1" s="225" t="s">
        <v>54</v>
      </c>
      <c r="AZ1" s="225"/>
      <c r="BA1" s="225"/>
      <c r="BB1" s="226"/>
    </row>
    <row r="2" spans="1:54" ht="39" x14ac:dyDescent="0.25">
      <c r="A2" s="5" t="s">
        <v>337</v>
      </c>
      <c r="B2" s="4" t="s">
        <v>338</v>
      </c>
      <c r="C2" s="4" t="s">
        <v>339</v>
      </c>
      <c r="D2" s="4" t="s">
        <v>340</v>
      </c>
      <c r="E2" s="4" t="s">
        <v>207</v>
      </c>
      <c r="F2" s="4" t="s">
        <v>434</v>
      </c>
      <c r="G2" s="4" t="s">
        <v>341</v>
      </c>
      <c r="H2" s="4" t="s">
        <v>623</v>
      </c>
      <c r="I2" s="4" t="s">
        <v>192</v>
      </c>
      <c r="J2" s="4" t="s">
        <v>343</v>
      </c>
      <c r="K2" s="1" t="s">
        <v>624</v>
      </c>
      <c r="L2" s="1" t="s">
        <v>625</v>
      </c>
      <c r="M2" s="1" t="s">
        <v>437</v>
      </c>
      <c r="N2" s="1" t="s">
        <v>657</v>
      </c>
      <c r="O2" s="1" t="s">
        <v>627</v>
      </c>
      <c r="P2" s="1" t="s">
        <v>628</v>
      </c>
      <c r="Q2" s="1" t="s">
        <v>629</v>
      </c>
      <c r="R2" s="1" t="s">
        <v>216</v>
      </c>
      <c r="S2" s="1" t="s">
        <v>658</v>
      </c>
      <c r="T2" s="1" t="s">
        <v>659</v>
      </c>
      <c r="U2" s="1" t="s">
        <v>660</v>
      </c>
      <c r="V2" s="1" t="s">
        <v>631</v>
      </c>
      <c r="W2" s="1" t="s">
        <v>632</v>
      </c>
      <c r="X2" s="1" t="s">
        <v>633</v>
      </c>
      <c r="Y2" s="1" t="s">
        <v>661</v>
      </c>
      <c r="Z2" s="1" t="s">
        <v>635</v>
      </c>
      <c r="AA2" s="1" t="s">
        <v>636</v>
      </c>
      <c r="AB2" s="1" t="s">
        <v>637</v>
      </c>
      <c r="AC2" s="1" t="s">
        <v>662</v>
      </c>
      <c r="AD2" s="1" t="s">
        <v>639</v>
      </c>
      <c r="AE2" s="1" t="s">
        <v>640</v>
      </c>
      <c r="AF2" s="1" t="s">
        <v>641</v>
      </c>
      <c r="AG2" s="1" t="s">
        <v>663</v>
      </c>
      <c r="AH2" s="1" t="s">
        <v>647</v>
      </c>
      <c r="AI2" s="1" t="s">
        <v>648</v>
      </c>
      <c r="AJ2" s="1" t="s">
        <v>649</v>
      </c>
      <c r="AK2" s="1" t="s">
        <v>664</v>
      </c>
      <c r="AL2" s="1" t="s">
        <v>665</v>
      </c>
      <c r="AM2" s="1" t="s">
        <v>666</v>
      </c>
      <c r="AN2" s="1" t="s">
        <v>667</v>
      </c>
      <c r="AO2" s="1" t="s">
        <v>668</v>
      </c>
      <c r="AP2" s="1" t="s">
        <v>669</v>
      </c>
      <c r="AQ2" s="1" t="s">
        <v>670</v>
      </c>
      <c r="AR2" s="1" t="s">
        <v>671</v>
      </c>
      <c r="AS2" s="1" t="s">
        <v>672</v>
      </c>
      <c r="AT2" s="1" t="s">
        <v>673</v>
      </c>
      <c r="AU2" s="1" t="s">
        <v>674</v>
      </c>
      <c r="AV2" s="1" t="s">
        <v>675</v>
      </c>
      <c r="AW2" s="1" t="s">
        <v>676</v>
      </c>
      <c r="AX2" s="1" t="s">
        <v>677</v>
      </c>
      <c r="AY2" s="1" t="s">
        <v>678</v>
      </c>
      <c r="AZ2" s="1" t="s">
        <v>679</v>
      </c>
      <c r="BA2" s="1" t="s">
        <v>680</v>
      </c>
      <c r="BB2" s="7" t="s">
        <v>638</v>
      </c>
    </row>
    <row r="3" spans="1:54" ht="39" x14ac:dyDescent="0.25">
      <c r="A3" s="32">
        <v>4741999075</v>
      </c>
      <c r="B3" s="32" t="s">
        <v>742</v>
      </c>
      <c r="C3" s="32" t="s">
        <v>743</v>
      </c>
      <c r="D3" s="32" t="s">
        <v>354</v>
      </c>
      <c r="E3" s="32" t="s">
        <v>170</v>
      </c>
      <c r="F3" s="32" t="s">
        <v>440</v>
      </c>
      <c r="G3" s="32">
        <v>1702</v>
      </c>
      <c r="H3" s="32" t="s">
        <v>414</v>
      </c>
      <c r="I3" s="32" t="s">
        <v>230</v>
      </c>
      <c r="J3" s="32" t="s">
        <v>360</v>
      </c>
      <c r="K3" s="32"/>
      <c r="L3" s="33"/>
      <c r="M3" s="32"/>
      <c r="N3" s="32"/>
      <c r="O3" s="32"/>
      <c r="P3" s="33"/>
      <c r="Q3" s="32"/>
      <c r="R3" s="32"/>
      <c r="S3" s="32"/>
      <c r="T3" s="32"/>
      <c r="U3" s="32"/>
      <c r="V3" s="32"/>
      <c r="W3" s="33"/>
      <c r="X3" s="67"/>
      <c r="Y3" s="85"/>
      <c r="Z3" s="32"/>
      <c r="AA3" s="33"/>
      <c r="AB3" s="32"/>
      <c r="AC3" s="32"/>
      <c r="AD3" s="32"/>
      <c r="AE3" s="33"/>
      <c r="AF3" s="32"/>
      <c r="AG3" s="32"/>
      <c r="AH3" s="32"/>
      <c r="AI3" s="33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/>
      <c r="AW3" s="32"/>
      <c r="AX3" s="32"/>
      <c r="AY3" s="32" t="s">
        <v>655</v>
      </c>
      <c r="AZ3" s="33">
        <v>45236</v>
      </c>
      <c r="BA3" s="32" t="s">
        <v>212</v>
      </c>
      <c r="BB3" s="35" t="s">
        <v>4</v>
      </c>
    </row>
    <row r="4" spans="1:54" ht="51.75" x14ac:dyDescent="0.25">
      <c r="A4" s="32">
        <v>1538999384</v>
      </c>
      <c r="B4" s="32" t="s">
        <v>744</v>
      </c>
      <c r="C4" s="32" t="s">
        <v>745</v>
      </c>
      <c r="D4" s="32" t="s">
        <v>354</v>
      </c>
      <c r="E4" s="32" t="s">
        <v>161</v>
      </c>
      <c r="F4" s="32" t="s">
        <v>440</v>
      </c>
      <c r="G4" s="32">
        <v>1721</v>
      </c>
      <c r="H4" s="32" t="s">
        <v>368</v>
      </c>
      <c r="I4" s="32" t="s">
        <v>230</v>
      </c>
      <c r="J4" s="32" t="s">
        <v>375</v>
      </c>
      <c r="K4" s="32" t="s">
        <v>655</v>
      </c>
      <c r="L4" s="33">
        <v>45236</v>
      </c>
      <c r="M4" s="32" t="s">
        <v>212</v>
      </c>
      <c r="N4" s="32" t="s">
        <v>4</v>
      </c>
      <c r="O4" s="32"/>
      <c r="P4" s="33"/>
      <c r="Q4" s="32"/>
      <c r="R4" s="32"/>
      <c r="S4" s="32"/>
      <c r="T4" s="32"/>
      <c r="U4" s="32"/>
      <c r="V4" s="32"/>
      <c r="W4" s="33"/>
      <c r="X4" s="67"/>
      <c r="Y4" s="85"/>
      <c r="Z4" s="32"/>
      <c r="AA4" s="33"/>
      <c r="AB4" s="32"/>
      <c r="AC4" s="32"/>
      <c r="AD4" s="32"/>
      <c r="AE4" s="33"/>
      <c r="AF4" s="32"/>
      <c r="AG4" s="32"/>
      <c r="AH4" s="32"/>
      <c r="AI4" s="33"/>
      <c r="AJ4" s="32"/>
      <c r="AK4" s="32"/>
      <c r="AL4" s="32"/>
      <c r="AM4" s="33"/>
      <c r="AN4" s="32"/>
      <c r="AO4" s="32"/>
      <c r="AP4" s="32"/>
      <c r="AQ4" s="32"/>
      <c r="AR4" s="32"/>
      <c r="AS4" s="32"/>
      <c r="AT4" s="32"/>
      <c r="AU4" s="32" t="s">
        <v>655</v>
      </c>
      <c r="AV4" s="33">
        <v>45220</v>
      </c>
      <c r="AW4" s="32" t="s">
        <v>212</v>
      </c>
      <c r="AX4" s="32" t="s">
        <v>4</v>
      </c>
      <c r="AY4" s="32" t="s">
        <v>655</v>
      </c>
      <c r="AZ4" s="33">
        <v>45237</v>
      </c>
      <c r="BA4" s="32" t="s">
        <v>212</v>
      </c>
      <c r="BB4" s="35" t="s">
        <v>4</v>
      </c>
    </row>
    <row r="5" spans="1:54" ht="51.75" x14ac:dyDescent="0.25">
      <c r="A5" s="32">
        <v>1160110691</v>
      </c>
      <c r="B5" s="32" t="s">
        <v>746</v>
      </c>
      <c r="C5" s="32" t="s">
        <v>747</v>
      </c>
      <c r="D5" s="32" t="s">
        <v>354</v>
      </c>
      <c r="E5" s="32" t="s">
        <v>158</v>
      </c>
      <c r="F5" s="32" t="s">
        <v>440</v>
      </c>
      <c r="G5" s="32">
        <v>1721</v>
      </c>
      <c r="H5" s="32" t="s">
        <v>368</v>
      </c>
      <c r="I5" s="32" t="s">
        <v>230</v>
      </c>
      <c r="J5" s="32" t="s">
        <v>375</v>
      </c>
      <c r="K5" s="32"/>
      <c r="L5" s="33"/>
      <c r="M5" s="32"/>
      <c r="N5" s="32"/>
      <c r="O5" s="32"/>
      <c r="P5" s="33"/>
      <c r="Q5" s="32"/>
      <c r="R5" s="32"/>
      <c r="S5" s="32"/>
      <c r="T5" s="32"/>
      <c r="U5" s="32"/>
      <c r="V5" s="32" t="s">
        <v>655</v>
      </c>
      <c r="W5" s="33">
        <v>45245</v>
      </c>
      <c r="X5" s="67" t="s">
        <v>212</v>
      </c>
      <c r="Y5" s="85" t="s">
        <v>4</v>
      </c>
      <c r="Z5" s="32" t="s">
        <v>655</v>
      </c>
      <c r="AA5" s="33">
        <v>45236</v>
      </c>
      <c r="AB5" s="32" t="s">
        <v>212</v>
      </c>
      <c r="AC5" s="32" t="s">
        <v>4</v>
      </c>
      <c r="AD5" s="32"/>
      <c r="AE5" s="33"/>
      <c r="AF5" s="32"/>
      <c r="AG5" s="32"/>
      <c r="AH5" s="32"/>
      <c r="AI5" s="33"/>
      <c r="AJ5" s="32"/>
      <c r="AK5" s="32"/>
      <c r="AL5" s="32"/>
      <c r="AM5" s="33"/>
      <c r="AN5" s="32"/>
      <c r="AO5" s="32"/>
      <c r="AP5" s="32"/>
      <c r="AQ5" s="32"/>
      <c r="AR5" s="32"/>
      <c r="AS5" s="32"/>
      <c r="AT5" s="32"/>
      <c r="AU5" s="32" t="s">
        <v>655</v>
      </c>
      <c r="AV5" s="33">
        <v>45216</v>
      </c>
      <c r="AW5" s="32" t="s">
        <v>212</v>
      </c>
      <c r="AX5" s="32" t="s">
        <v>4</v>
      </c>
      <c r="AY5" s="32"/>
      <c r="AZ5" s="33"/>
      <c r="BA5" s="32"/>
      <c r="BB5" s="35"/>
    </row>
    <row r="6" spans="1:54" ht="51.75" x14ac:dyDescent="0.25">
      <c r="A6" s="32">
        <v>1520074788</v>
      </c>
      <c r="B6" s="32" t="s">
        <v>748</v>
      </c>
      <c r="C6" s="32" t="s">
        <v>749</v>
      </c>
      <c r="D6" s="32" t="s">
        <v>354</v>
      </c>
      <c r="E6" s="32" t="s">
        <v>158</v>
      </c>
      <c r="F6" s="32" t="s">
        <v>440</v>
      </c>
      <c r="G6" s="32">
        <v>1721</v>
      </c>
      <c r="H6" s="32" t="s">
        <v>368</v>
      </c>
      <c r="I6" s="32" t="s">
        <v>230</v>
      </c>
      <c r="J6" s="32" t="s">
        <v>375</v>
      </c>
      <c r="K6" s="32" t="s">
        <v>655</v>
      </c>
      <c r="L6" s="33">
        <v>45231</v>
      </c>
      <c r="M6" s="32" t="s">
        <v>212</v>
      </c>
      <c r="N6" s="32" t="s">
        <v>4</v>
      </c>
      <c r="O6" s="32" t="s">
        <v>655</v>
      </c>
      <c r="P6" s="33">
        <v>45267</v>
      </c>
      <c r="Q6" s="32" t="s">
        <v>212</v>
      </c>
      <c r="R6" s="32" t="b">
        <v>0</v>
      </c>
      <c r="S6" s="32">
        <v>366</v>
      </c>
      <c r="T6" s="32" t="s">
        <v>681</v>
      </c>
      <c r="U6" s="32" t="s">
        <v>682</v>
      </c>
      <c r="V6" s="32"/>
      <c r="W6" s="33"/>
      <c r="X6" s="67"/>
      <c r="Y6" s="85"/>
      <c r="Z6" s="32" t="s">
        <v>655</v>
      </c>
      <c r="AA6" s="33">
        <v>45231</v>
      </c>
      <c r="AB6" s="32" t="s">
        <v>212</v>
      </c>
      <c r="AC6" s="32" t="s">
        <v>4</v>
      </c>
      <c r="AD6" s="32" t="s">
        <v>655</v>
      </c>
      <c r="AE6" s="33">
        <v>45237</v>
      </c>
      <c r="AF6" s="32" t="s">
        <v>212</v>
      </c>
      <c r="AG6" s="32" t="s">
        <v>4</v>
      </c>
      <c r="AH6" s="32" t="s">
        <v>655</v>
      </c>
      <c r="AI6" s="33">
        <v>45231</v>
      </c>
      <c r="AJ6" s="32" t="s">
        <v>212</v>
      </c>
      <c r="AK6" s="32" t="s">
        <v>4</v>
      </c>
      <c r="AL6" s="32"/>
      <c r="AM6" s="33"/>
      <c r="AN6" s="32"/>
      <c r="AO6" s="32"/>
      <c r="AP6" s="32"/>
      <c r="AQ6" s="32"/>
      <c r="AR6" s="32"/>
      <c r="AS6" s="32"/>
      <c r="AT6" s="32"/>
      <c r="AU6" s="32"/>
      <c r="AV6" s="33"/>
      <c r="AW6" s="32"/>
      <c r="AX6" s="32"/>
      <c r="AY6" s="32"/>
      <c r="AZ6" s="33"/>
      <c r="BA6" s="32"/>
      <c r="BB6" s="35"/>
    </row>
    <row r="7" spans="1:54" ht="51.75" x14ac:dyDescent="0.25">
      <c r="A7" s="32">
        <v>1220711349</v>
      </c>
      <c r="B7" s="32" t="s">
        <v>750</v>
      </c>
      <c r="C7" s="32" t="s">
        <v>751</v>
      </c>
      <c r="D7" s="32" t="s">
        <v>354</v>
      </c>
      <c r="E7" s="32" t="s">
        <v>155</v>
      </c>
      <c r="F7" s="32" t="s">
        <v>440</v>
      </c>
      <c r="G7" s="32">
        <v>1721</v>
      </c>
      <c r="H7" s="32" t="s">
        <v>368</v>
      </c>
      <c r="I7" s="32" t="s">
        <v>230</v>
      </c>
      <c r="J7" s="32" t="s">
        <v>375</v>
      </c>
      <c r="K7" s="32"/>
      <c r="L7" s="33"/>
      <c r="M7" s="32"/>
      <c r="N7" s="32"/>
      <c r="O7" s="32"/>
      <c r="P7" s="33"/>
      <c r="Q7" s="32"/>
      <c r="R7" s="32"/>
      <c r="S7" s="32"/>
      <c r="T7" s="32"/>
      <c r="U7" s="32"/>
      <c r="V7" s="32"/>
      <c r="W7" s="33"/>
      <c r="X7" s="67"/>
      <c r="Y7" s="85"/>
      <c r="Z7" s="32"/>
      <c r="AA7" s="33"/>
      <c r="AB7" s="32"/>
      <c r="AC7" s="32"/>
      <c r="AD7" s="32"/>
      <c r="AE7" s="33"/>
      <c r="AF7" s="32"/>
      <c r="AG7" s="32"/>
      <c r="AH7" s="32"/>
      <c r="AI7" s="33"/>
      <c r="AJ7" s="32"/>
      <c r="AK7" s="32"/>
      <c r="AL7" s="32" t="s">
        <v>655</v>
      </c>
      <c r="AM7" s="33">
        <v>45225</v>
      </c>
      <c r="AN7" s="32" t="s">
        <v>212</v>
      </c>
      <c r="AO7" s="32"/>
      <c r="AP7" s="32">
        <v>48</v>
      </c>
      <c r="AQ7" s="32">
        <v>3</v>
      </c>
      <c r="AR7" s="32" t="s">
        <v>683</v>
      </c>
      <c r="AS7" s="32" t="s">
        <v>684</v>
      </c>
      <c r="AT7" s="32" t="s">
        <v>168</v>
      </c>
      <c r="AU7" s="32"/>
      <c r="AV7" s="33"/>
      <c r="AW7" s="32"/>
      <c r="AX7" s="32"/>
      <c r="AY7" s="32" t="s">
        <v>655</v>
      </c>
      <c r="AZ7" s="33">
        <v>45237</v>
      </c>
      <c r="BA7" s="32" t="s">
        <v>212</v>
      </c>
      <c r="BB7" s="35" t="s">
        <v>4</v>
      </c>
    </row>
    <row r="8" spans="1:54" ht="51.75" x14ac:dyDescent="0.25">
      <c r="A8" s="32">
        <v>1534568011</v>
      </c>
      <c r="B8" s="32" t="s">
        <v>752</v>
      </c>
      <c r="C8" s="32" t="s">
        <v>753</v>
      </c>
      <c r="D8" s="32" t="s">
        <v>354</v>
      </c>
      <c r="E8" s="32" t="s">
        <v>155</v>
      </c>
      <c r="F8" s="32" t="s">
        <v>440</v>
      </c>
      <c r="G8" s="32">
        <v>1721</v>
      </c>
      <c r="H8" s="32" t="s">
        <v>368</v>
      </c>
      <c r="I8" s="32" t="s">
        <v>230</v>
      </c>
      <c r="J8" s="32" t="s">
        <v>375</v>
      </c>
      <c r="K8" s="32" t="s">
        <v>655</v>
      </c>
      <c r="L8" s="33">
        <v>45236</v>
      </c>
      <c r="M8" s="32" t="s">
        <v>212</v>
      </c>
      <c r="N8" s="32" t="s">
        <v>4</v>
      </c>
      <c r="O8" s="32"/>
      <c r="P8" s="33"/>
      <c r="Q8" s="32"/>
      <c r="R8" s="32"/>
      <c r="S8" s="32"/>
      <c r="T8" s="32"/>
      <c r="U8" s="32"/>
      <c r="V8" s="32"/>
      <c r="W8" s="33"/>
      <c r="X8" s="67"/>
      <c r="Y8" s="85"/>
      <c r="Z8" s="32"/>
      <c r="AA8" s="33"/>
      <c r="AB8" s="32"/>
      <c r="AC8" s="32"/>
      <c r="AD8" s="32"/>
      <c r="AE8" s="33"/>
      <c r="AF8" s="32"/>
      <c r="AG8" s="32"/>
      <c r="AH8" s="32"/>
      <c r="AI8" s="33"/>
      <c r="AJ8" s="32"/>
      <c r="AK8" s="32"/>
      <c r="AL8" s="66"/>
      <c r="AM8" s="33"/>
      <c r="AN8" s="32"/>
      <c r="AO8" s="32"/>
      <c r="AP8" s="32"/>
      <c r="AQ8" s="32"/>
      <c r="AR8" s="32"/>
      <c r="AS8" s="32"/>
      <c r="AT8" s="32"/>
      <c r="AU8" s="32" t="s">
        <v>655</v>
      </c>
      <c r="AV8" s="33">
        <v>45217</v>
      </c>
      <c r="AW8" s="32" t="s">
        <v>212</v>
      </c>
      <c r="AX8" s="32" t="s">
        <v>4</v>
      </c>
      <c r="AY8" s="32" t="s">
        <v>655</v>
      </c>
      <c r="AZ8" s="33">
        <v>45237</v>
      </c>
      <c r="BA8" s="32" t="s">
        <v>212</v>
      </c>
      <c r="BB8" s="35" t="s">
        <v>4</v>
      </c>
    </row>
    <row r="9" spans="1:54" ht="51.75" x14ac:dyDescent="0.25">
      <c r="A9" s="32">
        <v>1418134206</v>
      </c>
      <c r="B9" s="32" t="s">
        <v>754</v>
      </c>
      <c r="C9" s="32" t="s">
        <v>755</v>
      </c>
      <c r="D9" s="32" t="s">
        <v>354</v>
      </c>
      <c r="E9" s="32" t="s">
        <v>155</v>
      </c>
      <c r="F9" s="32" t="s">
        <v>440</v>
      </c>
      <c r="G9" s="32">
        <v>1700</v>
      </c>
      <c r="H9" s="32" t="s">
        <v>368</v>
      </c>
      <c r="I9" s="32" t="s">
        <v>230</v>
      </c>
      <c r="J9" s="32" t="s">
        <v>375</v>
      </c>
      <c r="K9" s="32"/>
      <c r="L9" s="33"/>
      <c r="M9" s="32"/>
      <c r="N9" s="32"/>
      <c r="O9" s="32"/>
      <c r="P9" s="32"/>
      <c r="Q9" s="32"/>
      <c r="R9" s="32"/>
      <c r="S9" s="32"/>
      <c r="T9" s="32"/>
      <c r="U9" s="32"/>
      <c r="V9" s="32" t="s">
        <v>655</v>
      </c>
      <c r="W9" s="33">
        <v>45245</v>
      </c>
      <c r="X9" s="67" t="s">
        <v>212</v>
      </c>
      <c r="Y9" s="85" t="s">
        <v>4</v>
      </c>
      <c r="Z9" s="32" t="s">
        <v>655</v>
      </c>
      <c r="AA9" s="33">
        <v>45236</v>
      </c>
      <c r="AB9" s="32" t="s">
        <v>212</v>
      </c>
      <c r="AC9" s="32" t="s">
        <v>4</v>
      </c>
      <c r="AD9" s="32"/>
      <c r="AE9" s="33"/>
      <c r="AF9" s="32"/>
      <c r="AG9" s="32"/>
      <c r="AH9" s="32"/>
      <c r="AI9" s="33"/>
      <c r="AJ9" s="32"/>
      <c r="AK9" s="32"/>
      <c r="AL9" s="32"/>
      <c r="AM9" s="33"/>
      <c r="AN9" s="32"/>
      <c r="AO9" s="32"/>
      <c r="AP9" s="32"/>
      <c r="AQ9" s="32"/>
      <c r="AR9" s="32"/>
      <c r="AS9" s="32"/>
      <c r="AT9" s="32"/>
      <c r="AU9" s="32" t="s">
        <v>655</v>
      </c>
      <c r="AV9" s="33">
        <v>45217</v>
      </c>
      <c r="AW9" s="32" t="s">
        <v>212</v>
      </c>
      <c r="AX9" s="32" t="s">
        <v>4</v>
      </c>
      <c r="AY9" s="32" t="s">
        <v>655</v>
      </c>
      <c r="AZ9" s="33">
        <v>45217</v>
      </c>
      <c r="BA9" s="32" t="s">
        <v>212</v>
      </c>
      <c r="BB9" s="35" t="s">
        <v>4</v>
      </c>
    </row>
    <row r="10" spans="1:54" ht="51.75" x14ac:dyDescent="0.25">
      <c r="A10" s="32">
        <v>1007476454</v>
      </c>
      <c r="B10" s="32" t="s">
        <v>756</v>
      </c>
      <c r="C10" s="32" t="s">
        <v>757</v>
      </c>
      <c r="D10" s="32" t="s">
        <v>354</v>
      </c>
      <c r="E10" s="32" t="s">
        <v>151</v>
      </c>
      <c r="F10" s="32" t="s">
        <v>440</v>
      </c>
      <c r="G10" s="32">
        <v>1721</v>
      </c>
      <c r="H10" s="32" t="s">
        <v>368</v>
      </c>
      <c r="I10" s="32" t="s">
        <v>230</v>
      </c>
      <c r="J10" s="32" t="s">
        <v>375</v>
      </c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2"/>
      <c r="V10" s="32" t="s">
        <v>655</v>
      </c>
      <c r="W10" s="33">
        <v>45245</v>
      </c>
      <c r="X10" s="67" t="s">
        <v>212</v>
      </c>
      <c r="Y10" s="85" t="s">
        <v>4</v>
      </c>
      <c r="Z10" s="32"/>
      <c r="AA10" s="33"/>
      <c r="AB10" s="32"/>
      <c r="AC10" s="32"/>
      <c r="AD10" s="32"/>
      <c r="AE10" s="33"/>
      <c r="AF10" s="32"/>
      <c r="AG10" s="32"/>
      <c r="AH10" s="32"/>
      <c r="AI10" s="33"/>
      <c r="AJ10" s="32"/>
      <c r="AK10" s="32"/>
      <c r="AL10" s="32"/>
      <c r="AM10" s="33"/>
      <c r="AN10" s="32"/>
      <c r="AO10" s="32"/>
      <c r="AP10" s="32"/>
      <c r="AQ10" s="32"/>
      <c r="AR10" s="32"/>
      <c r="AS10" s="32"/>
      <c r="AT10" s="32"/>
      <c r="AU10" s="32" t="s">
        <v>655</v>
      </c>
      <c r="AV10" s="33">
        <v>45217</v>
      </c>
      <c r="AW10" s="32" t="s">
        <v>212</v>
      </c>
      <c r="AX10" s="32" t="s">
        <v>4</v>
      </c>
      <c r="AY10" s="32"/>
      <c r="AZ10" s="33"/>
      <c r="BA10" s="32"/>
      <c r="BB10" s="35"/>
    </row>
    <row r="11" spans="1:54" ht="51.75" x14ac:dyDescent="0.25">
      <c r="A11" s="32">
        <v>1245991266</v>
      </c>
      <c r="B11" s="32" t="s">
        <v>758</v>
      </c>
      <c r="C11" s="32" t="s">
        <v>759</v>
      </c>
      <c r="D11" s="32" t="s">
        <v>354</v>
      </c>
      <c r="E11" s="32" t="s">
        <v>151</v>
      </c>
      <c r="F11" s="32" t="s">
        <v>440</v>
      </c>
      <c r="G11" s="32">
        <v>1721</v>
      </c>
      <c r="H11" s="32" t="s">
        <v>368</v>
      </c>
      <c r="I11" s="32" t="s">
        <v>230</v>
      </c>
      <c r="J11" s="32" t="s">
        <v>375</v>
      </c>
      <c r="K11" s="32" t="s">
        <v>655</v>
      </c>
      <c r="L11" s="33">
        <v>45236</v>
      </c>
      <c r="M11" s="32" t="s">
        <v>212</v>
      </c>
      <c r="N11" s="32" t="s">
        <v>4</v>
      </c>
      <c r="O11" s="32"/>
      <c r="P11" s="32"/>
      <c r="Q11" s="32"/>
      <c r="R11" s="32"/>
      <c r="S11" s="32"/>
      <c r="T11" s="32"/>
      <c r="U11" s="32"/>
      <c r="V11" s="32"/>
      <c r="W11" s="33"/>
      <c r="X11" s="67"/>
      <c r="Y11" s="85"/>
      <c r="Z11" s="32"/>
      <c r="AA11" s="33"/>
      <c r="AB11" s="32"/>
      <c r="AC11" s="32"/>
      <c r="AD11" s="32"/>
      <c r="AE11" s="33"/>
      <c r="AF11" s="32"/>
      <c r="AG11" s="32"/>
      <c r="AH11" s="32"/>
      <c r="AI11" s="33"/>
      <c r="AJ11" s="32"/>
      <c r="AK11" s="32"/>
      <c r="AL11" s="32"/>
      <c r="AM11" s="33"/>
      <c r="AN11" s="32"/>
      <c r="AO11" s="32"/>
      <c r="AP11" s="32"/>
      <c r="AQ11" s="32"/>
      <c r="AR11" s="32"/>
      <c r="AS11" s="32"/>
      <c r="AT11" s="32"/>
      <c r="AU11" s="32" t="s">
        <v>655</v>
      </c>
      <c r="AV11" s="33">
        <v>45218</v>
      </c>
      <c r="AW11" s="32" t="s">
        <v>212</v>
      </c>
      <c r="AX11" s="32" t="s">
        <v>4</v>
      </c>
      <c r="AY11" s="32"/>
      <c r="AZ11" s="33"/>
      <c r="BA11" s="32"/>
      <c r="BB11" s="35"/>
    </row>
    <row r="12" spans="1:54" ht="51.75" x14ac:dyDescent="0.25">
      <c r="A12" s="32">
        <v>1019647482</v>
      </c>
      <c r="B12" s="32" t="s">
        <v>760</v>
      </c>
      <c r="C12" s="32" t="s">
        <v>761</v>
      </c>
      <c r="D12" s="32" t="s">
        <v>354</v>
      </c>
      <c r="E12" s="32" t="s">
        <v>151</v>
      </c>
      <c r="F12" s="32" t="s">
        <v>440</v>
      </c>
      <c r="G12" s="32">
        <v>1721</v>
      </c>
      <c r="H12" s="32" t="s">
        <v>368</v>
      </c>
      <c r="I12" s="32" t="s">
        <v>230</v>
      </c>
      <c r="J12" s="32" t="s">
        <v>375</v>
      </c>
      <c r="K12" s="32" t="s">
        <v>655</v>
      </c>
      <c r="L12" s="33">
        <v>45231</v>
      </c>
      <c r="M12" s="32" t="s">
        <v>212</v>
      </c>
      <c r="N12" s="32" t="s">
        <v>4</v>
      </c>
      <c r="O12" s="32"/>
      <c r="P12" s="33"/>
      <c r="Q12" s="32"/>
      <c r="R12" s="32"/>
      <c r="S12" s="32"/>
      <c r="T12" s="32"/>
      <c r="U12" s="32"/>
      <c r="V12" s="32"/>
      <c r="W12" s="33"/>
      <c r="X12" s="67"/>
      <c r="Y12" s="85"/>
      <c r="Z12" s="32" t="s">
        <v>655</v>
      </c>
      <c r="AA12" s="33">
        <v>45231</v>
      </c>
      <c r="AB12" s="32" t="s">
        <v>212</v>
      </c>
      <c r="AC12" s="32" t="s">
        <v>4</v>
      </c>
      <c r="AD12" s="32" t="s">
        <v>655</v>
      </c>
      <c r="AE12" s="33">
        <v>45237</v>
      </c>
      <c r="AF12" s="32" t="s">
        <v>212</v>
      </c>
      <c r="AG12" s="32" t="s">
        <v>4</v>
      </c>
      <c r="AH12" s="32" t="s">
        <v>655</v>
      </c>
      <c r="AI12" s="33">
        <v>45231</v>
      </c>
      <c r="AJ12" s="32" t="s">
        <v>212</v>
      </c>
      <c r="AK12" s="32" t="s">
        <v>4</v>
      </c>
      <c r="AL12" s="32"/>
      <c r="AM12" s="33"/>
      <c r="AN12" s="32"/>
      <c r="AO12" s="32"/>
      <c r="AP12" s="32"/>
      <c r="AQ12" s="32"/>
      <c r="AR12" s="32"/>
      <c r="AS12" s="32"/>
      <c r="AT12" s="32"/>
      <c r="AU12" s="32" t="s">
        <v>655</v>
      </c>
      <c r="AV12" s="33">
        <v>45217</v>
      </c>
      <c r="AW12" s="32" t="s">
        <v>212</v>
      </c>
      <c r="AX12" s="32" t="s">
        <v>4</v>
      </c>
      <c r="AY12" s="32"/>
      <c r="AZ12" s="33"/>
      <c r="BA12" s="32"/>
      <c r="BB12" s="35"/>
    </row>
    <row r="13" spans="1:54" ht="51.75" x14ac:dyDescent="0.25">
      <c r="A13" s="32">
        <v>1216965036</v>
      </c>
      <c r="B13" s="32" t="s">
        <v>762</v>
      </c>
      <c r="C13" s="32" t="s">
        <v>763</v>
      </c>
      <c r="D13" s="32" t="s">
        <v>354</v>
      </c>
      <c r="E13" s="32" t="s">
        <v>151</v>
      </c>
      <c r="F13" s="32" t="s">
        <v>440</v>
      </c>
      <c r="G13" s="32">
        <v>1721</v>
      </c>
      <c r="H13" s="32" t="s">
        <v>368</v>
      </c>
      <c r="I13" s="32" t="s">
        <v>230</v>
      </c>
      <c r="J13" s="32" t="s">
        <v>375</v>
      </c>
      <c r="K13" s="32" t="s">
        <v>655</v>
      </c>
      <c r="L13" s="33">
        <v>45236</v>
      </c>
      <c r="M13" s="32" t="s">
        <v>212</v>
      </c>
      <c r="N13" s="32" t="s">
        <v>4</v>
      </c>
      <c r="O13" s="32" t="s">
        <v>655</v>
      </c>
      <c r="P13" s="33">
        <v>45246</v>
      </c>
      <c r="Q13" s="32" t="s">
        <v>453</v>
      </c>
      <c r="R13" s="32" t="b">
        <v>0</v>
      </c>
      <c r="S13" s="32">
        <v>366</v>
      </c>
      <c r="T13" s="32" t="s">
        <v>681</v>
      </c>
      <c r="U13" s="32" t="s">
        <v>682</v>
      </c>
      <c r="V13" s="32" t="s">
        <v>655</v>
      </c>
      <c r="W13" s="33">
        <v>45245</v>
      </c>
      <c r="X13" s="67" t="s">
        <v>212</v>
      </c>
      <c r="Y13" s="85" t="s">
        <v>4</v>
      </c>
      <c r="Z13" s="32"/>
      <c r="AA13" s="33"/>
      <c r="AB13" s="32"/>
      <c r="AC13" s="32"/>
      <c r="AD13" s="32"/>
      <c r="AE13" s="33"/>
      <c r="AF13" s="32"/>
      <c r="AG13" s="32"/>
      <c r="AH13" s="32"/>
      <c r="AI13" s="33"/>
      <c r="AJ13" s="32"/>
      <c r="AK13" s="32"/>
      <c r="AL13" s="32" t="s">
        <v>655</v>
      </c>
      <c r="AM13" s="33">
        <v>45267</v>
      </c>
      <c r="AN13" s="32" t="s">
        <v>212</v>
      </c>
      <c r="AO13" s="32"/>
      <c r="AP13" s="32">
        <v>46</v>
      </c>
      <c r="AQ13" s="32">
        <v>3</v>
      </c>
      <c r="AR13" s="32" t="s">
        <v>685</v>
      </c>
      <c r="AS13" s="32" t="s">
        <v>684</v>
      </c>
      <c r="AT13" s="32" t="s">
        <v>168</v>
      </c>
      <c r="AU13" s="32" t="s">
        <v>655</v>
      </c>
      <c r="AV13" s="33">
        <v>45216</v>
      </c>
      <c r="AW13" s="32" t="s">
        <v>212</v>
      </c>
      <c r="AX13" s="32" t="s">
        <v>4</v>
      </c>
      <c r="AY13" s="32"/>
      <c r="AZ13" s="33"/>
      <c r="BA13" s="32"/>
      <c r="BB13" s="35"/>
    </row>
    <row r="14" spans="1:54" ht="51.75" x14ac:dyDescent="0.25">
      <c r="A14" s="32">
        <v>1014426852</v>
      </c>
      <c r="B14" s="32" t="s">
        <v>764</v>
      </c>
      <c r="C14" s="32" t="s">
        <v>765</v>
      </c>
      <c r="D14" s="32" t="s">
        <v>354</v>
      </c>
      <c r="E14" s="32" t="s">
        <v>151</v>
      </c>
      <c r="F14" s="32" t="s">
        <v>440</v>
      </c>
      <c r="G14" s="32">
        <v>1721</v>
      </c>
      <c r="H14" s="32" t="s">
        <v>368</v>
      </c>
      <c r="I14" s="32" t="s">
        <v>230</v>
      </c>
      <c r="J14" s="32" t="s">
        <v>375</v>
      </c>
      <c r="K14" s="32"/>
      <c r="L14" s="33"/>
      <c r="M14" s="32"/>
      <c r="N14" s="32"/>
      <c r="O14" s="32" t="s">
        <v>655</v>
      </c>
      <c r="P14" s="33">
        <v>45244</v>
      </c>
      <c r="Q14" s="32" t="s">
        <v>453</v>
      </c>
      <c r="R14" s="32" t="b">
        <v>0</v>
      </c>
      <c r="S14" s="32">
        <v>368</v>
      </c>
      <c r="T14" s="32" t="s">
        <v>681</v>
      </c>
      <c r="U14" s="32" t="s">
        <v>682</v>
      </c>
      <c r="V14" s="32" t="s">
        <v>655</v>
      </c>
      <c r="W14" s="33">
        <v>45246</v>
      </c>
      <c r="X14" s="67" t="s">
        <v>212</v>
      </c>
      <c r="Y14" s="85" t="s">
        <v>4</v>
      </c>
      <c r="Z14" s="32"/>
      <c r="AA14" s="33"/>
      <c r="AB14" s="32"/>
      <c r="AC14" s="32"/>
      <c r="AD14" s="32"/>
      <c r="AE14" s="33"/>
      <c r="AF14" s="32"/>
      <c r="AG14" s="32"/>
      <c r="AH14" s="32"/>
      <c r="AI14" s="33"/>
      <c r="AJ14" s="32"/>
      <c r="AK14" s="32"/>
      <c r="AL14" s="32"/>
      <c r="AM14" s="33"/>
      <c r="AN14" s="32"/>
      <c r="AO14" s="32"/>
      <c r="AP14" s="32"/>
      <c r="AQ14" s="32"/>
      <c r="AR14" s="32"/>
      <c r="AS14" s="32"/>
      <c r="AT14" s="32"/>
      <c r="AU14" s="32"/>
      <c r="AV14" s="33"/>
      <c r="AW14" s="32"/>
      <c r="AX14" s="32"/>
      <c r="AY14" s="32"/>
      <c r="AZ14" s="33"/>
      <c r="BA14" s="32"/>
      <c r="BB14" s="35"/>
    </row>
    <row r="15" spans="1:54" ht="51.75" x14ac:dyDescent="0.25">
      <c r="A15" s="32">
        <v>1342870108</v>
      </c>
      <c r="B15" s="32" t="s">
        <v>766</v>
      </c>
      <c r="C15" s="32" t="s">
        <v>767</v>
      </c>
      <c r="D15" s="32" t="s">
        <v>354</v>
      </c>
      <c r="E15" s="32" t="s">
        <v>151</v>
      </c>
      <c r="F15" s="32" t="s">
        <v>440</v>
      </c>
      <c r="G15" s="32">
        <v>1721</v>
      </c>
      <c r="H15" s="32" t="s">
        <v>368</v>
      </c>
      <c r="I15" s="32" t="s">
        <v>230</v>
      </c>
      <c r="J15" s="32" t="s">
        <v>375</v>
      </c>
      <c r="K15" s="32" t="s">
        <v>655</v>
      </c>
      <c r="L15" s="33">
        <v>45236</v>
      </c>
      <c r="M15" s="32" t="s">
        <v>212</v>
      </c>
      <c r="N15" s="32" t="s">
        <v>4</v>
      </c>
      <c r="O15" s="32"/>
      <c r="P15" s="33"/>
      <c r="Q15" s="32"/>
      <c r="R15" s="32"/>
      <c r="S15" s="32"/>
      <c r="T15" s="32"/>
      <c r="U15" s="32"/>
      <c r="V15" s="32"/>
      <c r="W15" s="33"/>
      <c r="X15" s="67"/>
      <c r="Y15" s="85"/>
      <c r="Z15" s="32"/>
      <c r="AA15" s="32"/>
      <c r="AB15" s="32"/>
      <c r="AC15" s="32"/>
      <c r="AD15" s="32"/>
      <c r="AE15" s="33"/>
      <c r="AF15" s="32"/>
      <c r="AG15" s="32"/>
      <c r="AH15" s="32"/>
      <c r="AI15" s="32"/>
      <c r="AJ15" s="32"/>
      <c r="AK15" s="32"/>
      <c r="AL15" s="32"/>
      <c r="AM15" s="33"/>
      <c r="AN15" s="32"/>
      <c r="AO15" s="32"/>
      <c r="AP15" s="32"/>
      <c r="AQ15" s="32"/>
      <c r="AR15" s="32"/>
      <c r="AS15" s="32"/>
      <c r="AT15" s="32"/>
      <c r="AU15" s="32" t="s">
        <v>655</v>
      </c>
      <c r="AV15" s="33">
        <v>45222</v>
      </c>
      <c r="AW15" s="32" t="s">
        <v>212</v>
      </c>
      <c r="AX15" s="32" t="s">
        <v>4</v>
      </c>
      <c r="AY15" s="32"/>
      <c r="AZ15" s="33"/>
      <c r="BA15" s="32"/>
      <c r="BB15" s="35"/>
    </row>
    <row r="16" spans="1:54" ht="51.75" x14ac:dyDescent="0.25">
      <c r="A16" s="32">
        <v>1563539788</v>
      </c>
      <c r="B16" s="32" t="s">
        <v>768</v>
      </c>
      <c r="C16" s="32" t="s">
        <v>769</v>
      </c>
      <c r="D16" s="32" t="s">
        <v>354</v>
      </c>
      <c r="E16" s="32" t="s">
        <v>151</v>
      </c>
      <c r="F16" s="32" t="s">
        <v>440</v>
      </c>
      <c r="G16" s="32">
        <v>1721</v>
      </c>
      <c r="H16" s="32" t="s">
        <v>368</v>
      </c>
      <c r="I16" s="32" t="s">
        <v>230</v>
      </c>
      <c r="J16" s="32" t="s">
        <v>375</v>
      </c>
      <c r="K16" s="32" t="s">
        <v>655</v>
      </c>
      <c r="L16" s="33">
        <v>45231</v>
      </c>
      <c r="M16" s="32" t="s">
        <v>212</v>
      </c>
      <c r="N16" s="32" t="s">
        <v>4</v>
      </c>
      <c r="O16" s="79"/>
      <c r="P16" s="80"/>
      <c r="Q16" s="79"/>
      <c r="R16" s="79"/>
      <c r="S16" s="79"/>
      <c r="T16" s="79"/>
      <c r="U16" s="79"/>
      <c r="V16" s="32"/>
      <c r="W16" s="33"/>
      <c r="X16" s="32"/>
      <c r="Y16" s="32"/>
      <c r="Z16" s="32" t="s">
        <v>655</v>
      </c>
      <c r="AA16" s="33">
        <v>45231</v>
      </c>
      <c r="AB16" s="32" t="s">
        <v>212</v>
      </c>
      <c r="AC16" s="32" t="s">
        <v>4</v>
      </c>
      <c r="AD16" s="32"/>
      <c r="AE16" s="33"/>
      <c r="AF16" s="32"/>
      <c r="AG16" s="32"/>
      <c r="AH16" s="32" t="s">
        <v>655</v>
      </c>
      <c r="AI16" s="33">
        <v>45231</v>
      </c>
      <c r="AJ16" s="32" t="s">
        <v>212</v>
      </c>
      <c r="AK16" s="32" t="s">
        <v>4</v>
      </c>
      <c r="AL16" s="32"/>
      <c r="AM16" s="33"/>
      <c r="AN16" s="32"/>
      <c r="AO16" s="32"/>
      <c r="AP16" s="32"/>
      <c r="AQ16" s="32"/>
      <c r="AR16" s="32"/>
      <c r="AS16" s="32"/>
      <c r="AT16" s="32"/>
      <c r="AU16" s="32" t="s">
        <v>655</v>
      </c>
      <c r="AV16" s="33">
        <v>45222</v>
      </c>
      <c r="AW16" s="32" t="s">
        <v>212</v>
      </c>
      <c r="AX16" s="32" t="s">
        <v>4</v>
      </c>
      <c r="AY16" s="32" t="s">
        <v>655</v>
      </c>
      <c r="AZ16" s="33">
        <v>45238</v>
      </c>
      <c r="BA16" s="32" t="s">
        <v>212</v>
      </c>
      <c r="BB16" s="35" t="s">
        <v>4</v>
      </c>
    </row>
    <row r="17" spans="1:54" ht="51.75" x14ac:dyDescent="0.25">
      <c r="A17" s="32">
        <v>1243619874</v>
      </c>
      <c r="B17" s="32" t="s">
        <v>770</v>
      </c>
      <c r="C17" s="32" t="s">
        <v>771</v>
      </c>
      <c r="D17" s="32" t="s">
        <v>354</v>
      </c>
      <c r="E17" s="32" t="s">
        <v>147</v>
      </c>
      <c r="F17" s="32" t="s">
        <v>440</v>
      </c>
      <c r="G17" s="32">
        <v>1721</v>
      </c>
      <c r="H17" s="32" t="s">
        <v>368</v>
      </c>
      <c r="I17" s="32" t="s">
        <v>230</v>
      </c>
      <c r="J17" s="32" t="s">
        <v>375</v>
      </c>
      <c r="K17" s="32" t="s">
        <v>655</v>
      </c>
      <c r="L17" s="33">
        <v>45236</v>
      </c>
      <c r="M17" s="32" t="s">
        <v>212</v>
      </c>
      <c r="N17" s="32" t="s">
        <v>4</v>
      </c>
      <c r="O17" s="32"/>
      <c r="P17" s="33"/>
      <c r="Q17" s="32"/>
      <c r="R17" s="32"/>
      <c r="S17" s="32"/>
      <c r="T17" s="32"/>
      <c r="U17" s="32"/>
      <c r="V17" s="32"/>
      <c r="W17" s="33"/>
      <c r="X17" s="32"/>
      <c r="Y17" s="32"/>
      <c r="Z17" s="32"/>
      <c r="AA17" s="33"/>
      <c r="AB17" s="32"/>
      <c r="AC17" s="32"/>
      <c r="AD17" s="32"/>
      <c r="AE17" s="33"/>
      <c r="AF17" s="32"/>
      <c r="AG17" s="32"/>
      <c r="AH17" s="32"/>
      <c r="AI17" s="33"/>
      <c r="AJ17" s="32"/>
      <c r="AK17" s="32"/>
      <c r="AL17" s="32" t="s">
        <v>655</v>
      </c>
      <c r="AM17" s="33">
        <v>45267</v>
      </c>
      <c r="AN17" s="32" t="s">
        <v>212</v>
      </c>
      <c r="AO17" s="32"/>
      <c r="AP17" s="32">
        <v>38</v>
      </c>
      <c r="AQ17" s="32">
        <v>3</v>
      </c>
      <c r="AR17" s="32" t="s">
        <v>686</v>
      </c>
      <c r="AS17" s="32" t="s">
        <v>687</v>
      </c>
      <c r="AT17" s="32" t="s">
        <v>168</v>
      </c>
      <c r="AU17" s="32"/>
      <c r="AV17" s="33"/>
      <c r="AW17" s="32"/>
      <c r="AX17" s="32"/>
      <c r="AY17" s="32" t="s">
        <v>655</v>
      </c>
      <c r="AZ17" s="33">
        <v>45237</v>
      </c>
      <c r="BA17" s="32" t="s">
        <v>212</v>
      </c>
      <c r="BB17" s="35" t="s">
        <v>4</v>
      </c>
    </row>
    <row r="18" spans="1:54" ht="39" x14ac:dyDescent="0.25">
      <c r="A18" s="32">
        <v>1204889319</v>
      </c>
      <c r="B18" s="32" t="s">
        <v>772</v>
      </c>
      <c r="C18" s="32" t="s">
        <v>773</v>
      </c>
      <c r="D18" s="32" t="s">
        <v>354</v>
      </c>
      <c r="E18" s="32" t="s">
        <v>170</v>
      </c>
      <c r="F18" s="32" t="s">
        <v>440</v>
      </c>
      <c r="G18" s="32">
        <v>1702</v>
      </c>
      <c r="H18" s="32" t="s">
        <v>414</v>
      </c>
      <c r="I18" s="32" t="s">
        <v>225</v>
      </c>
      <c r="J18" s="32" t="s">
        <v>360</v>
      </c>
      <c r="K18" s="32" t="s">
        <v>655</v>
      </c>
      <c r="L18" s="33">
        <v>45236</v>
      </c>
      <c r="M18" s="32" t="s">
        <v>212</v>
      </c>
      <c r="N18" s="32" t="s">
        <v>4</v>
      </c>
      <c r="O18" s="32"/>
      <c r="P18" s="32"/>
      <c r="Q18" s="32"/>
      <c r="R18" s="32"/>
      <c r="S18" s="32"/>
      <c r="T18" s="32"/>
      <c r="U18" s="32"/>
      <c r="V18" s="32"/>
      <c r="W18" s="33"/>
      <c r="X18" s="32"/>
      <c r="Y18" s="32"/>
      <c r="Z18" s="32"/>
      <c r="AA18" s="33"/>
      <c r="AB18" s="32"/>
      <c r="AC18" s="32"/>
      <c r="AD18" s="32"/>
      <c r="AE18" s="33"/>
      <c r="AF18" s="32"/>
      <c r="AG18" s="32"/>
      <c r="AH18" s="32"/>
      <c r="AI18" s="33"/>
      <c r="AJ18" s="32"/>
      <c r="AK18" s="32"/>
      <c r="AL18" s="32"/>
      <c r="AM18" s="33"/>
      <c r="AN18" s="32"/>
      <c r="AO18" s="32"/>
      <c r="AP18" s="32"/>
      <c r="AQ18" s="32"/>
      <c r="AR18" s="32"/>
      <c r="AS18" s="32"/>
      <c r="AT18" s="32"/>
      <c r="AU18" s="32" t="s">
        <v>655</v>
      </c>
      <c r="AV18" s="33">
        <v>45203</v>
      </c>
      <c r="AW18" s="32" t="s">
        <v>212</v>
      </c>
      <c r="AX18" s="32" t="s">
        <v>4</v>
      </c>
      <c r="AY18" s="32" t="s">
        <v>655</v>
      </c>
      <c r="AZ18" s="33">
        <v>45204</v>
      </c>
      <c r="BA18" s="32" t="s">
        <v>212</v>
      </c>
      <c r="BB18" s="35" t="s">
        <v>4</v>
      </c>
    </row>
    <row r="19" spans="1:54" ht="51.75" x14ac:dyDescent="0.25">
      <c r="A19" s="32">
        <v>1598039312</v>
      </c>
      <c r="B19" s="32" t="s">
        <v>774</v>
      </c>
      <c r="C19" s="32" t="s">
        <v>775</v>
      </c>
      <c r="D19" s="32" t="s">
        <v>354</v>
      </c>
      <c r="E19" s="32" t="s">
        <v>161</v>
      </c>
      <c r="F19" s="32" t="s">
        <v>440</v>
      </c>
      <c r="G19" s="32">
        <v>1721</v>
      </c>
      <c r="H19" s="32" t="s">
        <v>368</v>
      </c>
      <c r="I19" s="32" t="s">
        <v>225</v>
      </c>
      <c r="J19" s="32" t="s">
        <v>375</v>
      </c>
      <c r="K19" s="32"/>
      <c r="L19" s="33"/>
      <c r="M19" s="32"/>
      <c r="N19" s="32"/>
      <c r="O19" s="32"/>
      <c r="P19" s="33"/>
      <c r="Q19" s="32"/>
      <c r="R19" s="32"/>
      <c r="S19" s="32"/>
      <c r="T19" s="32"/>
      <c r="U19" s="32"/>
      <c r="V19" s="32"/>
      <c r="W19" s="33"/>
      <c r="X19" s="32"/>
      <c r="Y19" s="32"/>
      <c r="Z19" s="32"/>
      <c r="AA19" s="33"/>
      <c r="AB19" s="32"/>
      <c r="AC19" s="32"/>
      <c r="AD19" s="32"/>
      <c r="AE19" s="33"/>
      <c r="AF19" s="32"/>
      <c r="AG19" s="32"/>
      <c r="AH19" s="32"/>
      <c r="AI19" s="33"/>
      <c r="AJ19" s="32"/>
      <c r="AK19" s="32"/>
      <c r="AL19" s="32"/>
      <c r="AM19" s="33"/>
      <c r="AN19" s="32"/>
      <c r="AO19" s="32"/>
      <c r="AP19" s="32"/>
      <c r="AQ19" s="32"/>
      <c r="AR19" s="32"/>
      <c r="AS19" s="32"/>
      <c r="AT19" s="32"/>
      <c r="AU19" s="32" t="s">
        <v>655</v>
      </c>
      <c r="AV19" s="33">
        <v>45212</v>
      </c>
      <c r="AW19" s="32" t="s">
        <v>212</v>
      </c>
      <c r="AX19" s="32" t="s">
        <v>4</v>
      </c>
      <c r="AY19" s="32"/>
      <c r="AZ19" s="33"/>
      <c r="BA19" s="32"/>
      <c r="BB19" s="35"/>
    </row>
    <row r="20" spans="1:54" ht="51.75" x14ac:dyDescent="0.25">
      <c r="A20" s="32">
        <v>1057200841</v>
      </c>
      <c r="B20" s="32" t="s">
        <v>776</v>
      </c>
      <c r="C20" s="32" t="s">
        <v>777</v>
      </c>
      <c r="D20" s="32" t="s">
        <v>354</v>
      </c>
      <c r="E20" s="32" t="s">
        <v>158</v>
      </c>
      <c r="F20" s="32" t="s">
        <v>440</v>
      </c>
      <c r="G20" s="32">
        <v>1721</v>
      </c>
      <c r="H20" s="32" t="s">
        <v>368</v>
      </c>
      <c r="I20" s="32" t="s">
        <v>225</v>
      </c>
      <c r="J20" s="32" t="s">
        <v>375</v>
      </c>
      <c r="K20" s="32" t="s">
        <v>655</v>
      </c>
      <c r="L20" s="33">
        <v>45236</v>
      </c>
      <c r="M20" s="32" t="s">
        <v>212</v>
      </c>
      <c r="N20" s="32" t="s">
        <v>4</v>
      </c>
      <c r="O20" s="32"/>
      <c r="P20" s="33"/>
      <c r="Q20" s="32"/>
      <c r="R20" s="32"/>
      <c r="S20" s="32"/>
      <c r="T20" s="32"/>
      <c r="U20" s="32"/>
      <c r="V20" s="32"/>
      <c r="W20" s="33"/>
      <c r="X20" s="32"/>
      <c r="Y20" s="32"/>
      <c r="Z20" s="32"/>
      <c r="AA20" s="33"/>
      <c r="AB20" s="32"/>
      <c r="AC20" s="32"/>
      <c r="AD20" s="32"/>
      <c r="AE20" s="33"/>
      <c r="AF20" s="32"/>
      <c r="AG20" s="32"/>
      <c r="AH20" s="32"/>
      <c r="AI20" s="33"/>
      <c r="AJ20" s="32"/>
      <c r="AK20" s="32"/>
      <c r="AL20" s="32" t="s">
        <v>655</v>
      </c>
      <c r="AM20" s="33">
        <v>45225</v>
      </c>
      <c r="AN20" s="32" t="s">
        <v>212</v>
      </c>
      <c r="AO20" s="32"/>
      <c r="AP20" s="32">
        <v>46</v>
      </c>
      <c r="AQ20" s="32">
        <v>3</v>
      </c>
      <c r="AR20" s="32" t="s">
        <v>685</v>
      </c>
      <c r="AS20" s="32" t="s">
        <v>684</v>
      </c>
      <c r="AT20" s="32" t="s">
        <v>168</v>
      </c>
      <c r="AU20" s="32"/>
      <c r="AV20" s="33"/>
      <c r="AW20" s="32"/>
      <c r="AX20" s="32"/>
      <c r="AY20" s="32" t="s">
        <v>655</v>
      </c>
      <c r="AZ20" s="33">
        <v>45237</v>
      </c>
      <c r="BA20" s="32" t="s">
        <v>212</v>
      </c>
      <c r="BB20" s="35" t="s">
        <v>4</v>
      </c>
    </row>
    <row r="21" spans="1:54" ht="51.75" x14ac:dyDescent="0.25">
      <c r="A21" s="32">
        <v>1605838371</v>
      </c>
      <c r="B21" s="32" t="s">
        <v>778</v>
      </c>
      <c r="C21" s="32" t="s">
        <v>779</v>
      </c>
      <c r="D21" s="32" t="s">
        <v>354</v>
      </c>
      <c r="E21" s="32" t="s">
        <v>158</v>
      </c>
      <c r="F21" s="32" t="s">
        <v>440</v>
      </c>
      <c r="G21" s="32">
        <v>1721</v>
      </c>
      <c r="H21" s="32" t="s">
        <v>368</v>
      </c>
      <c r="I21" s="32" t="s">
        <v>225</v>
      </c>
      <c r="J21" s="32" t="s">
        <v>375</v>
      </c>
      <c r="K21" s="32" t="s">
        <v>655</v>
      </c>
      <c r="L21" s="33">
        <v>45231</v>
      </c>
      <c r="M21" s="32" t="s">
        <v>212</v>
      </c>
      <c r="N21" s="32" t="s">
        <v>4</v>
      </c>
      <c r="O21" s="32" t="s">
        <v>655</v>
      </c>
      <c r="P21" s="33">
        <v>45246</v>
      </c>
      <c r="Q21" s="32" t="s">
        <v>453</v>
      </c>
      <c r="R21" s="32" t="b">
        <v>0</v>
      </c>
      <c r="S21" s="32">
        <v>398</v>
      </c>
      <c r="T21" s="32" t="s">
        <v>681</v>
      </c>
      <c r="U21" s="32" t="s">
        <v>682</v>
      </c>
      <c r="V21" s="32" t="s">
        <v>655</v>
      </c>
      <c r="W21" s="33">
        <v>45245</v>
      </c>
      <c r="X21" s="32" t="s">
        <v>212</v>
      </c>
      <c r="Y21" s="32" t="s">
        <v>4</v>
      </c>
      <c r="Z21" s="32" t="s">
        <v>655</v>
      </c>
      <c r="AA21" s="33">
        <v>45231</v>
      </c>
      <c r="AB21" s="32" t="s">
        <v>212</v>
      </c>
      <c r="AC21" s="32" t="s">
        <v>4</v>
      </c>
      <c r="AD21" s="32" t="s">
        <v>655</v>
      </c>
      <c r="AE21" s="33">
        <v>45237</v>
      </c>
      <c r="AF21" s="32" t="s">
        <v>212</v>
      </c>
      <c r="AG21" s="32" t="s">
        <v>4</v>
      </c>
      <c r="AH21" s="32" t="s">
        <v>655</v>
      </c>
      <c r="AI21" s="33">
        <v>45231</v>
      </c>
      <c r="AJ21" s="32" t="s">
        <v>212</v>
      </c>
      <c r="AK21" s="32" t="s">
        <v>4</v>
      </c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655</v>
      </c>
      <c r="AV21" s="33">
        <v>45202</v>
      </c>
      <c r="AW21" s="32" t="s">
        <v>212</v>
      </c>
      <c r="AX21" s="32" t="s">
        <v>4</v>
      </c>
      <c r="AY21" s="32" t="s">
        <v>655</v>
      </c>
      <c r="AZ21" s="33">
        <v>45238</v>
      </c>
      <c r="BA21" s="32" t="s">
        <v>212</v>
      </c>
      <c r="BB21" s="35" t="s">
        <v>4</v>
      </c>
    </row>
    <row r="22" spans="1:54" ht="51.75" x14ac:dyDescent="0.25">
      <c r="A22" s="32">
        <v>1583777566</v>
      </c>
      <c r="B22" s="32" t="s">
        <v>780</v>
      </c>
      <c r="C22" s="32" t="s">
        <v>781</v>
      </c>
      <c r="D22" s="32" t="s">
        <v>354</v>
      </c>
      <c r="E22" s="32" t="s">
        <v>155</v>
      </c>
      <c r="F22" s="32" t="s">
        <v>440</v>
      </c>
      <c r="G22" s="32">
        <v>1721</v>
      </c>
      <c r="H22" s="32" t="s">
        <v>368</v>
      </c>
      <c r="I22" s="32" t="s">
        <v>225</v>
      </c>
      <c r="J22" s="32" t="s">
        <v>375</v>
      </c>
      <c r="K22" s="32"/>
      <c r="L22" s="32"/>
      <c r="M22" s="32"/>
      <c r="N22" s="32"/>
      <c r="O22" s="32"/>
      <c r="P22" s="33"/>
      <c r="Q22" s="32"/>
      <c r="R22" s="32"/>
      <c r="S22" s="32"/>
      <c r="T22" s="32"/>
      <c r="U22" s="32"/>
      <c r="V22" s="32"/>
      <c r="W22" s="33"/>
      <c r="X22" s="32"/>
      <c r="Y22" s="32"/>
      <c r="Z22" s="32"/>
      <c r="AA22" s="32"/>
      <c r="AB22" s="32"/>
      <c r="AC22" s="32"/>
      <c r="AD22" s="32"/>
      <c r="AE22" s="33"/>
      <c r="AF22" s="32"/>
      <c r="AG22" s="32"/>
      <c r="AH22" s="32"/>
      <c r="AI22" s="33"/>
      <c r="AJ22" s="32"/>
      <c r="AK22" s="32"/>
      <c r="AL22" s="32"/>
      <c r="AM22" s="33"/>
      <c r="AN22" s="32"/>
      <c r="AO22" s="32"/>
      <c r="AP22" s="32"/>
      <c r="AQ22" s="32"/>
      <c r="AR22" s="32"/>
      <c r="AS22" s="32"/>
      <c r="AT22" s="32"/>
      <c r="AU22" s="32" t="s">
        <v>655</v>
      </c>
      <c r="AV22" s="33">
        <v>45244</v>
      </c>
      <c r="AW22" s="32" t="s">
        <v>212</v>
      </c>
      <c r="AX22" s="32" t="s">
        <v>4</v>
      </c>
      <c r="AY22" s="32"/>
      <c r="AZ22" s="33"/>
      <c r="BA22" s="32"/>
      <c r="BB22" s="35"/>
    </row>
    <row r="23" spans="1:54" ht="51.75" x14ac:dyDescent="0.25">
      <c r="A23" s="32">
        <v>1309210629</v>
      </c>
      <c r="B23" s="32" t="s">
        <v>782</v>
      </c>
      <c r="C23" s="32" t="s">
        <v>783</v>
      </c>
      <c r="D23" s="32" t="s">
        <v>354</v>
      </c>
      <c r="E23" s="32" t="s">
        <v>155</v>
      </c>
      <c r="F23" s="32" t="s">
        <v>440</v>
      </c>
      <c r="G23" s="32">
        <v>1721</v>
      </c>
      <c r="H23" s="32" t="s">
        <v>368</v>
      </c>
      <c r="I23" s="32" t="s">
        <v>225</v>
      </c>
      <c r="J23" s="32" t="s">
        <v>375</v>
      </c>
      <c r="K23" s="32"/>
      <c r="L23" s="33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2"/>
      <c r="Y23" s="32"/>
      <c r="Z23" s="32"/>
      <c r="AA23" s="32"/>
      <c r="AB23" s="32"/>
      <c r="AC23" s="32"/>
      <c r="AD23" s="32"/>
      <c r="AE23" s="33"/>
      <c r="AF23" s="32"/>
      <c r="AG23" s="32"/>
      <c r="AH23" s="32"/>
      <c r="AI23" s="32"/>
      <c r="AJ23" s="32"/>
      <c r="AK23" s="32"/>
      <c r="AL23" s="32"/>
      <c r="AM23" s="33"/>
      <c r="AN23" s="32"/>
      <c r="AO23" s="32"/>
      <c r="AP23" s="32"/>
      <c r="AQ23" s="32"/>
      <c r="AR23" s="32"/>
      <c r="AS23" s="32"/>
      <c r="AT23" s="32"/>
      <c r="AU23" s="32" t="s">
        <v>655</v>
      </c>
      <c r="AV23" s="33">
        <v>45208</v>
      </c>
      <c r="AW23" s="32" t="s">
        <v>212</v>
      </c>
      <c r="AX23" s="32" t="s">
        <v>4</v>
      </c>
      <c r="AY23" s="32"/>
      <c r="AZ23" s="33"/>
      <c r="BA23" s="32"/>
      <c r="BB23" s="35"/>
    </row>
    <row r="24" spans="1:54" ht="51.75" x14ac:dyDescent="0.25">
      <c r="A24" s="32">
        <v>1068605275</v>
      </c>
      <c r="B24" s="32" t="s">
        <v>784</v>
      </c>
      <c r="C24" s="32" t="s">
        <v>785</v>
      </c>
      <c r="D24" s="32" t="s">
        <v>354</v>
      </c>
      <c r="E24" s="32" t="s">
        <v>155</v>
      </c>
      <c r="F24" s="32" t="s">
        <v>440</v>
      </c>
      <c r="G24" s="32">
        <v>1700</v>
      </c>
      <c r="H24" s="32" t="s">
        <v>368</v>
      </c>
      <c r="I24" s="32" t="s">
        <v>225</v>
      </c>
      <c r="J24" s="32" t="s">
        <v>375</v>
      </c>
      <c r="K24" s="32"/>
      <c r="L24" s="33"/>
      <c r="M24" s="32"/>
      <c r="N24" s="32"/>
      <c r="O24" s="32"/>
      <c r="P24" s="33"/>
      <c r="Q24" s="32"/>
      <c r="R24" s="32"/>
      <c r="S24" s="32"/>
      <c r="T24" s="32"/>
      <c r="U24" s="32"/>
      <c r="V24" s="32"/>
      <c r="W24" s="33"/>
      <c r="X24" s="32"/>
      <c r="Y24" s="32"/>
      <c r="Z24" s="32"/>
      <c r="AA24" s="33"/>
      <c r="AB24" s="32"/>
      <c r="AC24" s="32"/>
      <c r="AD24" s="32"/>
      <c r="AE24" s="33"/>
      <c r="AF24" s="32"/>
      <c r="AG24" s="32"/>
      <c r="AH24" s="32"/>
      <c r="AI24" s="33"/>
      <c r="AJ24" s="32"/>
      <c r="AK24" s="32"/>
      <c r="AL24" s="32" t="s">
        <v>655</v>
      </c>
      <c r="AM24" s="33">
        <v>45204</v>
      </c>
      <c r="AN24" s="32" t="s">
        <v>212</v>
      </c>
      <c r="AO24" s="32"/>
      <c r="AP24" s="32">
        <v>44</v>
      </c>
      <c r="AQ24" s="32">
        <v>3</v>
      </c>
      <c r="AR24" s="32" t="s">
        <v>688</v>
      </c>
      <c r="AS24" s="32" t="s">
        <v>684</v>
      </c>
      <c r="AT24" s="32" t="s">
        <v>168</v>
      </c>
      <c r="AU24" s="32" t="s">
        <v>655</v>
      </c>
      <c r="AV24" s="33">
        <v>45209</v>
      </c>
      <c r="AW24" s="32" t="s">
        <v>212</v>
      </c>
      <c r="AX24" s="32" t="s">
        <v>4</v>
      </c>
      <c r="AY24" s="32" t="s">
        <v>655</v>
      </c>
      <c r="AZ24" s="33">
        <v>45209</v>
      </c>
      <c r="BA24" s="32" t="s">
        <v>212</v>
      </c>
      <c r="BB24" s="35" t="s">
        <v>4</v>
      </c>
    </row>
    <row r="25" spans="1:54" ht="51.75" x14ac:dyDescent="0.25">
      <c r="A25" s="32">
        <v>1504022008</v>
      </c>
      <c r="B25" s="32" t="s">
        <v>786</v>
      </c>
      <c r="C25" s="32" t="s">
        <v>787</v>
      </c>
      <c r="D25" s="32" t="s">
        <v>354</v>
      </c>
      <c r="E25" s="32" t="s">
        <v>151</v>
      </c>
      <c r="F25" s="32" t="s">
        <v>440</v>
      </c>
      <c r="G25" s="32">
        <v>1721</v>
      </c>
      <c r="H25" s="32" t="s">
        <v>368</v>
      </c>
      <c r="I25" s="32" t="s">
        <v>225</v>
      </c>
      <c r="J25" s="32" t="s">
        <v>375</v>
      </c>
      <c r="K25" s="32" t="s">
        <v>655</v>
      </c>
      <c r="L25" s="33">
        <v>45236</v>
      </c>
      <c r="M25" s="32" t="s">
        <v>212</v>
      </c>
      <c r="N25" s="32" t="s">
        <v>4</v>
      </c>
      <c r="O25" s="32"/>
      <c r="P25" s="33"/>
      <c r="Q25" s="32"/>
      <c r="R25" s="32"/>
      <c r="S25" s="32"/>
      <c r="T25" s="32"/>
      <c r="U25" s="32"/>
      <c r="V25" s="32" t="s">
        <v>655</v>
      </c>
      <c r="W25" s="33">
        <v>45245</v>
      </c>
      <c r="X25" s="32" t="s">
        <v>212</v>
      </c>
      <c r="Y25" s="32" t="s">
        <v>4</v>
      </c>
      <c r="Z25" s="32"/>
      <c r="AA25" s="33"/>
      <c r="AB25" s="32"/>
      <c r="AC25" s="32"/>
      <c r="AD25" s="32"/>
      <c r="AE25" s="33"/>
      <c r="AF25" s="32"/>
      <c r="AG25" s="32"/>
      <c r="AH25" s="32"/>
      <c r="AI25" s="33"/>
      <c r="AJ25" s="32"/>
      <c r="AK25" s="32"/>
      <c r="AL25" s="32"/>
      <c r="AM25" s="33"/>
      <c r="AN25" s="32"/>
      <c r="AO25" s="32"/>
      <c r="AP25" s="32"/>
      <c r="AQ25" s="32"/>
      <c r="AR25" s="32"/>
      <c r="AS25" s="32"/>
      <c r="AT25" s="32"/>
      <c r="AU25" s="32"/>
      <c r="AV25" s="33"/>
      <c r="AW25" s="32"/>
      <c r="AX25" s="32"/>
      <c r="AY25" s="32" t="s">
        <v>655</v>
      </c>
      <c r="AZ25" s="33">
        <v>45237</v>
      </c>
      <c r="BA25" s="32" t="s">
        <v>212</v>
      </c>
      <c r="BB25" s="35" t="s">
        <v>4</v>
      </c>
    </row>
    <row r="26" spans="1:54" ht="51.75" x14ac:dyDescent="0.25">
      <c r="A26" s="32">
        <v>1306349386</v>
      </c>
      <c r="B26" s="32" t="s">
        <v>788</v>
      </c>
      <c r="C26" s="32" t="s">
        <v>789</v>
      </c>
      <c r="D26" s="32" t="s">
        <v>354</v>
      </c>
      <c r="E26" s="32" t="s">
        <v>151</v>
      </c>
      <c r="F26" s="32" t="s">
        <v>440</v>
      </c>
      <c r="G26" s="32">
        <v>1721</v>
      </c>
      <c r="H26" s="32" t="s">
        <v>368</v>
      </c>
      <c r="I26" s="32" t="s">
        <v>225</v>
      </c>
      <c r="J26" s="32" t="s">
        <v>375</v>
      </c>
      <c r="K26" s="32" t="s">
        <v>655</v>
      </c>
      <c r="L26" s="33">
        <v>45231</v>
      </c>
      <c r="M26" s="32" t="s">
        <v>212</v>
      </c>
      <c r="N26" s="32" t="s">
        <v>4</v>
      </c>
      <c r="O26" s="32"/>
      <c r="P26" s="33"/>
      <c r="Q26" s="32"/>
      <c r="R26" s="32"/>
      <c r="S26" s="32"/>
      <c r="T26" s="32"/>
      <c r="U26" s="32"/>
      <c r="V26" s="32"/>
      <c r="W26" s="33"/>
      <c r="X26" s="32"/>
      <c r="Y26" s="32"/>
      <c r="Z26" s="32" t="s">
        <v>655</v>
      </c>
      <c r="AA26" s="33">
        <v>45231</v>
      </c>
      <c r="AB26" s="32" t="s">
        <v>212</v>
      </c>
      <c r="AC26" s="32" t="s">
        <v>4</v>
      </c>
      <c r="AD26" s="32" t="s">
        <v>655</v>
      </c>
      <c r="AE26" s="33">
        <v>45237</v>
      </c>
      <c r="AF26" s="32" t="s">
        <v>212</v>
      </c>
      <c r="AG26" s="32" t="s">
        <v>4</v>
      </c>
      <c r="AH26" s="32" t="s">
        <v>655</v>
      </c>
      <c r="AI26" s="33">
        <v>45231</v>
      </c>
      <c r="AJ26" s="32" t="s">
        <v>212</v>
      </c>
      <c r="AK26" s="32" t="s">
        <v>4</v>
      </c>
      <c r="AL26" s="32"/>
      <c r="AM26" s="33"/>
      <c r="AN26" s="32"/>
      <c r="AO26" s="32"/>
      <c r="AP26" s="32"/>
      <c r="AQ26" s="32"/>
      <c r="AR26" s="32"/>
      <c r="AS26" s="32"/>
      <c r="AT26" s="32"/>
      <c r="AU26" s="32"/>
      <c r="AV26" s="33"/>
      <c r="AW26" s="32"/>
      <c r="AX26" s="32"/>
      <c r="AY26" s="32"/>
      <c r="AZ26" s="33"/>
      <c r="BA26" s="32"/>
      <c r="BB26" s="35"/>
    </row>
    <row r="27" spans="1:54" ht="51.75" x14ac:dyDescent="0.25">
      <c r="A27" s="32">
        <v>1320652076</v>
      </c>
      <c r="B27" s="32" t="s">
        <v>790</v>
      </c>
      <c r="C27" s="32" t="s">
        <v>791</v>
      </c>
      <c r="D27" s="32" t="s">
        <v>354</v>
      </c>
      <c r="E27" s="32" t="s">
        <v>151</v>
      </c>
      <c r="F27" s="32" t="s">
        <v>440</v>
      </c>
      <c r="G27" s="32">
        <v>1721</v>
      </c>
      <c r="H27" s="32" t="s">
        <v>368</v>
      </c>
      <c r="I27" s="32" t="s">
        <v>225</v>
      </c>
      <c r="J27" s="32" t="s">
        <v>375</v>
      </c>
      <c r="K27" s="32" t="s">
        <v>655</v>
      </c>
      <c r="L27" s="33">
        <v>45236</v>
      </c>
      <c r="M27" s="32" t="s">
        <v>212</v>
      </c>
      <c r="N27" s="32" t="s">
        <v>4</v>
      </c>
      <c r="O27" s="32"/>
      <c r="P27" s="33"/>
      <c r="Q27" s="32"/>
      <c r="R27" s="32"/>
      <c r="S27" s="32"/>
      <c r="T27" s="32"/>
      <c r="U27" s="32"/>
      <c r="V27" s="32"/>
      <c r="W27" s="33"/>
      <c r="X27" s="32"/>
      <c r="Y27" s="32"/>
      <c r="Z27" s="32"/>
      <c r="AA27" s="33"/>
      <c r="AB27" s="32"/>
      <c r="AC27" s="32"/>
      <c r="AD27" s="32"/>
      <c r="AE27" s="33"/>
      <c r="AF27" s="32"/>
      <c r="AG27" s="32"/>
      <c r="AH27" s="32"/>
      <c r="AI27" s="33"/>
      <c r="AJ27" s="32"/>
      <c r="AK27" s="32"/>
      <c r="AL27" s="32"/>
      <c r="AM27" s="33"/>
      <c r="AN27" s="32"/>
      <c r="AO27" s="32"/>
      <c r="AP27" s="32"/>
      <c r="AQ27" s="32"/>
      <c r="AR27" s="32"/>
      <c r="AS27" s="32"/>
      <c r="AT27" s="32"/>
      <c r="AU27" s="32" t="s">
        <v>655</v>
      </c>
      <c r="AV27" s="33">
        <v>45203</v>
      </c>
      <c r="AW27" s="32" t="s">
        <v>212</v>
      </c>
      <c r="AX27" s="32" t="s">
        <v>4</v>
      </c>
      <c r="AY27" s="32" t="s">
        <v>655</v>
      </c>
      <c r="AZ27" s="33">
        <v>45236</v>
      </c>
      <c r="BA27" s="32" t="s">
        <v>212</v>
      </c>
      <c r="BB27" s="35" t="s">
        <v>4</v>
      </c>
    </row>
    <row r="28" spans="1:54" ht="51.75" x14ac:dyDescent="0.25">
      <c r="A28" s="32">
        <v>1478966980</v>
      </c>
      <c r="B28" s="32" t="s">
        <v>792</v>
      </c>
      <c r="C28" s="32" t="s">
        <v>793</v>
      </c>
      <c r="D28" s="32" t="s">
        <v>354</v>
      </c>
      <c r="E28" s="32" t="s">
        <v>151</v>
      </c>
      <c r="F28" s="32" t="s">
        <v>440</v>
      </c>
      <c r="G28" s="32">
        <v>1721</v>
      </c>
      <c r="H28" s="32" t="s">
        <v>368</v>
      </c>
      <c r="I28" s="32" t="s">
        <v>225</v>
      </c>
      <c r="J28" s="32" t="s">
        <v>375</v>
      </c>
      <c r="K28" s="32" t="s">
        <v>655</v>
      </c>
      <c r="L28" s="33">
        <v>45231</v>
      </c>
      <c r="M28" s="32" t="s">
        <v>212</v>
      </c>
      <c r="N28" s="32" t="s">
        <v>4</v>
      </c>
      <c r="O28" s="32"/>
      <c r="P28" s="33"/>
      <c r="Q28" s="32"/>
      <c r="R28" s="32"/>
      <c r="S28" s="32"/>
      <c r="T28" s="32"/>
      <c r="U28" s="32"/>
      <c r="V28" s="32"/>
      <c r="W28" s="33"/>
      <c r="X28" s="32"/>
      <c r="Y28" s="32"/>
      <c r="Z28" s="32" t="s">
        <v>655</v>
      </c>
      <c r="AA28" s="33">
        <v>45236</v>
      </c>
      <c r="AB28" s="32" t="s">
        <v>212</v>
      </c>
      <c r="AC28" s="32" t="s">
        <v>4</v>
      </c>
      <c r="AD28" s="32"/>
      <c r="AE28" s="33"/>
      <c r="AF28" s="32"/>
      <c r="AG28" s="32"/>
      <c r="AH28" s="32" t="s">
        <v>655</v>
      </c>
      <c r="AI28" s="33">
        <v>45231</v>
      </c>
      <c r="AJ28" s="32" t="s">
        <v>212</v>
      </c>
      <c r="AK28" s="32" t="s">
        <v>4</v>
      </c>
      <c r="AL28" s="32"/>
      <c r="AM28" s="33"/>
      <c r="AN28" s="32"/>
      <c r="AO28" s="32"/>
      <c r="AP28" s="32"/>
      <c r="AQ28" s="32"/>
      <c r="AR28" s="32"/>
      <c r="AS28" s="32"/>
      <c r="AT28" s="32"/>
      <c r="AU28" s="32" t="s">
        <v>655</v>
      </c>
      <c r="AV28" s="33">
        <v>45229</v>
      </c>
      <c r="AW28" s="32" t="s">
        <v>212</v>
      </c>
      <c r="AX28" s="32" t="s">
        <v>4</v>
      </c>
      <c r="AY28" s="32" t="s">
        <v>655</v>
      </c>
      <c r="AZ28" s="33">
        <v>45238</v>
      </c>
      <c r="BA28" s="32" t="s">
        <v>212</v>
      </c>
      <c r="BB28" s="35" t="s">
        <v>4</v>
      </c>
    </row>
    <row r="29" spans="1:54" ht="51.75" x14ac:dyDescent="0.25">
      <c r="A29" s="32">
        <v>1308481514</v>
      </c>
      <c r="B29" s="32" t="s">
        <v>794</v>
      </c>
      <c r="C29" s="32" t="s">
        <v>795</v>
      </c>
      <c r="D29" s="32" t="s">
        <v>354</v>
      </c>
      <c r="E29" s="32" t="s">
        <v>151</v>
      </c>
      <c r="F29" s="32" t="s">
        <v>440</v>
      </c>
      <c r="G29" s="32">
        <v>1721</v>
      </c>
      <c r="H29" s="32" t="s">
        <v>368</v>
      </c>
      <c r="I29" s="32" t="s">
        <v>225</v>
      </c>
      <c r="J29" s="32" t="s">
        <v>375</v>
      </c>
      <c r="K29" s="32" t="s">
        <v>655</v>
      </c>
      <c r="L29" s="33">
        <v>45231</v>
      </c>
      <c r="M29" s="32" t="s">
        <v>212</v>
      </c>
      <c r="N29" s="32" t="s">
        <v>4</v>
      </c>
      <c r="O29" s="32"/>
      <c r="P29" s="33"/>
      <c r="Q29" s="32"/>
      <c r="R29" s="32"/>
      <c r="S29" s="32"/>
      <c r="T29" s="32"/>
      <c r="U29" s="32"/>
      <c r="V29" s="32"/>
      <c r="W29" s="33"/>
      <c r="X29" s="32"/>
      <c r="Y29" s="32"/>
      <c r="Z29" s="32" t="s">
        <v>655</v>
      </c>
      <c r="AA29" s="33">
        <v>45231</v>
      </c>
      <c r="AB29" s="32" t="s">
        <v>212</v>
      </c>
      <c r="AC29" s="32" t="s">
        <v>4</v>
      </c>
      <c r="AD29" s="32" t="s">
        <v>655</v>
      </c>
      <c r="AE29" s="33">
        <v>45237</v>
      </c>
      <c r="AF29" s="32" t="s">
        <v>212</v>
      </c>
      <c r="AG29" s="32" t="s">
        <v>4</v>
      </c>
      <c r="AH29" s="32" t="s">
        <v>655</v>
      </c>
      <c r="AI29" s="33">
        <v>45231</v>
      </c>
      <c r="AJ29" s="32" t="s">
        <v>212</v>
      </c>
      <c r="AK29" s="32" t="s">
        <v>4</v>
      </c>
      <c r="AL29" s="32"/>
      <c r="AM29" s="33"/>
      <c r="AN29" s="32"/>
      <c r="AO29" s="32"/>
      <c r="AP29" s="32"/>
      <c r="AQ29" s="32"/>
      <c r="AR29" s="32"/>
      <c r="AS29" s="32"/>
      <c r="AT29" s="32"/>
      <c r="AU29" s="32" t="s">
        <v>655</v>
      </c>
      <c r="AV29" s="33">
        <v>45299</v>
      </c>
      <c r="AW29" s="32" t="s">
        <v>212</v>
      </c>
      <c r="AX29" s="32" t="s">
        <v>4</v>
      </c>
      <c r="AY29" s="32"/>
      <c r="AZ29" s="33"/>
      <c r="BA29" s="32"/>
      <c r="BB29" s="35"/>
    </row>
    <row r="30" spans="1:54" ht="51.75" x14ac:dyDescent="0.25">
      <c r="A30" s="32">
        <v>1511922179</v>
      </c>
      <c r="B30" s="32" t="s">
        <v>796</v>
      </c>
      <c r="C30" s="32" t="s">
        <v>797</v>
      </c>
      <c r="D30" s="32" t="s">
        <v>354</v>
      </c>
      <c r="E30" s="32" t="s">
        <v>151</v>
      </c>
      <c r="F30" s="32" t="s">
        <v>440</v>
      </c>
      <c r="G30" s="32">
        <v>1721</v>
      </c>
      <c r="H30" s="32" t="s">
        <v>368</v>
      </c>
      <c r="I30" s="32" t="s">
        <v>225</v>
      </c>
      <c r="J30" s="32" t="s">
        <v>375</v>
      </c>
      <c r="K30" s="32" t="s">
        <v>655</v>
      </c>
      <c r="L30" s="33">
        <v>45231</v>
      </c>
      <c r="M30" s="32" t="s">
        <v>212</v>
      </c>
      <c r="N30" s="32" t="s">
        <v>4</v>
      </c>
      <c r="O30" s="32"/>
      <c r="P30" s="33"/>
      <c r="Q30" s="32"/>
      <c r="R30" s="32"/>
      <c r="S30" s="32"/>
      <c r="T30" s="32"/>
      <c r="U30" s="32"/>
      <c r="V30" s="32" t="s">
        <v>655</v>
      </c>
      <c r="W30" s="33">
        <v>45273</v>
      </c>
      <c r="X30" s="32" t="s">
        <v>212</v>
      </c>
      <c r="Y30" s="32" t="s">
        <v>4</v>
      </c>
      <c r="Z30" s="32" t="s">
        <v>655</v>
      </c>
      <c r="AA30" s="33">
        <v>45231</v>
      </c>
      <c r="AB30" s="32" t="s">
        <v>212</v>
      </c>
      <c r="AC30" s="32" t="s">
        <v>4</v>
      </c>
      <c r="AD30" s="32" t="s">
        <v>655</v>
      </c>
      <c r="AE30" s="33">
        <v>45237</v>
      </c>
      <c r="AF30" s="32" t="s">
        <v>212</v>
      </c>
      <c r="AG30" s="32" t="s">
        <v>4</v>
      </c>
      <c r="AH30" s="32" t="s">
        <v>655</v>
      </c>
      <c r="AI30" s="33">
        <v>45231</v>
      </c>
      <c r="AJ30" s="32" t="s">
        <v>212</v>
      </c>
      <c r="AK30" s="32" t="s">
        <v>4</v>
      </c>
      <c r="AL30" s="32" t="s">
        <v>655</v>
      </c>
      <c r="AM30" s="33">
        <v>45225</v>
      </c>
      <c r="AN30" s="32" t="s">
        <v>212</v>
      </c>
      <c r="AO30" s="32"/>
      <c r="AP30" s="32">
        <v>39</v>
      </c>
      <c r="AQ30" s="32">
        <v>3</v>
      </c>
      <c r="AR30" s="32" t="s">
        <v>689</v>
      </c>
      <c r="AS30" s="32" t="s">
        <v>687</v>
      </c>
      <c r="AT30" s="32" t="s">
        <v>168</v>
      </c>
      <c r="AU30" s="32" t="s">
        <v>655</v>
      </c>
      <c r="AV30" s="33">
        <v>45221</v>
      </c>
      <c r="AW30" s="32" t="s">
        <v>212</v>
      </c>
      <c r="AX30" s="32" t="s">
        <v>4</v>
      </c>
      <c r="AY30" s="32"/>
      <c r="AZ30" s="33"/>
      <c r="BA30" s="32"/>
      <c r="BB30" s="35"/>
    </row>
    <row r="31" spans="1:54" ht="51.75" x14ac:dyDescent="0.25">
      <c r="A31" s="32">
        <v>1363966758</v>
      </c>
      <c r="B31" s="32" t="s">
        <v>798</v>
      </c>
      <c r="C31" s="32" t="s">
        <v>799</v>
      </c>
      <c r="D31" s="32" t="s">
        <v>354</v>
      </c>
      <c r="E31" s="32" t="s">
        <v>151</v>
      </c>
      <c r="F31" s="32" t="s">
        <v>440</v>
      </c>
      <c r="G31" s="32">
        <v>1721</v>
      </c>
      <c r="H31" s="32" t="s">
        <v>368</v>
      </c>
      <c r="I31" s="32" t="s">
        <v>225</v>
      </c>
      <c r="J31" s="32" t="s">
        <v>375</v>
      </c>
      <c r="K31" s="32"/>
      <c r="L31" s="33"/>
      <c r="M31" s="32"/>
      <c r="N31" s="32"/>
      <c r="O31" s="32"/>
      <c r="P31" s="33"/>
      <c r="Q31" s="32"/>
      <c r="R31" s="32"/>
      <c r="S31" s="32"/>
      <c r="T31" s="32"/>
      <c r="U31" s="32"/>
      <c r="V31" s="32" t="s">
        <v>655</v>
      </c>
      <c r="W31" s="33">
        <v>45273</v>
      </c>
      <c r="X31" s="32" t="s">
        <v>212</v>
      </c>
      <c r="Y31" s="32" t="s">
        <v>4</v>
      </c>
      <c r="Z31" s="32"/>
      <c r="AA31" s="33"/>
      <c r="AB31" s="32"/>
      <c r="AC31" s="32"/>
      <c r="AD31" s="32"/>
      <c r="AE31" s="33"/>
      <c r="AF31" s="32"/>
      <c r="AG31" s="32"/>
      <c r="AH31" s="32"/>
      <c r="AI31" s="33"/>
      <c r="AJ31" s="32"/>
      <c r="AK31" s="32"/>
      <c r="AL31" s="32"/>
      <c r="AM31" s="33"/>
      <c r="AN31" s="32"/>
      <c r="AO31" s="32"/>
      <c r="AP31" s="32"/>
      <c r="AQ31" s="32"/>
      <c r="AR31" s="32"/>
      <c r="AS31" s="32"/>
      <c r="AT31" s="32"/>
      <c r="AU31" s="32" t="s">
        <v>655</v>
      </c>
      <c r="AV31" s="33">
        <v>45258</v>
      </c>
      <c r="AW31" s="32" t="s">
        <v>212</v>
      </c>
      <c r="AX31" s="32" t="s">
        <v>4</v>
      </c>
      <c r="AY31" s="32"/>
      <c r="AZ31" s="33"/>
      <c r="BA31" s="32"/>
      <c r="BB31" s="35"/>
    </row>
    <row r="32" spans="1:54" ht="51.75" x14ac:dyDescent="0.25">
      <c r="A32" s="32">
        <v>1212075255</v>
      </c>
      <c r="B32" s="32" t="s">
        <v>800</v>
      </c>
      <c r="C32" s="32" t="s">
        <v>801</v>
      </c>
      <c r="D32" s="32" t="s">
        <v>354</v>
      </c>
      <c r="E32" s="32" t="s">
        <v>147</v>
      </c>
      <c r="F32" s="32" t="s">
        <v>440</v>
      </c>
      <c r="G32" s="32">
        <v>1721</v>
      </c>
      <c r="H32" s="32" t="s">
        <v>368</v>
      </c>
      <c r="I32" s="32" t="s">
        <v>225</v>
      </c>
      <c r="J32" s="32" t="s">
        <v>375</v>
      </c>
      <c r="K32" s="32"/>
      <c r="L32" s="33"/>
      <c r="M32" s="32"/>
      <c r="N32" s="32"/>
      <c r="O32" s="32"/>
      <c r="P32" s="33"/>
      <c r="Q32" s="32"/>
      <c r="R32" s="32"/>
      <c r="S32" s="32"/>
      <c r="T32" s="32"/>
      <c r="U32" s="32"/>
      <c r="V32" s="32" t="s">
        <v>655</v>
      </c>
      <c r="W32" s="33">
        <v>45245</v>
      </c>
      <c r="X32" s="32" t="s">
        <v>212</v>
      </c>
      <c r="Y32" s="32" t="s">
        <v>4</v>
      </c>
      <c r="Z32" s="32"/>
      <c r="AA32" s="33"/>
      <c r="AB32" s="32"/>
      <c r="AC32" s="32"/>
      <c r="AD32" s="32"/>
      <c r="AE32" s="33"/>
      <c r="AF32" s="32"/>
      <c r="AG32" s="32"/>
      <c r="AH32" s="32"/>
      <c r="AI32" s="33"/>
      <c r="AJ32" s="32"/>
      <c r="AK32" s="32"/>
      <c r="AL32" s="32"/>
      <c r="AM32" s="33"/>
      <c r="AN32" s="32"/>
      <c r="AO32" s="32"/>
      <c r="AP32" s="32"/>
      <c r="AQ32" s="32"/>
      <c r="AR32" s="32"/>
      <c r="AS32" s="32"/>
      <c r="AT32" s="32"/>
      <c r="AU32" s="32" t="s">
        <v>655</v>
      </c>
      <c r="AV32" s="33">
        <v>45230</v>
      </c>
      <c r="AW32" s="32" t="s">
        <v>212</v>
      </c>
      <c r="AX32" s="32" t="s">
        <v>4</v>
      </c>
      <c r="AY32" s="32" t="s">
        <v>655</v>
      </c>
      <c r="AZ32" s="33">
        <v>45236</v>
      </c>
      <c r="BA32" s="32" t="s">
        <v>212</v>
      </c>
      <c r="BB32" s="35" t="s">
        <v>4</v>
      </c>
    </row>
    <row r="33" spans="1:54" ht="39" x14ac:dyDescent="0.25">
      <c r="A33" s="32">
        <v>1039148847</v>
      </c>
      <c r="B33" s="32" t="s">
        <v>802</v>
      </c>
      <c r="C33" s="32" t="s">
        <v>803</v>
      </c>
      <c r="D33" s="32" t="s">
        <v>354</v>
      </c>
      <c r="E33" s="32" t="s">
        <v>170</v>
      </c>
      <c r="F33" s="32" t="s">
        <v>440</v>
      </c>
      <c r="G33" s="32">
        <v>1702</v>
      </c>
      <c r="H33" s="32" t="s">
        <v>368</v>
      </c>
      <c r="I33" s="32" t="s">
        <v>211</v>
      </c>
      <c r="J33" s="32" t="s">
        <v>360</v>
      </c>
      <c r="K33" s="32"/>
      <c r="L33" s="33"/>
      <c r="M33" s="32"/>
      <c r="N33" s="32"/>
      <c r="O33" s="32"/>
      <c r="P33" s="33"/>
      <c r="Q33" s="32"/>
      <c r="R33" s="32"/>
      <c r="S33" s="32"/>
      <c r="T33" s="32"/>
      <c r="U33" s="32"/>
      <c r="V33" s="32"/>
      <c r="W33" s="33"/>
      <c r="X33" s="32"/>
      <c r="Y33" s="32"/>
      <c r="Z33" s="32"/>
      <c r="AA33" s="33"/>
      <c r="AB33" s="32"/>
      <c r="AC33" s="32"/>
      <c r="AD33" s="32" t="s">
        <v>655</v>
      </c>
      <c r="AE33" s="33">
        <v>45258</v>
      </c>
      <c r="AF33" s="32" t="s">
        <v>212</v>
      </c>
      <c r="AG33" s="32" t="s">
        <v>4</v>
      </c>
      <c r="AH33" s="32"/>
      <c r="AI33" s="33"/>
      <c r="AJ33" s="32"/>
      <c r="AK33" s="32"/>
      <c r="AL33" s="32"/>
      <c r="AM33" s="33"/>
      <c r="AN33" s="32"/>
      <c r="AO33" s="32"/>
      <c r="AP33" s="32"/>
      <c r="AQ33" s="32"/>
      <c r="AR33" s="32"/>
      <c r="AS33" s="32"/>
      <c r="AT33" s="32"/>
      <c r="AU33" s="32" t="s">
        <v>655</v>
      </c>
      <c r="AV33" s="33">
        <v>45232</v>
      </c>
      <c r="AW33" s="32" t="s">
        <v>212</v>
      </c>
      <c r="AX33" s="32" t="s">
        <v>4</v>
      </c>
      <c r="AY33" s="32"/>
      <c r="AZ33" s="33"/>
      <c r="BA33" s="32"/>
      <c r="BB33" s="35"/>
    </row>
    <row r="34" spans="1:54" ht="51.75" x14ac:dyDescent="0.25">
      <c r="A34" s="32">
        <v>1282303798</v>
      </c>
      <c r="B34" s="32" t="s">
        <v>804</v>
      </c>
      <c r="C34" s="32" t="s">
        <v>805</v>
      </c>
      <c r="D34" s="32" t="s">
        <v>354</v>
      </c>
      <c r="E34" s="32" t="s">
        <v>161</v>
      </c>
      <c r="F34" s="32" t="s">
        <v>440</v>
      </c>
      <c r="G34" s="32">
        <v>1721</v>
      </c>
      <c r="H34" s="32" t="s">
        <v>414</v>
      </c>
      <c r="I34" s="32" t="s">
        <v>211</v>
      </c>
      <c r="J34" s="32" t="s">
        <v>375</v>
      </c>
      <c r="K34" s="32" t="s">
        <v>655</v>
      </c>
      <c r="L34" s="33">
        <v>45231</v>
      </c>
      <c r="M34" s="32" t="s">
        <v>212</v>
      </c>
      <c r="N34" s="32" t="s">
        <v>4</v>
      </c>
      <c r="O34" s="32"/>
      <c r="P34" s="33"/>
      <c r="Q34" s="32"/>
      <c r="R34" s="32"/>
      <c r="S34" s="32"/>
      <c r="T34" s="32"/>
      <c r="U34" s="32"/>
      <c r="V34" s="32"/>
      <c r="W34" s="33"/>
      <c r="X34" s="32"/>
      <c r="Y34" s="32"/>
      <c r="Z34" s="32" t="s">
        <v>655</v>
      </c>
      <c r="AA34" s="33">
        <v>45231</v>
      </c>
      <c r="AB34" s="32" t="s">
        <v>212</v>
      </c>
      <c r="AC34" s="32" t="s">
        <v>4</v>
      </c>
      <c r="AD34" s="32" t="s">
        <v>655</v>
      </c>
      <c r="AE34" s="33">
        <v>45237</v>
      </c>
      <c r="AF34" s="32" t="s">
        <v>212</v>
      </c>
      <c r="AG34" s="32" t="s">
        <v>4</v>
      </c>
      <c r="AH34" s="32" t="s">
        <v>655</v>
      </c>
      <c r="AI34" s="33">
        <v>45231</v>
      </c>
      <c r="AJ34" s="32" t="s">
        <v>212</v>
      </c>
      <c r="AK34" s="32" t="s">
        <v>4</v>
      </c>
      <c r="AL34" s="32"/>
      <c r="AM34" s="33"/>
      <c r="AN34" s="32"/>
      <c r="AO34" s="32"/>
      <c r="AP34" s="32"/>
      <c r="AQ34" s="32"/>
      <c r="AR34" s="32"/>
      <c r="AS34" s="32"/>
      <c r="AT34" s="32"/>
      <c r="AU34" s="32" t="s">
        <v>655</v>
      </c>
      <c r="AV34" s="33">
        <v>45201</v>
      </c>
      <c r="AW34" s="32" t="s">
        <v>212</v>
      </c>
      <c r="AX34" s="32" t="s">
        <v>4</v>
      </c>
      <c r="AY34" s="32" t="s">
        <v>655</v>
      </c>
      <c r="AZ34" s="33">
        <v>45201</v>
      </c>
      <c r="BA34" s="32" t="s">
        <v>212</v>
      </c>
      <c r="BB34" s="35" t="s">
        <v>4</v>
      </c>
    </row>
    <row r="35" spans="1:54" ht="51.75" x14ac:dyDescent="0.25">
      <c r="A35" s="32">
        <v>1456272150</v>
      </c>
      <c r="B35" s="32" t="s">
        <v>806</v>
      </c>
      <c r="C35" s="32" t="s">
        <v>807</v>
      </c>
      <c r="D35" s="32" t="s">
        <v>354</v>
      </c>
      <c r="E35" s="32" t="s">
        <v>158</v>
      </c>
      <c r="F35" s="32" t="s">
        <v>440</v>
      </c>
      <c r="G35" s="32">
        <v>1721</v>
      </c>
      <c r="H35" s="32" t="s">
        <v>368</v>
      </c>
      <c r="I35" s="32" t="s">
        <v>211</v>
      </c>
      <c r="J35" s="32" t="s">
        <v>375</v>
      </c>
      <c r="K35" s="32" t="s">
        <v>655</v>
      </c>
      <c r="L35" s="33">
        <v>45236</v>
      </c>
      <c r="M35" s="32" t="s">
        <v>212</v>
      </c>
      <c r="N35" s="32" t="s">
        <v>4</v>
      </c>
      <c r="O35" s="32"/>
      <c r="P35" s="33"/>
      <c r="Q35" s="32"/>
      <c r="R35" s="32"/>
      <c r="S35" s="32"/>
      <c r="T35" s="32"/>
      <c r="U35" s="32"/>
      <c r="V35" s="32" t="s">
        <v>655</v>
      </c>
      <c r="W35" s="33">
        <v>45245</v>
      </c>
      <c r="X35" s="32" t="s">
        <v>212</v>
      </c>
      <c r="Y35" s="32" t="s">
        <v>4</v>
      </c>
      <c r="Z35" s="32"/>
      <c r="AA35" s="33"/>
      <c r="AB35" s="32"/>
      <c r="AC35" s="32"/>
      <c r="AD35" s="32"/>
      <c r="AE35" s="33"/>
      <c r="AF35" s="32"/>
      <c r="AG35" s="32"/>
      <c r="AH35" s="32"/>
      <c r="AI35" s="33"/>
      <c r="AJ35" s="32"/>
      <c r="AK35" s="32"/>
      <c r="AL35" s="32" t="s">
        <v>655</v>
      </c>
      <c r="AM35" s="33">
        <v>45233</v>
      </c>
      <c r="AN35" s="32" t="s">
        <v>212</v>
      </c>
      <c r="AO35" s="32"/>
      <c r="AP35" s="32">
        <v>44</v>
      </c>
      <c r="AQ35" s="32">
        <v>3</v>
      </c>
      <c r="AR35" s="32" t="s">
        <v>688</v>
      </c>
      <c r="AS35" s="32" t="s">
        <v>684</v>
      </c>
      <c r="AT35" s="32" t="s">
        <v>168</v>
      </c>
      <c r="AU35" s="32"/>
      <c r="AV35" s="33"/>
      <c r="AW35" s="32"/>
      <c r="AX35" s="32"/>
      <c r="AY35" s="32" t="s">
        <v>655</v>
      </c>
      <c r="AZ35" s="33">
        <v>45237</v>
      </c>
      <c r="BA35" s="32" t="s">
        <v>212</v>
      </c>
      <c r="BB35" s="35" t="s">
        <v>4</v>
      </c>
    </row>
    <row r="36" spans="1:54" ht="51.75" x14ac:dyDescent="0.25">
      <c r="A36" s="32">
        <v>1364104581</v>
      </c>
      <c r="B36" s="32" t="s">
        <v>808</v>
      </c>
      <c r="C36" s="32" t="s">
        <v>809</v>
      </c>
      <c r="D36" s="32" t="s">
        <v>354</v>
      </c>
      <c r="E36" s="32" t="s">
        <v>158</v>
      </c>
      <c r="F36" s="32" t="s">
        <v>440</v>
      </c>
      <c r="G36" s="32">
        <v>1721</v>
      </c>
      <c r="H36" s="32" t="s">
        <v>368</v>
      </c>
      <c r="I36" s="32" t="s">
        <v>211</v>
      </c>
      <c r="J36" s="32" t="s">
        <v>375</v>
      </c>
      <c r="K36" s="32"/>
      <c r="L36" s="33"/>
      <c r="M36" s="32"/>
      <c r="N36" s="32"/>
      <c r="O36" s="32"/>
      <c r="P36" s="33"/>
      <c r="Q36" s="32"/>
      <c r="R36" s="32"/>
      <c r="S36" s="32"/>
      <c r="T36" s="32"/>
      <c r="U36" s="32"/>
      <c r="V36" s="32"/>
      <c r="W36" s="33"/>
      <c r="X36" s="32"/>
      <c r="Y36" s="32"/>
      <c r="Z36" s="32"/>
      <c r="AA36" s="33"/>
      <c r="AB36" s="32"/>
      <c r="AC36" s="32"/>
      <c r="AD36" s="32"/>
      <c r="AE36" s="33"/>
      <c r="AF36" s="32"/>
      <c r="AG36" s="32"/>
      <c r="AH36" s="32"/>
      <c r="AI36" s="33"/>
      <c r="AJ36" s="32"/>
      <c r="AK36" s="32"/>
      <c r="AL36" s="32"/>
      <c r="AM36" s="33"/>
      <c r="AN36" s="32"/>
      <c r="AO36" s="32"/>
      <c r="AP36" s="32"/>
      <c r="AQ36" s="32"/>
      <c r="AR36" s="32"/>
      <c r="AS36" s="32"/>
      <c r="AT36" s="32"/>
      <c r="AU36" s="32" t="s">
        <v>655</v>
      </c>
      <c r="AV36" s="33">
        <v>45214</v>
      </c>
      <c r="AW36" s="32" t="s">
        <v>212</v>
      </c>
      <c r="AX36" s="32" t="s">
        <v>4</v>
      </c>
      <c r="AY36" s="32"/>
      <c r="AZ36" s="33"/>
      <c r="BA36" s="32"/>
      <c r="BB36" s="35"/>
    </row>
    <row r="37" spans="1:54" ht="51.75" x14ac:dyDescent="0.25">
      <c r="A37" s="32">
        <v>1599673202</v>
      </c>
      <c r="B37" s="32" t="s">
        <v>810</v>
      </c>
      <c r="C37" s="32" t="s">
        <v>811</v>
      </c>
      <c r="D37" s="32" t="s">
        <v>354</v>
      </c>
      <c r="E37" s="32" t="s">
        <v>155</v>
      </c>
      <c r="F37" s="32" t="s">
        <v>440</v>
      </c>
      <c r="G37" s="32">
        <v>1721</v>
      </c>
      <c r="H37" s="32" t="s">
        <v>368</v>
      </c>
      <c r="I37" s="32" t="s">
        <v>211</v>
      </c>
      <c r="J37" s="32" t="s">
        <v>375</v>
      </c>
      <c r="K37" s="32"/>
      <c r="L37" s="33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X37" s="32"/>
      <c r="Y37" s="32"/>
      <c r="Z37" s="32"/>
      <c r="AA37" s="33"/>
      <c r="AB37" s="32"/>
      <c r="AC37" s="32"/>
      <c r="AD37" s="32"/>
      <c r="AE37" s="33"/>
      <c r="AF37" s="32"/>
      <c r="AG37" s="32"/>
      <c r="AH37" s="32"/>
      <c r="AI37" s="33"/>
      <c r="AJ37" s="32"/>
      <c r="AK37" s="32"/>
      <c r="AL37" s="32"/>
      <c r="AM37" s="33"/>
      <c r="AN37" s="32"/>
      <c r="AO37" s="32"/>
      <c r="AP37" s="32"/>
      <c r="AQ37" s="32"/>
      <c r="AR37" s="32"/>
      <c r="AS37" s="32"/>
      <c r="AT37" s="32"/>
      <c r="AU37" s="32" t="s">
        <v>655</v>
      </c>
      <c r="AV37" s="33">
        <v>45279</v>
      </c>
      <c r="AW37" s="32" t="s">
        <v>212</v>
      </c>
      <c r="AX37" s="32" t="s">
        <v>4</v>
      </c>
      <c r="AY37" s="32"/>
      <c r="AZ37" s="33"/>
      <c r="BA37" s="32"/>
      <c r="BB37" s="35"/>
    </row>
    <row r="38" spans="1:54" ht="51.75" x14ac:dyDescent="0.25">
      <c r="A38" s="32">
        <v>1163508456</v>
      </c>
      <c r="B38" s="32" t="s">
        <v>812</v>
      </c>
      <c r="C38" s="32" t="s">
        <v>813</v>
      </c>
      <c r="D38" s="32" t="s">
        <v>354</v>
      </c>
      <c r="E38" s="32" t="s">
        <v>155</v>
      </c>
      <c r="F38" s="32" t="s">
        <v>440</v>
      </c>
      <c r="G38" s="32">
        <v>1721</v>
      </c>
      <c r="H38" s="32" t="s">
        <v>368</v>
      </c>
      <c r="I38" s="32" t="s">
        <v>211</v>
      </c>
      <c r="J38" s="32" t="s">
        <v>375</v>
      </c>
      <c r="K38" s="32"/>
      <c r="L38" s="33"/>
      <c r="M38" s="32"/>
      <c r="N38" s="32"/>
      <c r="O38" s="32"/>
      <c r="P38" s="33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3"/>
      <c r="AB38" s="32"/>
      <c r="AC38" s="32"/>
      <c r="AD38" s="32"/>
      <c r="AE38" s="33"/>
      <c r="AF38" s="32"/>
      <c r="AG38" s="32"/>
      <c r="AH38" s="32"/>
      <c r="AI38" s="33"/>
      <c r="AJ38" s="32"/>
      <c r="AK38" s="32"/>
      <c r="AL38" s="32" t="s">
        <v>655</v>
      </c>
      <c r="AM38" s="33">
        <v>45267</v>
      </c>
      <c r="AN38" s="32" t="s">
        <v>212</v>
      </c>
      <c r="AO38" s="32"/>
      <c r="AP38" s="32">
        <v>44</v>
      </c>
      <c r="AQ38" s="32">
        <v>3</v>
      </c>
      <c r="AR38" s="32" t="s">
        <v>688</v>
      </c>
      <c r="AS38" s="32" t="s">
        <v>684</v>
      </c>
      <c r="AT38" s="32" t="s">
        <v>168</v>
      </c>
      <c r="AU38" s="32"/>
      <c r="AV38" s="33"/>
      <c r="AW38" s="32"/>
      <c r="AX38" s="32"/>
      <c r="AY38" s="32"/>
      <c r="AZ38" s="33"/>
      <c r="BA38" s="32"/>
      <c r="BB38" s="35"/>
    </row>
    <row r="39" spans="1:54" ht="51.75" x14ac:dyDescent="0.25">
      <c r="A39" s="32">
        <v>1093026721</v>
      </c>
      <c r="B39" s="32" t="s">
        <v>814</v>
      </c>
      <c r="C39" s="32" t="s">
        <v>815</v>
      </c>
      <c r="D39" s="32" t="s">
        <v>354</v>
      </c>
      <c r="E39" s="32" t="s">
        <v>155</v>
      </c>
      <c r="F39" s="32" t="s">
        <v>440</v>
      </c>
      <c r="G39" s="32">
        <v>1700</v>
      </c>
      <c r="H39" s="32" t="s">
        <v>368</v>
      </c>
      <c r="I39" s="32" t="s">
        <v>211</v>
      </c>
      <c r="J39" s="32" t="s">
        <v>375</v>
      </c>
      <c r="K39" s="32"/>
      <c r="L39" s="33"/>
      <c r="M39" s="32"/>
      <c r="N39" s="32"/>
      <c r="O39" s="32" t="s">
        <v>655</v>
      </c>
      <c r="P39" s="33">
        <v>45267</v>
      </c>
      <c r="Q39" s="32" t="s">
        <v>212</v>
      </c>
      <c r="R39" s="32" t="b">
        <v>0</v>
      </c>
      <c r="S39" s="32">
        <v>376</v>
      </c>
      <c r="T39" s="32" t="s">
        <v>681</v>
      </c>
      <c r="U39" s="32" t="s">
        <v>682</v>
      </c>
      <c r="V39" s="32"/>
      <c r="W39" s="33"/>
      <c r="X39" s="32"/>
      <c r="Y39" s="32"/>
      <c r="Z39" s="32"/>
      <c r="AA39" s="33"/>
      <c r="AB39" s="32"/>
      <c r="AC39" s="32"/>
      <c r="AD39" s="32"/>
      <c r="AE39" s="33"/>
      <c r="AF39" s="32"/>
      <c r="AG39" s="32"/>
      <c r="AH39" s="32"/>
      <c r="AI39" s="33"/>
      <c r="AJ39" s="32"/>
      <c r="AK39" s="32"/>
      <c r="AL39" s="32"/>
      <c r="AM39" s="33"/>
      <c r="AN39" s="32"/>
      <c r="AO39" s="32"/>
      <c r="AP39" s="32"/>
      <c r="AQ39" s="32"/>
      <c r="AR39" s="32"/>
      <c r="AS39" s="32"/>
      <c r="AT39" s="32"/>
      <c r="AU39" s="32"/>
      <c r="AV39" s="33"/>
      <c r="AW39" s="32"/>
      <c r="AX39" s="32"/>
      <c r="AY39" s="32"/>
      <c r="AZ39" s="33"/>
      <c r="BA39" s="32"/>
      <c r="BB39" s="35"/>
    </row>
    <row r="40" spans="1:54" ht="51.75" x14ac:dyDescent="0.25">
      <c r="A40" s="32">
        <v>1523342542</v>
      </c>
      <c r="B40" s="32" t="s">
        <v>816</v>
      </c>
      <c r="C40" s="32" t="s">
        <v>817</v>
      </c>
      <c r="D40" s="32" t="s">
        <v>354</v>
      </c>
      <c r="E40" s="32" t="s">
        <v>151</v>
      </c>
      <c r="F40" s="32" t="s">
        <v>440</v>
      </c>
      <c r="G40" s="32">
        <v>1721</v>
      </c>
      <c r="H40" s="32" t="s">
        <v>368</v>
      </c>
      <c r="I40" s="32" t="s">
        <v>211</v>
      </c>
      <c r="J40" s="32" t="s">
        <v>375</v>
      </c>
      <c r="K40" s="32" t="s">
        <v>655</v>
      </c>
      <c r="L40" s="33">
        <v>45236</v>
      </c>
      <c r="M40" s="32" t="s">
        <v>212</v>
      </c>
      <c r="N40" s="32" t="s">
        <v>4</v>
      </c>
      <c r="O40" s="32"/>
      <c r="P40" s="33"/>
      <c r="Q40" s="32"/>
      <c r="R40" s="32"/>
      <c r="S40" s="32"/>
      <c r="T40" s="32"/>
      <c r="U40" s="32"/>
      <c r="V40" s="32"/>
      <c r="W40" s="33"/>
      <c r="X40" s="32"/>
      <c r="Y40" s="32"/>
      <c r="Z40" s="32"/>
      <c r="AA40" s="33"/>
      <c r="AB40" s="32"/>
      <c r="AC40" s="32"/>
      <c r="AD40" s="32"/>
      <c r="AE40" s="33"/>
      <c r="AF40" s="32"/>
      <c r="AG40" s="32"/>
      <c r="AH40" s="32"/>
      <c r="AI40" s="33"/>
      <c r="AJ40" s="32"/>
      <c r="AK40" s="32"/>
      <c r="AL40" s="32"/>
      <c r="AM40" s="33"/>
      <c r="AN40" s="32"/>
      <c r="AO40" s="32"/>
      <c r="AP40" s="32"/>
      <c r="AQ40" s="32"/>
      <c r="AR40" s="32"/>
      <c r="AS40" s="32"/>
      <c r="AT40" s="32"/>
      <c r="AU40" s="32" t="s">
        <v>655</v>
      </c>
      <c r="AV40" s="33">
        <v>45222</v>
      </c>
      <c r="AW40" s="32" t="s">
        <v>212</v>
      </c>
      <c r="AX40" s="32" t="s">
        <v>4</v>
      </c>
      <c r="AY40" s="32" t="s">
        <v>655</v>
      </c>
      <c r="AZ40" s="33">
        <v>45237</v>
      </c>
      <c r="BA40" s="32" t="s">
        <v>212</v>
      </c>
      <c r="BB40" s="35" t="s">
        <v>4</v>
      </c>
    </row>
    <row r="41" spans="1:54" ht="51.75" x14ac:dyDescent="0.25">
      <c r="A41" s="32">
        <v>1128365853</v>
      </c>
      <c r="B41" s="32" t="s">
        <v>818</v>
      </c>
      <c r="C41" s="32" t="s">
        <v>819</v>
      </c>
      <c r="D41" s="32" t="s">
        <v>354</v>
      </c>
      <c r="E41" s="32" t="s">
        <v>151</v>
      </c>
      <c r="F41" s="32" t="s">
        <v>440</v>
      </c>
      <c r="G41" s="32">
        <v>1721</v>
      </c>
      <c r="H41" s="32" t="s">
        <v>368</v>
      </c>
      <c r="I41" s="32" t="s">
        <v>211</v>
      </c>
      <c r="J41" s="32" t="s">
        <v>375</v>
      </c>
      <c r="K41" s="32"/>
      <c r="L41" s="33"/>
      <c r="M41" s="32"/>
      <c r="N41" s="32"/>
      <c r="O41" s="32"/>
      <c r="P41" s="33"/>
      <c r="Q41" s="32"/>
      <c r="R41" s="32"/>
      <c r="S41" s="32"/>
      <c r="T41" s="32"/>
      <c r="U41" s="32"/>
      <c r="V41" s="32"/>
      <c r="W41" s="33"/>
      <c r="X41" s="32"/>
      <c r="Y41" s="32"/>
      <c r="Z41" s="32"/>
      <c r="AA41" s="33"/>
      <c r="AB41" s="32"/>
      <c r="AC41" s="32"/>
      <c r="AD41" s="32"/>
      <c r="AE41" s="33"/>
      <c r="AF41" s="32"/>
      <c r="AG41" s="32"/>
      <c r="AH41" s="32"/>
      <c r="AI41" s="33"/>
      <c r="AJ41" s="32"/>
      <c r="AK41" s="32"/>
      <c r="AL41" s="32"/>
      <c r="AM41" s="33"/>
      <c r="AN41" s="32"/>
      <c r="AO41" s="32"/>
      <c r="AP41" s="32"/>
      <c r="AQ41" s="32"/>
      <c r="AR41" s="32"/>
      <c r="AS41" s="32"/>
      <c r="AT41" s="32"/>
      <c r="AU41" s="32" t="s">
        <v>655</v>
      </c>
      <c r="AV41" s="33">
        <v>45217</v>
      </c>
      <c r="AW41" s="32" t="s">
        <v>212</v>
      </c>
      <c r="AX41" s="32" t="s">
        <v>4</v>
      </c>
      <c r="AY41" s="32"/>
      <c r="AZ41" s="33"/>
      <c r="BA41" s="32"/>
      <c r="BB41" s="35"/>
    </row>
    <row r="42" spans="1:54" ht="51.75" x14ac:dyDescent="0.25">
      <c r="A42" s="32">
        <v>1164109197</v>
      </c>
      <c r="B42" s="32" t="s">
        <v>820</v>
      </c>
      <c r="C42" s="32" t="s">
        <v>821</v>
      </c>
      <c r="D42" s="32" t="s">
        <v>354</v>
      </c>
      <c r="E42" s="32" t="s">
        <v>151</v>
      </c>
      <c r="F42" s="32" t="s">
        <v>440</v>
      </c>
      <c r="G42" s="32">
        <v>1721</v>
      </c>
      <c r="H42" s="32" t="s">
        <v>368</v>
      </c>
      <c r="I42" s="32" t="s">
        <v>211</v>
      </c>
      <c r="J42" s="32" t="s">
        <v>375</v>
      </c>
      <c r="K42" s="32"/>
      <c r="L42" s="33"/>
      <c r="M42" s="32"/>
      <c r="N42" s="32"/>
      <c r="O42" s="32"/>
      <c r="P42" s="33"/>
      <c r="Q42" s="32"/>
      <c r="R42" s="32"/>
      <c r="S42" s="32"/>
      <c r="T42" s="32"/>
      <c r="U42" s="32"/>
      <c r="V42" s="32"/>
      <c r="W42" s="33"/>
      <c r="X42" s="32"/>
      <c r="Y42" s="32"/>
      <c r="Z42" s="32"/>
      <c r="AA42" s="33"/>
      <c r="AB42" s="32"/>
      <c r="AC42" s="32"/>
      <c r="AD42" s="32"/>
      <c r="AE42" s="33"/>
      <c r="AF42" s="32"/>
      <c r="AG42" s="32"/>
      <c r="AH42" s="32"/>
      <c r="AI42" s="33"/>
      <c r="AJ42" s="32"/>
      <c r="AK42" s="32"/>
      <c r="AL42" s="32"/>
      <c r="AM42" s="33"/>
      <c r="AN42" s="32"/>
      <c r="AO42" s="32"/>
      <c r="AP42" s="32"/>
      <c r="AQ42" s="32"/>
      <c r="AR42" s="32"/>
      <c r="AS42" s="32"/>
      <c r="AT42" s="32"/>
      <c r="AU42" s="32" t="s">
        <v>655</v>
      </c>
      <c r="AV42" s="33">
        <v>45224</v>
      </c>
      <c r="AW42" s="32" t="s">
        <v>212</v>
      </c>
      <c r="AX42" s="32" t="s">
        <v>4</v>
      </c>
      <c r="AY42" s="32"/>
      <c r="AZ42" s="33"/>
      <c r="BA42" s="32"/>
      <c r="BB42" s="35"/>
    </row>
    <row r="43" spans="1:54" ht="51.75" x14ac:dyDescent="0.25">
      <c r="A43" s="32">
        <v>1397980725</v>
      </c>
      <c r="B43" s="32" t="s">
        <v>822</v>
      </c>
      <c r="C43" s="32" t="s">
        <v>823</v>
      </c>
      <c r="D43" s="32" t="s">
        <v>354</v>
      </c>
      <c r="E43" s="32" t="s">
        <v>151</v>
      </c>
      <c r="F43" s="32" t="s">
        <v>440</v>
      </c>
      <c r="G43" s="32">
        <v>1721</v>
      </c>
      <c r="H43" s="32" t="s">
        <v>368</v>
      </c>
      <c r="I43" s="32" t="s">
        <v>211</v>
      </c>
      <c r="J43" s="32" t="s">
        <v>375</v>
      </c>
      <c r="K43" s="32"/>
      <c r="L43" s="33"/>
      <c r="M43" s="32"/>
      <c r="N43" s="32"/>
      <c r="O43" s="32"/>
      <c r="P43" s="33"/>
      <c r="Q43" s="32"/>
      <c r="R43" s="32"/>
      <c r="S43" s="32"/>
      <c r="T43" s="32"/>
      <c r="U43" s="32"/>
      <c r="V43" s="32"/>
      <c r="W43" s="33"/>
      <c r="X43" s="32"/>
      <c r="Y43" s="32"/>
      <c r="Z43" s="32"/>
      <c r="AA43" s="33"/>
      <c r="AB43" s="32"/>
      <c r="AC43" s="32"/>
      <c r="AD43" s="32"/>
      <c r="AE43" s="33"/>
      <c r="AF43" s="32"/>
      <c r="AG43" s="32"/>
      <c r="AH43" s="32"/>
      <c r="AI43" s="33"/>
      <c r="AJ43" s="32"/>
      <c r="AK43" s="32"/>
      <c r="AL43" s="32"/>
      <c r="AM43" s="33"/>
      <c r="AN43" s="32"/>
      <c r="AO43" s="32"/>
      <c r="AP43" s="32"/>
      <c r="AQ43" s="32"/>
      <c r="AR43" s="32"/>
      <c r="AS43" s="32"/>
      <c r="AT43" s="32"/>
      <c r="AU43" s="32" t="s">
        <v>655</v>
      </c>
      <c r="AV43" s="33">
        <v>45217</v>
      </c>
      <c r="AW43" s="32" t="s">
        <v>212</v>
      </c>
      <c r="AX43" s="32" t="s">
        <v>4</v>
      </c>
      <c r="AY43" s="32"/>
      <c r="AZ43" s="33"/>
      <c r="BA43" s="32"/>
      <c r="BB43" s="35"/>
    </row>
    <row r="44" spans="1:54" ht="51.75" x14ac:dyDescent="0.25">
      <c r="A44" s="32">
        <v>1135673321</v>
      </c>
      <c r="B44" s="32" t="s">
        <v>824</v>
      </c>
      <c r="C44" s="32" t="s">
        <v>825</v>
      </c>
      <c r="D44" s="32" t="s">
        <v>354</v>
      </c>
      <c r="E44" s="32" t="s">
        <v>151</v>
      </c>
      <c r="F44" s="32" t="s">
        <v>440</v>
      </c>
      <c r="G44" s="32">
        <v>1721</v>
      </c>
      <c r="H44" s="32" t="s">
        <v>368</v>
      </c>
      <c r="I44" s="32" t="s">
        <v>211</v>
      </c>
      <c r="J44" s="32" t="s">
        <v>375</v>
      </c>
      <c r="K44" s="32" t="s">
        <v>655</v>
      </c>
      <c r="L44" s="33">
        <v>45231</v>
      </c>
      <c r="M44" s="32" t="s">
        <v>212</v>
      </c>
      <c r="N44" s="32" t="s">
        <v>4</v>
      </c>
      <c r="O44" s="32" t="s">
        <v>655</v>
      </c>
      <c r="P44" s="33">
        <v>45246</v>
      </c>
      <c r="Q44" s="32" t="s">
        <v>453</v>
      </c>
      <c r="R44" s="32" t="b">
        <v>0</v>
      </c>
      <c r="S44" s="32">
        <v>380</v>
      </c>
      <c r="T44" s="32" t="s">
        <v>681</v>
      </c>
      <c r="U44" s="32" t="s">
        <v>682</v>
      </c>
      <c r="V44" s="32" t="s">
        <v>655</v>
      </c>
      <c r="W44" s="33">
        <v>45245</v>
      </c>
      <c r="X44" s="32" t="s">
        <v>212</v>
      </c>
      <c r="Y44" s="32" t="s">
        <v>4</v>
      </c>
      <c r="Z44" s="32" t="s">
        <v>655</v>
      </c>
      <c r="AA44" s="33">
        <v>45231</v>
      </c>
      <c r="AB44" s="32" t="s">
        <v>212</v>
      </c>
      <c r="AC44" s="32" t="s">
        <v>4</v>
      </c>
      <c r="AD44" s="32"/>
      <c r="AE44" s="33"/>
      <c r="AF44" s="32"/>
      <c r="AG44" s="32"/>
      <c r="AH44" s="32" t="s">
        <v>655</v>
      </c>
      <c r="AI44" s="33">
        <v>45231</v>
      </c>
      <c r="AJ44" s="32" t="s">
        <v>212</v>
      </c>
      <c r="AK44" s="32" t="s">
        <v>4</v>
      </c>
      <c r="AL44" s="32"/>
      <c r="AM44" s="33"/>
      <c r="AN44" s="32"/>
      <c r="AO44" s="32"/>
      <c r="AP44" s="32"/>
      <c r="AQ44" s="32"/>
      <c r="AR44" s="32"/>
      <c r="AS44" s="32"/>
      <c r="AT44" s="32"/>
      <c r="AU44" s="32" t="s">
        <v>655</v>
      </c>
      <c r="AV44" s="33">
        <v>45272</v>
      </c>
      <c r="AW44" s="32" t="s">
        <v>212</v>
      </c>
      <c r="AX44" s="32" t="s">
        <v>4</v>
      </c>
      <c r="AY44" s="32"/>
      <c r="AZ44" s="33"/>
      <c r="BA44" s="32"/>
      <c r="BB44" s="35"/>
    </row>
    <row r="45" spans="1:54" ht="51.75" x14ac:dyDescent="0.25">
      <c r="A45" s="32">
        <v>1502371969</v>
      </c>
      <c r="B45" s="32" t="s">
        <v>826</v>
      </c>
      <c r="C45" s="32" t="s">
        <v>827</v>
      </c>
      <c r="D45" s="32" t="s">
        <v>354</v>
      </c>
      <c r="E45" s="32" t="s">
        <v>151</v>
      </c>
      <c r="F45" s="32" t="s">
        <v>440</v>
      </c>
      <c r="G45" s="32">
        <v>1721</v>
      </c>
      <c r="H45" s="32" t="s">
        <v>368</v>
      </c>
      <c r="I45" s="32" t="s">
        <v>211</v>
      </c>
      <c r="J45" s="32" t="s">
        <v>375</v>
      </c>
      <c r="K45" s="32" t="s">
        <v>655</v>
      </c>
      <c r="L45" s="33">
        <v>45236</v>
      </c>
      <c r="M45" s="32" t="s">
        <v>212</v>
      </c>
      <c r="N45" s="32" t="s">
        <v>4</v>
      </c>
      <c r="O45" s="32"/>
      <c r="P45" s="33"/>
      <c r="Q45" s="32"/>
      <c r="R45" s="32"/>
      <c r="S45" s="32"/>
      <c r="T45" s="32"/>
      <c r="U45" s="32"/>
      <c r="V45" s="32"/>
      <c r="W45" s="33"/>
      <c r="X45" s="32"/>
      <c r="Y45" s="32"/>
      <c r="Z45" s="32"/>
      <c r="AA45" s="33"/>
      <c r="AB45" s="32"/>
      <c r="AC45" s="32"/>
      <c r="AD45" s="32"/>
      <c r="AE45" s="33"/>
      <c r="AF45" s="32"/>
      <c r="AG45" s="32"/>
      <c r="AH45" s="32"/>
      <c r="AI45" s="33"/>
      <c r="AJ45" s="32"/>
      <c r="AK45" s="32"/>
      <c r="AL45" s="32"/>
      <c r="AM45" s="33"/>
      <c r="AN45" s="32"/>
      <c r="AO45" s="32"/>
      <c r="AP45" s="32"/>
      <c r="AQ45" s="32"/>
      <c r="AR45" s="32"/>
      <c r="AS45" s="32"/>
      <c r="AT45" s="32"/>
      <c r="AU45" s="32" t="s">
        <v>655</v>
      </c>
      <c r="AV45" s="33">
        <v>45215</v>
      </c>
      <c r="AW45" s="32" t="s">
        <v>212</v>
      </c>
      <c r="AX45" s="32" t="s">
        <v>4</v>
      </c>
      <c r="AY45" s="32"/>
      <c r="AZ45" s="33"/>
      <c r="BA45" s="32"/>
      <c r="BB45" s="35"/>
    </row>
    <row r="46" spans="1:54" ht="51.75" x14ac:dyDescent="0.25">
      <c r="A46" s="32">
        <v>1397447603</v>
      </c>
      <c r="B46" s="32" t="s">
        <v>828</v>
      </c>
      <c r="C46" s="32" t="s">
        <v>829</v>
      </c>
      <c r="D46" s="32" t="s">
        <v>354</v>
      </c>
      <c r="E46" s="32" t="s">
        <v>151</v>
      </c>
      <c r="F46" s="32" t="s">
        <v>440</v>
      </c>
      <c r="G46" s="32">
        <v>1721</v>
      </c>
      <c r="H46" s="32" t="s">
        <v>368</v>
      </c>
      <c r="I46" s="32" t="s">
        <v>211</v>
      </c>
      <c r="J46" s="32" t="s">
        <v>375</v>
      </c>
      <c r="K46" s="32"/>
      <c r="L46" s="33"/>
      <c r="M46" s="32"/>
      <c r="N46" s="32"/>
      <c r="O46" s="32"/>
      <c r="P46" s="33"/>
      <c r="Q46" s="32"/>
      <c r="R46" s="32"/>
      <c r="S46" s="32"/>
      <c r="T46" s="32"/>
      <c r="U46" s="32"/>
      <c r="V46" s="32"/>
      <c r="W46" s="32"/>
      <c r="X46" s="32"/>
      <c r="Y46" s="32"/>
      <c r="Z46" s="32" t="s">
        <v>655</v>
      </c>
      <c r="AA46" s="33">
        <v>45236</v>
      </c>
      <c r="AB46" s="32" t="s">
        <v>212</v>
      </c>
      <c r="AC46" s="32" t="s">
        <v>4</v>
      </c>
      <c r="AD46" s="32"/>
      <c r="AE46" s="33"/>
      <c r="AF46" s="32"/>
      <c r="AG46" s="32"/>
      <c r="AH46" s="32"/>
      <c r="AI46" s="33"/>
      <c r="AJ46" s="32"/>
      <c r="AK46" s="32"/>
      <c r="AL46" s="32"/>
      <c r="AM46" s="33"/>
      <c r="AN46" s="32"/>
      <c r="AO46" s="32"/>
      <c r="AP46" s="32"/>
      <c r="AQ46" s="32"/>
      <c r="AR46" s="32"/>
      <c r="AS46" s="32"/>
      <c r="AT46" s="32"/>
      <c r="AU46" s="32" t="s">
        <v>655</v>
      </c>
      <c r="AV46" s="33">
        <v>45200</v>
      </c>
      <c r="AW46" s="32" t="s">
        <v>212</v>
      </c>
      <c r="AX46" s="32" t="s">
        <v>4</v>
      </c>
      <c r="AY46" s="32"/>
      <c r="AZ46" s="33"/>
      <c r="BA46" s="32"/>
      <c r="BB46" s="35"/>
    </row>
    <row r="47" spans="1:54" ht="51.75" x14ac:dyDescent="0.25">
      <c r="A47" s="32">
        <v>1207085014</v>
      </c>
      <c r="B47" s="32" t="s">
        <v>830</v>
      </c>
      <c r="C47" s="32" t="s">
        <v>831</v>
      </c>
      <c r="D47" s="32" t="s">
        <v>354</v>
      </c>
      <c r="E47" s="32" t="s">
        <v>147</v>
      </c>
      <c r="F47" s="32" t="s">
        <v>440</v>
      </c>
      <c r="G47" s="32">
        <v>1721</v>
      </c>
      <c r="H47" s="32" t="s">
        <v>414</v>
      </c>
      <c r="I47" s="32" t="s">
        <v>211</v>
      </c>
      <c r="J47" s="32" t="s">
        <v>375</v>
      </c>
      <c r="K47" s="32" t="s">
        <v>655</v>
      </c>
      <c r="L47" s="33">
        <v>45236</v>
      </c>
      <c r="M47" s="32" t="s">
        <v>212</v>
      </c>
      <c r="N47" s="32" t="s">
        <v>4</v>
      </c>
      <c r="O47" s="32"/>
      <c r="P47" s="33"/>
      <c r="Q47" s="32"/>
      <c r="R47" s="32"/>
      <c r="S47" s="32"/>
      <c r="T47" s="32"/>
      <c r="U47" s="32"/>
      <c r="V47" s="32"/>
      <c r="W47" s="33"/>
      <c r="X47" s="32"/>
      <c r="Y47" s="32"/>
      <c r="Z47" s="32"/>
      <c r="AA47" s="33"/>
      <c r="AB47" s="32"/>
      <c r="AC47" s="32"/>
      <c r="AD47" s="32"/>
      <c r="AE47" s="33"/>
      <c r="AF47" s="32"/>
      <c r="AG47" s="32"/>
      <c r="AH47" s="32"/>
      <c r="AI47" s="33"/>
      <c r="AJ47" s="32"/>
      <c r="AK47" s="32"/>
      <c r="AL47" s="32"/>
      <c r="AM47" s="33"/>
      <c r="AN47" s="32"/>
      <c r="AO47" s="32"/>
      <c r="AP47" s="32"/>
      <c r="AQ47" s="32"/>
      <c r="AR47" s="32"/>
      <c r="AS47" s="32"/>
      <c r="AT47" s="32"/>
      <c r="AU47" s="32" t="s">
        <v>655</v>
      </c>
      <c r="AV47" s="33">
        <v>45223</v>
      </c>
      <c r="AW47" s="32" t="s">
        <v>212</v>
      </c>
      <c r="AX47" s="32" t="s">
        <v>4</v>
      </c>
      <c r="AY47" s="32" t="s">
        <v>655</v>
      </c>
      <c r="AZ47" s="33">
        <v>45237</v>
      </c>
      <c r="BA47" s="32" t="s">
        <v>212</v>
      </c>
      <c r="BB47" s="35" t="s">
        <v>4</v>
      </c>
    </row>
    <row r="48" spans="1:54" ht="51.75" x14ac:dyDescent="0.25">
      <c r="A48" s="32">
        <v>1045261897</v>
      </c>
      <c r="B48" s="32" t="s">
        <v>832</v>
      </c>
      <c r="C48" s="32" t="s">
        <v>833</v>
      </c>
      <c r="D48" s="32" t="s">
        <v>354</v>
      </c>
      <c r="E48" s="32" t="s">
        <v>155</v>
      </c>
      <c r="F48" s="32" t="s">
        <v>440</v>
      </c>
      <c r="G48" s="32">
        <v>1721</v>
      </c>
      <c r="H48" s="32" t="s">
        <v>368</v>
      </c>
      <c r="I48" s="32" t="s">
        <v>211</v>
      </c>
      <c r="J48" s="32" t="s">
        <v>375</v>
      </c>
      <c r="K48" s="32" t="s">
        <v>655</v>
      </c>
      <c r="L48" s="33">
        <v>45236</v>
      </c>
      <c r="M48" s="32" t="s">
        <v>212</v>
      </c>
      <c r="N48" s="32" t="s">
        <v>4</v>
      </c>
      <c r="O48" s="32"/>
      <c r="P48" s="33"/>
      <c r="Q48" s="32"/>
      <c r="R48" s="32"/>
      <c r="S48" s="32"/>
      <c r="T48" s="32"/>
      <c r="U48" s="32"/>
      <c r="V48" s="32"/>
      <c r="W48" s="33"/>
      <c r="X48" s="32"/>
      <c r="Y48" s="32"/>
      <c r="Z48" s="32"/>
      <c r="AA48" s="33"/>
      <c r="AB48" s="32"/>
      <c r="AC48" s="32"/>
      <c r="AD48" s="32"/>
      <c r="AE48" s="33"/>
      <c r="AF48" s="32"/>
      <c r="AG48" s="32"/>
      <c r="AH48" s="32"/>
      <c r="AI48" s="33"/>
      <c r="AJ48" s="32"/>
      <c r="AK48" s="32"/>
      <c r="AL48" s="32" t="s">
        <v>655</v>
      </c>
      <c r="AM48" s="33">
        <v>45233</v>
      </c>
      <c r="AN48" s="32" t="s">
        <v>212</v>
      </c>
      <c r="AO48" s="32"/>
      <c r="AP48" s="32">
        <v>45</v>
      </c>
      <c r="AQ48" s="32">
        <v>3</v>
      </c>
      <c r="AR48" s="32" t="s">
        <v>690</v>
      </c>
      <c r="AS48" s="32" t="s">
        <v>684</v>
      </c>
      <c r="AT48" s="32" t="s">
        <v>168</v>
      </c>
      <c r="AU48" s="32" t="s">
        <v>655</v>
      </c>
      <c r="AV48" s="33">
        <v>45235</v>
      </c>
      <c r="AW48" s="32" t="s">
        <v>212</v>
      </c>
      <c r="AX48" s="32" t="s">
        <v>4</v>
      </c>
      <c r="AY48" s="32" t="s">
        <v>655</v>
      </c>
      <c r="AZ48" s="33">
        <v>45237</v>
      </c>
      <c r="BA48" s="32" t="s">
        <v>212</v>
      </c>
      <c r="BB48" s="35" t="s">
        <v>4</v>
      </c>
    </row>
    <row r="49" spans="1:54" ht="51.75" x14ac:dyDescent="0.25">
      <c r="A49" s="32">
        <v>1043584855</v>
      </c>
      <c r="B49" s="32" t="s">
        <v>834</v>
      </c>
      <c r="C49" s="32" t="s">
        <v>835</v>
      </c>
      <c r="D49" s="32" t="s">
        <v>354</v>
      </c>
      <c r="E49" s="32" t="s">
        <v>147</v>
      </c>
      <c r="F49" s="32" t="s">
        <v>440</v>
      </c>
      <c r="G49" s="32">
        <v>1721</v>
      </c>
      <c r="H49" s="32" t="s">
        <v>368</v>
      </c>
      <c r="I49" s="32" t="s">
        <v>211</v>
      </c>
      <c r="J49" s="32" t="s">
        <v>375</v>
      </c>
      <c r="K49" s="32"/>
      <c r="L49" s="33"/>
      <c r="M49" s="32"/>
      <c r="N49" s="32"/>
      <c r="O49" s="32"/>
      <c r="P49" s="33"/>
      <c r="Q49" s="32"/>
      <c r="R49" s="32"/>
      <c r="S49" s="32"/>
      <c r="T49" s="32"/>
      <c r="U49" s="32"/>
      <c r="V49" s="32"/>
      <c r="W49" s="33"/>
      <c r="X49" s="32"/>
      <c r="Y49" s="32"/>
      <c r="Z49" s="32"/>
      <c r="AA49" s="33"/>
      <c r="AB49" s="32"/>
      <c r="AC49" s="32"/>
      <c r="AD49" s="32"/>
      <c r="AE49" s="33"/>
      <c r="AF49" s="32"/>
      <c r="AG49" s="32"/>
      <c r="AH49" s="32"/>
      <c r="AI49" s="33"/>
      <c r="AJ49" s="32"/>
      <c r="AK49" s="32"/>
      <c r="AL49" s="32" t="s">
        <v>655</v>
      </c>
      <c r="AM49" s="33">
        <v>45233</v>
      </c>
      <c r="AN49" s="32" t="s">
        <v>212</v>
      </c>
      <c r="AO49" s="32"/>
      <c r="AP49" s="32">
        <v>44</v>
      </c>
      <c r="AQ49" s="32">
        <v>3</v>
      </c>
      <c r="AR49" s="32" t="s">
        <v>688</v>
      </c>
      <c r="AS49" s="32" t="s">
        <v>684</v>
      </c>
      <c r="AT49" s="32" t="s">
        <v>168</v>
      </c>
      <c r="AU49" s="32" t="s">
        <v>655</v>
      </c>
      <c r="AV49" s="33">
        <v>45217</v>
      </c>
      <c r="AW49" s="32" t="s">
        <v>212</v>
      </c>
      <c r="AX49" s="32" t="s">
        <v>4</v>
      </c>
      <c r="AY49" s="32" t="s">
        <v>655</v>
      </c>
      <c r="AZ49" s="33">
        <v>45236</v>
      </c>
      <c r="BA49" s="32" t="s">
        <v>212</v>
      </c>
      <c r="BB49" s="35" t="s">
        <v>4</v>
      </c>
    </row>
    <row r="50" spans="1:54" ht="39" x14ac:dyDescent="0.25">
      <c r="A50" s="32">
        <v>1466955974</v>
      </c>
      <c r="B50" s="32" t="s">
        <v>836</v>
      </c>
      <c r="C50" s="32" t="s">
        <v>837</v>
      </c>
      <c r="D50" s="32" t="s">
        <v>354</v>
      </c>
      <c r="E50" s="32" t="s">
        <v>170</v>
      </c>
      <c r="F50" s="32" t="s">
        <v>440</v>
      </c>
      <c r="G50" s="32">
        <v>1702</v>
      </c>
      <c r="H50" s="32" t="s">
        <v>368</v>
      </c>
      <c r="I50" s="32" t="s">
        <v>945</v>
      </c>
      <c r="J50" s="32" t="s">
        <v>360</v>
      </c>
      <c r="K50" s="32" t="s">
        <v>655</v>
      </c>
      <c r="L50" s="33">
        <v>45236</v>
      </c>
      <c r="M50" s="32" t="s">
        <v>212</v>
      </c>
      <c r="N50" s="32" t="s">
        <v>4</v>
      </c>
      <c r="O50" s="32"/>
      <c r="P50" s="32"/>
      <c r="Q50" s="32"/>
      <c r="R50" s="32"/>
      <c r="S50" s="32"/>
      <c r="T50" s="32"/>
      <c r="U50" s="32"/>
      <c r="V50" s="32" t="s">
        <v>655</v>
      </c>
      <c r="W50" s="33">
        <v>45245</v>
      </c>
      <c r="X50" s="32" t="s">
        <v>212</v>
      </c>
      <c r="Y50" s="32" t="s">
        <v>4</v>
      </c>
      <c r="Z50" s="32"/>
      <c r="AA50" s="33"/>
      <c r="AB50" s="32"/>
      <c r="AC50" s="32"/>
      <c r="AD50" s="32"/>
      <c r="AE50" s="33"/>
      <c r="AF50" s="32"/>
      <c r="AG50" s="32"/>
      <c r="AH50" s="32"/>
      <c r="AI50" s="33"/>
      <c r="AJ50" s="32"/>
      <c r="AK50" s="32"/>
      <c r="AL50" s="32"/>
      <c r="AM50" s="33"/>
      <c r="AN50" s="32"/>
      <c r="AO50" s="32"/>
      <c r="AP50" s="32"/>
      <c r="AQ50" s="32"/>
      <c r="AR50" s="32"/>
      <c r="AS50" s="32"/>
      <c r="AT50" s="32"/>
      <c r="AU50" s="32" t="s">
        <v>655</v>
      </c>
      <c r="AV50" s="33">
        <v>45216</v>
      </c>
      <c r="AW50" s="32" t="s">
        <v>212</v>
      </c>
      <c r="AX50" s="32" t="s">
        <v>4</v>
      </c>
      <c r="AY50" s="32" t="s">
        <v>655</v>
      </c>
      <c r="AZ50" s="33">
        <v>45216</v>
      </c>
      <c r="BA50" s="32" t="s">
        <v>212</v>
      </c>
      <c r="BB50" s="35" t="s">
        <v>4</v>
      </c>
    </row>
    <row r="51" spans="1:54" ht="51.75" x14ac:dyDescent="0.25">
      <c r="A51" s="32">
        <v>1086482908</v>
      </c>
      <c r="B51" s="32" t="s">
        <v>838</v>
      </c>
      <c r="C51" s="32" t="s">
        <v>839</v>
      </c>
      <c r="D51" s="32" t="s">
        <v>354</v>
      </c>
      <c r="E51" s="32" t="s">
        <v>161</v>
      </c>
      <c r="F51" s="32" t="s">
        <v>440</v>
      </c>
      <c r="G51" s="32">
        <v>1721</v>
      </c>
      <c r="H51" s="32" t="s">
        <v>368</v>
      </c>
      <c r="I51" s="32" t="s">
        <v>945</v>
      </c>
      <c r="J51" s="32" t="s">
        <v>375</v>
      </c>
      <c r="K51" s="32"/>
      <c r="L51" s="33"/>
      <c r="M51" s="32"/>
      <c r="N51" s="32"/>
      <c r="O51" s="32"/>
      <c r="P51" s="33"/>
      <c r="Q51" s="32"/>
      <c r="R51" s="32"/>
      <c r="S51" s="32"/>
      <c r="T51" s="32"/>
      <c r="U51" s="32"/>
      <c r="V51" s="32"/>
      <c r="W51" s="33"/>
      <c r="X51" s="32"/>
      <c r="Y51" s="32"/>
      <c r="Z51" s="32"/>
      <c r="AA51" s="33"/>
      <c r="AB51" s="32"/>
      <c r="AC51" s="32"/>
      <c r="AD51" s="32"/>
      <c r="AE51" s="33"/>
      <c r="AF51" s="32"/>
      <c r="AG51" s="32"/>
      <c r="AH51" s="32"/>
      <c r="AI51" s="33"/>
      <c r="AJ51" s="32"/>
      <c r="AK51" s="32"/>
      <c r="AL51" s="32"/>
      <c r="AM51" s="33"/>
      <c r="AN51" s="32"/>
      <c r="AO51" s="32"/>
      <c r="AP51" s="32"/>
      <c r="AQ51" s="32"/>
      <c r="AR51" s="32"/>
      <c r="AS51" s="32"/>
      <c r="AT51" s="32"/>
      <c r="AU51" s="32" t="s">
        <v>655</v>
      </c>
      <c r="AV51" s="33">
        <v>45295</v>
      </c>
      <c r="AW51" s="32" t="s">
        <v>212</v>
      </c>
      <c r="AX51" s="32" t="s">
        <v>4</v>
      </c>
      <c r="AY51" s="32"/>
      <c r="AZ51" s="33"/>
      <c r="BA51" s="32"/>
      <c r="BB51" s="35"/>
    </row>
    <row r="52" spans="1:54" ht="51.75" x14ac:dyDescent="0.25">
      <c r="A52" s="32">
        <v>1378280647</v>
      </c>
      <c r="B52" s="32" t="s">
        <v>840</v>
      </c>
      <c r="C52" s="32" t="s">
        <v>841</v>
      </c>
      <c r="D52" s="32" t="s">
        <v>354</v>
      </c>
      <c r="E52" s="32" t="s">
        <v>158</v>
      </c>
      <c r="F52" s="32" t="s">
        <v>440</v>
      </c>
      <c r="G52" s="32">
        <v>1721</v>
      </c>
      <c r="H52" s="32" t="s">
        <v>368</v>
      </c>
      <c r="I52" s="32" t="s">
        <v>945</v>
      </c>
      <c r="J52" s="32" t="s">
        <v>375</v>
      </c>
      <c r="K52" s="32"/>
      <c r="L52" s="33"/>
      <c r="M52" s="32"/>
      <c r="N52" s="32"/>
      <c r="O52" s="32"/>
      <c r="P52" s="33"/>
      <c r="Q52" s="32"/>
      <c r="R52" s="32"/>
      <c r="S52" s="32"/>
      <c r="T52" s="32"/>
      <c r="U52" s="32"/>
      <c r="V52" s="32" t="s">
        <v>655</v>
      </c>
      <c r="W52" s="33">
        <v>45273</v>
      </c>
      <c r="X52" s="32" t="s">
        <v>212</v>
      </c>
      <c r="Y52" s="32" t="s">
        <v>4</v>
      </c>
      <c r="Z52" s="32"/>
      <c r="AA52" s="33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3"/>
      <c r="AN52" s="32"/>
      <c r="AO52" s="32"/>
      <c r="AP52" s="32"/>
      <c r="AQ52" s="32"/>
      <c r="AR52" s="32"/>
      <c r="AS52" s="32"/>
      <c r="AT52" s="32"/>
      <c r="AU52" s="32" t="s">
        <v>655</v>
      </c>
      <c r="AV52" s="33">
        <v>45201</v>
      </c>
      <c r="AW52" s="32" t="s">
        <v>212</v>
      </c>
      <c r="AX52" s="32" t="s">
        <v>4</v>
      </c>
      <c r="AY52" s="32"/>
      <c r="AZ52" s="33"/>
      <c r="BA52" s="32"/>
      <c r="BB52" s="35"/>
    </row>
    <row r="53" spans="1:54" ht="51.75" x14ac:dyDescent="0.25">
      <c r="A53" s="32">
        <v>1376933246</v>
      </c>
      <c r="B53" s="32" t="s">
        <v>842</v>
      </c>
      <c r="C53" s="32" t="s">
        <v>843</v>
      </c>
      <c r="D53" s="32" t="s">
        <v>354</v>
      </c>
      <c r="E53" s="32" t="s">
        <v>158</v>
      </c>
      <c r="F53" s="32" t="s">
        <v>440</v>
      </c>
      <c r="G53" s="32">
        <v>1721</v>
      </c>
      <c r="H53" s="32" t="s">
        <v>368</v>
      </c>
      <c r="I53" s="32" t="s">
        <v>945</v>
      </c>
      <c r="J53" s="32" t="s">
        <v>375</v>
      </c>
      <c r="K53" s="32" t="s">
        <v>655</v>
      </c>
      <c r="L53" s="33">
        <v>45231</v>
      </c>
      <c r="M53" s="32" t="s">
        <v>212</v>
      </c>
      <c r="N53" s="32" t="s">
        <v>4</v>
      </c>
      <c r="O53" s="32" t="s">
        <v>655</v>
      </c>
      <c r="P53" s="33">
        <v>45246</v>
      </c>
      <c r="Q53" s="32" t="s">
        <v>453</v>
      </c>
      <c r="R53" s="32" t="b">
        <v>0</v>
      </c>
      <c r="S53" s="32">
        <v>386</v>
      </c>
      <c r="T53" s="32" t="s">
        <v>681</v>
      </c>
      <c r="U53" s="32" t="s">
        <v>682</v>
      </c>
      <c r="V53" s="32" t="s">
        <v>655</v>
      </c>
      <c r="W53" s="33">
        <v>45273</v>
      </c>
      <c r="X53" s="32" t="s">
        <v>212</v>
      </c>
      <c r="Y53" s="32" t="s">
        <v>4</v>
      </c>
      <c r="Z53" s="32" t="s">
        <v>655</v>
      </c>
      <c r="AA53" s="33">
        <v>45231</v>
      </c>
      <c r="AB53" s="32" t="s">
        <v>212</v>
      </c>
      <c r="AC53" s="32" t="s">
        <v>4</v>
      </c>
      <c r="AD53" s="32" t="s">
        <v>655</v>
      </c>
      <c r="AE53" s="33">
        <v>45237</v>
      </c>
      <c r="AF53" s="32" t="s">
        <v>212</v>
      </c>
      <c r="AG53" s="32" t="s">
        <v>4</v>
      </c>
      <c r="AH53" s="32" t="s">
        <v>655</v>
      </c>
      <c r="AI53" s="33">
        <v>45231</v>
      </c>
      <c r="AJ53" s="32" t="s">
        <v>212</v>
      </c>
      <c r="AK53" s="32" t="s">
        <v>4</v>
      </c>
      <c r="AL53" s="32"/>
      <c r="AM53" s="33"/>
      <c r="AN53" s="32"/>
      <c r="AO53" s="32"/>
      <c r="AP53" s="32"/>
      <c r="AQ53" s="32"/>
      <c r="AR53" s="32"/>
      <c r="AS53" s="32"/>
      <c r="AT53" s="32"/>
      <c r="AU53" s="32"/>
      <c r="AV53" s="33"/>
      <c r="AW53" s="32"/>
      <c r="AX53" s="32"/>
      <c r="AY53" s="32"/>
      <c r="AZ53" s="33"/>
      <c r="BA53" s="32"/>
      <c r="BB53" s="35"/>
    </row>
    <row r="54" spans="1:54" ht="51.75" x14ac:dyDescent="0.25">
      <c r="A54" s="32">
        <v>1480655370</v>
      </c>
      <c r="B54" s="32" t="s">
        <v>844</v>
      </c>
      <c r="C54" s="32" t="s">
        <v>845</v>
      </c>
      <c r="D54" s="32" t="s">
        <v>354</v>
      </c>
      <c r="E54" s="32" t="s">
        <v>155</v>
      </c>
      <c r="F54" s="32" t="s">
        <v>440</v>
      </c>
      <c r="G54" s="32">
        <v>1721</v>
      </c>
      <c r="H54" s="32" t="s">
        <v>368</v>
      </c>
      <c r="I54" s="32" t="s">
        <v>945</v>
      </c>
      <c r="J54" s="32" t="s">
        <v>375</v>
      </c>
      <c r="K54" s="32"/>
      <c r="L54" s="33"/>
      <c r="M54" s="32"/>
      <c r="N54" s="32"/>
      <c r="O54" s="32"/>
      <c r="P54" s="33"/>
      <c r="Q54" s="32"/>
      <c r="R54" s="32"/>
      <c r="S54" s="32"/>
      <c r="T54" s="32"/>
      <c r="U54" s="32"/>
      <c r="V54" s="32" t="s">
        <v>655</v>
      </c>
      <c r="W54" s="33">
        <v>45245</v>
      </c>
      <c r="X54" s="32" t="s">
        <v>212</v>
      </c>
      <c r="Y54" s="32" t="s">
        <v>4</v>
      </c>
      <c r="Z54" s="32"/>
      <c r="AA54" s="33"/>
      <c r="AB54" s="32"/>
      <c r="AC54" s="32"/>
      <c r="AD54" s="32"/>
      <c r="AE54" s="33"/>
      <c r="AF54" s="32"/>
      <c r="AG54" s="32"/>
      <c r="AH54" s="32"/>
      <c r="AI54" s="33"/>
      <c r="AJ54" s="32"/>
      <c r="AK54" s="32"/>
      <c r="AL54" s="32" t="s">
        <v>655</v>
      </c>
      <c r="AM54" s="33">
        <v>45225</v>
      </c>
      <c r="AN54" s="32" t="s">
        <v>212</v>
      </c>
      <c r="AO54" s="32"/>
      <c r="AP54" s="32">
        <v>44</v>
      </c>
      <c r="AQ54" s="32">
        <v>3</v>
      </c>
      <c r="AR54" s="32" t="s">
        <v>688</v>
      </c>
      <c r="AS54" s="32" t="s">
        <v>684</v>
      </c>
      <c r="AT54" s="32" t="s">
        <v>168</v>
      </c>
      <c r="AU54" s="32"/>
      <c r="AV54" s="33"/>
      <c r="AW54" s="32"/>
      <c r="AX54" s="32"/>
      <c r="AY54" s="32" t="s">
        <v>655</v>
      </c>
      <c r="AZ54" s="33">
        <v>45237</v>
      </c>
      <c r="BA54" s="32" t="s">
        <v>212</v>
      </c>
      <c r="BB54" s="35" t="s">
        <v>4</v>
      </c>
    </row>
    <row r="55" spans="1:54" ht="51.75" x14ac:dyDescent="0.25">
      <c r="A55" s="32">
        <v>1328891644</v>
      </c>
      <c r="B55" s="32" t="s">
        <v>846</v>
      </c>
      <c r="C55" s="32" t="s">
        <v>847</v>
      </c>
      <c r="D55" s="32" t="s">
        <v>354</v>
      </c>
      <c r="E55" s="32" t="s">
        <v>155</v>
      </c>
      <c r="F55" s="32" t="s">
        <v>440</v>
      </c>
      <c r="G55" s="32">
        <v>1721</v>
      </c>
      <c r="H55" s="32" t="s">
        <v>368</v>
      </c>
      <c r="I55" s="32" t="s">
        <v>945</v>
      </c>
      <c r="J55" s="32" t="s">
        <v>375</v>
      </c>
      <c r="K55" s="32"/>
      <c r="L55" s="33"/>
      <c r="M55" s="32"/>
      <c r="N55" s="32"/>
      <c r="O55" s="32" t="s">
        <v>655</v>
      </c>
      <c r="P55" s="33">
        <v>45246</v>
      </c>
      <c r="Q55" s="32" t="s">
        <v>453</v>
      </c>
      <c r="R55" s="32" t="b">
        <v>0</v>
      </c>
      <c r="S55" s="32">
        <v>374</v>
      </c>
      <c r="T55" s="32" t="s">
        <v>681</v>
      </c>
      <c r="U55" s="32" t="s">
        <v>682</v>
      </c>
      <c r="V55" s="32"/>
      <c r="W55" s="33"/>
      <c r="X55" s="32"/>
      <c r="Y55" s="32"/>
      <c r="Z55" s="32"/>
      <c r="AA55" s="33"/>
      <c r="AB55" s="32"/>
      <c r="AC55" s="32"/>
      <c r="AD55" s="32"/>
      <c r="AE55" s="33"/>
      <c r="AF55" s="32"/>
      <c r="AG55" s="32"/>
      <c r="AH55" s="32"/>
      <c r="AI55" s="33"/>
      <c r="AJ55" s="32"/>
      <c r="AK55" s="32"/>
      <c r="AL55" s="32" t="s">
        <v>655</v>
      </c>
      <c r="AM55" s="33">
        <v>45233</v>
      </c>
      <c r="AN55" s="32" t="s">
        <v>212</v>
      </c>
      <c r="AO55" s="32"/>
      <c r="AP55" s="32">
        <v>43</v>
      </c>
      <c r="AQ55" s="32">
        <v>3</v>
      </c>
      <c r="AR55" s="32" t="s">
        <v>691</v>
      </c>
      <c r="AS55" s="32" t="s">
        <v>684</v>
      </c>
      <c r="AT55" s="32" t="s">
        <v>168</v>
      </c>
      <c r="AU55" s="32"/>
      <c r="AV55" s="33"/>
      <c r="AW55" s="32"/>
      <c r="AX55" s="32"/>
      <c r="AY55" s="32" t="s">
        <v>655</v>
      </c>
      <c r="AZ55" s="33">
        <v>45236</v>
      </c>
      <c r="BA55" s="32" t="s">
        <v>212</v>
      </c>
      <c r="BB55" s="35" t="s">
        <v>4</v>
      </c>
    </row>
    <row r="56" spans="1:54" ht="51.75" x14ac:dyDescent="0.25">
      <c r="A56" s="32">
        <v>1583347169</v>
      </c>
      <c r="B56" s="32" t="s">
        <v>800</v>
      </c>
      <c r="C56" s="32" t="s">
        <v>848</v>
      </c>
      <c r="D56" s="32" t="s">
        <v>354</v>
      </c>
      <c r="E56" s="32" t="s">
        <v>155</v>
      </c>
      <c r="F56" s="32" t="s">
        <v>440</v>
      </c>
      <c r="G56" s="32">
        <v>1700</v>
      </c>
      <c r="H56" s="32" t="s">
        <v>368</v>
      </c>
      <c r="I56" s="32" t="s">
        <v>945</v>
      </c>
      <c r="J56" s="32" t="s">
        <v>375</v>
      </c>
      <c r="K56" s="32"/>
      <c r="L56" s="33"/>
      <c r="M56" s="32"/>
      <c r="N56" s="32"/>
      <c r="O56" s="32"/>
      <c r="P56" s="33"/>
      <c r="Q56" s="32"/>
      <c r="R56" s="32"/>
      <c r="S56" s="32"/>
      <c r="T56" s="32"/>
      <c r="U56" s="32"/>
      <c r="V56" s="32"/>
      <c r="W56" s="33"/>
      <c r="X56" s="32"/>
      <c r="Y56" s="32"/>
      <c r="Z56" s="32"/>
      <c r="AA56" s="33"/>
      <c r="AB56" s="32"/>
      <c r="AC56" s="32"/>
      <c r="AD56" s="32"/>
      <c r="AE56" s="33"/>
      <c r="AF56" s="32"/>
      <c r="AG56" s="32"/>
      <c r="AH56" s="32"/>
      <c r="AI56" s="33"/>
      <c r="AJ56" s="32"/>
      <c r="AK56" s="32"/>
      <c r="AL56" s="32"/>
      <c r="AM56" s="33"/>
      <c r="AN56" s="32"/>
      <c r="AO56" s="32"/>
      <c r="AP56" s="32"/>
      <c r="AQ56" s="32"/>
      <c r="AR56" s="32"/>
      <c r="AS56" s="32"/>
      <c r="AT56" s="32"/>
      <c r="AU56" s="32" t="s">
        <v>655</v>
      </c>
      <c r="AV56" s="33">
        <v>45217</v>
      </c>
      <c r="AW56" s="32" t="s">
        <v>212</v>
      </c>
      <c r="AX56" s="32" t="s">
        <v>4</v>
      </c>
      <c r="AY56" s="32"/>
      <c r="AZ56" s="33"/>
      <c r="BA56" s="32"/>
      <c r="BB56" s="35"/>
    </row>
    <row r="57" spans="1:54" ht="51.75" x14ac:dyDescent="0.25">
      <c r="A57" s="32">
        <v>1110516278</v>
      </c>
      <c r="B57" s="32" t="s">
        <v>849</v>
      </c>
      <c r="C57" s="32" t="s">
        <v>850</v>
      </c>
      <c r="D57" s="32" t="s">
        <v>354</v>
      </c>
      <c r="E57" s="32" t="s">
        <v>151</v>
      </c>
      <c r="F57" s="32" t="s">
        <v>440</v>
      </c>
      <c r="G57" s="32">
        <v>1721</v>
      </c>
      <c r="H57" s="32" t="s">
        <v>368</v>
      </c>
      <c r="I57" s="32" t="s">
        <v>945</v>
      </c>
      <c r="J57" s="32" t="s">
        <v>375</v>
      </c>
      <c r="K57" s="32"/>
      <c r="L57" s="33"/>
      <c r="M57" s="32"/>
      <c r="N57" s="32"/>
      <c r="O57" s="32" t="s">
        <v>655</v>
      </c>
      <c r="P57" s="33">
        <v>45267</v>
      </c>
      <c r="Q57" s="32" t="s">
        <v>212</v>
      </c>
      <c r="R57" s="32" t="b">
        <v>0</v>
      </c>
      <c r="S57" s="32">
        <v>388</v>
      </c>
      <c r="T57" s="32" t="s">
        <v>681</v>
      </c>
      <c r="U57" s="32" t="s">
        <v>682</v>
      </c>
      <c r="V57" s="32"/>
      <c r="W57" s="33"/>
      <c r="X57" s="32"/>
      <c r="Y57" s="32"/>
      <c r="Z57" s="32"/>
      <c r="AA57" s="33"/>
      <c r="AB57" s="32"/>
      <c r="AC57" s="32"/>
      <c r="AD57" s="32"/>
      <c r="AE57" s="33"/>
      <c r="AF57" s="32"/>
      <c r="AG57" s="32"/>
      <c r="AH57" s="32"/>
      <c r="AI57" s="33"/>
      <c r="AJ57" s="32"/>
      <c r="AK57" s="32"/>
      <c r="AL57" s="32"/>
      <c r="AM57" s="33"/>
      <c r="AN57" s="32"/>
      <c r="AO57" s="32"/>
      <c r="AP57" s="32"/>
      <c r="AQ57" s="32"/>
      <c r="AR57" s="32"/>
      <c r="AS57" s="32"/>
      <c r="AT57" s="32"/>
      <c r="AU57" s="32"/>
      <c r="AV57" s="33"/>
      <c r="AW57" s="32"/>
      <c r="AX57" s="32"/>
      <c r="AY57" s="32"/>
      <c r="AZ57" s="33"/>
      <c r="BA57" s="32"/>
      <c r="BB57" s="35"/>
    </row>
    <row r="58" spans="1:54" ht="51.75" x14ac:dyDescent="0.25">
      <c r="A58" s="32">
        <v>1288365821</v>
      </c>
      <c r="B58" s="32" t="s">
        <v>851</v>
      </c>
      <c r="C58" s="32" t="s">
        <v>852</v>
      </c>
      <c r="D58" s="32" t="s">
        <v>354</v>
      </c>
      <c r="E58" s="32" t="s">
        <v>151</v>
      </c>
      <c r="F58" s="32" t="s">
        <v>440</v>
      </c>
      <c r="G58" s="32">
        <v>1721</v>
      </c>
      <c r="H58" s="32" t="s">
        <v>414</v>
      </c>
      <c r="I58" s="32" t="s">
        <v>945</v>
      </c>
      <c r="J58" s="32" t="s">
        <v>375</v>
      </c>
      <c r="K58" s="32"/>
      <c r="L58" s="33"/>
      <c r="M58" s="32"/>
      <c r="N58" s="32"/>
      <c r="O58" s="32"/>
      <c r="P58" s="33"/>
      <c r="Q58" s="32"/>
      <c r="R58" s="32"/>
      <c r="S58" s="32"/>
      <c r="T58" s="32"/>
      <c r="U58" s="32"/>
      <c r="V58" s="32" t="s">
        <v>655</v>
      </c>
      <c r="W58" s="33">
        <v>45273</v>
      </c>
      <c r="X58" s="32" t="s">
        <v>212</v>
      </c>
      <c r="Y58" s="32" t="s">
        <v>4</v>
      </c>
      <c r="Z58" s="32"/>
      <c r="AA58" s="33"/>
      <c r="AB58" s="32"/>
      <c r="AC58" s="32"/>
      <c r="AD58" s="32"/>
      <c r="AE58" s="33"/>
      <c r="AF58" s="32"/>
      <c r="AG58" s="32"/>
      <c r="AH58" s="32"/>
      <c r="AI58" s="33"/>
      <c r="AJ58" s="32"/>
      <c r="AK58" s="32"/>
      <c r="AL58" s="32"/>
      <c r="AM58" s="33"/>
      <c r="AN58" s="32"/>
      <c r="AO58" s="32"/>
      <c r="AP58" s="32"/>
      <c r="AQ58" s="32"/>
      <c r="AR58" s="32"/>
      <c r="AS58" s="32"/>
      <c r="AT58" s="32"/>
      <c r="AU58" s="32" t="s">
        <v>655</v>
      </c>
      <c r="AV58" s="33">
        <v>45204</v>
      </c>
      <c r="AW58" s="32" t="s">
        <v>212</v>
      </c>
      <c r="AX58" s="32" t="s">
        <v>4</v>
      </c>
      <c r="AY58" s="32"/>
      <c r="AZ58" s="33"/>
      <c r="BA58" s="32"/>
      <c r="BB58" s="35"/>
    </row>
    <row r="59" spans="1:54" ht="51.75" x14ac:dyDescent="0.25">
      <c r="A59" s="32">
        <v>1236623846</v>
      </c>
      <c r="B59" s="32" t="s">
        <v>853</v>
      </c>
      <c r="C59" s="32" t="s">
        <v>854</v>
      </c>
      <c r="D59" s="32" t="s">
        <v>354</v>
      </c>
      <c r="E59" s="32" t="s">
        <v>151</v>
      </c>
      <c r="F59" s="32" t="s">
        <v>440</v>
      </c>
      <c r="G59" s="32">
        <v>1721</v>
      </c>
      <c r="H59" s="32" t="s">
        <v>368</v>
      </c>
      <c r="I59" s="32" t="s">
        <v>945</v>
      </c>
      <c r="J59" s="32" t="s">
        <v>375</v>
      </c>
      <c r="K59" s="32"/>
      <c r="L59" s="33"/>
      <c r="M59" s="32"/>
      <c r="N59" s="32"/>
      <c r="O59" s="32" t="s">
        <v>655</v>
      </c>
      <c r="P59" s="33">
        <v>45267</v>
      </c>
      <c r="Q59" s="32" t="s">
        <v>212</v>
      </c>
      <c r="R59" s="32" t="b">
        <v>0</v>
      </c>
      <c r="S59" s="32">
        <v>328</v>
      </c>
      <c r="T59" s="32" t="s">
        <v>692</v>
      </c>
      <c r="U59" s="32" t="s">
        <v>682</v>
      </c>
      <c r="V59" s="32" t="s">
        <v>655</v>
      </c>
      <c r="W59" s="33">
        <v>45273</v>
      </c>
      <c r="X59" s="32" t="s">
        <v>212</v>
      </c>
      <c r="Y59" s="32" t="s">
        <v>4</v>
      </c>
      <c r="Z59" s="32"/>
      <c r="AA59" s="33"/>
      <c r="AB59" s="32"/>
      <c r="AC59" s="32"/>
      <c r="AD59" s="32"/>
      <c r="AE59" s="33"/>
      <c r="AF59" s="32"/>
      <c r="AG59" s="32"/>
      <c r="AH59" s="32"/>
      <c r="AI59" s="33"/>
      <c r="AJ59" s="32"/>
      <c r="AK59" s="32"/>
      <c r="AL59" s="32"/>
      <c r="AM59" s="33"/>
      <c r="AN59" s="32"/>
      <c r="AO59" s="32"/>
      <c r="AP59" s="32"/>
      <c r="AQ59" s="32"/>
      <c r="AR59" s="32"/>
      <c r="AS59" s="32"/>
      <c r="AT59" s="32"/>
      <c r="AU59" s="32" t="s">
        <v>655</v>
      </c>
      <c r="AV59" s="33">
        <v>45217</v>
      </c>
      <c r="AW59" s="32" t="s">
        <v>212</v>
      </c>
      <c r="AX59" s="32" t="s">
        <v>4</v>
      </c>
      <c r="AY59" s="32"/>
      <c r="AZ59" s="33"/>
      <c r="BA59" s="32"/>
      <c r="BB59" s="35"/>
    </row>
    <row r="60" spans="1:54" ht="51.75" x14ac:dyDescent="0.25">
      <c r="A60" s="32">
        <v>1565683368</v>
      </c>
      <c r="B60" s="32" t="s">
        <v>855</v>
      </c>
      <c r="C60" s="32" t="s">
        <v>856</v>
      </c>
      <c r="D60" s="32" t="s">
        <v>354</v>
      </c>
      <c r="E60" s="32" t="s">
        <v>151</v>
      </c>
      <c r="F60" s="32" t="s">
        <v>440</v>
      </c>
      <c r="G60" s="32">
        <v>1721</v>
      </c>
      <c r="H60" s="32" t="s">
        <v>368</v>
      </c>
      <c r="I60" s="32" t="s">
        <v>945</v>
      </c>
      <c r="J60" s="32" t="s">
        <v>375</v>
      </c>
      <c r="K60" s="32" t="s">
        <v>655</v>
      </c>
      <c r="L60" s="33">
        <v>45236</v>
      </c>
      <c r="M60" s="32" t="s">
        <v>212</v>
      </c>
      <c r="N60" s="32" t="s">
        <v>4</v>
      </c>
      <c r="O60" s="32"/>
      <c r="P60" s="32"/>
      <c r="Q60" s="32"/>
      <c r="R60" s="32"/>
      <c r="S60" s="32"/>
      <c r="T60" s="32"/>
      <c r="U60" s="32"/>
      <c r="V60" s="32" t="s">
        <v>655</v>
      </c>
      <c r="W60" s="33">
        <v>45245</v>
      </c>
      <c r="X60" s="32" t="s">
        <v>212</v>
      </c>
      <c r="Y60" s="32" t="s">
        <v>4</v>
      </c>
      <c r="Z60" s="32"/>
      <c r="AA60" s="33"/>
      <c r="AB60" s="32"/>
      <c r="AC60" s="32"/>
      <c r="AD60" s="32"/>
      <c r="AE60" s="33"/>
      <c r="AF60" s="32"/>
      <c r="AG60" s="32"/>
      <c r="AH60" s="32"/>
      <c r="AI60" s="33"/>
      <c r="AJ60" s="32"/>
      <c r="AK60" s="32"/>
      <c r="AL60" s="32"/>
      <c r="AM60" s="33"/>
      <c r="AN60" s="32"/>
      <c r="AO60" s="32"/>
      <c r="AP60" s="32"/>
      <c r="AQ60" s="32"/>
      <c r="AR60" s="32"/>
      <c r="AS60" s="32"/>
      <c r="AT60" s="32"/>
      <c r="AU60" s="32" t="s">
        <v>655</v>
      </c>
      <c r="AV60" s="33">
        <v>45308</v>
      </c>
      <c r="AW60" s="32" t="s">
        <v>212</v>
      </c>
      <c r="AX60" s="32" t="s">
        <v>4</v>
      </c>
      <c r="AY60" s="32"/>
      <c r="AZ60" s="33"/>
      <c r="BA60" s="32"/>
      <c r="BB60" s="35"/>
    </row>
    <row r="61" spans="1:54" ht="51.75" x14ac:dyDescent="0.25">
      <c r="A61" s="32">
        <v>1064194807</v>
      </c>
      <c r="B61" s="32" t="s">
        <v>857</v>
      </c>
      <c r="C61" s="32" t="s">
        <v>858</v>
      </c>
      <c r="D61" s="32" t="s">
        <v>354</v>
      </c>
      <c r="E61" s="32" t="s">
        <v>151</v>
      </c>
      <c r="F61" s="32" t="s">
        <v>440</v>
      </c>
      <c r="G61" s="32">
        <v>1721</v>
      </c>
      <c r="H61" s="32" t="s">
        <v>368</v>
      </c>
      <c r="I61" s="32" t="s">
        <v>945</v>
      </c>
      <c r="J61" s="32" t="s">
        <v>375</v>
      </c>
      <c r="K61" s="32" t="s">
        <v>655</v>
      </c>
      <c r="L61" s="33">
        <v>45236</v>
      </c>
      <c r="M61" s="32" t="s">
        <v>212</v>
      </c>
      <c r="N61" s="32" t="s">
        <v>4</v>
      </c>
      <c r="O61" s="32"/>
      <c r="P61" s="33"/>
      <c r="Q61" s="32"/>
      <c r="R61" s="32"/>
      <c r="S61" s="32"/>
      <c r="T61" s="32"/>
      <c r="U61" s="32"/>
      <c r="V61" s="32"/>
      <c r="W61" s="33"/>
      <c r="X61" s="32"/>
      <c r="Y61" s="32"/>
      <c r="Z61" s="32"/>
      <c r="AA61" s="33"/>
      <c r="AB61" s="32"/>
      <c r="AC61" s="32"/>
      <c r="AD61" s="32"/>
      <c r="AE61" s="33"/>
      <c r="AF61" s="32"/>
      <c r="AG61" s="32"/>
      <c r="AH61" s="32"/>
      <c r="AI61" s="33"/>
      <c r="AJ61" s="32"/>
      <c r="AK61" s="32"/>
      <c r="AL61" s="79"/>
      <c r="AM61" s="80"/>
      <c r="AN61" s="79"/>
      <c r="AO61" s="79"/>
      <c r="AP61" s="79"/>
      <c r="AQ61" s="79"/>
      <c r="AR61" s="79"/>
      <c r="AS61" s="79"/>
      <c r="AT61" s="79"/>
      <c r="AU61" s="32"/>
      <c r="AV61" s="33"/>
      <c r="AW61" s="32"/>
      <c r="AX61" s="32"/>
      <c r="AY61" s="32" t="s">
        <v>655</v>
      </c>
      <c r="AZ61" s="33">
        <v>45237</v>
      </c>
      <c r="BA61" s="32" t="s">
        <v>212</v>
      </c>
      <c r="BB61" s="35" t="s">
        <v>4</v>
      </c>
    </row>
    <row r="62" spans="1:54" ht="51.75" x14ac:dyDescent="0.25">
      <c r="A62" s="32">
        <v>1288033004</v>
      </c>
      <c r="B62" s="32" t="s">
        <v>859</v>
      </c>
      <c r="C62" s="32" t="s">
        <v>860</v>
      </c>
      <c r="D62" s="32" t="s">
        <v>354</v>
      </c>
      <c r="E62" s="32" t="s">
        <v>151</v>
      </c>
      <c r="F62" s="32" t="s">
        <v>440</v>
      </c>
      <c r="G62" s="32">
        <v>1721</v>
      </c>
      <c r="H62" s="32" t="s">
        <v>368</v>
      </c>
      <c r="I62" s="32" t="s">
        <v>945</v>
      </c>
      <c r="J62" s="32" t="s">
        <v>375</v>
      </c>
      <c r="K62" s="32" t="s">
        <v>655</v>
      </c>
      <c r="L62" s="33">
        <v>45231</v>
      </c>
      <c r="M62" s="32" t="s">
        <v>212</v>
      </c>
      <c r="N62" s="32" t="s">
        <v>4</v>
      </c>
      <c r="O62" s="32"/>
      <c r="P62" s="33"/>
      <c r="Q62" s="32"/>
      <c r="R62" s="32"/>
      <c r="S62" s="32"/>
      <c r="T62" s="32"/>
      <c r="U62" s="32"/>
      <c r="V62" s="32" t="s">
        <v>655</v>
      </c>
      <c r="W62" s="33">
        <v>45273</v>
      </c>
      <c r="X62" s="32" t="s">
        <v>212</v>
      </c>
      <c r="Y62" s="32" t="s">
        <v>4</v>
      </c>
      <c r="Z62" s="32" t="s">
        <v>655</v>
      </c>
      <c r="AA62" s="33">
        <v>45231</v>
      </c>
      <c r="AB62" s="32" t="s">
        <v>212</v>
      </c>
      <c r="AC62" s="32" t="s">
        <v>4</v>
      </c>
      <c r="AD62" s="32" t="s">
        <v>655</v>
      </c>
      <c r="AE62" s="33">
        <v>45237</v>
      </c>
      <c r="AF62" s="32" t="s">
        <v>212</v>
      </c>
      <c r="AG62" s="32" t="s">
        <v>4</v>
      </c>
      <c r="AH62" s="32" t="s">
        <v>655</v>
      </c>
      <c r="AI62" s="33">
        <v>45231</v>
      </c>
      <c r="AJ62" s="32" t="s">
        <v>212</v>
      </c>
      <c r="AK62" s="32" t="s">
        <v>4</v>
      </c>
      <c r="AL62" s="32" t="s">
        <v>216</v>
      </c>
      <c r="AM62" s="33">
        <v>45204</v>
      </c>
      <c r="AN62" s="32" t="s">
        <v>212</v>
      </c>
      <c r="AO62" s="32" t="s">
        <v>693</v>
      </c>
      <c r="AP62" s="32"/>
      <c r="AQ62" s="32"/>
      <c r="AR62" s="32"/>
      <c r="AS62" s="32"/>
      <c r="AT62" s="32" t="s">
        <v>168</v>
      </c>
      <c r="AU62" s="32" t="s">
        <v>655</v>
      </c>
      <c r="AV62" s="33">
        <v>45309</v>
      </c>
      <c r="AW62" s="32" t="s">
        <v>212</v>
      </c>
      <c r="AX62" s="32" t="s">
        <v>4</v>
      </c>
      <c r="AY62" s="32"/>
      <c r="AZ62" s="33"/>
      <c r="BA62" s="32"/>
      <c r="BB62" s="35"/>
    </row>
    <row r="63" spans="1:54" ht="39" x14ac:dyDescent="0.25">
      <c r="A63" s="32">
        <v>1392481230</v>
      </c>
      <c r="B63" s="32" t="s">
        <v>861</v>
      </c>
      <c r="C63" s="32" t="s">
        <v>862</v>
      </c>
      <c r="D63" s="32" t="s">
        <v>354</v>
      </c>
      <c r="E63" s="32" t="s">
        <v>173</v>
      </c>
      <c r="F63" s="32" t="s">
        <v>440</v>
      </c>
      <c r="G63" s="32">
        <v>1702</v>
      </c>
      <c r="H63" s="32" t="s">
        <v>368</v>
      </c>
      <c r="I63" s="32" t="s">
        <v>488</v>
      </c>
      <c r="J63" s="32" t="s">
        <v>360</v>
      </c>
      <c r="K63" s="32"/>
      <c r="L63" s="33"/>
      <c r="M63" s="32"/>
      <c r="N63" s="32"/>
      <c r="O63" s="32"/>
      <c r="P63" s="33"/>
      <c r="Q63" s="32"/>
      <c r="R63" s="32"/>
      <c r="S63" s="32"/>
      <c r="T63" s="32"/>
      <c r="U63" s="32"/>
      <c r="V63" s="32"/>
      <c r="W63" s="33"/>
      <c r="X63" s="32"/>
      <c r="Y63" s="32"/>
      <c r="Z63" s="32"/>
      <c r="AA63" s="33"/>
      <c r="AB63" s="32"/>
      <c r="AC63" s="32"/>
      <c r="AD63" s="32"/>
      <c r="AE63" s="33"/>
      <c r="AF63" s="32"/>
      <c r="AG63" s="32"/>
      <c r="AH63" s="32"/>
      <c r="AI63" s="33"/>
      <c r="AJ63" s="32"/>
      <c r="AK63" s="32"/>
      <c r="AL63" s="32"/>
      <c r="AM63" s="33"/>
      <c r="AN63" s="32"/>
      <c r="AO63" s="32"/>
      <c r="AP63" s="32"/>
      <c r="AQ63" s="32"/>
      <c r="AR63" s="32"/>
      <c r="AS63" s="32"/>
      <c r="AT63" s="32"/>
      <c r="AU63" s="32"/>
      <c r="AV63" s="33"/>
      <c r="AW63" s="32"/>
      <c r="AX63" s="32"/>
      <c r="AY63" s="32" t="s">
        <v>655</v>
      </c>
      <c r="AZ63" s="33">
        <v>45237</v>
      </c>
      <c r="BA63" s="32" t="s">
        <v>212</v>
      </c>
      <c r="BB63" s="35" t="s">
        <v>4</v>
      </c>
    </row>
    <row r="64" spans="1:54" ht="39" x14ac:dyDescent="0.25">
      <c r="A64" s="32">
        <v>1218608114</v>
      </c>
      <c r="B64" s="32" t="s">
        <v>863</v>
      </c>
      <c r="C64" s="32" t="s">
        <v>864</v>
      </c>
      <c r="D64" s="32" t="s">
        <v>354</v>
      </c>
      <c r="E64" s="32" t="s">
        <v>170</v>
      </c>
      <c r="F64" s="32" t="s">
        <v>440</v>
      </c>
      <c r="G64" s="32">
        <v>1702</v>
      </c>
      <c r="H64" s="32" t="s">
        <v>368</v>
      </c>
      <c r="I64" s="32" t="s">
        <v>488</v>
      </c>
      <c r="J64" s="32" t="s">
        <v>360</v>
      </c>
      <c r="K64" s="32"/>
      <c r="L64" s="33"/>
      <c r="M64" s="32"/>
      <c r="N64" s="32"/>
      <c r="O64" s="32"/>
      <c r="P64" s="33"/>
      <c r="Q64" s="32"/>
      <c r="R64" s="32"/>
      <c r="S64" s="32"/>
      <c r="T64" s="32"/>
      <c r="U64" s="32"/>
      <c r="V64" s="32" t="s">
        <v>655</v>
      </c>
      <c r="W64" s="33">
        <v>45245</v>
      </c>
      <c r="X64" s="32" t="s">
        <v>212</v>
      </c>
      <c r="Y64" s="32" t="s">
        <v>4</v>
      </c>
      <c r="Z64" s="32" t="s">
        <v>655</v>
      </c>
      <c r="AA64" s="33">
        <v>45236</v>
      </c>
      <c r="AB64" s="32" t="s">
        <v>212</v>
      </c>
      <c r="AC64" s="32" t="s">
        <v>4</v>
      </c>
      <c r="AD64" s="32"/>
      <c r="AE64" s="33"/>
      <c r="AF64" s="32"/>
      <c r="AG64" s="32"/>
      <c r="AH64" s="32"/>
      <c r="AI64" s="33"/>
      <c r="AJ64" s="32"/>
      <c r="AK64" s="32"/>
      <c r="AL64" s="32" t="s">
        <v>655</v>
      </c>
      <c r="AM64" s="33">
        <v>45225</v>
      </c>
      <c r="AN64" s="32" t="s">
        <v>212</v>
      </c>
      <c r="AO64" s="32"/>
      <c r="AP64" s="32">
        <v>48</v>
      </c>
      <c r="AQ64" s="32">
        <v>3</v>
      </c>
      <c r="AR64" s="32" t="s">
        <v>683</v>
      </c>
      <c r="AS64" s="32" t="s">
        <v>684</v>
      </c>
      <c r="AT64" s="32" t="s">
        <v>168</v>
      </c>
      <c r="AU64" s="32"/>
      <c r="AV64" s="33"/>
      <c r="AW64" s="32"/>
      <c r="AX64" s="32"/>
      <c r="AY64" s="32" t="s">
        <v>655</v>
      </c>
      <c r="AZ64" s="33">
        <v>45237</v>
      </c>
      <c r="BA64" s="32" t="s">
        <v>212</v>
      </c>
      <c r="BB64" s="35" t="s">
        <v>4</v>
      </c>
    </row>
    <row r="65" spans="1:54" ht="51.75" x14ac:dyDescent="0.25">
      <c r="A65" s="32">
        <v>1337008006</v>
      </c>
      <c r="B65" s="32" t="s">
        <v>865</v>
      </c>
      <c r="C65" s="32" t="s">
        <v>866</v>
      </c>
      <c r="D65" s="32" t="s">
        <v>354</v>
      </c>
      <c r="E65" s="32" t="s">
        <v>867</v>
      </c>
      <c r="F65" s="32" t="s">
        <v>440</v>
      </c>
      <c r="G65" s="32">
        <v>1799</v>
      </c>
      <c r="H65" s="32" t="s">
        <v>368</v>
      </c>
      <c r="I65" s="32" t="s">
        <v>488</v>
      </c>
      <c r="J65" s="32" t="s">
        <v>375</v>
      </c>
      <c r="K65" s="32" t="s">
        <v>655</v>
      </c>
      <c r="L65" s="33">
        <v>45236</v>
      </c>
      <c r="M65" s="32" t="s">
        <v>212</v>
      </c>
      <c r="N65" s="32" t="s">
        <v>4</v>
      </c>
      <c r="O65" s="32"/>
      <c r="P65" s="33"/>
      <c r="Q65" s="32"/>
      <c r="R65" s="32"/>
      <c r="S65" s="32"/>
      <c r="T65" s="32"/>
      <c r="U65" s="32"/>
      <c r="V65" s="32" t="s">
        <v>655</v>
      </c>
      <c r="W65" s="33">
        <v>45273</v>
      </c>
      <c r="X65" s="32" t="s">
        <v>212</v>
      </c>
      <c r="Y65" s="32" t="s">
        <v>4</v>
      </c>
      <c r="Z65" s="32"/>
      <c r="AA65" s="33"/>
      <c r="AB65" s="32"/>
      <c r="AC65" s="32"/>
      <c r="AD65" s="32"/>
      <c r="AE65" s="33"/>
      <c r="AF65" s="32"/>
      <c r="AG65" s="32"/>
      <c r="AH65" s="32"/>
      <c r="AI65" s="33"/>
      <c r="AJ65" s="32"/>
      <c r="AK65" s="32"/>
      <c r="AL65" s="32"/>
      <c r="AM65" s="33"/>
      <c r="AN65" s="32"/>
      <c r="AO65" s="32"/>
      <c r="AP65" s="32"/>
      <c r="AQ65" s="32"/>
      <c r="AR65" s="32"/>
      <c r="AS65" s="32"/>
      <c r="AT65" s="32"/>
      <c r="AU65" s="32" t="s">
        <v>655</v>
      </c>
      <c r="AV65" s="33">
        <v>45201</v>
      </c>
      <c r="AW65" s="32" t="s">
        <v>212</v>
      </c>
      <c r="AX65" s="32" t="s">
        <v>4</v>
      </c>
      <c r="AY65" s="32" t="s">
        <v>655</v>
      </c>
      <c r="AZ65" s="33">
        <v>45237</v>
      </c>
      <c r="BA65" s="32" t="s">
        <v>212</v>
      </c>
      <c r="BB65" s="35" t="s">
        <v>4</v>
      </c>
    </row>
    <row r="66" spans="1:54" ht="51.75" x14ac:dyDescent="0.25">
      <c r="A66" s="32">
        <v>1492116113</v>
      </c>
      <c r="B66" s="32" t="s">
        <v>868</v>
      </c>
      <c r="C66" s="32" t="s">
        <v>869</v>
      </c>
      <c r="D66" s="32" t="s">
        <v>354</v>
      </c>
      <c r="E66" s="32" t="s">
        <v>161</v>
      </c>
      <c r="F66" s="32" t="s">
        <v>440</v>
      </c>
      <c r="G66" s="32">
        <v>1721</v>
      </c>
      <c r="H66" s="32" t="s">
        <v>368</v>
      </c>
      <c r="I66" s="32" t="s">
        <v>488</v>
      </c>
      <c r="J66" s="32" t="s">
        <v>375</v>
      </c>
      <c r="K66" s="32"/>
      <c r="L66" s="33"/>
      <c r="M66" s="32"/>
      <c r="N66" s="32"/>
      <c r="O66" s="32" t="s">
        <v>655</v>
      </c>
      <c r="P66" s="33">
        <v>45267</v>
      </c>
      <c r="Q66" s="32" t="s">
        <v>212</v>
      </c>
      <c r="R66" s="32" t="b">
        <v>0</v>
      </c>
      <c r="S66" s="32">
        <v>394</v>
      </c>
      <c r="T66" s="32" t="s">
        <v>681</v>
      </c>
      <c r="U66" s="32" t="s">
        <v>682</v>
      </c>
      <c r="V66" s="32"/>
      <c r="W66" s="33"/>
      <c r="X66" s="32"/>
      <c r="Y66" s="32"/>
      <c r="Z66" s="32"/>
      <c r="AA66" s="33"/>
      <c r="AB66" s="32"/>
      <c r="AC66" s="32"/>
      <c r="AD66" s="32"/>
      <c r="AE66" s="33"/>
      <c r="AF66" s="32"/>
      <c r="AG66" s="32"/>
      <c r="AH66" s="32"/>
      <c r="AI66" s="33"/>
      <c r="AJ66" s="32"/>
      <c r="AK66" s="32"/>
      <c r="AL66" s="32"/>
      <c r="AM66" s="33"/>
      <c r="AN66" s="32"/>
      <c r="AO66" s="32"/>
      <c r="AP66" s="32"/>
      <c r="AQ66" s="32"/>
      <c r="AR66" s="32"/>
      <c r="AS66" s="32"/>
      <c r="AT66" s="32"/>
      <c r="AU66" s="32"/>
      <c r="AV66" s="33"/>
      <c r="AW66" s="32"/>
      <c r="AX66" s="32"/>
      <c r="AY66" s="32"/>
      <c r="AZ66" s="33"/>
      <c r="BA66" s="32"/>
      <c r="BB66" s="35"/>
    </row>
    <row r="67" spans="1:54" ht="51.75" x14ac:dyDescent="0.25">
      <c r="A67" s="32">
        <v>1362430276</v>
      </c>
      <c r="B67" s="32" t="s">
        <v>870</v>
      </c>
      <c r="C67" s="32" t="s">
        <v>871</v>
      </c>
      <c r="D67" s="32" t="s">
        <v>354</v>
      </c>
      <c r="E67" s="32" t="s">
        <v>158</v>
      </c>
      <c r="F67" s="32" t="s">
        <v>440</v>
      </c>
      <c r="G67" s="32">
        <v>1721</v>
      </c>
      <c r="H67" s="32" t="s">
        <v>368</v>
      </c>
      <c r="I67" s="32" t="s">
        <v>488</v>
      </c>
      <c r="J67" s="32" t="s">
        <v>375</v>
      </c>
      <c r="K67" s="32" t="s">
        <v>655</v>
      </c>
      <c r="L67" s="33">
        <v>45236</v>
      </c>
      <c r="M67" s="32" t="s">
        <v>212</v>
      </c>
      <c r="N67" s="32" t="s">
        <v>4</v>
      </c>
      <c r="O67" s="32"/>
      <c r="P67" s="33"/>
      <c r="Q67" s="32"/>
      <c r="R67" s="32"/>
      <c r="S67" s="32"/>
      <c r="T67" s="32"/>
      <c r="U67" s="32"/>
      <c r="V67" s="32"/>
      <c r="W67" s="33"/>
      <c r="X67" s="32"/>
      <c r="Y67" s="32"/>
      <c r="Z67" s="32"/>
      <c r="AA67" s="33"/>
      <c r="AB67" s="32"/>
      <c r="AC67" s="32"/>
      <c r="AD67" s="32"/>
      <c r="AE67" s="33"/>
      <c r="AF67" s="32"/>
      <c r="AG67" s="32"/>
      <c r="AH67" s="32"/>
      <c r="AI67" s="33"/>
      <c r="AJ67" s="32"/>
      <c r="AK67" s="32"/>
      <c r="AL67" s="32"/>
      <c r="AM67" s="33"/>
      <c r="AN67" s="32"/>
      <c r="AO67" s="32"/>
      <c r="AP67" s="32"/>
      <c r="AQ67" s="32"/>
      <c r="AR67" s="32"/>
      <c r="AS67" s="32"/>
      <c r="AT67" s="32"/>
      <c r="AU67" s="32" t="s">
        <v>655</v>
      </c>
      <c r="AV67" s="33">
        <v>45224</v>
      </c>
      <c r="AW67" s="32" t="s">
        <v>212</v>
      </c>
      <c r="AX67" s="32" t="s">
        <v>4</v>
      </c>
      <c r="AY67" s="32" t="s">
        <v>655</v>
      </c>
      <c r="AZ67" s="33">
        <v>45237</v>
      </c>
      <c r="BA67" s="32" t="s">
        <v>212</v>
      </c>
      <c r="BB67" s="35" t="s">
        <v>4</v>
      </c>
    </row>
    <row r="68" spans="1:54" ht="51.75" x14ac:dyDescent="0.25">
      <c r="A68" s="32">
        <v>1505173816</v>
      </c>
      <c r="B68" s="32" t="s">
        <v>872</v>
      </c>
      <c r="C68" s="32" t="s">
        <v>856</v>
      </c>
      <c r="D68" s="32" t="s">
        <v>354</v>
      </c>
      <c r="E68" s="32" t="s">
        <v>158</v>
      </c>
      <c r="F68" s="32" t="s">
        <v>440</v>
      </c>
      <c r="G68" s="32">
        <v>1721</v>
      </c>
      <c r="H68" s="32" t="s">
        <v>414</v>
      </c>
      <c r="I68" s="32" t="s">
        <v>488</v>
      </c>
      <c r="J68" s="32" t="s">
        <v>375</v>
      </c>
      <c r="K68" s="32"/>
      <c r="L68" s="33"/>
      <c r="M68" s="32"/>
      <c r="N68" s="32"/>
      <c r="O68" s="32"/>
      <c r="P68" s="33"/>
      <c r="Q68" s="32"/>
      <c r="R68" s="32"/>
      <c r="S68" s="32"/>
      <c r="T68" s="32"/>
      <c r="U68" s="32"/>
      <c r="V68" s="32" t="s">
        <v>655</v>
      </c>
      <c r="W68" s="33">
        <v>45245</v>
      </c>
      <c r="X68" s="32" t="s">
        <v>212</v>
      </c>
      <c r="Y68" s="32" t="s">
        <v>4</v>
      </c>
      <c r="Z68" s="32"/>
      <c r="AA68" s="33"/>
      <c r="AB68" s="32"/>
      <c r="AC68" s="32"/>
      <c r="AD68" s="32"/>
      <c r="AE68" s="33"/>
      <c r="AF68" s="32"/>
      <c r="AG68" s="32"/>
      <c r="AH68" s="32"/>
      <c r="AI68" s="33"/>
      <c r="AJ68" s="32"/>
      <c r="AK68" s="32"/>
      <c r="AL68" s="32"/>
      <c r="AM68" s="33"/>
      <c r="AN68" s="32"/>
      <c r="AO68" s="32"/>
      <c r="AP68" s="32"/>
      <c r="AQ68" s="32"/>
      <c r="AR68" s="32"/>
      <c r="AS68" s="32"/>
      <c r="AT68" s="32"/>
      <c r="AU68" s="32" t="s">
        <v>655</v>
      </c>
      <c r="AV68" s="33">
        <v>45217</v>
      </c>
      <c r="AW68" s="32" t="s">
        <v>212</v>
      </c>
      <c r="AX68" s="32" t="s">
        <v>4</v>
      </c>
      <c r="AY68" s="32"/>
      <c r="AZ68" s="33"/>
      <c r="BA68" s="32"/>
      <c r="BB68" s="35"/>
    </row>
    <row r="69" spans="1:54" ht="51.75" x14ac:dyDescent="0.25">
      <c r="A69" s="32">
        <v>1224436146</v>
      </c>
      <c r="B69" s="32" t="s">
        <v>873</v>
      </c>
      <c r="C69" s="32" t="s">
        <v>874</v>
      </c>
      <c r="D69" s="32" t="s">
        <v>354</v>
      </c>
      <c r="E69" s="32" t="s">
        <v>155</v>
      </c>
      <c r="F69" s="32" t="s">
        <v>440</v>
      </c>
      <c r="G69" s="32">
        <v>1721</v>
      </c>
      <c r="H69" s="32" t="s">
        <v>368</v>
      </c>
      <c r="I69" s="32" t="s">
        <v>488</v>
      </c>
      <c r="J69" s="32" t="s">
        <v>375</v>
      </c>
      <c r="K69" s="32"/>
      <c r="L69" s="33"/>
      <c r="M69" s="32"/>
      <c r="N69" s="32"/>
      <c r="O69" s="32"/>
      <c r="P69" s="33"/>
      <c r="Q69" s="32"/>
      <c r="R69" s="32"/>
      <c r="S69" s="32"/>
      <c r="T69" s="32"/>
      <c r="U69" s="32"/>
      <c r="V69" s="32"/>
      <c r="W69" s="33"/>
      <c r="X69" s="32"/>
      <c r="Y69" s="32"/>
      <c r="Z69" s="32"/>
      <c r="AA69" s="33"/>
      <c r="AB69" s="32"/>
      <c r="AC69" s="32"/>
      <c r="AD69" s="32"/>
      <c r="AE69" s="33"/>
      <c r="AF69" s="32"/>
      <c r="AG69" s="32"/>
      <c r="AH69" s="32"/>
      <c r="AI69" s="33"/>
      <c r="AJ69" s="32"/>
      <c r="AK69" s="32"/>
      <c r="AL69" s="32"/>
      <c r="AM69" s="33"/>
      <c r="AN69" s="32"/>
      <c r="AO69" s="32"/>
      <c r="AP69" s="32"/>
      <c r="AQ69" s="32"/>
      <c r="AR69" s="32"/>
      <c r="AS69" s="32"/>
      <c r="AT69" s="32"/>
      <c r="AU69" s="32" t="s">
        <v>655</v>
      </c>
      <c r="AV69" s="33">
        <v>45215</v>
      </c>
      <c r="AW69" s="32" t="s">
        <v>212</v>
      </c>
      <c r="AX69" s="32" t="s">
        <v>4</v>
      </c>
      <c r="AY69" s="32" t="s">
        <v>655</v>
      </c>
      <c r="AZ69" s="33">
        <v>45217</v>
      </c>
      <c r="BA69" s="32" t="s">
        <v>212</v>
      </c>
      <c r="BB69" s="35" t="s">
        <v>4</v>
      </c>
    </row>
    <row r="70" spans="1:54" ht="51.75" x14ac:dyDescent="0.25">
      <c r="A70" s="32">
        <v>1273180803</v>
      </c>
      <c r="B70" s="32" t="s">
        <v>875</v>
      </c>
      <c r="C70" s="32" t="s">
        <v>876</v>
      </c>
      <c r="D70" s="32" t="s">
        <v>354</v>
      </c>
      <c r="E70" s="32" t="s">
        <v>155</v>
      </c>
      <c r="F70" s="32" t="s">
        <v>440</v>
      </c>
      <c r="G70" s="32">
        <v>1721</v>
      </c>
      <c r="H70" s="32" t="s">
        <v>368</v>
      </c>
      <c r="I70" s="32" t="s">
        <v>488</v>
      </c>
      <c r="J70" s="32" t="s">
        <v>375</v>
      </c>
      <c r="K70" s="32"/>
      <c r="L70" s="33"/>
      <c r="M70" s="32"/>
      <c r="N70" s="32"/>
      <c r="O70" s="32"/>
      <c r="P70" s="33"/>
      <c r="Q70" s="32"/>
      <c r="R70" s="32"/>
      <c r="S70" s="32"/>
      <c r="T70" s="32"/>
      <c r="U70" s="32"/>
      <c r="V70" s="32"/>
      <c r="W70" s="33"/>
      <c r="X70" s="32"/>
      <c r="Y70" s="32"/>
      <c r="Z70" s="32"/>
      <c r="AA70" s="33"/>
      <c r="AB70" s="32"/>
      <c r="AC70" s="32"/>
      <c r="AD70" s="32"/>
      <c r="AE70" s="33"/>
      <c r="AF70" s="32"/>
      <c r="AG70" s="32"/>
      <c r="AH70" s="32"/>
      <c r="AI70" s="33"/>
      <c r="AJ70" s="32"/>
      <c r="AK70" s="32"/>
      <c r="AL70" s="32"/>
      <c r="AM70" s="33"/>
      <c r="AN70" s="32"/>
      <c r="AO70" s="32"/>
      <c r="AP70" s="32"/>
      <c r="AQ70" s="32"/>
      <c r="AR70" s="32"/>
      <c r="AS70" s="32"/>
      <c r="AT70" s="32"/>
      <c r="AU70" s="32" t="s">
        <v>655</v>
      </c>
      <c r="AV70" s="33">
        <v>45263</v>
      </c>
      <c r="AW70" s="32" t="s">
        <v>212</v>
      </c>
      <c r="AX70" s="32" t="s">
        <v>4</v>
      </c>
      <c r="AY70" s="32"/>
      <c r="AZ70" s="33"/>
      <c r="BA70" s="32"/>
      <c r="BB70" s="35"/>
    </row>
    <row r="71" spans="1:54" ht="39" x14ac:dyDescent="0.25">
      <c r="A71" s="32">
        <v>1144600478</v>
      </c>
      <c r="B71" s="32" t="s">
        <v>877</v>
      </c>
      <c r="C71" s="32" t="s">
        <v>878</v>
      </c>
      <c r="D71" s="32" t="s">
        <v>354</v>
      </c>
      <c r="E71" s="32" t="s">
        <v>170</v>
      </c>
      <c r="F71" s="32" t="s">
        <v>440</v>
      </c>
      <c r="G71" s="32">
        <v>1702</v>
      </c>
      <c r="H71" s="32" t="s">
        <v>368</v>
      </c>
      <c r="I71" s="32" t="s">
        <v>486</v>
      </c>
      <c r="J71" s="32" t="s">
        <v>360</v>
      </c>
      <c r="K71" s="32" t="s">
        <v>655</v>
      </c>
      <c r="L71" s="33">
        <v>45236</v>
      </c>
      <c r="M71" s="32" t="s">
        <v>212</v>
      </c>
      <c r="N71" s="32" t="s">
        <v>4</v>
      </c>
      <c r="O71" s="32"/>
      <c r="P71" s="33"/>
      <c r="Q71" s="32"/>
      <c r="R71" s="32"/>
      <c r="S71" s="32"/>
      <c r="T71" s="32"/>
      <c r="U71" s="32"/>
      <c r="V71" s="32"/>
      <c r="W71" s="33"/>
      <c r="X71" s="32"/>
      <c r="Y71" s="32"/>
      <c r="Z71" s="32"/>
      <c r="AA71" s="33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3"/>
      <c r="AN71" s="32"/>
      <c r="AO71" s="32"/>
      <c r="AP71" s="32"/>
      <c r="AQ71" s="32"/>
      <c r="AR71" s="32"/>
      <c r="AS71" s="32"/>
      <c r="AT71" s="32"/>
      <c r="AU71" s="32" t="s">
        <v>655</v>
      </c>
      <c r="AV71" s="33">
        <v>45217</v>
      </c>
      <c r="AW71" s="32" t="s">
        <v>212</v>
      </c>
      <c r="AX71" s="32" t="s">
        <v>4</v>
      </c>
      <c r="AY71" s="32" t="s">
        <v>655</v>
      </c>
      <c r="AZ71" s="33">
        <v>45236</v>
      </c>
      <c r="BA71" s="32" t="s">
        <v>212</v>
      </c>
      <c r="BB71" s="35" t="s">
        <v>4</v>
      </c>
    </row>
    <row r="72" spans="1:54" ht="51.75" x14ac:dyDescent="0.25">
      <c r="A72" s="32">
        <v>1208649546</v>
      </c>
      <c r="B72" s="32" t="s">
        <v>879</v>
      </c>
      <c r="C72" s="32" t="s">
        <v>880</v>
      </c>
      <c r="D72" s="32" t="s">
        <v>354</v>
      </c>
      <c r="E72" s="32" t="s">
        <v>161</v>
      </c>
      <c r="F72" s="32" t="s">
        <v>440</v>
      </c>
      <c r="G72" s="32">
        <v>1721</v>
      </c>
      <c r="H72" s="32" t="s">
        <v>368</v>
      </c>
      <c r="I72" s="32" t="s">
        <v>486</v>
      </c>
      <c r="J72" s="32" t="s">
        <v>375</v>
      </c>
      <c r="K72" s="32"/>
      <c r="L72" s="33"/>
      <c r="M72" s="32"/>
      <c r="N72" s="32"/>
      <c r="O72" s="32"/>
      <c r="P72" s="33"/>
      <c r="Q72" s="32"/>
      <c r="R72" s="32"/>
      <c r="S72" s="32"/>
      <c r="T72" s="32"/>
      <c r="U72" s="32"/>
      <c r="V72" s="32"/>
      <c r="W72" s="33"/>
      <c r="X72" s="32"/>
      <c r="Y72" s="32"/>
      <c r="Z72" s="32"/>
      <c r="AA72" s="33"/>
      <c r="AB72" s="32"/>
      <c r="AC72" s="32"/>
      <c r="AD72" s="32"/>
      <c r="AE72" s="33"/>
      <c r="AF72" s="32"/>
      <c r="AG72" s="32"/>
      <c r="AH72" s="32"/>
      <c r="AI72" s="33"/>
      <c r="AJ72" s="32"/>
      <c r="AK72" s="32"/>
      <c r="AL72" s="32"/>
      <c r="AM72" s="33"/>
      <c r="AN72" s="32"/>
      <c r="AO72" s="32"/>
      <c r="AP72" s="32"/>
      <c r="AQ72" s="32"/>
      <c r="AR72" s="32"/>
      <c r="AS72" s="32"/>
      <c r="AT72" s="32"/>
      <c r="AU72" s="32" t="s">
        <v>655</v>
      </c>
      <c r="AV72" s="33">
        <v>45250</v>
      </c>
      <c r="AW72" s="32" t="s">
        <v>212</v>
      </c>
      <c r="AX72" s="32" t="s">
        <v>4</v>
      </c>
      <c r="AY72" s="32" t="s">
        <v>655</v>
      </c>
      <c r="AZ72" s="33">
        <v>45251</v>
      </c>
      <c r="BA72" s="32" t="s">
        <v>212</v>
      </c>
      <c r="BB72" s="35" t="s">
        <v>4</v>
      </c>
    </row>
    <row r="73" spans="1:54" ht="51.75" x14ac:dyDescent="0.25">
      <c r="A73" s="32">
        <v>1433270027</v>
      </c>
      <c r="B73" s="32" t="s">
        <v>772</v>
      </c>
      <c r="C73" s="32" t="s">
        <v>881</v>
      </c>
      <c r="D73" s="32" t="s">
        <v>354</v>
      </c>
      <c r="E73" s="32" t="s">
        <v>155</v>
      </c>
      <c r="F73" s="32" t="s">
        <v>440</v>
      </c>
      <c r="G73" s="32">
        <v>1721</v>
      </c>
      <c r="H73" s="32" t="s">
        <v>368</v>
      </c>
      <c r="I73" s="32" t="s">
        <v>486</v>
      </c>
      <c r="J73" s="32" t="s">
        <v>375</v>
      </c>
      <c r="K73" s="32" t="s">
        <v>655</v>
      </c>
      <c r="L73" s="33">
        <v>45236</v>
      </c>
      <c r="M73" s="32" t="s">
        <v>212</v>
      </c>
      <c r="N73" s="32" t="s">
        <v>4</v>
      </c>
      <c r="O73" s="32" t="s">
        <v>655</v>
      </c>
      <c r="P73" s="33">
        <v>45246</v>
      </c>
      <c r="Q73" s="32" t="s">
        <v>453</v>
      </c>
      <c r="R73" s="32" t="b">
        <v>0</v>
      </c>
      <c r="S73" s="32">
        <v>380</v>
      </c>
      <c r="T73" s="32" t="s">
        <v>681</v>
      </c>
      <c r="U73" s="32" t="s">
        <v>682</v>
      </c>
      <c r="V73" s="32" t="s">
        <v>655</v>
      </c>
      <c r="W73" s="33">
        <v>45232</v>
      </c>
      <c r="X73" s="32" t="s">
        <v>212</v>
      </c>
      <c r="Y73" s="32" t="s">
        <v>4</v>
      </c>
      <c r="Z73" s="32"/>
      <c r="AA73" s="33"/>
      <c r="AB73" s="32"/>
      <c r="AC73" s="32"/>
      <c r="AD73" s="32"/>
      <c r="AE73" s="33"/>
      <c r="AF73" s="32"/>
      <c r="AG73" s="32"/>
      <c r="AH73" s="32"/>
      <c r="AI73" s="33"/>
      <c r="AJ73" s="32"/>
      <c r="AK73" s="32"/>
      <c r="AL73" s="32" t="s">
        <v>655</v>
      </c>
      <c r="AM73" s="33">
        <v>45267</v>
      </c>
      <c r="AN73" s="32" t="s">
        <v>212</v>
      </c>
      <c r="AO73" s="32"/>
      <c r="AP73" s="32">
        <v>46</v>
      </c>
      <c r="AQ73" s="32">
        <v>3</v>
      </c>
      <c r="AR73" s="32" t="s">
        <v>685</v>
      </c>
      <c r="AS73" s="32" t="s">
        <v>684</v>
      </c>
      <c r="AT73" s="32" t="s">
        <v>168</v>
      </c>
      <c r="AU73" s="32" t="s">
        <v>655</v>
      </c>
      <c r="AV73" s="33">
        <v>45217</v>
      </c>
      <c r="AW73" s="32" t="s">
        <v>212</v>
      </c>
      <c r="AX73" s="32" t="s">
        <v>4</v>
      </c>
      <c r="AY73" s="32" t="s">
        <v>655</v>
      </c>
      <c r="AZ73" s="33">
        <v>45236</v>
      </c>
      <c r="BA73" s="32" t="s">
        <v>212</v>
      </c>
      <c r="BB73" s="35" t="s">
        <v>4</v>
      </c>
    </row>
    <row r="74" spans="1:54" ht="51.75" x14ac:dyDescent="0.25">
      <c r="A74" s="32">
        <v>1517276328</v>
      </c>
      <c r="B74" s="32" t="s">
        <v>882</v>
      </c>
      <c r="C74" s="32" t="s">
        <v>883</v>
      </c>
      <c r="D74" s="32" t="s">
        <v>354</v>
      </c>
      <c r="E74" s="32" t="s">
        <v>151</v>
      </c>
      <c r="F74" s="32" t="s">
        <v>440</v>
      </c>
      <c r="G74" s="32">
        <v>1721</v>
      </c>
      <c r="H74" s="32" t="s">
        <v>368</v>
      </c>
      <c r="I74" s="32" t="s">
        <v>486</v>
      </c>
      <c r="J74" s="32" t="s">
        <v>375</v>
      </c>
      <c r="K74" s="32"/>
      <c r="L74" s="33"/>
      <c r="M74" s="32"/>
      <c r="N74" s="32"/>
      <c r="O74" s="32"/>
      <c r="P74" s="33"/>
      <c r="Q74" s="32"/>
      <c r="R74" s="32"/>
      <c r="S74" s="32"/>
      <c r="T74" s="32"/>
      <c r="U74" s="32"/>
      <c r="V74" s="32" t="s">
        <v>655</v>
      </c>
      <c r="W74" s="33">
        <v>45245</v>
      </c>
      <c r="X74" s="32" t="s">
        <v>212</v>
      </c>
      <c r="Y74" s="32" t="s">
        <v>4</v>
      </c>
      <c r="Z74" s="32" t="s">
        <v>655</v>
      </c>
      <c r="AA74" s="33">
        <v>45236</v>
      </c>
      <c r="AB74" s="32" t="s">
        <v>212</v>
      </c>
      <c r="AC74" s="32" t="s">
        <v>4</v>
      </c>
      <c r="AD74" s="32"/>
      <c r="AE74" s="33"/>
      <c r="AF74" s="32"/>
      <c r="AG74" s="32"/>
      <c r="AH74" s="32"/>
      <c r="AI74" s="33"/>
      <c r="AJ74" s="32"/>
      <c r="AK74" s="32"/>
      <c r="AL74" s="32"/>
      <c r="AM74" s="33"/>
      <c r="AN74" s="32"/>
      <c r="AO74" s="32"/>
      <c r="AP74" s="32"/>
      <c r="AQ74" s="32"/>
      <c r="AR74" s="32"/>
      <c r="AS74" s="32"/>
      <c r="AT74" s="32"/>
      <c r="AU74" s="32" t="s">
        <v>655</v>
      </c>
      <c r="AV74" s="33">
        <v>45200</v>
      </c>
      <c r="AW74" s="32" t="s">
        <v>212</v>
      </c>
      <c r="AX74" s="32" t="s">
        <v>4</v>
      </c>
      <c r="AY74" s="32" t="s">
        <v>655</v>
      </c>
      <c r="AZ74" s="33">
        <v>45237</v>
      </c>
      <c r="BA74" s="32" t="s">
        <v>212</v>
      </c>
      <c r="BB74" s="35" t="s">
        <v>4</v>
      </c>
    </row>
    <row r="75" spans="1:54" ht="51.75" x14ac:dyDescent="0.25">
      <c r="A75" s="32">
        <v>1312308399</v>
      </c>
      <c r="B75" s="32" t="s">
        <v>884</v>
      </c>
      <c r="C75" s="32" t="s">
        <v>885</v>
      </c>
      <c r="D75" s="32" t="s">
        <v>354</v>
      </c>
      <c r="E75" s="32" t="s">
        <v>147</v>
      </c>
      <c r="F75" s="32" t="s">
        <v>440</v>
      </c>
      <c r="G75" s="32">
        <v>231</v>
      </c>
      <c r="H75" s="32" t="s">
        <v>368</v>
      </c>
      <c r="I75" s="32" t="s">
        <v>486</v>
      </c>
      <c r="J75" s="32" t="s">
        <v>375</v>
      </c>
      <c r="K75" s="32" t="s">
        <v>655</v>
      </c>
      <c r="L75" s="33">
        <v>45236</v>
      </c>
      <c r="M75" s="32" t="s">
        <v>212</v>
      </c>
      <c r="N75" s="32" t="s">
        <v>4</v>
      </c>
      <c r="O75" s="32"/>
      <c r="P75" s="32"/>
      <c r="Q75" s="32"/>
      <c r="R75" s="32"/>
      <c r="S75" s="32"/>
      <c r="T75" s="32"/>
      <c r="U75" s="32"/>
      <c r="V75" s="32"/>
      <c r="W75" s="33"/>
      <c r="X75" s="32"/>
      <c r="Y75" s="32"/>
      <c r="Z75" s="32"/>
      <c r="AA75" s="33"/>
      <c r="AB75" s="32"/>
      <c r="AC75" s="32"/>
      <c r="AD75" s="32"/>
      <c r="AE75" s="33"/>
      <c r="AF75" s="32"/>
      <c r="AG75" s="32"/>
      <c r="AH75" s="32"/>
      <c r="AI75" s="33"/>
      <c r="AJ75" s="32"/>
      <c r="AK75" s="32"/>
      <c r="AL75" s="32"/>
      <c r="AM75" s="33"/>
      <c r="AN75" s="32"/>
      <c r="AO75" s="32"/>
      <c r="AP75" s="32"/>
      <c r="AQ75" s="32"/>
      <c r="AR75" s="32"/>
      <c r="AS75" s="32"/>
      <c r="AT75" s="32"/>
      <c r="AU75" s="32"/>
      <c r="AV75" s="33"/>
      <c r="AW75" s="32"/>
      <c r="AX75" s="32"/>
      <c r="AY75" s="32" t="s">
        <v>655</v>
      </c>
      <c r="AZ75" s="33">
        <v>45237</v>
      </c>
      <c r="BA75" s="32" t="s">
        <v>212</v>
      </c>
      <c r="BB75" s="35" t="s">
        <v>4</v>
      </c>
    </row>
    <row r="76" spans="1:54" ht="51.75" x14ac:dyDescent="0.25">
      <c r="A76" s="32">
        <v>1025451492</v>
      </c>
      <c r="B76" s="32" t="s">
        <v>886</v>
      </c>
      <c r="C76" s="32" t="s">
        <v>887</v>
      </c>
      <c r="D76" s="32" t="s">
        <v>354</v>
      </c>
      <c r="E76" s="32" t="s">
        <v>147</v>
      </c>
      <c r="F76" s="32" t="s">
        <v>440</v>
      </c>
      <c r="G76" s="32">
        <v>1721</v>
      </c>
      <c r="H76" s="32" t="s">
        <v>368</v>
      </c>
      <c r="I76" s="32" t="s">
        <v>486</v>
      </c>
      <c r="J76" s="32" t="s">
        <v>375</v>
      </c>
      <c r="K76" s="32"/>
      <c r="L76" s="33"/>
      <c r="M76" s="32"/>
      <c r="N76" s="32"/>
      <c r="O76" s="32"/>
      <c r="P76" s="33"/>
      <c r="Q76" s="32"/>
      <c r="R76" s="32"/>
      <c r="S76" s="32"/>
      <c r="T76" s="32"/>
      <c r="U76" s="32"/>
      <c r="V76" s="32"/>
      <c r="W76" s="33"/>
      <c r="X76" s="32"/>
      <c r="Y76" s="32"/>
      <c r="Z76" s="32"/>
      <c r="AA76" s="33"/>
      <c r="AB76" s="32"/>
      <c r="AC76" s="32"/>
      <c r="AD76" s="32"/>
      <c r="AE76" s="33"/>
      <c r="AF76" s="32"/>
      <c r="AG76" s="32"/>
      <c r="AH76" s="32"/>
      <c r="AI76" s="33"/>
      <c r="AJ76" s="32"/>
      <c r="AK76" s="32"/>
      <c r="AL76" s="32"/>
      <c r="AM76" s="33"/>
      <c r="AN76" s="32"/>
      <c r="AO76" s="32"/>
      <c r="AP76" s="32"/>
      <c r="AQ76" s="32"/>
      <c r="AR76" s="32"/>
      <c r="AS76" s="32"/>
      <c r="AT76" s="32"/>
      <c r="AU76" s="32" t="s">
        <v>655</v>
      </c>
      <c r="AV76" s="33">
        <v>45307</v>
      </c>
      <c r="AW76" s="32" t="s">
        <v>212</v>
      </c>
      <c r="AX76" s="32" t="s">
        <v>4</v>
      </c>
      <c r="AY76" s="32"/>
      <c r="AZ76" s="33"/>
      <c r="BA76" s="32"/>
      <c r="BB76" s="35"/>
    </row>
    <row r="77" spans="1:54" ht="39" x14ac:dyDescent="0.25">
      <c r="A77" s="32">
        <v>1041964509</v>
      </c>
      <c r="B77" s="32" t="s">
        <v>888</v>
      </c>
      <c r="C77" s="32" t="s">
        <v>889</v>
      </c>
      <c r="D77" s="32" t="s">
        <v>354</v>
      </c>
      <c r="E77" s="32" t="s">
        <v>176</v>
      </c>
      <c r="F77" s="32" t="s">
        <v>440</v>
      </c>
      <c r="G77" s="32">
        <v>1702</v>
      </c>
      <c r="H77" s="32" t="s">
        <v>368</v>
      </c>
      <c r="I77" s="32" t="s">
        <v>490</v>
      </c>
      <c r="J77" s="32" t="s">
        <v>360</v>
      </c>
      <c r="K77" s="32" t="s">
        <v>655</v>
      </c>
      <c r="L77" s="33">
        <v>45231</v>
      </c>
      <c r="M77" s="32" t="s">
        <v>212</v>
      </c>
      <c r="N77" s="32" t="s">
        <v>4</v>
      </c>
      <c r="O77" s="32"/>
      <c r="P77" s="32"/>
      <c r="Q77" s="32"/>
      <c r="R77" s="32"/>
      <c r="S77" s="32"/>
      <c r="T77" s="32"/>
      <c r="U77" s="32"/>
      <c r="V77" s="32" t="s">
        <v>655</v>
      </c>
      <c r="W77" s="33">
        <v>45245</v>
      </c>
      <c r="X77" s="32" t="s">
        <v>212</v>
      </c>
      <c r="Y77" s="32" t="s">
        <v>4</v>
      </c>
      <c r="Z77" s="32" t="s">
        <v>655</v>
      </c>
      <c r="AA77" s="33">
        <v>45231</v>
      </c>
      <c r="AB77" s="32" t="s">
        <v>212</v>
      </c>
      <c r="AC77" s="32" t="s">
        <v>4</v>
      </c>
      <c r="AD77" s="32" t="s">
        <v>655</v>
      </c>
      <c r="AE77" s="33">
        <v>45237</v>
      </c>
      <c r="AF77" s="32" t="s">
        <v>212</v>
      </c>
      <c r="AG77" s="32" t="s">
        <v>4</v>
      </c>
      <c r="AH77" s="32" t="s">
        <v>655</v>
      </c>
      <c r="AI77" s="33">
        <v>45231</v>
      </c>
      <c r="AJ77" s="32" t="s">
        <v>212</v>
      </c>
      <c r="AK77" s="32" t="s">
        <v>4</v>
      </c>
      <c r="AL77" s="32"/>
      <c r="AM77" s="33"/>
      <c r="AN77" s="32"/>
      <c r="AO77" s="32"/>
      <c r="AP77" s="32"/>
      <c r="AQ77" s="32"/>
      <c r="AR77" s="32"/>
      <c r="AS77" s="32"/>
      <c r="AT77" s="32"/>
      <c r="AU77" s="32" t="s">
        <v>655</v>
      </c>
      <c r="AV77" s="33">
        <v>45221</v>
      </c>
      <c r="AW77" s="32" t="s">
        <v>212</v>
      </c>
      <c r="AX77" s="32" t="s">
        <v>4</v>
      </c>
      <c r="AY77" s="32" t="s">
        <v>655</v>
      </c>
      <c r="AZ77" s="33">
        <v>45237</v>
      </c>
      <c r="BA77" s="32" t="s">
        <v>212</v>
      </c>
      <c r="BB77" s="35" t="s">
        <v>4</v>
      </c>
    </row>
    <row r="78" spans="1:54" ht="39" x14ac:dyDescent="0.25">
      <c r="A78" s="32">
        <v>1366872660</v>
      </c>
      <c r="B78" s="32" t="s">
        <v>890</v>
      </c>
      <c r="C78" s="32" t="s">
        <v>875</v>
      </c>
      <c r="D78" s="32" t="s">
        <v>354</v>
      </c>
      <c r="E78" s="32" t="s">
        <v>170</v>
      </c>
      <c r="F78" s="32" t="s">
        <v>440</v>
      </c>
      <c r="G78" s="32">
        <v>1702</v>
      </c>
      <c r="H78" s="32" t="s">
        <v>414</v>
      </c>
      <c r="I78" s="32" t="s">
        <v>490</v>
      </c>
      <c r="J78" s="32" t="s">
        <v>360</v>
      </c>
      <c r="K78" s="32"/>
      <c r="L78" s="33"/>
      <c r="M78" s="32"/>
      <c r="N78" s="32"/>
      <c r="O78" s="32"/>
      <c r="P78" s="33"/>
      <c r="Q78" s="32"/>
      <c r="R78" s="32"/>
      <c r="S78" s="32"/>
      <c r="T78" s="32"/>
      <c r="U78" s="32"/>
      <c r="V78" s="32"/>
      <c r="W78" s="33"/>
      <c r="X78" s="32"/>
      <c r="Y78" s="32"/>
      <c r="Z78" s="32"/>
      <c r="AA78" s="33"/>
      <c r="AB78" s="32"/>
      <c r="AC78" s="32"/>
      <c r="AD78" s="32"/>
      <c r="AE78" s="33"/>
      <c r="AF78" s="32"/>
      <c r="AG78" s="32"/>
      <c r="AH78" s="32"/>
      <c r="AI78" s="33"/>
      <c r="AJ78" s="32"/>
      <c r="AK78" s="32"/>
      <c r="AL78" s="32" t="s">
        <v>655</v>
      </c>
      <c r="AM78" s="33">
        <v>45274</v>
      </c>
      <c r="AN78" s="32" t="s">
        <v>212</v>
      </c>
      <c r="AO78" s="32"/>
      <c r="AP78" s="32">
        <v>47</v>
      </c>
      <c r="AQ78" s="32">
        <v>3</v>
      </c>
      <c r="AR78" s="32" t="s">
        <v>694</v>
      </c>
      <c r="AS78" s="32" t="s">
        <v>684</v>
      </c>
      <c r="AT78" s="32" t="s">
        <v>168</v>
      </c>
      <c r="AU78" s="32" t="s">
        <v>655</v>
      </c>
      <c r="AV78" s="33">
        <v>45217</v>
      </c>
      <c r="AW78" s="32" t="s">
        <v>212</v>
      </c>
      <c r="AX78" s="32" t="s">
        <v>4</v>
      </c>
      <c r="AY78" s="32" t="s">
        <v>655</v>
      </c>
      <c r="AZ78" s="33">
        <v>45217</v>
      </c>
      <c r="BA78" s="32" t="s">
        <v>212</v>
      </c>
      <c r="BB78" s="35" t="s">
        <v>4</v>
      </c>
    </row>
    <row r="79" spans="1:54" ht="51.75" x14ac:dyDescent="0.25">
      <c r="A79" s="32">
        <v>1163650418</v>
      </c>
      <c r="B79" s="32" t="s">
        <v>891</v>
      </c>
      <c r="C79" s="32" t="s">
        <v>892</v>
      </c>
      <c r="D79" s="32" t="s">
        <v>354</v>
      </c>
      <c r="E79" s="32" t="s">
        <v>867</v>
      </c>
      <c r="F79" s="32" t="s">
        <v>440</v>
      </c>
      <c r="G79" s="32">
        <v>8999</v>
      </c>
      <c r="H79" s="32" t="s">
        <v>368</v>
      </c>
      <c r="I79" s="32" t="s">
        <v>490</v>
      </c>
      <c r="J79" s="32" t="s">
        <v>375</v>
      </c>
      <c r="K79" s="32" t="s">
        <v>655</v>
      </c>
      <c r="L79" s="33">
        <v>45236</v>
      </c>
      <c r="M79" s="32" t="s">
        <v>212</v>
      </c>
      <c r="N79" s="32" t="s">
        <v>4</v>
      </c>
      <c r="O79" s="32"/>
      <c r="P79" s="33"/>
      <c r="Q79" s="32"/>
      <c r="R79" s="32"/>
      <c r="S79" s="32"/>
      <c r="T79" s="32"/>
      <c r="U79" s="32"/>
      <c r="V79" s="32" t="s">
        <v>655</v>
      </c>
      <c r="W79" s="33">
        <v>45245</v>
      </c>
      <c r="X79" s="32" t="s">
        <v>212</v>
      </c>
      <c r="Y79" s="32" t="s">
        <v>4</v>
      </c>
      <c r="Z79" s="32"/>
      <c r="AA79" s="33"/>
      <c r="AB79" s="32"/>
      <c r="AC79" s="32"/>
      <c r="AD79" s="32"/>
      <c r="AE79" s="33"/>
      <c r="AF79" s="32"/>
      <c r="AG79" s="32"/>
      <c r="AH79" s="32"/>
      <c r="AI79" s="33"/>
      <c r="AJ79" s="32"/>
      <c r="AK79" s="32"/>
      <c r="AL79" s="32" t="s">
        <v>655</v>
      </c>
      <c r="AM79" s="33">
        <v>45225</v>
      </c>
      <c r="AN79" s="32" t="s">
        <v>212</v>
      </c>
      <c r="AO79" s="32"/>
      <c r="AP79" s="32">
        <v>46</v>
      </c>
      <c r="AQ79" s="32">
        <v>3</v>
      </c>
      <c r="AR79" s="32" t="s">
        <v>685</v>
      </c>
      <c r="AS79" s="32" t="s">
        <v>684</v>
      </c>
      <c r="AT79" s="32" t="s">
        <v>168</v>
      </c>
      <c r="AU79" s="32"/>
      <c r="AV79" s="33"/>
      <c r="AW79" s="32"/>
      <c r="AX79" s="32"/>
      <c r="AY79" s="32" t="s">
        <v>655</v>
      </c>
      <c r="AZ79" s="33">
        <v>45237</v>
      </c>
      <c r="BA79" s="32" t="s">
        <v>212</v>
      </c>
      <c r="BB79" s="35" t="s">
        <v>4</v>
      </c>
    </row>
    <row r="80" spans="1:54" ht="51.75" x14ac:dyDescent="0.25">
      <c r="A80" s="32">
        <v>1269922284</v>
      </c>
      <c r="B80" s="32" t="s">
        <v>893</v>
      </c>
      <c r="C80" s="32" t="s">
        <v>894</v>
      </c>
      <c r="D80" s="32" t="s">
        <v>354</v>
      </c>
      <c r="E80" s="32" t="s">
        <v>158</v>
      </c>
      <c r="F80" s="32" t="s">
        <v>440</v>
      </c>
      <c r="G80" s="32">
        <v>1721</v>
      </c>
      <c r="H80" s="32" t="s">
        <v>368</v>
      </c>
      <c r="I80" s="32" t="s">
        <v>490</v>
      </c>
      <c r="J80" s="32" t="s">
        <v>375</v>
      </c>
      <c r="K80" s="32" t="s">
        <v>655</v>
      </c>
      <c r="L80" s="33">
        <v>45236</v>
      </c>
      <c r="M80" s="32" t="s">
        <v>212</v>
      </c>
      <c r="N80" s="32" t="s">
        <v>4</v>
      </c>
      <c r="O80" s="32"/>
      <c r="P80" s="33"/>
      <c r="Q80" s="32"/>
      <c r="R80" s="32"/>
      <c r="S80" s="32"/>
      <c r="T80" s="32"/>
      <c r="U80" s="32"/>
      <c r="V80" s="32" t="s">
        <v>655</v>
      </c>
      <c r="W80" s="33">
        <v>45273</v>
      </c>
      <c r="X80" s="32" t="s">
        <v>212</v>
      </c>
      <c r="Y80" s="32" t="s">
        <v>4</v>
      </c>
      <c r="Z80" s="32"/>
      <c r="AA80" s="33"/>
      <c r="AB80" s="32"/>
      <c r="AC80" s="32"/>
      <c r="AD80" s="32"/>
      <c r="AE80" s="33"/>
      <c r="AF80" s="32"/>
      <c r="AG80" s="32"/>
      <c r="AH80" s="32"/>
      <c r="AI80" s="33"/>
      <c r="AJ80" s="32"/>
      <c r="AK80" s="32"/>
      <c r="AL80" s="32"/>
      <c r="AM80" s="33"/>
      <c r="AN80" s="32"/>
      <c r="AO80" s="32"/>
      <c r="AP80" s="32"/>
      <c r="AQ80" s="32"/>
      <c r="AR80" s="32"/>
      <c r="AS80" s="32"/>
      <c r="AT80" s="32"/>
      <c r="AU80" s="32" t="s">
        <v>655</v>
      </c>
      <c r="AV80" s="33">
        <v>45216</v>
      </c>
      <c r="AW80" s="32" t="s">
        <v>212</v>
      </c>
      <c r="AX80" s="32" t="s">
        <v>4</v>
      </c>
      <c r="AY80" s="32"/>
      <c r="AZ80" s="33"/>
      <c r="BA80" s="32"/>
      <c r="BB80" s="35"/>
    </row>
    <row r="81" spans="1:54" ht="51.75" x14ac:dyDescent="0.25">
      <c r="A81" s="32">
        <v>1410597200</v>
      </c>
      <c r="B81" s="32" t="s">
        <v>895</v>
      </c>
      <c r="C81" s="32" t="s">
        <v>896</v>
      </c>
      <c r="D81" s="32" t="s">
        <v>354</v>
      </c>
      <c r="E81" s="32" t="s">
        <v>151</v>
      </c>
      <c r="F81" s="32" t="s">
        <v>440</v>
      </c>
      <c r="G81" s="32">
        <v>1721</v>
      </c>
      <c r="H81" s="32" t="s">
        <v>368</v>
      </c>
      <c r="I81" s="32" t="s">
        <v>490</v>
      </c>
      <c r="J81" s="32" t="s">
        <v>375</v>
      </c>
      <c r="K81" s="32" t="s">
        <v>655</v>
      </c>
      <c r="L81" s="33">
        <v>45231</v>
      </c>
      <c r="M81" s="32" t="s">
        <v>212</v>
      </c>
      <c r="N81" s="32" t="s">
        <v>4</v>
      </c>
      <c r="O81" s="32"/>
      <c r="P81" s="32"/>
      <c r="Q81" s="32"/>
      <c r="R81" s="32"/>
      <c r="S81" s="32"/>
      <c r="T81" s="32"/>
      <c r="U81" s="32"/>
      <c r="V81" s="32" t="s">
        <v>655</v>
      </c>
      <c r="W81" s="33">
        <v>45245</v>
      </c>
      <c r="X81" s="32" t="s">
        <v>212</v>
      </c>
      <c r="Y81" s="32" t="s">
        <v>4</v>
      </c>
      <c r="Z81" s="32" t="s">
        <v>655</v>
      </c>
      <c r="AA81" s="33">
        <v>45236</v>
      </c>
      <c r="AB81" s="32" t="s">
        <v>212</v>
      </c>
      <c r="AC81" s="32" t="s">
        <v>4</v>
      </c>
      <c r="AD81" s="32"/>
      <c r="AE81" s="33"/>
      <c r="AF81" s="32"/>
      <c r="AG81" s="32"/>
      <c r="AH81" s="32" t="s">
        <v>655</v>
      </c>
      <c r="AI81" s="33">
        <v>45231</v>
      </c>
      <c r="AJ81" s="32" t="s">
        <v>212</v>
      </c>
      <c r="AK81" s="32" t="s">
        <v>4</v>
      </c>
      <c r="AL81" s="32"/>
      <c r="AM81" s="33"/>
      <c r="AN81" s="32"/>
      <c r="AO81" s="32"/>
      <c r="AP81" s="32"/>
      <c r="AQ81" s="32"/>
      <c r="AR81" s="32"/>
      <c r="AS81" s="32"/>
      <c r="AT81" s="32"/>
      <c r="AU81" s="32" t="s">
        <v>655</v>
      </c>
      <c r="AV81" s="33">
        <v>45215</v>
      </c>
      <c r="AW81" s="32" t="s">
        <v>212</v>
      </c>
      <c r="AX81" s="32" t="s">
        <v>4</v>
      </c>
      <c r="AY81" s="32" t="s">
        <v>655</v>
      </c>
      <c r="AZ81" s="33">
        <v>45216</v>
      </c>
      <c r="BA81" s="32" t="s">
        <v>212</v>
      </c>
      <c r="BB81" s="35" t="s">
        <v>4</v>
      </c>
    </row>
  </sheetData>
  <sheetProtection sort="0"/>
  <mergeCells count="10">
    <mergeCell ref="AY1:BB1"/>
    <mergeCell ref="A1:J1"/>
    <mergeCell ref="V1:Y1"/>
    <mergeCell ref="Z1:AC1"/>
    <mergeCell ref="AD1:AG1"/>
    <mergeCell ref="AH1:AK1"/>
    <mergeCell ref="AL1:AT1"/>
    <mergeCell ref="AU1:AX1"/>
    <mergeCell ref="K1:N1"/>
    <mergeCell ref="O1:U1"/>
  </mergeCells>
  <dataValidations count="1">
    <dataValidation type="whole" errorStyle="warning" allowBlank="1" showInputMessage="1" showErrorMessage="1" errorTitle="Don't Touch" error="Raw MCTIMS query outputs." sqref="A1:XFD1048576" xr:uid="{92213D4D-BA63-4ACF-BB24-CB4BBA337B02}">
      <formula1>500</formula1>
      <formula2>501</formula2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CF1A-FBE4-4B11-9C82-D02A41701231}">
  <dimension ref="A1:AG81"/>
  <sheetViews>
    <sheetView workbookViewId="0">
      <selection activeCell="L7" sqref="L7"/>
    </sheetView>
  </sheetViews>
  <sheetFormatPr defaultRowHeight="15" x14ac:dyDescent="0.25"/>
  <cols>
    <col min="1" max="1" width="10.42578125" bestFit="1" customWidth="1"/>
    <col min="2" max="3" width="11.42578125" bestFit="1" customWidth="1"/>
    <col min="6" max="6" width="10.28515625" bestFit="1" customWidth="1"/>
    <col min="8" max="8" width="9.42578125" bestFit="1" customWidth="1"/>
    <col min="11" max="14" width="11.42578125" bestFit="1" customWidth="1"/>
    <col min="18" max="18" width="10.140625" bestFit="1" customWidth="1"/>
    <col min="19" max="20" width="11.42578125" bestFit="1" customWidth="1"/>
    <col min="23" max="23" width="10.28515625" bestFit="1" customWidth="1"/>
    <col min="25" max="25" width="9.42578125" bestFit="1" customWidth="1"/>
    <col min="28" max="30" width="11.42578125" bestFit="1" customWidth="1"/>
    <col min="33" max="33" width="10.7109375" bestFit="1" customWidth="1"/>
  </cols>
  <sheetData>
    <row r="1" spans="1:33" x14ac:dyDescent="0.25">
      <c r="K1" s="227" t="s">
        <v>91</v>
      </c>
      <c r="L1" s="227"/>
      <c r="M1" s="227"/>
      <c r="N1" s="228"/>
      <c r="AB1" s="227" t="s">
        <v>119</v>
      </c>
      <c r="AC1" s="227"/>
      <c r="AD1" s="227"/>
      <c r="AE1" s="227"/>
      <c r="AF1" s="227"/>
      <c r="AG1" s="228"/>
    </row>
    <row r="2" spans="1:33" ht="26.25" x14ac:dyDescent="0.25">
      <c r="A2" s="5" t="s">
        <v>337</v>
      </c>
      <c r="B2" s="4" t="s">
        <v>338</v>
      </c>
      <c r="C2" s="4" t="s">
        <v>339</v>
      </c>
      <c r="D2" s="4" t="s">
        <v>340</v>
      </c>
      <c r="E2" s="4" t="s">
        <v>207</v>
      </c>
      <c r="F2" s="4" t="s">
        <v>434</v>
      </c>
      <c r="G2" s="4" t="s">
        <v>341</v>
      </c>
      <c r="H2" s="4" t="s">
        <v>623</v>
      </c>
      <c r="I2" s="4" t="s">
        <v>192</v>
      </c>
      <c r="J2" s="4" t="s">
        <v>343</v>
      </c>
      <c r="K2" s="1" t="s">
        <v>624</v>
      </c>
      <c r="L2" s="1" t="s">
        <v>625</v>
      </c>
      <c r="M2" s="1" t="s">
        <v>695</v>
      </c>
      <c r="N2" s="7" t="s">
        <v>696</v>
      </c>
      <c r="R2" s="5" t="s">
        <v>337</v>
      </c>
      <c r="S2" s="4" t="s">
        <v>338</v>
      </c>
      <c r="T2" s="4" t="s">
        <v>339</v>
      </c>
      <c r="U2" s="4" t="s">
        <v>340</v>
      </c>
      <c r="V2" s="4" t="s">
        <v>207</v>
      </c>
      <c r="W2" s="4" t="s">
        <v>434</v>
      </c>
      <c r="X2" s="4" t="s">
        <v>341</v>
      </c>
      <c r="Y2" s="4" t="s">
        <v>623</v>
      </c>
      <c r="Z2" s="4" t="s">
        <v>192</v>
      </c>
      <c r="AA2" s="4" t="s">
        <v>343</v>
      </c>
      <c r="AB2" s="1" t="s">
        <v>624</v>
      </c>
      <c r="AC2" s="1" t="s">
        <v>625</v>
      </c>
      <c r="AD2" s="1" t="s">
        <v>437</v>
      </c>
      <c r="AE2" s="1" t="s">
        <v>697</v>
      </c>
      <c r="AF2" s="1" t="s">
        <v>698</v>
      </c>
      <c r="AG2" s="7" t="s">
        <v>699</v>
      </c>
    </row>
    <row r="3" spans="1:33" ht="51.75" x14ac:dyDescent="0.25">
      <c r="A3" s="78">
        <v>4741999075</v>
      </c>
      <c r="B3" s="32" t="s">
        <v>742</v>
      </c>
      <c r="C3" s="32" t="s">
        <v>743</v>
      </c>
      <c r="D3" s="32" t="s">
        <v>354</v>
      </c>
      <c r="E3" s="32" t="s">
        <v>170</v>
      </c>
      <c r="F3" s="32" t="s">
        <v>440</v>
      </c>
      <c r="G3" s="32">
        <v>1702</v>
      </c>
      <c r="H3" s="32" t="s">
        <v>414</v>
      </c>
      <c r="I3" s="32" t="s">
        <v>230</v>
      </c>
      <c r="J3" s="32" t="s">
        <v>360</v>
      </c>
      <c r="K3" s="32" t="s">
        <v>655</v>
      </c>
      <c r="L3" s="33">
        <v>44981</v>
      </c>
      <c r="M3" s="32" t="s">
        <v>212</v>
      </c>
      <c r="N3" s="35" t="s">
        <v>700</v>
      </c>
      <c r="R3" s="32">
        <v>4741999075</v>
      </c>
      <c r="S3" s="32" t="s">
        <v>742</v>
      </c>
      <c r="T3" s="32" t="s">
        <v>743</v>
      </c>
      <c r="U3" s="32" t="s">
        <v>354</v>
      </c>
      <c r="V3" s="32" t="s">
        <v>170</v>
      </c>
      <c r="W3" s="32" t="s">
        <v>440</v>
      </c>
      <c r="X3" s="32">
        <v>1702</v>
      </c>
      <c r="Y3" s="32" t="s">
        <v>414</v>
      </c>
      <c r="Z3" s="32" t="s">
        <v>230</v>
      </c>
      <c r="AA3" s="32" t="s">
        <v>360</v>
      </c>
      <c r="AB3" s="32"/>
      <c r="AC3" s="33"/>
      <c r="AD3" s="32"/>
      <c r="AE3" s="32"/>
      <c r="AF3" s="32"/>
      <c r="AG3" s="35"/>
    </row>
    <row r="4" spans="1:33" ht="51.75" x14ac:dyDescent="0.25">
      <c r="A4" s="78">
        <v>1538999384</v>
      </c>
      <c r="B4" s="32" t="s">
        <v>744</v>
      </c>
      <c r="C4" s="32" t="s">
        <v>745</v>
      </c>
      <c r="D4" s="32" t="s">
        <v>354</v>
      </c>
      <c r="E4" s="32" t="s">
        <v>161</v>
      </c>
      <c r="F4" s="32" t="s">
        <v>440</v>
      </c>
      <c r="G4" s="32">
        <v>1721</v>
      </c>
      <c r="H4" s="32" t="s">
        <v>368</v>
      </c>
      <c r="I4" s="32" t="s">
        <v>230</v>
      </c>
      <c r="J4" s="32" t="s">
        <v>375</v>
      </c>
      <c r="K4" s="32" t="s">
        <v>655</v>
      </c>
      <c r="L4" s="33">
        <v>44988</v>
      </c>
      <c r="M4" s="32" t="s">
        <v>212</v>
      </c>
      <c r="N4" s="35" t="s">
        <v>701</v>
      </c>
      <c r="R4" s="32">
        <v>1538999384</v>
      </c>
      <c r="S4" s="32" t="s">
        <v>744</v>
      </c>
      <c r="T4" s="32" t="s">
        <v>745</v>
      </c>
      <c r="U4" s="32" t="s">
        <v>354</v>
      </c>
      <c r="V4" s="32" t="s">
        <v>161</v>
      </c>
      <c r="W4" s="32" t="s">
        <v>440</v>
      </c>
      <c r="X4" s="32">
        <v>1721</v>
      </c>
      <c r="Y4" s="32" t="s">
        <v>368</v>
      </c>
      <c r="Z4" s="32" t="s">
        <v>230</v>
      </c>
      <c r="AA4" s="32" t="s">
        <v>375</v>
      </c>
      <c r="AB4" s="32"/>
      <c r="AC4" s="33"/>
      <c r="AD4" s="32"/>
      <c r="AE4" s="32"/>
      <c r="AF4" s="32"/>
      <c r="AG4" s="35"/>
    </row>
    <row r="5" spans="1:33" ht="51.75" x14ac:dyDescent="0.25">
      <c r="A5" s="78">
        <v>1160110691</v>
      </c>
      <c r="B5" s="32" t="s">
        <v>746</v>
      </c>
      <c r="C5" s="32" t="s">
        <v>747</v>
      </c>
      <c r="D5" s="32" t="s">
        <v>354</v>
      </c>
      <c r="E5" s="32" t="s">
        <v>158</v>
      </c>
      <c r="F5" s="32" t="s">
        <v>440</v>
      </c>
      <c r="G5" s="32">
        <v>1721</v>
      </c>
      <c r="H5" s="32" t="s">
        <v>368</v>
      </c>
      <c r="I5" s="32" t="s">
        <v>230</v>
      </c>
      <c r="J5" s="32" t="s">
        <v>375</v>
      </c>
      <c r="K5" s="32" t="s">
        <v>655</v>
      </c>
      <c r="L5" s="33">
        <v>45114</v>
      </c>
      <c r="M5" s="32" t="s">
        <v>212</v>
      </c>
      <c r="N5" s="35" t="s">
        <v>701</v>
      </c>
      <c r="R5" s="32">
        <v>1160110691</v>
      </c>
      <c r="S5" s="32" t="s">
        <v>746</v>
      </c>
      <c r="T5" s="32" t="s">
        <v>747</v>
      </c>
      <c r="U5" s="32" t="s">
        <v>354</v>
      </c>
      <c r="V5" s="32" t="s">
        <v>158</v>
      </c>
      <c r="W5" s="32" t="s">
        <v>440</v>
      </c>
      <c r="X5" s="32">
        <v>1721</v>
      </c>
      <c r="Y5" s="32" t="s">
        <v>368</v>
      </c>
      <c r="Z5" s="32" t="s">
        <v>230</v>
      </c>
      <c r="AA5" s="32" t="s">
        <v>375</v>
      </c>
      <c r="AB5" s="32"/>
      <c r="AC5" s="33"/>
      <c r="AD5" s="32"/>
      <c r="AE5" s="32"/>
      <c r="AF5" s="32"/>
      <c r="AG5" s="35"/>
    </row>
    <row r="6" spans="1:33" ht="51.75" x14ac:dyDescent="0.25">
      <c r="A6" s="78">
        <v>1520074788</v>
      </c>
      <c r="B6" s="32" t="s">
        <v>748</v>
      </c>
      <c r="C6" s="32" t="s">
        <v>749</v>
      </c>
      <c r="D6" s="32" t="s">
        <v>354</v>
      </c>
      <c r="E6" s="32" t="s">
        <v>158</v>
      </c>
      <c r="F6" s="32" t="s">
        <v>440</v>
      </c>
      <c r="G6" s="32">
        <v>1721</v>
      </c>
      <c r="H6" s="32" t="s">
        <v>368</v>
      </c>
      <c r="I6" s="32" t="s">
        <v>230</v>
      </c>
      <c r="J6" s="32" t="s">
        <v>375</v>
      </c>
      <c r="K6" s="32" t="s">
        <v>655</v>
      </c>
      <c r="L6" s="33">
        <v>45197</v>
      </c>
      <c r="M6" s="32" t="s">
        <v>212</v>
      </c>
      <c r="N6" s="35" t="s">
        <v>701</v>
      </c>
      <c r="R6" s="32">
        <v>1520074788</v>
      </c>
      <c r="S6" s="32" t="s">
        <v>748</v>
      </c>
      <c r="T6" s="32" t="s">
        <v>749</v>
      </c>
      <c r="U6" s="32" t="s">
        <v>354</v>
      </c>
      <c r="V6" s="32" t="s">
        <v>158</v>
      </c>
      <c r="W6" s="32" t="s">
        <v>440</v>
      </c>
      <c r="X6" s="32">
        <v>1721</v>
      </c>
      <c r="Y6" s="32" t="s">
        <v>368</v>
      </c>
      <c r="Z6" s="32" t="s">
        <v>230</v>
      </c>
      <c r="AA6" s="32" t="s">
        <v>375</v>
      </c>
      <c r="AB6" s="32"/>
      <c r="AC6" s="33"/>
      <c r="AD6" s="32"/>
      <c r="AE6" s="32"/>
      <c r="AF6" s="32"/>
      <c r="AG6" s="35"/>
    </row>
    <row r="7" spans="1:33" ht="51.75" x14ac:dyDescent="0.25">
      <c r="A7" s="78">
        <v>1220711349</v>
      </c>
      <c r="B7" s="32" t="s">
        <v>750</v>
      </c>
      <c r="C7" s="32" t="s">
        <v>751</v>
      </c>
      <c r="D7" s="32" t="s">
        <v>354</v>
      </c>
      <c r="E7" s="32" t="s">
        <v>155</v>
      </c>
      <c r="F7" s="32" t="s">
        <v>440</v>
      </c>
      <c r="G7" s="32">
        <v>1721</v>
      </c>
      <c r="H7" s="32" t="s">
        <v>368</v>
      </c>
      <c r="I7" s="32" t="s">
        <v>230</v>
      </c>
      <c r="J7" s="32" t="s">
        <v>375</v>
      </c>
      <c r="K7" s="32" t="s">
        <v>655</v>
      </c>
      <c r="L7" s="33">
        <v>45114</v>
      </c>
      <c r="M7" s="32" t="s">
        <v>212</v>
      </c>
      <c r="N7" s="35" t="s">
        <v>701</v>
      </c>
      <c r="R7" s="32">
        <v>1220711349</v>
      </c>
      <c r="S7" s="32" t="s">
        <v>750</v>
      </c>
      <c r="T7" s="32" t="s">
        <v>751</v>
      </c>
      <c r="U7" s="32" t="s">
        <v>354</v>
      </c>
      <c r="V7" s="32" t="s">
        <v>155</v>
      </c>
      <c r="W7" s="32" t="s">
        <v>440</v>
      </c>
      <c r="X7" s="32">
        <v>1721</v>
      </c>
      <c r="Y7" s="32" t="s">
        <v>368</v>
      </c>
      <c r="Z7" s="32" t="s">
        <v>230</v>
      </c>
      <c r="AA7" s="32" t="s">
        <v>375</v>
      </c>
      <c r="AB7" s="32"/>
      <c r="AC7" s="33"/>
      <c r="AD7" s="32"/>
      <c r="AE7" s="32"/>
      <c r="AF7" s="32"/>
      <c r="AG7" s="35"/>
    </row>
    <row r="8" spans="1:33" ht="51.75" x14ac:dyDescent="0.25">
      <c r="A8" s="78">
        <v>1534568011</v>
      </c>
      <c r="B8" s="32" t="s">
        <v>752</v>
      </c>
      <c r="C8" s="32" t="s">
        <v>753</v>
      </c>
      <c r="D8" s="32" t="s">
        <v>354</v>
      </c>
      <c r="E8" s="32" t="s">
        <v>155</v>
      </c>
      <c r="F8" s="32" t="s">
        <v>440</v>
      </c>
      <c r="G8" s="32">
        <v>1721</v>
      </c>
      <c r="H8" s="32" t="s">
        <v>368</v>
      </c>
      <c r="I8" s="32" t="s">
        <v>230</v>
      </c>
      <c r="J8" s="32" t="s">
        <v>375</v>
      </c>
      <c r="K8" s="32" t="s">
        <v>655</v>
      </c>
      <c r="L8" s="33">
        <v>45114</v>
      </c>
      <c r="M8" s="32" t="s">
        <v>212</v>
      </c>
      <c r="N8" s="35" t="s">
        <v>701</v>
      </c>
      <c r="R8" s="32">
        <v>1534568011</v>
      </c>
      <c r="S8" s="32" t="s">
        <v>752</v>
      </c>
      <c r="T8" s="32" t="s">
        <v>753</v>
      </c>
      <c r="U8" s="32" t="s">
        <v>354</v>
      </c>
      <c r="V8" s="32" t="s">
        <v>155</v>
      </c>
      <c r="W8" s="32" t="s">
        <v>440</v>
      </c>
      <c r="X8" s="32">
        <v>1721</v>
      </c>
      <c r="Y8" s="32" t="s">
        <v>368</v>
      </c>
      <c r="Z8" s="32" t="s">
        <v>230</v>
      </c>
      <c r="AA8" s="32" t="s">
        <v>375</v>
      </c>
      <c r="AB8" s="32"/>
      <c r="AC8" s="33"/>
      <c r="AD8" s="32"/>
      <c r="AE8" s="32"/>
      <c r="AF8" s="32"/>
      <c r="AG8" s="35"/>
    </row>
    <row r="9" spans="1:33" ht="51.75" x14ac:dyDescent="0.25">
      <c r="A9" s="78">
        <v>1418134206</v>
      </c>
      <c r="B9" s="32" t="s">
        <v>754</v>
      </c>
      <c r="C9" s="32" t="s">
        <v>755</v>
      </c>
      <c r="D9" s="32" t="s">
        <v>354</v>
      </c>
      <c r="E9" s="32" t="s">
        <v>155</v>
      </c>
      <c r="F9" s="32" t="s">
        <v>440</v>
      </c>
      <c r="G9" s="32">
        <v>1700</v>
      </c>
      <c r="H9" s="32" t="s">
        <v>368</v>
      </c>
      <c r="I9" s="32" t="s">
        <v>230</v>
      </c>
      <c r="J9" s="32" t="s">
        <v>375</v>
      </c>
      <c r="K9" s="32" t="s">
        <v>655</v>
      </c>
      <c r="L9" s="33">
        <v>44911</v>
      </c>
      <c r="M9" s="32" t="s">
        <v>212</v>
      </c>
      <c r="N9" s="35" t="s">
        <v>701</v>
      </c>
      <c r="R9" s="32">
        <v>1418134206</v>
      </c>
      <c r="S9" s="32" t="s">
        <v>754</v>
      </c>
      <c r="T9" s="32" t="s">
        <v>755</v>
      </c>
      <c r="U9" s="32" t="s">
        <v>354</v>
      </c>
      <c r="V9" s="32" t="s">
        <v>155</v>
      </c>
      <c r="W9" s="32" t="s">
        <v>440</v>
      </c>
      <c r="X9" s="32">
        <v>1700</v>
      </c>
      <c r="Y9" s="32" t="s">
        <v>368</v>
      </c>
      <c r="Z9" s="32" t="s">
        <v>230</v>
      </c>
      <c r="AA9" s="32" t="s">
        <v>375</v>
      </c>
      <c r="AB9" s="32" t="s">
        <v>655</v>
      </c>
      <c r="AC9" s="33">
        <v>45296</v>
      </c>
      <c r="AD9" s="32" t="s">
        <v>212</v>
      </c>
      <c r="AE9" s="32">
        <v>66</v>
      </c>
      <c r="AF9" s="32">
        <v>167</v>
      </c>
      <c r="AG9" s="35"/>
    </row>
    <row r="10" spans="1:33" ht="51.75" x14ac:dyDescent="0.25">
      <c r="A10" s="78">
        <v>1007476454</v>
      </c>
      <c r="B10" s="32" t="s">
        <v>756</v>
      </c>
      <c r="C10" s="32" t="s">
        <v>757</v>
      </c>
      <c r="D10" s="32" t="s">
        <v>354</v>
      </c>
      <c r="E10" s="32" t="s">
        <v>151</v>
      </c>
      <c r="F10" s="32" t="s">
        <v>440</v>
      </c>
      <c r="G10" s="32">
        <v>1721</v>
      </c>
      <c r="H10" s="32" t="s">
        <v>368</v>
      </c>
      <c r="I10" s="32" t="s">
        <v>230</v>
      </c>
      <c r="J10" s="32" t="s">
        <v>375</v>
      </c>
      <c r="K10" s="32" t="s">
        <v>655</v>
      </c>
      <c r="L10" s="33">
        <v>45106</v>
      </c>
      <c r="M10" s="32" t="s">
        <v>212</v>
      </c>
      <c r="N10" s="35" t="s">
        <v>701</v>
      </c>
      <c r="R10" s="32">
        <v>1007476454</v>
      </c>
      <c r="S10" s="32" t="s">
        <v>756</v>
      </c>
      <c r="T10" s="32" t="s">
        <v>757</v>
      </c>
      <c r="U10" s="32" t="s">
        <v>354</v>
      </c>
      <c r="V10" s="32" t="s">
        <v>151</v>
      </c>
      <c r="W10" s="32" t="s">
        <v>440</v>
      </c>
      <c r="X10" s="32">
        <v>1721</v>
      </c>
      <c r="Y10" s="32" t="s">
        <v>368</v>
      </c>
      <c r="Z10" s="32" t="s">
        <v>230</v>
      </c>
      <c r="AA10" s="32" t="s">
        <v>375</v>
      </c>
      <c r="AB10" s="32"/>
      <c r="AC10" s="33"/>
      <c r="AD10" s="32"/>
      <c r="AE10" s="32"/>
      <c r="AF10" s="32"/>
      <c r="AG10" s="35"/>
    </row>
    <row r="11" spans="1:33" ht="51.75" x14ac:dyDescent="0.25">
      <c r="A11" s="78">
        <v>1245991266</v>
      </c>
      <c r="B11" s="32" t="s">
        <v>758</v>
      </c>
      <c r="C11" s="32" t="s">
        <v>759</v>
      </c>
      <c r="D11" s="32" t="s">
        <v>354</v>
      </c>
      <c r="E11" s="32" t="s">
        <v>151</v>
      </c>
      <c r="F11" s="32" t="s">
        <v>440</v>
      </c>
      <c r="G11" s="32">
        <v>1721</v>
      </c>
      <c r="H11" s="32" t="s">
        <v>368</v>
      </c>
      <c r="I11" s="32" t="s">
        <v>230</v>
      </c>
      <c r="J11" s="32" t="s">
        <v>375</v>
      </c>
      <c r="K11" s="32" t="s">
        <v>655</v>
      </c>
      <c r="L11" s="33">
        <v>45114</v>
      </c>
      <c r="M11" s="32" t="s">
        <v>212</v>
      </c>
      <c r="N11" s="35" t="s">
        <v>701</v>
      </c>
      <c r="R11" s="32">
        <v>1245991266</v>
      </c>
      <c r="S11" s="32" t="s">
        <v>758</v>
      </c>
      <c r="T11" s="32" t="s">
        <v>759</v>
      </c>
      <c r="U11" s="32" t="s">
        <v>354</v>
      </c>
      <c r="V11" s="32" t="s">
        <v>151</v>
      </c>
      <c r="W11" s="32" t="s">
        <v>440</v>
      </c>
      <c r="X11" s="32">
        <v>1721</v>
      </c>
      <c r="Y11" s="32" t="s">
        <v>368</v>
      </c>
      <c r="Z11" s="32" t="s">
        <v>230</v>
      </c>
      <c r="AA11" s="32" t="s">
        <v>375</v>
      </c>
      <c r="AB11" s="32"/>
      <c r="AC11" s="33"/>
      <c r="AD11" s="32"/>
      <c r="AE11" s="32"/>
      <c r="AF11" s="32"/>
      <c r="AG11" s="35"/>
    </row>
    <row r="12" spans="1:33" ht="51.75" x14ac:dyDescent="0.25">
      <c r="A12" s="78">
        <v>1019647482</v>
      </c>
      <c r="B12" s="32" t="s">
        <v>760</v>
      </c>
      <c r="C12" s="32" t="s">
        <v>761</v>
      </c>
      <c r="D12" s="32" t="s">
        <v>354</v>
      </c>
      <c r="E12" s="32" t="s">
        <v>151</v>
      </c>
      <c r="F12" s="32" t="s">
        <v>440</v>
      </c>
      <c r="G12" s="32">
        <v>1721</v>
      </c>
      <c r="H12" s="32" t="s">
        <v>368</v>
      </c>
      <c r="I12" s="32" t="s">
        <v>230</v>
      </c>
      <c r="J12" s="32" t="s">
        <v>375</v>
      </c>
      <c r="K12" s="32" t="s">
        <v>655</v>
      </c>
      <c r="L12" s="33">
        <v>45114</v>
      </c>
      <c r="M12" s="32" t="s">
        <v>212</v>
      </c>
      <c r="N12" s="35" t="s">
        <v>701</v>
      </c>
      <c r="R12" s="32">
        <v>1019647482</v>
      </c>
      <c r="S12" s="32" t="s">
        <v>760</v>
      </c>
      <c r="T12" s="32" t="s">
        <v>761</v>
      </c>
      <c r="U12" s="32" t="s">
        <v>354</v>
      </c>
      <c r="V12" s="32" t="s">
        <v>151</v>
      </c>
      <c r="W12" s="32" t="s">
        <v>440</v>
      </c>
      <c r="X12" s="32">
        <v>1721</v>
      </c>
      <c r="Y12" s="32" t="s">
        <v>368</v>
      </c>
      <c r="Z12" s="32" t="s">
        <v>230</v>
      </c>
      <c r="AA12" s="32" t="s">
        <v>375</v>
      </c>
      <c r="AB12" s="32"/>
      <c r="AC12" s="33"/>
      <c r="AD12" s="32"/>
      <c r="AE12" s="32"/>
      <c r="AF12" s="32"/>
      <c r="AG12" s="35"/>
    </row>
    <row r="13" spans="1:33" ht="51.75" x14ac:dyDescent="0.25">
      <c r="A13" s="78">
        <v>1216965036</v>
      </c>
      <c r="B13" s="32" t="s">
        <v>762</v>
      </c>
      <c r="C13" s="32" t="s">
        <v>763</v>
      </c>
      <c r="D13" s="32" t="s">
        <v>354</v>
      </c>
      <c r="E13" s="32" t="s">
        <v>151</v>
      </c>
      <c r="F13" s="32" t="s">
        <v>440</v>
      </c>
      <c r="G13" s="32">
        <v>1721</v>
      </c>
      <c r="H13" s="32" t="s">
        <v>368</v>
      </c>
      <c r="I13" s="32" t="s">
        <v>230</v>
      </c>
      <c r="J13" s="32" t="s">
        <v>375</v>
      </c>
      <c r="K13" s="32" t="s">
        <v>655</v>
      </c>
      <c r="L13" s="33">
        <v>45114</v>
      </c>
      <c r="M13" s="32" t="s">
        <v>212</v>
      </c>
      <c r="N13" s="35" t="s">
        <v>701</v>
      </c>
      <c r="R13" s="32">
        <v>1216965036</v>
      </c>
      <c r="S13" s="32" t="s">
        <v>762</v>
      </c>
      <c r="T13" s="32" t="s">
        <v>763</v>
      </c>
      <c r="U13" s="32" t="s">
        <v>354</v>
      </c>
      <c r="V13" s="32" t="s">
        <v>151</v>
      </c>
      <c r="W13" s="32" t="s">
        <v>440</v>
      </c>
      <c r="X13" s="32">
        <v>1721</v>
      </c>
      <c r="Y13" s="32" t="s">
        <v>368</v>
      </c>
      <c r="Z13" s="32" t="s">
        <v>230</v>
      </c>
      <c r="AA13" s="32" t="s">
        <v>375</v>
      </c>
      <c r="AB13" s="32" t="s">
        <v>655</v>
      </c>
      <c r="AC13" s="33">
        <v>45302</v>
      </c>
      <c r="AD13" s="32" t="s">
        <v>212</v>
      </c>
      <c r="AE13" s="32">
        <v>69</v>
      </c>
      <c r="AF13" s="32">
        <v>146</v>
      </c>
      <c r="AG13" s="35"/>
    </row>
    <row r="14" spans="1:33" ht="51.75" x14ac:dyDescent="0.25">
      <c r="A14" s="78">
        <v>1014426852</v>
      </c>
      <c r="B14" s="32" t="s">
        <v>764</v>
      </c>
      <c r="C14" s="32" t="s">
        <v>765</v>
      </c>
      <c r="D14" s="32" t="s">
        <v>354</v>
      </c>
      <c r="E14" s="32" t="s">
        <v>151</v>
      </c>
      <c r="F14" s="32" t="s">
        <v>440</v>
      </c>
      <c r="G14" s="32">
        <v>1721</v>
      </c>
      <c r="H14" s="32" t="s">
        <v>368</v>
      </c>
      <c r="I14" s="32" t="s">
        <v>230</v>
      </c>
      <c r="J14" s="32" t="s">
        <v>375</v>
      </c>
      <c r="K14" s="32" t="s">
        <v>655</v>
      </c>
      <c r="L14" s="33">
        <v>44988</v>
      </c>
      <c r="M14" s="32" t="s">
        <v>212</v>
      </c>
      <c r="N14" s="35" t="s">
        <v>701</v>
      </c>
      <c r="R14" s="32">
        <v>1014426852</v>
      </c>
      <c r="S14" s="32" t="s">
        <v>764</v>
      </c>
      <c r="T14" s="32" t="s">
        <v>765</v>
      </c>
      <c r="U14" s="32" t="s">
        <v>354</v>
      </c>
      <c r="V14" s="32" t="s">
        <v>151</v>
      </c>
      <c r="W14" s="32" t="s">
        <v>440</v>
      </c>
      <c r="X14" s="32">
        <v>1721</v>
      </c>
      <c r="Y14" s="32" t="s">
        <v>368</v>
      </c>
      <c r="Z14" s="32" t="s">
        <v>230</v>
      </c>
      <c r="AA14" s="32" t="s">
        <v>375</v>
      </c>
      <c r="AB14" s="32" t="s">
        <v>655</v>
      </c>
      <c r="AC14" s="33">
        <v>45355</v>
      </c>
      <c r="AD14" s="32" t="s">
        <v>212</v>
      </c>
      <c r="AE14" s="32">
        <v>66</v>
      </c>
      <c r="AF14" s="32">
        <v>142</v>
      </c>
      <c r="AG14" s="35"/>
    </row>
    <row r="15" spans="1:33" ht="51.75" x14ac:dyDescent="0.25">
      <c r="A15" s="78">
        <v>1342870108</v>
      </c>
      <c r="B15" s="32" t="s">
        <v>766</v>
      </c>
      <c r="C15" s="32" t="s">
        <v>767</v>
      </c>
      <c r="D15" s="32" t="s">
        <v>354</v>
      </c>
      <c r="E15" s="32" t="s">
        <v>151</v>
      </c>
      <c r="F15" s="32" t="s">
        <v>440</v>
      </c>
      <c r="G15" s="32">
        <v>1721</v>
      </c>
      <c r="H15" s="32" t="s">
        <v>368</v>
      </c>
      <c r="I15" s="32" t="s">
        <v>230</v>
      </c>
      <c r="J15" s="32" t="s">
        <v>375</v>
      </c>
      <c r="K15" s="32" t="s">
        <v>655</v>
      </c>
      <c r="L15" s="33">
        <v>44988</v>
      </c>
      <c r="M15" s="32" t="s">
        <v>212</v>
      </c>
      <c r="N15" s="35" t="s">
        <v>701</v>
      </c>
      <c r="R15" s="32">
        <v>1342870108</v>
      </c>
      <c r="S15" s="32" t="s">
        <v>766</v>
      </c>
      <c r="T15" s="32" t="s">
        <v>767</v>
      </c>
      <c r="U15" s="32" t="s">
        <v>354</v>
      </c>
      <c r="V15" s="32" t="s">
        <v>151</v>
      </c>
      <c r="W15" s="32" t="s">
        <v>440</v>
      </c>
      <c r="X15" s="32">
        <v>1721</v>
      </c>
      <c r="Y15" s="32" t="s">
        <v>368</v>
      </c>
      <c r="Z15" s="32" t="s">
        <v>230</v>
      </c>
      <c r="AA15" s="32" t="s">
        <v>375</v>
      </c>
      <c r="AB15" s="32"/>
      <c r="AC15" s="33"/>
      <c r="AD15" s="32"/>
      <c r="AE15" s="32"/>
      <c r="AF15" s="32"/>
      <c r="AG15" s="35"/>
    </row>
    <row r="16" spans="1:33" ht="51.75" x14ac:dyDescent="0.25">
      <c r="A16" s="78">
        <v>1563539788</v>
      </c>
      <c r="B16" s="32" t="s">
        <v>768</v>
      </c>
      <c r="C16" s="32" t="s">
        <v>769</v>
      </c>
      <c r="D16" s="32" t="s">
        <v>354</v>
      </c>
      <c r="E16" s="32" t="s">
        <v>151</v>
      </c>
      <c r="F16" s="32" t="s">
        <v>440</v>
      </c>
      <c r="G16" s="32">
        <v>1721</v>
      </c>
      <c r="H16" s="32" t="s">
        <v>368</v>
      </c>
      <c r="I16" s="32" t="s">
        <v>230</v>
      </c>
      <c r="J16" s="32" t="s">
        <v>375</v>
      </c>
      <c r="K16" s="32" t="s">
        <v>655</v>
      </c>
      <c r="L16" s="33">
        <v>44988</v>
      </c>
      <c r="M16" s="32" t="s">
        <v>212</v>
      </c>
      <c r="N16" s="35" t="s">
        <v>701</v>
      </c>
      <c r="R16" s="32">
        <v>1563539788</v>
      </c>
      <c r="S16" s="32" t="s">
        <v>768</v>
      </c>
      <c r="T16" s="32" t="s">
        <v>769</v>
      </c>
      <c r="U16" s="32" t="s">
        <v>354</v>
      </c>
      <c r="V16" s="32" t="s">
        <v>151</v>
      </c>
      <c r="W16" s="32" t="s">
        <v>440</v>
      </c>
      <c r="X16" s="32">
        <v>1721</v>
      </c>
      <c r="Y16" s="32" t="s">
        <v>368</v>
      </c>
      <c r="Z16" s="32" t="s">
        <v>230</v>
      </c>
      <c r="AA16" s="32" t="s">
        <v>375</v>
      </c>
      <c r="AB16" s="32"/>
      <c r="AC16" s="33"/>
      <c r="AD16" s="32"/>
      <c r="AE16" s="32"/>
      <c r="AF16" s="32"/>
      <c r="AG16" s="35"/>
    </row>
    <row r="17" spans="1:33" ht="51.75" x14ac:dyDescent="0.25">
      <c r="A17" s="78">
        <v>1243619874</v>
      </c>
      <c r="B17" s="32" t="s">
        <v>770</v>
      </c>
      <c r="C17" s="32" t="s">
        <v>771</v>
      </c>
      <c r="D17" s="32" t="s">
        <v>354</v>
      </c>
      <c r="E17" s="32" t="s">
        <v>147</v>
      </c>
      <c r="F17" s="32" t="s">
        <v>440</v>
      </c>
      <c r="G17" s="32">
        <v>1721</v>
      </c>
      <c r="H17" s="32" t="s">
        <v>368</v>
      </c>
      <c r="I17" s="32" t="s">
        <v>230</v>
      </c>
      <c r="J17" s="32" t="s">
        <v>375</v>
      </c>
      <c r="K17" s="32" t="s">
        <v>655</v>
      </c>
      <c r="L17" s="33">
        <v>44988</v>
      </c>
      <c r="M17" s="32" t="s">
        <v>212</v>
      </c>
      <c r="N17" s="35" t="s">
        <v>700</v>
      </c>
      <c r="R17" s="32">
        <v>1243619874</v>
      </c>
      <c r="S17" s="32" t="s">
        <v>770</v>
      </c>
      <c r="T17" s="32" t="s">
        <v>771</v>
      </c>
      <c r="U17" s="32" t="s">
        <v>354</v>
      </c>
      <c r="V17" s="32" t="s">
        <v>147</v>
      </c>
      <c r="W17" s="32" t="s">
        <v>440</v>
      </c>
      <c r="X17" s="32">
        <v>1721</v>
      </c>
      <c r="Y17" s="32" t="s">
        <v>368</v>
      </c>
      <c r="Z17" s="32" t="s">
        <v>230</v>
      </c>
      <c r="AA17" s="32" t="s">
        <v>375</v>
      </c>
      <c r="AB17" s="32"/>
      <c r="AC17" s="33"/>
      <c r="AD17" s="32"/>
      <c r="AE17" s="32"/>
      <c r="AF17" s="32"/>
      <c r="AG17" s="35"/>
    </row>
    <row r="18" spans="1:33" ht="39" x14ac:dyDescent="0.25">
      <c r="A18" s="78">
        <v>1204889319</v>
      </c>
      <c r="B18" s="32" t="s">
        <v>772</v>
      </c>
      <c r="C18" s="32" t="s">
        <v>773</v>
      </c>
      <c r="D18" s="32" t="s">
        <v>354</v>
      </c>
      <c r="E18" s="32" t="s">
        <v>170</v>
      </c>
      <c r="F18" s="32" t="s">
        <v>440</v>
      </c>
      <c r="G18" s="32">
        <v>1702</v>
      </c>
      <c r="H18" s="32" t="s">
        <v>414</v>
      </c>
      <c r="I18" s="32" t="s">
        <v>225</v>
      </c>
      <c r="J18" s="32" t="s">
        <v>360</v>
      </c>
      <c r="K18" s="32" t="s">
        <v>655</v>
      </c>
      <c r="L18" s="33">
        <v>44988</v>
      </c>
      <c r="M18" s="32" t="s">
        <v>212</v>
      </c>
      <c r="N18" s="35" t="s">
        <v>701</v>
      </c>
      <c r="R18" s="32">
        <v>1204889319</v>
      </c>
      <c r="S18" s="32" t="s">
        <v>772</v>
      </c>
      <c r="T18" s="32" t="s">
        <v>773</v>
      </c>
      <c r="U18" s="32" t="s">
        <v>354</v>
      </c>
      <c r="V18" s="32" t="s">
        <v>170</v>
      </c>
      <c r="W18" s="32" t="s">
        <v>440</v>
      </c>
      <c r="X18" s="32">
        <v>1702</v>
      </c>
      <c r="Y18" s="32" t="s">
        <v>414</v>
      </c>
      <c r="Z18" s="32" t="s">
        <v>225</v>
      </c>
      <c r="AA18" s="32" t="s">
        <v>360</v>
      </c>
      <c r="AB18" s="32" t="s">
        <v>655</v>
      </c>
      <c r="AC18" s="33">
        <v>45308</v>
      </c>
      <c r="AD18" s="32" t="s">
        <v>212</v>
      </c>
      <c r="AE18" s="32">
        <v>72</v>
      </c>
      <c r="AF18" s="32">
        <v>195</v>
      </c>
      <c r="AG18" s="35"/>
    </row>
    <row r="19" spans="1:33" ht="51.75" x14ac:dyDescent="0.25">
      <c r="A19" s="78">
        <v>1598039312</v>
      </c>
      <c r="B19" s="32" t="s">
        <v>774</v>
      </c>
      <c r="C19" s="32" t="s">
        <v>775</v>
      </c>
      <c r="D19" s="32" t="s">
        <v>354</v>
      </c>
      <c r="E19" s="32" t="s">
        <v>161</v>
      </c>
      <c r="F19" s="32" t="s">
        <v>440</v>
      </c>
      <c r="G19" s="32">
        <v>1721</v>
      </c>
      <c r="H19" s="32" t="s">
        <v>368</v>
      </c>
      <c r="I19" s="32" t="s">
        <v>225</v>
      </c>
      <c r="J19" s="32" t="s">
        <v>375</v>
      </c>
      <c r="K19" s="32" t="s">
        <v>655</v>
      </c>
      <c r="L19" s="33">
        <v>45114</v>
      </c>
      <c r="M19" s="32" t="s">
        <v>212</v>
      </c>
      <c r="N19" s="35" t="s">
        <v>701</v>
      </c>
      <c r="R19" s="32">
        <v>1598039312</v>
      </c>
      <c r="S19" s="32" t="s">
        <v>774</v>
      </c>
      <c r="T19" s="32" t="s">
        <v>775</v>
      </c>
      <c r="U19" s="32" t="s">
        <v>354</v>
      </c>
      <c r="V19" s="32" t="s">
        <v>161</v>
      </c>
      <c r="W19" s="32" t="s">
        <v>440</v>
      </c>
      <c r="X19" s="32">
        <v>1721</v>
      </c>
      <c r="Y19" s="32" t="s">
        <v>368</v>
      </c>
      <c r="Z19" s="32" t="s">
        <v>225</v>
      </c>
      <c r="AA19" s="32" t="s">
        <v>375</v>
      </c>
      <c r="AB19" s="32" t="s">
        <v>655</v>
      </c>
      <c r="AC19" s="33">
        <v>45320</v>
      </c>
      <c r="AD19" s="32" t="s">
        <v>212</v>
      </c>
      <c r="AE19" s="32">
        <v>73</v>
      </c>
      <c r="AF19" s="32">
        <v>197</v>
      </c>
      <c r="AG19" s="35"/>
    </row>
    <row r="20" spans="1:33" ht="51.75" x14ac:dyDescent="0.25">
      <c r="A20" s="78">
        <v>1057200841</v>
      </c>
      <c r="B20" s="32" t="s">
        <v>776</v>
      </c>
      <c r="C20" s="32" t="s">
        <v>777</v>
      </c>
      <c r="D20" s="32" t="s">
        <v>354</v>
      </c>
      <c r="E20" s="32" t="s">
        <v>158</v>
      </c>
      <c r="F20" s="32" t="s">
        <v>440</v>
      </c>
      <c r="G20" s="32">
        <v>1721</v>
      </c>
      <c r="H20" s="32" t="s">
        <v>368</v>
      </c>
      <c r="I20" s="32" t="s">
        <v>225</v>
      </c>
      <c r="J20" s="32" t="s">
        <v>375</v>
      </c>
      <c r="K20" s="32" t="s">
        <v>655</v>
      </c>
      <c r="L20" s="33">
        <v>44988</v>
      </c>
      <c r="M20" s="32" t="s">
        <v>212</v>
      </c>
      <c r="N20" s="35" t="s">
        <v>700</v>
      </c>
      <c r="R20" s="32">
        <v>1057200841</v>
      </c>
      <c r="S20" s="32" t="s">
        <v>776</v>
      </c>
      <c r="T20" s="32" t="s">
        <v>777</v>
      </c>
      <c r="U20" s="32" t="s">
        <v>354</v>
      </c>
      <c r="V20" s="32" t="s">
        <v>158</v>
      </c>
      <c r="W20" s="32" t="s">
        <v>440</v>
      </c>
      <c r="X20" s="32">
        <v>1721</v>
      </c>
      <c r="Y20" s="32" t="s">
        <v>368</v>
      </c>
      <c r="Z20" s="32" t="s">
        <v>225</v>
      </c>
      <c r="AA20" s="32" t="s">
        <v>375</v>
      </c>
      <c r="AB20" s="32"/>
      <c r="AC20" s="33"/>
      <c r="AD20" s="32"/>
      <c r="AE20" s="32"/>
      <c r="AF20" s="32"/>
      <c r="AG20" s="35"/>
    </row>
    <row r="21" spans="1:33" ht="51.75" x14ac:dyDescent="0.25">
      <c r="A21" s="78">
        <v>1605838371</v>
      </c>
      <c r="B21" s="32" t="s">
        <v>778</v>
      </c>
      <c r="C21" s="32" t="s">
        <v>779</v>
      </c>
      <c r="D21" s="32" t="s">
        <v>354</v>
      </c>
      <c r="E21" s="32" t="s">
        <v>158</v>
      </c>
      <c r="F21" s="32" t="s">
        <v>440</v>
      </c>
      <c r="G21" s="32">
        <v>1721</v>
      </c>
      <c r="H21" s="32" t="s">
        <v>368</v>
      </c>
      <c r="I21" s="32" t="s">
        <v>225</v>
      </c>
      <c r="J21" s="32" t="s">
        <v>375</v>
      </c>
      <c r="K21" s="32" t="s">
        <v>655</v>
      </c>
      <c r="L21" s="33">
        <v>45058</v>
      </c>
      <c r="M21" s="32" t="s">
        <v>212</v>
      </c>
      <c r="N21" s="35" t="s">
        <v>702</v>
      </c>
      <c r="R21" s="32">
        <v>1605838371</v>
      </c>
      <c r="S21" s="32" t="s">
        <v>778</v>
      </c>
      <c r="T21" s="32" t="s">
        <v>779</v>
      </c>
      <c r="U21" s="32" t="s">
        <v>354</v>
      </c>
      <c r="V21" s="32" t="s">
        <v>158</v>
      </c>
      <c r="W21" s="32" t="s">
        <v>440</v>
      </c>
      <c r="X21" s="32">
        <v>1721</v>
      </c>
      <c r="Y21" s="32" t="s">
        <v>368</v>
      </c>
      <c r="Z21" s="32" t="s">
        <v>225</v>
      </c>
      <c r="AA21" s="32" t="s">
        <v>375</v>
      </c>
      <c r="AB21" s="32"/>
      <c r="AC21" s="33"/>
      <c r="AD21" s="32"/>
      <c r="AE21" s="32"/>
      <c r="AF21" s="32"/>
      <c r="AG21" s="35"/>
    </row>
    <row r="22" spans="1:33" ht="51.75" x14ac:dyDescent="0.25">
      <c r="A22" s="78">
        <v>1583777566</v>
      </c>
      <c r="B22" s="32" t="s">
        <v>780</v>
      </c>
      <c r="C22" s="32" t="s">
        <v>781</v>
      </c>
      <c r="D22" s="32" t="s">
        <v>354</v>
      </c>
      <c r="E22" s="32" t="s">
        <v>155</v>
      </c>
      <c r="F22" s="32" t="s">
        <v>440</v>
      </c>
      <c r="G22" s="32">
        <v>1721</v>
      </c>
      <c r="H22" s="32" t="s">
        <v>368</v>
      </c>
      <c r="I22" s="32" t="s">
        <v>225</v>
      </c>
      <c r="J22" s="32" t="s">
        <v>375</v>
      </c>
      <c r="K22" s="32" t="s">
        <v>655</v>
      </c>
      <c r="L22" s="33">
        <v>44988</v>
      </c>
      <c r="M22" s="32" t="s">
        <v>212</v>
      </c>
      <c r="N22" s="35" t="s">
        <v>701</v>
      </c>
      <c r="R22" s="32">
        <v>1583777566</v>
      </c>
      <c r="S22" s="32" t="s">
        <v>780</v>
      </c>
      <c r="T22" s="32" t="s">
        <v>781</v>
      </c>
      <c r="U22" s="32" t="s">
        <v>354</v>
      </c>
      <c r="V22" s="32" t="s">
        <v>155</v>
      </c>
      <c r="W22" s="32" t="s">
        <v>440</v>
      </c>
      <c r="X22" s="32">
        <v>1721</v>
      </c>
      <c r="Y22" s="32" t="s">
        <v>368</v>
      </c>
      <c r="Z22" s="32" t="s">
        <v>225</v>
      </c>
      <c r="AA22" s="32" t="s">
        <v>375</v>
      </c>
      <c r="AB22" s="32" t="s">
        <v>655</v>
      </c>
      <c r="AC22" s="33">
        <v>45316</v>
      </c>
      <c r="AD22" s="32" t="s">
        <v>212</v>
      </c>
      <c r="AE22" s="32">
        <v>71</v>
      </c>
      <c r="AF22" s="32">
        <v>179</v>
      </c>
      <c r="AG22" s="35"/>
    </row>
    <row r="23" spans="1:33" ht="51.75" x14ac:dyDescent="0.25">
      <c r="A23" s="78">
        <v>1309210629</v>
      </c>
      <c r="B23" s="32" t="s">
        <v>782</v>
      </c>
      <c r="C23" s="32" t="s">
        <v>783</v>
      </c>
      <c r="D23" s="32" t="s">
        <v>354</v>
      </c>
      <c r="E23" s="32" t="s">
        <v>155</v>
      </c>
      <c r="F23" s="32" t="s">
        <v>440</v>
      </c>
      <c r="G23" s="32">
        <v>1721</v>
      </c>
      <c r="H23" s="32" t="s">
        <v>368</v>
      </c>
      <c r="I23" s="32" t="s">
        <v>225</v>
      </c>
      <c r="J23" s="32" t="s">
        <v>375</v>
      </c>
      <c r="K23" s="32" t="s">
        <v>655</v>
      </c>
      <c r="L23" s="33">
        <v>44951</v>
      </c>
      <c r="M23" s="32" t="s">
        <v>212</v>
      </c>
      <c r="N23" s="35" t="s">
        <v>701</v>
      </c>
      <c r="R23" s="32">
        <v>1309210629</v>
      </c>
      <c r="S23" s="32" t="s">
        <v>782</v>
      </c>
      <c r="T23" s="32" t="s">
        <v>783</v>
      </c>
      <c r="U23" s="32" t="s">
        <v>354</v>
      </c>
      <c r="V23" s="32" t="s">
        <v>155</v>
      </c>
      <c r="W23" s="32" t="s">
        <v>440</v>
      </c>
      <c r="X23" s="32">
        <v>1721</v>
      </c>
      <c r="Y23" s="32" t="s">
        <v>368</v>
      </c>
      <c r="Z23" s="32" t="s">
        <v>225</v>
      </c>
      <c r="AA23" s="32" t="s">
        <v>375</v>
      </c>
      <c r="AB23" s="32"/>
      <c r="AC23" s="33"/>
      <c r="AD23" s="32"/>
      <c r="AE23" s="32"/>
      <c r="AF23" s="32"/>
      <c r="AG23" s="35"/>
    </row>
    <row r="24" spans="1:33" ht="51.75" x14ac:dyDescent="0.25">
      <c r="A24" s="78">
        <v>1068605275</v>
      </c>
      <c r="B24" s="32" t="s">
        <v>784</v>
      </c>
      <c r="C24" s="32" t="s">
        <v>785</v>
      </c>
      <c r="D24" s="32" t="s">
        <v>354</v>
      </c>
      <c r="E24" s="32" t="s">
        <v>155</v>
      </c>
      <c r="F24" s="32" t="s">
        <v>440</v>
      </c>
      <c r="G24" s="32">
        <v>1700</v>
      </c>
      <c r="H24" s="32" t="s">
        <v>368</v>
      </c>
      <c r="I24" s="32" t="s">
        <v>225</v>
      </c>
      <c r="J24" s="32" t="s">
        <v>375</v>
      </c>
      <c r="K24" s="32" t="s">
        <v>655</v>
      </c>
      <c r="L24" s="33">
        <v>44988</v>
      </c>
      <c r="M24" s="32" t="s">
        <v>212</v>
      </c>
      <c r="N24" s="35" t="s">
        <v>701</v>
      </c>
      <c r="R24" s="32">
        <v>1068605275</v>
      </c>
      <c r="S24" s="32" t="s">
        <v>784</v>
      </c>
      <c r="T24" s="32" t="s">
        <v>785</v>
      </c>
      <c r="U24" s="32" t="s">
        <v>354</v>
      </c>
      <c r="V24" s="32" t="s">
        <v>155</v>
      </c>
      <c r="W24" s="32" t="s">
        <v>440</v>
      </c>
      <c r="X24" s="32">
        <v>1700</v>
      </c>
      <c r="Y24" s="32" t="s">
        <v>368</v>
      </c>
      <c r="Z24" s="32" t="s">
        <v>225</v>
      </c>
      <c r="AA24" s="32" t="s">
        <v>375</v>
      </c>
      <c r="AB24" s="32" t="s">
        <v>655</v>
      </c>
      <c r="AC24" s="33">
        <v>45314</v>
      </c>
      <c r="AD24" s="32" t="s">
        <v>212</v>
      </c>
      <c r="AE24" s="32">
        <v>65</v>
      </c>
      <c r="AF24" s="32">
        <v>120</v>
      </c>
      <c r="AG24" s="35"/>
    </row>
    <row r="25" spans="1:33" ht="51.75" x14ac:dyDescent="0.25">
      <c r="A25" s="78">
        <v>1504022008</v>
      </c>
      <c r="B25" s="32" t="s">
        <v>786</v>
      </c>
      <c r="C25" s="32" t="s">
        <v>787</v>
      </c>
      <c r="D25" s="32" t="s">
        <v>354</v>
      </c>
      <c r="E25" s="32" t="s">
        <v>151</v>
      </c>
      <c r="F25" s="32" t="s">
        <v>440</v>
      </c>
      <c r="G25" s="32">
        <v>1721</v>
      </c>
      <c r="H25" s="32" t="s">
        <v>368</v>
      </c>
      <c r="I25" s="32" t="s">
        <v>225</v>
      </c>
      <c r="J25" s="32" t="s">
        <v>375</v>
      </c>
      <c r="K25" s="32" t="s">
        <v>655</v>
      </c>
      <c r="L25" s="33">
        <v>45114</v>
      </c>
      <c r="M25" s="32" t="s">
        <v>212</v>
      </c>
      <c r="N25" s="35" t="s">
        <v>701</v>
      </c>
      <c r="R25" s="32">
        <v>1504022008</v>
      </c>
      <c r="S25" s="32" t="s">
        <v>786</v>
      </c>
      <c r="T25" s="32" t="s">
        <v>787</v>
      </c>
      <c r="U25" s="32" t="s">
        <v>354</v>
      </c>
      <c r="V25" s="32" t="s">
        <v>151</v>
      </c>
      <c r="W25" s="32" t="s">
        <v>440</v>
      </c>
      <c r="X25" s="32">
        <v>1721</v>
      </c>
      <c r="Y25" s="32" t="s">
        <v>368</v>
      </c>
      <c r="Z25" s="32" t="s">
        <v>225</v>
      </c>
      <c r="AA25" s="32" t="s">
        <v>375</v>
      </c>
      <c r="AB25" s="32"/>
      <c r="AC25" s="33"/>
      <c r="AD25" s="32"/>
      <c r="AE25" s="32"/>
      <c r="AF25" s="32"/>
      <c r="AG25" s="35"/>
    </row>
    <row r="26" spans="1:33" ht="51.75" x14ac:dyDescent="0.25">
      <c r="A26" s="78">
        <v>1306349386</v>
      </c>
      <c r="B26" s="32" t="s">
        <v>788</v>
      </c>
      <c r="C26" s="32" t="s">
        <v>789</v>
      </c>
      <c r="D26" s="32" t="s">
        <v>354</v>
      </c>
      <c r="E26" s="32" t="s">
        <v>151</v>
      </c>
      <c r="F26" s="32" t="s">
        <v>440</v>
      </c>
      <c r="G26" s="32">
        <v>1721</v>
      </c>
      <c r="H26" s="32" t="s">
        <v>368</v>
      </c>
      <c r="I26" s="32" t="s">
        <v>225</v>
      </c>
      <c r="J26" s="32" t="s">
        <v>375</v>
      </c>
      <c r="K26" s="32" t="s">
        <v>655</v>
      </c>
      <c r="L26" s="33">
        <v>44988</v>
      </c>
      <c r="M26" s="32" t="s">
        <v>212</v>
      </c>
      <c r="N26" s="35" t="s">
        <v>701</v>
      </c>
      <c r="R26" s="32">
        <v>1306349386</v>
      </c>
      <c r="S26" s="32" t="s">
        <v>788</v>
      </c>
      <c r="T26" s="32" t="s">
        <v>789</v>
      </c>
      <c r="U26" s="32" t="s">
        <v>354</v>
      </c>
      <c r="V26" s="32" t="s">
        <v>151</v>
      </c>
      <c r="W26" s="32" t="s">
        <v>440</v>
      </c>
      <c r="X26" s="32">
        <v>1721</v>
      </c>
      <c r="Y26" s="32" t="s">
        <v>368</v>
      </c>
      <c r="Z26" s="32" t="s">
        <v>225</v>
      </c>
      <c r="AA26" s="32" t="s">
        <v>375</v>
      </c>
      <c r="AB26" s="32"/>
      <c r="AC26" s="33"/>
      <c r="AD26" s="32"/>
      <c r="AE26" s="32"/>
      <c r="AF26" s="32"/>
      <c r="AG26" s="35"/>
    </row>
    <row r="27" spans="1:33" ht="51.75" x14ac:dyDescent="0.25">
      <c r="A27" s="78">
        <v>1320652076</v>
      </c>
      <c r="B27" s="32" t="s">
        <v>790</v>
      </c>
      <c r="C27" s="32" t="s">
        <v>791</v>
      </c>
      <c r="D27" s="32" t="s">
        <v>354</v>
      </c>
      <c r="E27" s="32" t="s">
        <v>151</v>
      </c>
      <c r="F27" s="32" t="s">
        <v>440</v>
      </c>
      <c r="G27" s="32">
        <v>1721</v>
      </c>
      <c r="H27" s="32" t="s">
        <v>368</v>
      </c>
      <c r="I27" s="32" t="s">
        <v>225</v>
      </c>
      <c r="J27" s="32" t="s">
        <v>375</v>
      </c>
      <c r="K27" s="32" t="s">
        <v>655</v>
      </c>
      <c r="L27" s="33">
        <v>45114</v>
      </c>
      <c r="M27" s="32" t="s">
        <v>212</v>
      </c>
      <c r="N27" s="35" t="s">
        <v>701</v>
      </c>
      <c r="R27" s="32">
        <v>1320652076</v>
      </c>
      <c r="S27" s="32" t="s">
        <v>790</v>
      </c>
      <c r="T27" s="32" t="s">
        <v>791</v>
      </c>
      <c r="U27" s="32" t="s">
        <v>354</v>
      </c>
      <c r="V27" s="32" t="s">
        <v>151</v>
      </c>
      <c r="W27" s="32" t="s">
        <v>440</v>
      </c>
      <c r="X27" s="32">
        <v>1721</v>
      </c>
      <c r="Y27" s="32" t="s">
        <v>368</v>
      </c>
      <c r="Z27" s="32" t="s">
        <v>225</v>
      </c>
      <c r="AA27" s="32" t="s">
        <v>375</v>
      </c>
      <c r="AB27" s="32"/>
      <c r="AC27" s="33"/>
      <c r="AD27" s="32"/>
      <c r="AE27" s="32"/>
      <c r="AF27" s="32"/>
      <c r="AG27" s="35"/>
    </row>
    <row r="28" spans="1:33" ht="51.75" x14ac:dyDescent="0.25">
      <c r="A28" s="78">
        <v>1478966980</v>
      </c>
      <c r="B28" s="32" t="s">
        <v>792</v>
      </c>
      <c r="C28" s="32" t="s">
        <v>793</v>
      </c>
      <c r="D28" s="32" t="s">
        <v>354</v>
      </c>
      <c r="E28" s="32" t="s">
        <v>151</v>
      </c>
      <c r="F28" s="32" t="s">
        <v>440</v>
      </c>
      <c r="G28" s="32">
        <v>1721</v>
      </c>
      <c r="H28" s="32" t="s">
        <v>368</v>
      </c>
      <c r="I28" s="32" t="s">
        <v>225</v>
      </c>
      <c r="J28" s="32" t="s">
        <v>375</v>
      </c>
      <c r="K28" s="32" t="s">
        <v>655</v>
      </c>
      <c r="L28" s="33">
        <v>44931</v>
      </c>
      <c r="M28" s="32" t="s">
        <v>212</v>
      </c>
      <c r="N28" s="35" t="s">
        <v>701</v>
      </c>
      <c r="R28" s="32">
        <v>1478966980</v>
      </c>
      <c r="S28" s="32" t="s">
        <v>792</v>
      </c>
      <c r="T28" s="32" t="s">
        <v>793</v>
      </c>
      <c r="U28" s="32" t="s">
        <v>354</v>
      </c>
      <c r="V28" s="32" t="s">
        <v>151</v>
      </c>
      <c r="W28" s="32" t="s">
        <v>440</v>
      </c>
      <c r="X28" s="32">
        <v>1721</v>
      </c>
      <c r="Y28" s="32" t="s">
        <v>368</v>
      </c>
      <c r="Z28" s="32" t="s">
        <v>225</v>
      </c>
      <c r="AA28" s="32" t="s">
        <v>375</v>
      </c>
      <c r="AB28" s="32"/>
      <c r="AC28" s="33"/>
      <c r="AD28" s="32"/>
      <c r="AE28" s="32"/>
      <c r="AF28" s="32"/>
      <c r="AG28" s="35"/>
    </row>
    <row r="29" spans="1:33" ht="51.75" x14ac:dyDescent="0.25">
      <c r="A29" s="78">
        <v>1308481514</v>
      </c>
      <c r="B29" s="32" t="s">
        <v>794</v>
      </c>
      <c r="C29" s="32" t="s">
        <v>795</v>
      </c>
      <c r="D29" s="32" t="s">
        <v>354</v>
      </c>
      <c r="E29" s="32" t="s">
        <v>151</v>
      </c>
      <c r="F29" s="32" t="s">
        <v>440</v>
      </c>
      <c r="G29" s="32">
        <v>1721</v>
      </c>
      <c r="H29" s="32" t="s">
        <v>368</v>
      </c>
      <c r="I29" s="32" t="s">
        <v>225</v>
      </c>
      <c r="J29" s="32" t="s">
        <v>375</v>
      </c>
      <c r="K29" s="32" t="s">
        <v>655</v>
      </c>
      <c r="L29" s="33">
        <v>44988</v>
      </c>
      <c r="M29" s="32" t="s">
        <v>212</v>
      </c>
      <c r="N29" s="35" t="s">
        <v>701</v>
      </c>
      <c r="R29" s="32">
        <v>1308481514</v>
      </c>
      <c r="S29" s="32" t="s">
        <v>794</v>
      </c>
      <c r="T29" s="32" t="s">
        <v>795</v>
      </c>
      <c r="U29" s="32" t="s">
        <v>354</v>
      </c>
      <c r="V29" s="32" t="s">
        <v>151</v>
      </c>
      <c r="W29" s="32" t="s">
        <v>440</v>
      </c>
      <c r="X29" s="32">
        <v>1721</v>
      </c>
      <c r="Y29" s="32" t="s">
        <v>368</v>
      </c>
      <c r="Z29" s="32" t="s">
        <v>225</v>
      </c>
      <c r="AA29" s="32" t="s">
        <v>375</v>
      </c>
      <c r="AB29" s="32"/>
      <c r="AC29" s="33"/>
      <c r="AD29" s="32"/>
      <c r="AE29" s="32"/>
      <c r="AF29" s="32"/>
      <c r="AG29" s="35"/>
    </row>
    <row r="30" spans="1:33" ht="51.75" x14ac:dyDescent="0.25">
      <c r="A30" s="78">
        <v>1511922179</v>
      </c>
      <c r="B30" s="32" t="s">
        <v>796</v>
      </c>
      <c r="C30" s="32" t="s">
        <v>797</v>
      </c>
      <c r="D30" s="32" t="s">
        <v>354</v>
      </c>
      <c r="E30" s="32" t="s">
        <v>151</v>
      </c>
      <c r="F30" s="32" t="s">
        <v>440</v>
      </c>
      <c r="G30" s="32">
        <v>1721</v>
      </c>
      <c r="H30" s="32" t="s">
        <v>368</v>
      </c>
      <c r="I30" s="32" t="s">
        <v>225</v>
      </c>
      <c r="J30" s="32" t="s">
        <v>375</v>
      </c>
      <c r="K30" s="32" t="s">
        <v>655</v>
      </c>
      <c r="L30" s="33">
        <v>44988</v>
      </c>
      <c r="M30" s="32" t="s">
        <v>212</v>
      </c>
      <c r="N30" s="35" t="s">
        <v>701</v>
      </c>
      <c r="R30" s="32">
        <v>1511922179</v>
      </c>
      <c r="S30" s="32" t="s">
        <v>796</v>
      </c>
      <c r="T30" s="32" t="s">
        <v>797</v>
      </c>
      <c r="U30" s="32" t="s">
        <v>354</v>
      </c>
      <c r="V30" s="32" t="s">
        <v>151</v>
      </c>
      <c r="W30" s="32" t="s">
        <v>440</v>
      </c>
      <c r="X30" s="32">
        <v>1721</v>
      </c>
      <c r="Y30" s="32" t="s">
        <v>368</v>
      </c>
      <c r="Z30" s="32" t="s">
        <v>225</v>
      </c>
      <c r="AA30" s="32" t="s">
        <v>375</v>
      </c>
      <c r="AB30" s="32"/>
      <c r="AC30" s="33"/>
      <c r="AD30" s="32"/>
      <c r="AE30" s="32"/>
      <c r="AF30" s="32"/>
      <c r="AG30" s="35"/>
    </row>
    <row r="31" spans="1:33" ht="51.75" x14ac:dyDescent="0.25">
      <c r="A31" s="78">
        <v>1363966758</v>
      </c>
      <c r="B31" s="32" t="s">
        <v>798</v>
      </c>
      <c r="C31" s="32" t="s">
        <v>799</v>
      </c>
      <c r="D31" s="32" t="s">
        <v>354</v>
      </c>
      <c r="E31" s="32" t="s">
        <v>151</v>
      </c>
      <c r="F31" s="32" t="s">
        <v>440</v>
      </c>
      <c r="G31" s="32">
        <v>1721</v>
      </c>
      <c r="H31" s="32" t="s">
        <v>368</v>
      </c>
      <c r="I31" s="32" t="s">
        <v>225</v>
      </c>
      <c r="J31" s="32" t="s">
        <v>375</v>
      </c>
      <c r="K31" s="32" t="s">
        <v>655</v>
      </c>
      <c r="L31" s="33">
        <v>45114</v>
      </c>
      <c r="M31" s="32" t="s">
        <v>212</v>
      </c>
      <c r="N31" s="35" t="s">
        <v>701</v>
      </c>
      <c r="R31" s="32">
        <v>1363966758</v>
      </c>
      <c r="S31" s="32" t="s">
        <v>798</v>
      </c>
      <c r="T31" s="32" t="s">
        <v>799</v>
      </c>
      <c r="U31" s="32" t="s">
        <v>354</v>
      </c>
      <c r="V31" s="32" t="s">
        <v>151</v>
      </c>
      <c r="W31" s="32" t="s">
        <v>440</v>
      </c>
      <c r="X31" s="32">
        <v>1721</v>
      </c>
      <c r="Y31" s="32" t="s">
        <v>368</v>
      </c>
      <c r="Z31" s="32" t="s">
        <v>225</v>
      </c>
      <c r="AA31" s="32" t="s">
        <v>375</v>
      </c>
      <c r="AB31" s="32"/>
      <c r="AC31" s="33"/>
      <c r="AD31" s="32"/>
      <c r="AE31" s="32"/>
      <c r="AF31" s="32"/>
      <c r="AG31" s="35"/>
    </row>
    <row r="32" spans="1:33" ht="51.75" x14ac:dyDescent="0.25">
      <c r="A32" s="78">
        <v>1212075255</v>
      </c>
      <c r="B32" s="32" t="s">
        <v>800</v>
      </c>
      <c r="C32" s="32" t="s">
        <v>801</v>
      </c>
      <c r="D32" s="32" t="s">
        <v>354</v>
      </c>
      <c r="E32" s="32" t="s">
        <v>147</v>
      </c>
      <c r="F32" s="32" t="s">
        <v>440</v>
      </c>
      <c r="G32" s="32">
        <v>1721</v>
      </c>
      <c r="H32" s="32" t="s">
        <v>368</v>
      </c>
      <c r="I32" s="32" t="s">
        <v>225</v>
      </c>
      <c r="J32" s="32" t="s">
        <v>375</v>
      </c>
      <c r="K32" s="32" t="s">
        <v>655</v>
      </c>
      <c r="L32" s="33">
        <v>45177</v>
      </c>
      <c r="M32" s="32" t="s">
        <v>212</v>
      </c>
      <c r="N32" s="35" t="s">
        <v>701</v>
      </c>
      <c r="R32" s="32">
        <v>1212075255</v>
      </c>
      <c r="S32" s="32" t="s">
        <v>800</v>
      </c>
      <c r="T32" s="32" t="s">
        <v>801</v>
      </c>
      <c r="U32" s="32" t="s">
        <v>354</v>
      </c>
      <c r="V32" s="32" t="s">
        <v>147</v>
      </c>
      <c r="W32" s="32" t="s">
        <v>440</v>
      </c>
      <c r="X32" s="32">
        <v>1721</v>
      </c>
      <c r="Y32" s="32" t="s">
        <v>368</v>
      </c>
      <c r="Z32" s="32" t="s">
        <v>225</v>
      </c>
      <c r="AA32" s="32" t="s">
        <v>375</v>
      </c>
      <c r="AB32" s="32"/>
      <c r="AC32" s="33"/>
      <c r="AD32" s="32"/>
      <c r="AE32" s="32"/>
      <c r="AF32" s="32"/>
      <c r="AG32" s="35"/>
    </row>
    <row r="33" spans="1:33" ht="39" x14ac:dyDescent="0.25">
      <c r="A33" s="78">
        <v>1039148847</v>
      </c>
      <c r="B33" s="32" t="s">
        <v>802</v>
      </c>
      <c r="C33" s="32" t="s">
        <v>803</v>
      </c>
      <c r="D33" s="32" t="s">
        <v>354</v>
      </c>
      <c r="E33" s="32" t="s">
        <v>170</v>
      </c>
      <c r="F33" s="32" t="s">
        <v>440</v>
      </c>
      <c r="G33" s="32">
        <v>1702</v>
      </c>
      <c r="H33" s="32" t="s">
        <v>368</v>
      </c>
      <c r="I33" s="32" t="s">
        <v>211</v>
      </c>
      <c r="J33" s="32" t="s">
        <v>360</v>
      </c>
      <c r="K33" s="32" t="s">
        <v>703</v>
      </c>
      <c r="L33" s="33">
        <v>45197</v>
      </c>
      <c r="M33" s="32" t="s">
        <v>212</v>
      </c>
      <c r="N33" s="35"/>
      <c r="R33" s="32">
        <v>1039148847</v>
      </c>
      <c r="S33" s="32" t="s">
        <v>802</v>
      </c>
      <c r="T33" s="32" t="s">
        <v>803</v>
      </c>
      <c r="U33" s="32" t="s">
        <v>354</v>
      </c>
      <c r="V33" s="32" t="s">
        <v>170</v>
      </c>
      <c r="W33" s="32" t="s">
        <v>440</v>
      </c>
      <c r="X33" s="32">
        <v>1702</v>
      </c>
      <c r="Y33" s="32" t="s">
        <v>368</v>
      </c>
      <c r="Z33" s="32" t="s">
        <v>211</v>
      </c>
      <c r="AA33" s="32" t="s">
        <v>360</v>
      </c>
      <c r="AB33" s="32"/>
      <c r="AC33" s="33"/>
      <c r="AD33" s="32"/>
      <c r="AE33" s="32"/>
      <c r="AF33" s="32"/>
      <c r="AG33" s="35"/>
    </row>
    <row r="34" spans="1:33" ht="51.75" x14ac:dyDescent="0.25">
      <c r="A34" s="78">
        <v>1282303798</v>
      </c>
      <c r="B34" s="32" t="s">
        <v>804</v>
      </c>
      <c r="C34" s="32" t="s">
        <v>805</v>
      </c>
      <c r="D34" s="32" t="s">
        <v>354</v>
      </c>
      <c r="E34" s="32" t="s">
        <v>161</v>
      </c>
      <c r="F34" s="32" t="s">
        <v>440</v>
      </c>
      <c r="G34" s="32">
        <v>1721</v>
      </c>
      <c r="H34" s="32" t="s">
        <v>414</v>
      </c>
      <c r="I34" s="32" t="s">
        <v>211</v>
      </c>
      <c r="J34" s="32" t="s">
        <v>375</v>
      </c>
      <c r="K34" s="32" t="s">
        <v>655</v>
      </c>
      <c r="L34" s="33">
        <v>45114</v>
      </c>
      <c r="M34" s="32" t="s">
        <v>212</v>
      </c>
      <c r="N34" s="35" t="s">
        <v>701</v>
      </c>
      <c r="R34" s="32">
        <v>1282303798</v>
      </c>
      <c r="S34" s="32" t="s">
        <v>804</v>
      </c>
      <c r="T34" s="32" t="s">
        <v>805</v>
      </c>
      <c r="U34" s="32" t="s">
        <v>354</v>
      </c>
      <c r="V34" s="32" t="s">
        <v>161</v>
      </c>
      <c r="W34" s="32" t="s">
        <v>440</v>
      </c>
      <c r="X34" s="32">
        <v>1721</v>
      </c>
      <c r="Y34" s="32" t="s">
        <v>414</v>
      </c>
      <c r="Z34" s="32" t="s">
        <v>211</v>
      </c>
      <c r="AA34" s="32" t="s">
        <v>375</v>
      </c>
      <c r="AB34" s="32"/>
      <c r="AC34" s="33"/>
      <c r="AD34" s="32"/>
      <c r="AE34" s="32"/>
      <c r="AF34" s="32"/>
      <c r="AG34" s="35"/>
    </row>
    <row r="35" spans="1:33" ht="51.75" x14ac:dyDescent="0.25">
      <c r="A35" s="78">
        <v>1456272150</v>
      </c>
      <c r="B35" s="32" t="s">
        <v>806</v>
      </c>
      <c r="C35" s="32" t="s">
        <v>807</v>
      </c>
      <c r="D35" s="32" t="s">
        <v>354</v>
      </c>
      <c r="E35" s="32" t="s">
        <v>158</v>
      </c>
      <c r="F35" s="32" t="s">
        <v>440</v>
      </c>
      <c r="G35" s="32">
        <v>1721</v>
      </c>
      <c r="H35" s="32" t="s">
        <v>368</v>
      </c>
      <c r="I35" s="32" t="s">
        <v>211</v>
      </c>
      <c r="J35" s="32" t="s">
        <v>375</v>
      </c>
      <c r="K35" s="32" t="s">
        <v>655</v>
      </c>
      <c r="L35" s="33">
        <v>45114</v>
      </c>
      <c r="M35" s="32" t="s">
        <v>212</v>
      </c>
      <c r="N35" s="35" t="s">
        <v>701</v>
      </c>
      <c r="R35" s="32">
        <v>1456272150</v>
      </c>
      <c r="S35" s="32" t="s">
        <v>806</v>
      </c>
      <c r="T35" s="32" t="s">
        <v>807</v>
      </c>
      <c r="U35" s="32" t="s">
        <v>354</v>
      </c>
      <c r="V35" s="32" t="s">
        <v>158</v>
      </c>
      <c r="W35" s="32" t="s">
        <v>440</v>
      </c>
      <c r="X35" s="32">
        <v>1721</v>
      </c>
      <c r="Y35" s="32" t="s">
        <v>368</v>
      </c>
      <c r="Z35" s="32" t="s">
        <v>211</v>
      </c>
      <c r="AA35" s="32" t="s">
        <v>375</v>
      </c>
      <c r="AB35" s="32" t="s">
        <v>655</v>
      </c>
      <c r="AC35" s="33">
        <v>45296</v>
      </c>
      <c r="AD35" s="32" t="s">
        <v>212</v>
      </c>
      <c r="AE35" s="32">
        <v>69</v>
      </c>
      <c r="AF35" s="32">
        <v>152</v>
      </c>
      <c r="AG35" s="35"/>
    </row>
    <row r="36" spans="1:33" ht="51.75" x14ac:dyDescent="0.25">
      <c r="A36" s="78">
        <v>1364104581</v>
      </c>
      <c r="B36" s="32" t="s">
        <v>808</v>
      </c>
      <c r="C36" s="32" t="s">
        <v>809</v>
      </c>
      <c r="D36" s="32" t="s">
        <v>354</v>
      </c>
      <c r="E36" s="32" t="s">
        <v>158</v>
      </c>
      <c r="F36" s="32" t="s">
        <v>440</v>
      </c>
      <c r="G36" s="32">
        <v>1721</v>
      </c>
      <c r="H36" s="32" t="s">
        <v>368</v>
      </c>
      <c r="I36" s="32" t="s">
        <v>211</v>
      </c>
      <c r="J36" s="32" t="s">
        <v>375</v>
      </c>
      <c r="K36" s="32" t="s">
        <v>655</v>
      </c>
      <c r="L36" s="33">
        <v>45126</v>
      </c>
      <c r="M36" s="32" t="s">
        <v>212</v>
      </c>
      <c r="N36" s="35" t="s">
        <v>701</v>
      </c>
      <c r="R36" s="32">
        <v>1364104581</v>
      </c>
      <c r="S36" s="32" t="s">
        <v>808</v>
      </c>
      <c r="T36" s="32" t="s">
        <v>809</v>
      </c>
      <c r="U36" s="32" t="s">
        <v>354</v>
      </c>
      <c r="V36" s="32" t="s">
        <v>158</v>
      </c>
      <c r="W36" s="32" t="s">
        <v>440</v>
      </c>
      <c r="X36" s="32">
        <v>1721</v>
      </c>
      <c r="Y36" s="32" t="s">
        <v>368</v>
      </c>
      <c r="Z36" s="32" t="s">
        <v>211</v>
      </c>
      <c r="AA36" s="32" t="s">
        <v>375</v>
      </c>
      <c r="AB36" s="32"/>
      <c r="AC36" s="33"/>
      <c r="AD36" s="32"/>
      <c r="AE36" s="32"/>
      <c r="AF36" s="32"/>
      <c r="AG36" s="35"/>
    </row>
    <row r="37" spans="1:33" ht="51.75" x14ac:dyDescent="0.25">
      <c r="A37" s="78">
        <v>1599673202</v>
      </c>
      <c r="B37" s="32" t="s">
        <v>810</v>
      </c>
      <c r="C37" s="32" t="s">
        <v>811</v>
      </c>
      <c r="D37" s="32" t="s">
        <v>354</v>
      </c>
      <c r="E37" s="32" t="s">
        <v>155</v>
      </c>
      <c r="F37" s="32" t="s">
        <v>440</v>
      </c>
      <c r="G37" s="32">
        <v>1721</v>
      </c>
      <c r="H37" s="32" t="s">
        <v>368</v>
      </c>
      <c r="I37" s="32" t="s">
        <v>211</v>
      </c>
      <c r="J37" s="32" t="s">
        <v>375</v>
      </c>
      <c r="K37" s="32" t="s">
        <v>655</v>
      </c>
      <c r="L37" s="33">
        <v>45001</v>
      </c>
      <c r="M37" s="32" t="s">
        <v>212</v>
      </c>
      <c r="N37" s="35" t="s">
        <v>700</v>
      </c>
      <c r="R37" s="32">
        <v>1599673202</v>
      </c>
      <c r="S37" s="32" t="s">
        <v>810</v>
      </c>
      <c r="T37" s="32" t="s">
        <v>811</v>
      </c>
      <c r="U37" s="32" t="s">
        <v>354</v>
      </c>
      <c r="V37" s="32" t="s">
        <v>155</v>
      </c>
      <c r="W37" s="32" t="s">
        <v>440</v>
      </c>
      <c r="X37" s="32">
        <v>1721</v>
      </c>
      <c r="Y37" s="32" t="s">
        <v>368</v>
      </c>
      <c r="Z37" s="32" t="s">
        <v>211</v>
      </c>
      <c r="AA37" s="32" t="s">
        <v>375</v>
      </c>
      <c r="AB37" s="32"/>
      <c r="AC37" s="33"/>
      <c r="AD37" s="32"/>
      <c r="AE37" s="32"/>
      <c r="AF37" s="32"/>
      <c r="AG37" s="35"/>
    </row>
    <row r="38" spans="1:33" ht="51.75" x14ac:dyDescent="0.25">
      <c r="A38" s="78">
        <v>1163508456</v>
      </c>
      <c r="B38" s="32" t="s">
        <v>812</v>
      </c>
      <c r="C38" s="32" t="s">
        <v>813</v>
      </c>
      <c r="D38" s="32" t="s">
        <v>354</v>
      </c>
      <c r="E38" s="32" t="s">
        <v>155</v>
      </c>
      <c r="F38" s="32" t="s">
        <v>440</v>
      </c>
      <c r="G38" s="32">
        <v>1721</v>
      </c>
      <c r="H38" s="32" t="s">
        <v>368</v>
      </c>
      <c r="I38" s="32" t="s">
        <v>211</v>
      </c>
      <c r="J38" s="32" t="s">
        <v>375</v>
      </c>
      <c r="K38" s="32" t="s">
        <v>655</v>
      </c>
      <c r="L38" s="33">
        <v>44988</v>
      </c>
      <c r="M38" s="32" t="s">
        <v>212</v>
      </c>
      <c r="N38" s="35" t="s">
        <v>701</v>
      </c>
      <c r="R38" s="32">
        <v>1163508456</v>
      </c>
      <c r="S38" s="32" t="s">
        <v>812</v>
      </c>
      <c r="T38" s="32" t="s">
        <v>813</v>
      </c>
      <c r="U38" s="32" t="s">
        <v>354</v>
      </c>
      <c r="V38" s="32" t="s">
        <v>155</v>
      </c>
      <c r="W38" s="32" t="s">
        <v>440</v>
      </c>
      <c r="X38" s="32">
        <v>1721</v>
      </c>
      <c r="Y38" s="32" t="s">
        <v>368</v>
      </c>
      <c r="Z38" s="32" t="s">
        <v>211</v>
      </c>
      <c r="AA38" s="32" t="s">
        <v>375</v>
      </c>
      <c r="AB38" s="32"/>
      <c r="AC38" s="33"/>
      <c r="AD38" s="32"/>
      <c r="AE38" s="32"/>
      <c r="AF38" s="32"/>
      <c r="AG38" s="35"/>
    </row>
    <row r="39" spans="1:33" ht="51.75" x14ac:dyDescent="0.25">
      <c r="A39" s="78">
        <v>1093026721</v>
      </c>
      <c r="B39" s="32" t="s">
        <v>814</v>
      </c>
      <c r="C39" s="32" t="s">
        <v>815</v>
      </c>
      <c r="D39" s="32" t="s">
        <v>354</v>
      </c>
      <c r="E39" s="32" t="s">
        <v>155</v>
      </c>
      <c r="F39" s="32" t="s">
        <v>440</v>
      </c>
      <c r="G39" s="32">
        <v>1700</v>
      </c>
      <c r="H39" s="32" t="s">
        <v>368</v>
      </c>
      <c r="I39" s="32" t="s">
        <v>211</v>
      </c>
      <c r="J39" s="32" t="s">
        <v>375</v>
      </c>
      <c r="K39" s="32" t="s">
        <v>655</v>
      </c>
      <c r="L39" s="33">
        <v>44988</v>
      </c>
      <c r="M39" s="32" t="s">
        <v>212</v>
      </c>
      <c r="N39" s="35" t="s">
        <v>701</v>
      </c>
      <c r="R39" s="32">
        <v>1093026721</v>
      </c>
      <c r="S39" s="32" t="s">
        <v>814</v>
      </c>
      <c r="T39" s="32" t="s">
        <v>815</v>
      </c>
      <c r="U39" s="32" t="s">
        <v>354</v>
      </c>
      <c r="V39" s="32" t="s">
        <v>155</v>
      </c>
      <c r="W39" s="32" t="s">
        <v>440</v>
      </c>
      <c r="X39" s="32">
        <v>1700</v>
      </c>
      <c r="Y39" s="32" t="s">
        <v>368</v>
      </c>
      <c r="Z39" s="32" t="s">
        <v>211</v>
      </c>
      <c r="AA39" s="32" t="s">
        <v>375</v>
      </c>
      <c r="AB39" s="32"/>
      <c r="AC39" s="33"/>
      <c r="AD39" s="32"/>
      <c r="AE39" s="32"/>
      <c r="AF39" s="32"/>
      <c r="AG39" s="35"/>
    </row>
    <row r="40" spans="1:33" ht="51.75" x14ac:dyDescent="0.25">
      <c r="A40" s="78">
        <v>1523342542</v>
      </c>
      <c r="B40" s="32" t="s">
        <v>816</v>
      </c>
      <c r="C40" s="32" t="s">
        <v>817</v>
      </c>
      <c r="D40" s="32" t="s">
        <v>354</v>
      </c>
      <c r="E40" s="32" t="s">
        <v>151</v>
      </c>
      <c r="F40" s="32" t="s">
        <v>440</v>
      </c>
      <c r="G40" s="32">
        <v>1721</v>
      </c>
      <c r="H40" s="32" t="s">
        <v>368</v>
      </c>
      <c r="I40" s="32" t="s">
        <v>211</v>
      </c>
      <c r="J40" s="32" t="s">
        <v>375</v>
      </c>
      <c r="K40" s="32" t="s">
        <v>655</v>
      </c>
      <c r="L40" s="33">
        <v>45114</v>
      </c>
      <c r="M40" s="32" t="s">
        <v>212</v>
      </c>
      <c r="N40" s="35" t="s">
        <v>701</v>
      </c>
      <c r="R40" s="32">
        <v>1523342542</v>
      </c>
      <c r="S40" s="32" t="s">
        <v>816</v>
      </c>
      <c r="T40" s="32" t="s">
        <v>817</v>
      </c>
      <c r="U40" s="32" t="s">
        <v>354</v>
      </c>
      <c r="V40" s="32" t="s">
        <v>151</v>
      </c>
      <c r="W40" s="32" t="s">
        <v>440</v>
      </c>
      <c r="X40" s="32">
        <v>1721</v>
      </c>
      <c r="Y40" s="32" t="s">
        <v>368</v>
      </c>
      <c r="Z40" s="32" t="s">
        <v>211</v>
      </c>
      <c r="AA40" s="32" t="s">
        <v>375</v>
      </c>
      <c r="AB40" s="32" t="s">
        <v>655</v>
      </c>
      <c r="AC40" s="33">
        <v>45322</v>
      </c>
      <c r="AD40" s="32" t="s">
        <v>212</v>
      </c>
      <c r="AE40" s="32">
        <v>70</v>
      </c>
      <c r="AF40" s="32">
        <v>172</v>
      </c>
      <c r="AG40" s="35"/>
    </row>
    <row r="41" spans="1:33" ht="51.75" x14ac:dyDescent="0.25">
      <c r="A41" s="78">
        <v>1128365853</v>
      </c>
      <c r="B41" s="32" t="s">
        <v>818</v>
      </c>
      <c r="C41" s="32" t="s">
        <v>819</v>
      </c>
      <c r="D41" s="32" t="s">
        <v>354</v>
      </c>
      <c r="E41" s="32" t="s">
        <v>151</v>
      </c>
      <c r="F41" s="32" t="s">
        <v>440</v>
      </c>
      <c r="G41" s="32">
        <v>1721</v>
      </c>
      <c r="H41" s="32" t="s">
        <v>368</v>
      </c>
      <c r="I41" s="32" t="s">
        <v>211</v>
      </c>
      <c r="J41" s="32" t="s">
        <v>375</v>
      </c>
      <c r="K41" s="32" t="s">
        <v>655</v>
      </c>
      <c r="L41" s="33">
        <v>44988</v>
      </c>
      <c r="M41" s="32" t="s">
        <v>212</v>
      </c>
      <c r="N41" s="35" t="s">
        <v>700</v>
      </c>
      <c r="R41" s="32">
        <v>1128365853</v>
      </c>
      <c r="S41" s="32" t="s">
        <v>818</v>
      </c>
      <c r="T41" s="32" t="s">
        <v>819</v>
      </c>
      <c r="U41" s="32" t="s">
        <v>354</v>
      </c>
      <c r="V41" s="32" t="s">
        <v>151</v>
      </c>
      <c r="W41" s="32" t="s">
        <v>440</v>
      </c>
      <c r="X41" s="32">
        <v>1721</v>
      </c>
      <c r="Y41" s="32" t="s">
        <v>368</v>
      </c>
      <c r="Z41" s="32" t="s">
        <v>211</v>
      </c>
      <c r="AA41" s="32" t="s">
        <v>375</v>
      </c>
      <c r="AB41" s="32" t="s">
        <v>655</v>
      </c>
      <c r="AC41" s="33">
        <v>45314</v>
      </c>
      <c r="AD41" s="32" t="s">
        <v>212</v>
      </c>
      <c r="AE41" s="32">
        <v>70</v>
      </c>
      <c r="AF41" s="32">
        <v>140</v>
      </c>
      <c r="AG41" s="35"/>
    </row>
    <row r="42" spans="1:33" ht="51.75" x14ac:dyDescent="0.25">
      <c r="A42" s="78">
        <v>1164109197</v>
      </c>
      <c r="B42" s="32" t="s">
        <v>820</v>
      </c>
      <c r="C42" s="32" t="s">
        <v>821</v>
      </c>
      <c r="D42" s="32" t="s">
        <v>354</v>
      </c>
      <c r="E42" s="32" t="s">
        <v>151</v>
      </c>
      <c r="F42" s="32" t="s">
        <v>440</v>
      </c>
      <c r="G42" s="32">
        <v>1721</v>
      </c>
      <c r="H42" s="32" t="s">
        <v>368</v>
      </c>
      <c r="I42" s="32" t="s">
        <v>211</v>
      </c>
      <c r="J42" s="32" t="s">
        <v>375</v>
      </c>
      <c r="K42" s="32" t="s">
        <v>655</v>
      </c>
      <c r="L42" s="33">
        <v>44988</v>
      </c>
      <c r="M42" s="32" t="s">
        <v>212</v>
      </c>
      <c r="N42" s="35" t="s">
        <v>701</v>
      </c>
      <c r="R42" s="32">
        <v>1164109197</v>
      </c>
      <c r="S42" s="32" t="s">
        <v>820</v>
      </c>
      <c r="T42" s="32" t="s">
        <v>821</v>
      </c>
      <c r="U42" s="32" t="s">
        <v>354</v>
      </c>
      <c r="V42" s="32" t="s">
        <v>151</v>
      </c>
      <c r="W42" s="32" t="s">
        <v>440</v>
      </c>
      <c r="X42" s="32">
        <v>1721</v>
      </c>
      <c r="Y42" s="32" t="s">
        <v>368</v>
      </c>
      <c r="Z42" s="32" t="s">
        <v>211</v>
      </c>
      <c r="AA42" s="32" t="s">
        <v>375</v>
      </c>
      <c r="AB42" s="32"/>
      <c r="AC42" s="33"/>
      <c r="AD42" s="32"/>
      <c r="AE42" s="32"/>
      <c r="AF42" s="32"/>
      <c r="AG42" s="35"/>
    </row>
    <row r="43" spans="1:33" ht="51.75" x14ac:dyDescent="0.25">
      <c r="A43" s="78">
        <v>1397980725</v>
      </c>
      <c r="B43" s="32" t="s">
        <v>822</v>
      </c>
      <c r="C43" s="32" t="s">
        <v>823</v>
      </c>
      <c r="D43" s="32" t="s">
        <v>354</v>
      </c>
      <c r="E43" s="32" t="s">
        <v>151</v>
      </c>
      <c r="F43" s="32" t="s">
        <v>440</v>
      </c>
      <c r="G43" s="32">
        <v>1721</v>
      </c>
      <c r="H43" s="32" t="s">
        <v>368</v>
      </c>
      <c r="I43" s="32" t="s">
        <v>211</v>
      </c>
      <c r="J43" s="32" t="s">
        <v>375</v>
      </c>
      <c r="K43" s="32" t="s">
        <v>655</v>
      </c>
      <c r="L43" s="33">
        <v>44988</v>
      </c>
      <c r="M43" s="32" t="s">
        <v>212</v>
      </c>
      <c r="N43" s="35" t="s">
        <v>701</v>
      </c>
      <c r="R43" s="32">
        <v>1397980725</v>
      </c>
      <c r="S43" s="32" t="s">
        <v>822</v>
      </c>
      <c r="T43" s="32" t="s">
        <v>823</v>
      </c>
      <c r="U43" s="32" t="s">
        <v>354</v>
      </c>
      <c r="V43" s="32" t="s">
        <v>151</v>
      </c>
      <c r="W43" s="32" t="s">
        <v>440</v>
      </c>
      <c r="X43" s="32">
        <v>1721</v>
      </c>
      <c r="Y43" s="32" t="s">
        <v>368</v>
      </c>
      <c r="Z43" s="32" t="s">
        <v>211</v>
      </c>
      <c r="AA43" s="32" t="s">
        <v>375</v>
      </c>
      <c r="AB43" s="32"/>
      <c r="AC43" s="33"/>
      <c r="AD43" s="32"/>
      <c r="AE43" s="32"/>
      <c r="AF43" s="32"/>
      <c r="AG43" s="35"/>
    </row>
    <row r="44" spans="1:33" ht="51.75" x14ac:dyDescent="0.25">
      <c r="A44" s="81">
        <v>1135673321</v>
      </c>
      <c r="B44" s="36" t="s">
        <v>824</v>
      </c>
      <c r="C44" s="36" t="s">
        <v>825</v>
      </c>
      <c r="D44" s="36" t="s">
        <v>354</v>
      </c>
      <c r="E44" s="36" t="s">
        <v>151</v>
      </c>
      <c r="F44" s="36" t="s">
        <v>440</v>
      </c>
      <c r="G44" s="36">
        <v>1721</v>
      </c>
      <c r="H44" s="36" t="s">
        <v>368</v>
      </c>
      <c r="I44" s="36" t="s">
        <v>211</v>
      </c>
      <c r="J44" s="36" t="s">
        <v>375</v>
      </c>
      <c r="K44" s="36" t="s">
        <v>655</v>
      </c>
      <c r="L44" s="37">
        <v>45114</v>
      </c>
      <c r="M44" s="36" t="s">
        <v>212</v>
      </c>
      <c r="N44" s="38" t="s">
        <v>701</v>
      </c>
      <c r="R44" s="32">
        <v>1135673321</v>
      </c>
      <c r="S44" s="32" t="s">
        <v>824</v>
      </c>
      <c r="T44" s="32" t="s">
        <v>825</v>
      </c>
      <c r="U44" s="32" t="s">
        <v>354</v>
      </c>
      <c r="V44" s="32" t="s">
        <v>151</v>
      </c>
      <c r="W44" s="32" t="s">
        <v>440</v>
      </c>
      <c r="X44" s="32">
        <v>1721</v>
      </c>
      <c r="Y44" s="32" t="s">
        <v>368</v>
      </c>
      <c r="Z44" s="32" t="s">
        <v>211</v>
      </c>
      <c r="AA44" s="32" t="s">
        <v>375</v>
      </c>
      <c r="AB44" s="32"/>
      <c r="AC44" s="33"/>
      <c r="AD44" s="32"/>
      <c r="AE44" s="32"/>
      <c r="AF44" s="32"/>
      <c r="AG44" s="35"/>
    </row>
    <row r="45" spans="1:33" ht="51.75" x14ac:dyDescent="0.25">
      <c r="A45" s="81">
        <v>1502371969</v>
      </c>
      <c r="B45" s="36" t="s">
        <v>826</v>
      </c>
      <c r="C45" s="36" t="s">
        <v>827</v>
      </c>
      <c r="D45" s="36" t="s">
        <v>354</v>
      </c>
      <c r="E45" s="36" t="s">
        <v>151</v>
      </c>
      <c r="F45" s="36" t="s">
        <v>440</v>
      </c>
      <c r="G45" s="36">
        <v>1721</v>
      </c>
      <c r="H45" s="36" t="s">
        <v>368</v>
      </c>
      <c r="I45" s="36" t="s">
        <v>211</v>
      </c>
      <c r="J45" s="36" t="s">
        <v>375</v>
      </c>
      <c r="K45" s="36"/>
      <c r="L45" s="37"/>
      <c r="M45" s="36"/>
      <c r="N45" s="38"/>
      <c r="R45" s="32">
        <v>1502371969</v>
      </c>
      <c r="S45" s="32" t="s">
        <v>826</v>
      </c>
      <c r="T45" s="32" t="s">
        <v>827</v>
      </c>
      <c r="U45" s="32" t="s">
        <v>354</v>
      </c>
      <c r="V45" s="32" t="s">
        <v>151</v>
      </c>
      <c r="W45" s="32" t="s">
        <v>440</v>
      </c>
      <c r="X45" s="32">
        <v>1721</v>
      </c>
      <c r="Y45" s="32" t="s">
        <v>368</v>
      </c>
      <c r="Z45" s="32" t="s">
        <v>211</v>
      </c>
      <c r="AA45" s="32" t="s">
        <v>375</v>
      </c>
      <c r="AB45" s="32" t="s">
        <v>655</v>
      </c>
      <c r="AC45" s="33">
        <v>45331</v>
      </c>
      <c r="AD45" s="32" t="s">
        <v>212</v>
      </c>
      <c r="AE45" s="32">
        <v>69</v>
      </c>
      <c r="AF45" s="32">
        <v>175</v>
      </c>
      <c r="AG45" s="35"/>
    </row>
    <row r="46" spans="1:33" ht="51.75" x14ac:dyDescent="0.25">
      <c r="A46" s="81">
        <v>1397447603</v>
      </c>
      <c r="B46" s="36" t="s">
        <v>828</v>
      </c>
      <c r="C46" s="36" t="s">
        <v>829</v>
      </c>
      <c r="D46" s="36" t="s">
        <v>354</v>
      </c>
      <c r="E46" s="36" t="s">
        <v>151</v>
      </c>
      <c r="F46" s="36" t="s">
        <v>440</v>
      </c>
      <c r="G46" s="36">
        <v>1721</v>
      </c>
      <c r="H46" s="36" t="s">
        <v>368</v>
      </c>
      <c r="I46" s="36" t="s">
        <v>211</v>
      </c>
      <c r="J46" s="36" t="s">
        <v>375</v>
      </c>
      <c r="K46" s="36"/>
      <c r="L46" s="37"/>
      <c r="M46" s="36"/>
      <c r="N46" s="38"/>
      <c r="R46" s="32">
        <v>1397447603</v>
      </c>
      <c r="S46" s="32" t="s">
        <v>828</v>
      </c>
      <c r="T46" s="32" t="s">
        <v>829</v>
      </c>
      <c r="U46" s="32" t="s">
        <v>354</v>
      </c>
      <c r="V46" s="32" t="s">
        <v>151</v>
      </c>
      <c r="W46" s="32" t="s">
        <v>440</v>
      </c>
      <c r="X46" s="32">
        <v>1721</v>
      </c>
      <c r="Y46" s="32" t="s">
        <v>368</v>
      </c>
      <c r="Z46" s="32" t="s">
        <v>211</v>
      </c>
      <c r="AA46" s="32" t="s">
        <v>375</v>
      </c>
      <c r="AB46" s="32"/>
      <c r="AC46" s="33"/>
      <c r="AD46" s="32"/>
      <c r="AE46" s="32"/>
      <c r="AF46" s="32"/>
      <c r="AG46" s="35"/>
    </row>
    <row r="47" spans="1:33" ht="51.75" x14ac:dyDescent="0.25">
      <c r="A47" s="81">
        <v>1207085014</v>
      </c>
      <c r="B47" s="36" t="s">
        <v>830</v>
      </c>
      <c r="C47" s="36" t="s">
        <v>831</v>
      </c>
      <c r="D47" s="36" t="s">
        <v>354</v>
      </c>
      <c r="E47" s="36" t="s">
        <v>147</v>
      </c>
      <c r="F47" s="36" t="s">
        <v>440</v>
      </c>
      <c r="G47" s="36">
        <v>1721</v>
      </c>
      <c r="H47" s="36" t="s">
        <v>414</v>
      </c>
      <c r="I47" s="36" t="s">
        <v>211</v>
      </c>
      <c r="J47" s="36" t="s">
        <v>375</v>
      </c>
      <c r="K47" s="36"/>
      <c r="L47" s="37"/>
      <c r="M47" s="36"/>
      <c r="N47" s="38"/>
      <c r="R47" s="36">
        <v>1207085014</v>
      </c>
      <c r="S47" s="36" t="s">
        <v>830</v>
      </c>
      <c r="T47" s="36" t="s">
        <v>831</v>
      </c>
      <c r="U47" s="36" t="s">
        <v>354</v>
      </c>
      <c r="V47" s="36" t="s">
        <v>147</v>
      </c>
      <c r="W47" s="36" t="s">
        <v>440</v>
      </c>
      <c r="X47" s="36">
        <v>1721</v>
      </c>
      <c r="Y47" s="36" t="s">
        <v>414</v>
      </c>
      <c r="Z47" s="36" t="s">
        <v>211</v>
      </c>
      <c r="AA47" s="36" t="s">
        <v>375</v>
      </c>
      <c r="AB47" s="36"/>
      <c r="AC47" s="37"/>
      <c r="AD47" s="36"/>
      <c r="AE47" s="36"/>
      <c r="AF47" s="36"/>
      <c r="AG47" s="38"/>
    </row>
    <row r="48" spans="1:33" ht="51.75" x14ac:dyDescent="0.25">
      <c r="A48" s="81">
        <v>1045261897</v>
      </c>
      <c r="B48" s="36" t="s">
        <v>832</v>
      </c>
      <c r="C48" s="36" t="s">
        <v>833</v>
      </c>
      <c r="D48" s="36" t="s">
        <v>354</v>
      </c>
      <c r="E48" s="36" t="s">
        <v>155</v>
      </c>
      <c r="F48" s="36" t="s">
        <v>440</v>
      </c>
      <c r="G48" s="36">
        <v>1721</v>
      </c>
      <c r="H48" s="36" t="s">
        <v>368</v>
      </c>
      <c r="I48" s="36" t="s">
        <v>211</v>
      </c>
      <c r="J48" s="36" t="s">
        <v>375</v>
      </c>
      <c r="K48" s="36"/>
      <c r="L48" s="37"/>
      <c r="M48" s="36"/>
      <c r="N48" s="38"/>
      <c r="R48" s="36">
        <v>1045261897</v>
      </c>
      <c r="S48" s="36" t="s">
        <v>832</v>
      </c>
      <c r="T48" s="36" t="s">
        <v>833</v>
      </c>
      <c r="U48" s="36" t="s">
        <v>354</v>
      </c>
      <c r="V48" s="36" t="s">
        <v>155</v>
      </c>
      <c r="W48" s="36" t="s">
        <v>440</v>
      </c>
      <c r="X48" s="36">
        <v>1721</v>
      </c>
      <c r="Y48" s="36" t="s">
        <v>368</v>
      </c>
      <c r="Z48" s="36" t="s">
        <v>211</v>
      </c>
      <c r="AA48" s="36" t="s">
        <v>375</v>
      </c>
      <c r="AB48" s="36" t="s">
        <v>655</v>
      </c>
      <c r="AC48" s="37">
        <v>45313</v>
      </c>
      <c r="AD48" s="36" t="s">
        <v>212</v>
      </c>
      <c r="AE48" s="36">
        <v>72</v>
      </c>
      <c r="AF48" s="36">
        <v>215</v>
      </c>
      <c r="AG48" s="38">
        <v>14</v>
      </c>
    </row>
    <row r="49" spans="1:33" ht="51.75" x14ac:dyDescent="0.25">
      <c r="A49" s="81">
        <v>1043584855</v>
      </c>
      <c r="B49" s="36" t="s">
        <v>834</v>
      </c>
      <c r="C49" s="36" t="s">
        <v>835</v>
      </c>
      <c r="D49" s="36" t="s">
        <v>354</v>
      </c>
      <c r="E49" s="36" t="s">
        <v>147</v>
      </c>
      <c r="F49" s="36" t="s">
        <v>440</v>
      </c>
      <c r="G49" s="36">
        <v>1721</v>
      </c>
      <c r="H49" s="36" t="s">
        <v>368</v>
      </c>
      <c r="I49" s="36" t="s">
        <v>211</v>
      </c>
      <c r="J49" s="36" t="s">
        <v>375</v>
      </c>
      <c r="K49" s="36"/>
      <c r="L49" s="37"/>
      <c r="M49" s="36"/>
      <c r="N49" s="38"/>
      <c r="R49" s="36">
        <v>1043584855</v>
      </c>
      <c r="S49" s="36" t="s">
        <v>834</v>
      </c>
      <c r="T49" s="36" t="s">
        <v>835</v>
      </c>
      <c r="U49" s="36" t="s">
        <v>354</v>
      </c>
      <c r="V49" s="36" t="s">
        <v>147</v>
      </c>
      <c r="W49" s="36" t="s">
        <v>440</v>
      </c>
      <c r="X49" s="36">
        <v>1721</v>
      </c>
      <c r="Y49" s="36" t="s">
        <v>368</v>
      </c>
      <c r="Z49" s="36" t="s">
        <v>211</v>
      </c>
      <c r="AA49" s="36" t="s">
        <v>375</v>
      </c>
      <c r="AB49" s="36"/>
      <c r="AC49" s="37"/>
      <c r="AD49" s="36"/>
      <c r="AE49" s="36"/>
      <c r="AF49" s="36"/>
      <c r="AG49" s="38"/>
    </row>
    <row r="50" spans="1:33" ht="39" x14ac:dyDescent="0.25">
      <c r="A50" s="81">
        <v>1466955974</v>
      </c>
      <c r="B50" s="36" t="s">
        <v>836</v>
      </c>
      <c r="C50" s="36" t="s">
        <v>837</v>
      </c>
      <c r="D50" s="36" t="s">
        <v>354</v>
      </c>
      <c r="E50" s="36" t="s">
        <v>170</v>
      </c>
      <c r="F50" s="36" t="s">
        <v>440</v>
      </c>
      <c r="G50" s="36">
        <v>1702</v>
      </c>
      <c r="H50" s="36" t="s">
        <v>368</v>
      </c>
      <c r="I50" s="36" t="s">
        <v>945</v>
      </c>
      <c r="J50" s="36" t="s">
        <v>360</v>
      </c>
      <c r="K50" s="36"/>
      <c r="L50" s="37"/>
      <c r="M50" s="36"/>
      <c r="N50" s="38"/>
      <c r="R50" s="36">
        <v>1466955974</v>
      </c>
      <c r="S50" s="36" t="s">
        <v>836</v>
      </c>
      <c r="T50" s="36" t="s">
        <v>837</v>
      </c>
      <c r="U50" s="36" t="s">
        <v>354</v>
      </c>
      <c r="V50" s="36" t="s">
        <v>170</v>
      </c>
      <c r="W50" s="36" t="s">
        <v>440</v>
      </c>
      <c r="X50" s="36">
        <v>1702</v>
      </c>
      <c r="Y50" s="36" t="s">
        <v>368</v>
      </c>
      <c r="Z50" s="36" t="s">
        <v>945</v>
      </c>
      <c r="AA50" s="36" t="s">
        <v>360</v>
      </c>
      <c r="AB50" s="36"/>
      <c r="AC50" s="37"/>
      <c r="AD50" s="36"/>
      <c r="AE50" s="36"/>
      <c r="AF50" s="36"/>
      <c r="AG50" s="38"/>
    </row>
    <row r="51" spans="1:33" ht="51.75" x14ac:dyDescent="0.25">
      <c r="A51" s="81">
        <v>1086482908</v>
      </c>
      <c r="B51" s="36" t="s">
        <v>838</v>
      </c>
      <c r="C51" s="36" t="s">
        <v>839</v>
      </c>
      <c r="D51" s="36" t="s">
        <v>354</v>
      </c>
      <c r="E51" s="36" t="s">
        <v>161</v>
      </c>
      <c r="F51" s="36" t="s">
        <v>440</v>
      </c>
      <c r="G51" s="36">
        <v>1721</v>
      </c>
      <c r="H51" s="36" t="s">
        <v>368</v>
      </c>
      <c r="I51" s="36" t="s">
        <v>945</v>
      </c>
      <c r="J51" s="36" t="s">
        <v>375</v>
      </c>
      <c r="K51" s="36"/>
      <c r="L51" s="37"/>
      <c r="M51" s="36"/>
      <c r="N51" s="38"/>
      <c r="R51" s="32">
        <v>1086482908</v>
      </c>
      <c r="S51" s="32" t="s">
        <v>838</v>
      </c>
      <c r="T51" s="32" t="s">
        <v>839</v>
      </c>
      <c r="U51" s="32" t="s">
        <v>354</v>
      </c>
      <c r="V51" s="32" t="s">
        <v>161</v>
      </c>
      <c r="W51" s="32" t="s">
        <v>440</v>
      </c>
      <c r="X51" s="32">
        <v>1721</v>
      </c>
      <c r="Y51" s="32" t="s">
        <v>368</v>
      </c>
      <c r="Z51" s="32" t="s">
        <v>945</v>
      </c>
      <c r="AA51" s="32" t="s">
        <v>375</v>
      </c>
      <c r="AB51" s="32" t="s">
        <v>655</v>
      </c>
      <c r="AC51" s="33">
        <v>45313</v>
      </c>
      <c r="AD51" s="32" t="s">
        <v>212</v>
      </c>
      <c r="AE51" s="32">
        <v>74</v>
      </c>
      <c r="AF51" s="32">
        <v>176</v>
      </c>
      <c r="AG51" s="35"/>
    </row>
    <row r="52" spans="1:33" ht="51.75" x14ac:dyDescent="0.25">
      <c r="A52" s="81">
        <v>1378280647</v>
      </c>
      <c r="B52" s="36" t="s">
        <v>840</v>
      </c>
      <c r="C52" s="36" t="s">
        <v>841</v>
      </c>
      <c r="D52" s="36" t="s">
        <v>354</v>
      </c>
      <c r="E52" s="36" t="s">
        <v>158</v>
      </c>
      <c r="F52" s="36" t="s">
        <v>440</v>
      </c>
      <c r="G52" s="36">
        <v>1721</v>
      </c>
      <c r="H52" s="36" t="s">
        <v>368</v>
      </c>
      <c r="I52" s="36" t="s">
        <v>945</v>
      </c>
      <c r="J52" s="36" t="s">
        <v>375</v>
      </c>
      <c r="K52" s="36"/>
      <c r="L52" s="37"/>
      <c r="M52" s="36"/>
      <c r="N52" s="38"/>
      <c r="R52" s="36">
        <v>1378280647</v>
      </c>
      <c r="S52" s="36" t="s">
        <v>840</v>
      </c>
      <c r="T52" s="36" t="s">
        <v>841</v>
      </c>
      <c r="U52" s="36" t="s">
        <v>354</v>
      </c>
      <c r="V52" s="36" t="s">
        <v>158</v>
      </c>
      <c r="W52" s="36" t="s">
        <v>440</v>
      </c>
      <c r="X52" s="36">
        <v>1721</v>
      </c>
      <c r="Y52" s="36" t="s">
        <v>368</v>
      </c>
      <c r="Z52" s="36" t="s">
        <v>945</v>
      </c>
      <c r="AA52" s="36" t="s">
        <v>375</v>
      </c>
      <c r="AB52" s="36"/>
      <c r="AC52" s="37"/>
      <c r="AD52" s="36"/>
      <c r="AE52" s="36"/>
      <c r="AF52" s="36"/>
      <c r="AG52" s="38"/>
    </row>
    <row r="53" spans="1:33" ht="51.75" x14ac:dyDescent="0.25">
      <c r="A53" s="81">
        <v>1376933246</v>
      </c>
      <c r="B53" s="36" t="s">
        <v>842</v>
      </c>
      <c r="C53" s="36" t="s">
        <v>843</v>
      </c>
      <c r="D53" s="36" t="s">
        <v>354</v>
      </c>
      <c r="E53" s="36" t="s">
        <v>158</v>
      </c>
      <c r="F53" s="36" t="s">
        <v>440</v>
      </c>
      <c r="G53" s="36">
        <v>1721</v>
      </c>
      <c r="H53" s="36" t="s">
        <v>368</v>
      </c>
      <c r="I53" s="36" t="s">
        <v>945</v>
      </c>
      <c r="J53" s="36" t="s">
        <v>375</v>
      </c>
      <c r="K53" s="36"/>
      <c r="L53" s="37"/>
      <c r="M53" s="36"/>
      <c r="N53" s="38"/>
      <c r="R53" s="36">
        <v>1376933246</v>
      </c>
      <c r="S53" s="36" t="s">
        <v>842</v>
      </c>
      <c r="T53" s="36" t="s">
        <v>843</v>
      </c>
      <c r="U53" s="36" t="s">
        <v>354</v>
      </c>
      <c r="V53" s="36" t="s">
        <v>158</v>
      </c>
      <c r="W53" s="36" t="s">
        <v>440</v>
      </c>
      <c r="X53" s="36">
        <v>1721</v>
      </c>
      <c r="Y53" s="36" t="s">
        <v>368</v>
      </c>
      <c r="Z53" s="36" t="s">
        <v>945</v>
      </c>
      <c r="AA53" s="36" t="s">
        <v>375</v>
      </c>
      <c r="AB53" s="36"/>
      <c r="AC53" s="37"/>
      <c r="AD53" s="36"/>
      <c r="AE53" s="36"/>
      <c r="AF53" s="36"/>
      <c r="AG53" s="38"/>
    </row>
    <row r="54" spans="1:33" ht="51.75" x14ac:dyDescent="0.25">
      <c r="A54" s="81">
        <v>1480655370</v>
      </c>
      <c r="B54" s="36" t="s">
        <v>844</v>
      </c>
      <c r="C54" s="36" t="s">
        <v>845</v>
      </c>
      <c r="D54" s="36" t="s">
        <v>354</v>
      </c>
      <c r="E54" s="36" t="s">
        <v>155</v>
      </c>
      <c r="F54" s="36" t="s">
        <v>440</v>
      </c>
      <c r="G54" s="36">
        <v>1721</v>
      </c>
      <c r="H54" s="36" t="s">
        <v>368</v>
      </c>
      <c r="I54" s="36" t="s">
        <v>945</v>
      </c>
      <c r="J54" s="36" t="s">
        <v>375</v>
      </c>
      <c r="K54" s="36"/>
      <c r="L54" s="37"/>
      <c r="M54" s="36"/>
      <c r="N54" s="38"/>
      <c r="R54" s="36">
        <v>1480655370</v>
      </c>
      <c r="S54" s="36" t="s">
        <v>844</v>
      </c>
      <c r="T54" s="36" t="s">
        <v>845</v>
      </c>
      <c r="U54" s="36" t="s">
        <v>354</v>
      </c>
      <c r="V54" s="36" t="s">
        <v>155</v>
      </c>
      <c r="W54" s="36" t="s">
        <v>440</v>
      </c>
      <c r="X54" s="36">
        <v>1721</v>
      </c>
      <c r="Y54" s="36" t="s">
        <v>368</v>
      </c>
      <c r="Z54" s="36" t="s">
        <v>945</v>
      </c>
      <c r="AA54" s="36" t="s">
        <v>375</v>
      </c>
      <c r="AB54" s="36"/>
      <c r="AC54" s="37"/>
      <c r="AD54" s="36"/>
      <c r="AE54" s="36"/>
      <c r="AF54" s="36"/>
      <c r="AG54" s="38"/>
    </row>
    <row r="55" spans="1:33" ht="51.75" x14ac:dyDescent="0.25">
      <c r="A55" s="81">
        <v>1328891644</v>
      </c>
      <c r="B55" s="36" t="s">
        <v>846</v>
      </c>
      <c r="C55" s="36" t="s">
        <v>847</v>
      </c>
      <c r="D55" s="36" t="s">
        <v>354</v>
      </c>
      <c r="E55" s="36" t="s">
        <v>155</v>
      </c>
      <c r="F55" s="36" t="s">
        <v>440</v>
      </c>
      <c r="G55" s="36">
        <v>1721</v>
      </c>
      <c r="H55" s="36" t="s">
        <v>368</v>
      </c>
      <c r="I55" s="36" t="s">
        <v>945</v>
      </c>
      <c r="J55" s="36" t="s">
        <v>375</v>
      </c>
      <c r="K55" s="36"/>
      <c r="L55" s="37"/>
      <c r="M55" s="36"/>
      <c r="N55" s="38"/>
      <c r="R55" s="36">
        <v>1328891644</v>
      </c>
      <c r="S55" s="36" t="s">
        <v>846</v>
      </c>
      <c r="T55" s="36" t="s">
        <v>847</v>
      </c>
      <c r="U55" s="36" t="s">
        <v>354</v>
      </c>
      <c r="V55" s="36" t="s">
        <v>155</v>
      </c>
      <c r="W55" s="36" t="s">
        <v>440</v>
      </c>
      <c r="X55" s="36">
        <v>1721</v>
      </c>
      <c r="Y55" s="36" t="s">
        <v>368</v>
      </c>
      <c r="Z55" s="36" t="s">
        <v>945</v>
      </c>
      <c r="AA55" s="36" t="s">
        <v>375</v>
      </c>
      <c r="AB55" s="36"/>
      <c r="AC55" s="37"/>
      <c r="AD55" s="36"/>
      <c r="AE55" s="36"/>
      <c r="AF55" s="36"/>
      <c r="AG55" s="38"/>
    </row>
    <row r="56" spans="1:33" ht="51.75" x14ac:dyDescent="0.25">
      <c r="A56" s="81">
        <v>1583347169</v>
      </c>
      <c r="B56" s="36" t="s">
        <v>800</v>
      </c>
      <c r="C56" s="36" t="s">
        <v>848</v>
      </c>
      <c r="D56" s="36" t="s">
        <v>354</v>
      </c>
      <c r="E56" s="36" t="s">
        <v>155</v>
      </c>
      <c r="F56" s="36" t="s">
        <v>440</v>
      </c>
      <c r="G56" s="36">
        <v>1700</v>
      </c>
      <c r="H56" s="36" t="s">
        <v>368</v>
      </c>
      <c r="I56" s="36" t="s">
        <v>945</v>
      </c>
      <c r="J56" s="36" t="s">
        <v>375</v>
      </c>
      <c r="K56" s="36"/>
      <c r="L56" s="37"/>
      <c r="M56" s="36"/>
      <c r="N56" s="38"/>
      <c r="R56" s="36">
        <v>1583347169</v>
      </c>
      <c r="S56" s="36" t="s">
        <v>800</v>
      </c>
      <c r="T56" s="36" t="s">
        <v>848</v>
      </c>
      <c r="U56" s="36" t="s">
        <v>354</v>
      </c>
      <c r="V56" s="36" t="s">
        <v>155</v>
      </c>
      <c r="W56" s="36" t="s">
        <v>440</v>
      </c>
      <c r="X56" s="36">
        <v>1700</v>
      </c>
      <c r="Y56" s="36" t="s">
        <v>368</v>
      </c>
      <c r="Z56" s="36" t="s">
        <v>945</v>
      </c>
      <c r="AA56" s="36" t="s">
        <v>375</v>
      </c>
      <c r="AB56" s="36"/>
      <c r="AC56" s="37"/>
      <c r="AD56" s="36"/>
      <c r="AE56" s="36"/>
      <c r="AF56" s="36"/>
      <c r="AG56" s="38"/>
    </row>
    <row r="57" spans="1:33" ht="51.75" x14ac:dyDescent="0.25">
      <c r="A57" s="81">
        <v>1110516278</v>
      </c>
      <c r="B57" s="36" t="s">
        <v>849</v>
      </c>
      <c r="C57" s="36" t="s">
        <v>850</v>
      </c>
      <c r="D57" s="36" t="s">
        <v>354</v>
      </c>
      <c r="E57" s="36" t="s">
        <v>151</v>
      </c>
      <c r="F57" s="36" t="s">
        <v>440</v>
      </c>
      <c r="G57" s="36">
        <v>1721</v>
      </c>
      <c r="H57" s="36" t="s">
        <v>368</v>
      </c>
      <c r="I57" s="36" t="s">
        <v>945</v>
      </c>
      <c r="J57" s="36" t="s">
        <v>375</v>
      </c>
      <c r="K57" s="36"/>
      <c r="L57" s="37"/>
      <c r="M57" s="36"/>
      <c r="N57" s="38"/>
      <c r="R57" s="36">
        <v>1110516278</v>
      </c>
      <c r="S57" s="36" t="s">
        <v>849</v>
      </c>
      <c r="T57" s="36" t="s">
        <v>850</v>
      </c>
      <c r="U57" s="36" t="s">
        <v>354</v>
      </c>
      <c r="V57" s="36" t="s">
        <v>151</v>
      </c>
      <c r="W57" s="36" t="s">
        <v>440</v>
      </c>
      <c r="X57" s="36">
        <v>1721</v>
      </c>
      <c r="Y57" s="36" t="s">
        <v>368</v>
      </c>
      <c r="Z57" s="36" t="s">
        <v>945</v>
      </c>
      <c r="AA57" s="36" t="s">
        <v>375</v>
      </c>
      <c r="AB57" s="36"/>
      <c r="AC57" s="37"/>
      <c r="AD57" s="36"/>
      <c r="AE57" s="36"/>
      <c r="AF57" s="36"/>
      <c r="AG57" s="38"/>
    </row>
    <row r="58" spans="1:33" ht="51.75" x14ac:dyDescent="0.25">
      <c r="A58" s="81">
        <v>1288365821</v>
      </c>
      <c r="B58" s="36" t="s">
        <v>851</v>
      </c>
      <c r="C58" s="36" t="s">
        <v>852</v>
      </c>
      <c r="D58" s="36" t="s">
        <v>354</v>
      </c>
      <c r="E58" s="36" t="s">
        <v>151</v>
      </c>
      <c r="F58" s="36" t="s">
        <v>440</v>
      </c>
      <c r="G58" s="36">
        <v>1721</v>
      </c>
      <c r="H58" s="36" t="s">
        <v>414</v>
      </c>
      <c r="I58" s="36" t="s">
        <v>945</v>
      </c>
      <c r="J58" s="36" t="s">
        <v>375</v>
      </c>
      <c r="K58" s="36"/>
      <c r="L58" s="37"/>
      <c r="M58" s="36"/>
      <c r="N58" s="38"/>
      <c r="R58" s="32">
        <v>1288365821</v>
      </c>
      <c r="S58" s="32" t="s">
        <v>851</v>
      </c>
      <c r="T58" s="32" t="s">
        <v>852</v>
      </c>
      <c r="U58" s="32" t="s">
        <v>354</v>
      </c>
      <c r="V58" s="32" t="s">
        <v>151</v>
      </c>
      <c r="W58" s="32" t="s">
        <v>440</v>
      </c>
      <c r="X58" s="32">
        <v>1721</v>
      </c>
      <c r="Y58" s="32" t="s">
        <v>414</v>
      </c>
      <c r="Z58" s="32" t="s">
        <v>945</v>
      </c>
      <c r="AA58" s="32" t="s">
        <v>375</v>
      </c>
      <c r="AB58" s="32" t="s">
        <v>655</v>
      </c>
      <c r="AC58" s="33">
        <v>45316</v>
      </c>
      <c r="AD58" s="32" t="s">
        <v>212</v>
      </c>
      <c r="AE58" s="32">
        <v>68</v>
      </c>
      <c r="AF58" s="32">
        <v>171</v>
      </c>
      <c r="AG58" s="35"/>
    </row>
    <row r="59" spans="1:33" ht="51.75" x14ac:dyDescent="0.25">
      <c r="A59" s="81">
        <v>1236623846</v>
      </c>
      <c r="B59" s="36" t="s">
        <v>853</v>
      </c>
      <c r="C59" s="36" t="s">
        <v>854</v>
      </c>
      <c r="D59" s="36" t="s">
        <v>354</v>
      </c>
      <c r="E59" s="36" t="s">
        <v>151</v>
      </c>
      <c r="F59" s="36" t="s">
        <v>440</v>
      </c>
      <c r="G59" s="36">
        <v>1721</v>
      </c>
      <c r="H59" s="36" t="s">
        <v>368</v>
      </c>
      <c r="I59" s="36" t="s">
        <v>945</v>
      </c>
      <c r="J59" s="36" t="s">
        <v>375</v>
      </c>
      <c r="K59" s="36"/>
      <c r="L59" s="37"/>
      <c r="M59" s="36"/>
      <c r="N59" s="38"/>
      <c r="R59" s="36">
        <v>1236623846</v>
      </c>
      <c r="S59" s="36" t="s">
        <v>853</v>
      </c>
      <c r="T59" s="36" t="s">
        <v>854</v>
      </c>
      <c r="U59" s="36" t="s">
        <v>354</v>
      </c>
      <c r="V59" s="36" t="s">
        <v>151</v>
      </c>
      <c r="W59" s="36" t="s">
        <v>440</v>
      </c>
      <c r="X59" s="36">
        <v>1721</v>
      </c>
      <c r="Y59" s="36" t="s">
        <v>368</v>
      </c>
      <c r="Z59" s="36" t="s">
        <v>945</v>
      </c>
      <c r="AA59" s="36" t="s">
        <v>375</v>
      </c>
      <c r="AB59" s="36" t="s">
        <v>655</v>
      </c>
      <c r="AC59" s="37">
        <v>45331</v>
      </c>
      <c r="AD59" s="36" t="s">
        <v>212</v>
      </c>
      <c r="AE59" s="36">
        <v>68</v>
      </c>
      <c r="AF59" s="36">
        <v>152</v>
      </c>
      <c r="AG59" s="38"/>
    </row>
    <row r="60" spans="1:33" ht="51.75" x14ac:dyDescent="0.25">
      <c r="A60" s="81">
        <v>1565683368</v>
      </c>
      <c r="B60" s="36" t="s">
        <v>855</v>
      </c>
      <c r="C60" s="36" t="s">
        <v>856</v>
      </c>
      <c r="D60" s="36" t="s">
        <v>354</v>
      </c>
      <c r="E60" s="36" t="s">
        <v>151</v>
      </c>
      <c r="F60" s="36" t="s">
        <v>440</v>
      </c>
      <c r="G60" s="36">
        <v>1721</v>
      </c>
      <c r="H60" s="36" t="s">
        <v>368</v>
      </c>
      <c r="I60" s="36" t="s">
        <v>945</v>
      </c>
      <c r="J60" s="36" t="s">
        <v>375</v>
      </c>
      <c r="K60" s="36"/>
      <c r="L60" s="37"/>
      <c r="M60" s="36"/>
      <c r="N60" s="38"/>
      <c r="R60" s="36">
        <v>1565683368</v>
      </c>
      <c r="S60" s="36" t="s">
        <v>855</v>
      </c>
      <c r="T60" s="36" t="s">
        <v>856</v>
      </c>
      <c r="U60" s="36" t="s">
        <v>354</v>
      </c>
      <c r="V60" s="36" t="s">
        <v>151</v>
      </c>
      <c r="W60" s="36" t="s">
        <v>440</v>
      </c>
      <c r="X60" s="36">
        <v>1721</v>
      </c>
      <c r="Y60" s="36" t="s">
        <v>368</v>
      </c>
      <c r="Z60" s="36" t="s">
        <v>945</v>
      </c>
      <c r="AA60" s="36" t="s">
        <v>375</v>
      </c>
      <c r="AB60" s="36"/>
      <c r="AC60" s="37"/>
      <c r="AD60" s="36"/>
      <c r="AE60" s="36"/>
      <c r="AF60" s="36"/>
      <c r="AG60" s="38"/>
    </row>
    <row r="61" spans="1:33" ht="51.75" x14ac:dyDescent="0.25">
      <c r="A61" s="81">
        <v>1064194807</v>
      </c>
      <c r="B61" s="36" t="s">
        <v>857</v>
      </c>
      <c r="C61" s="36" t="s">
        <v>858</v>
      </c>
      <c r="D61" s="36" t="s">
        <v>354</v>
      </c>
      <c r="E61" s="36" t="s">
        <v>151</v>
      </c>
      <c r="F61" s="36" t="s">
        <v>440</v>
      </c>
      <c r="G61" s="36">
        <v>1721</v>
      </c>
      <c r="H61" s="36" t="s">
        <v>368</v>
      </c>
      <c r="I61" s="36" t="s">
        <v>945</v>
      </c>
      <c r="J61" s="36" t="s">
        <v>375</v>
      </c>
      <c r="K61" s="36"/>
      <c r="L61" s="37"/>
      <c r="M61" s="36"/>
      <c r="N61" s="38"/>
      <c r="R61" s="36">
        <v>1064194807</v>
      </c>
      <c r="S61" s="36" t="s">
        <v>857</v>
      </c>
      <c r="T61" s="36" t="s">
        <v>858</v>
      </c>
      <c r="U61" s="36" t="s">
        <v>354</v>
      </c>
      <c r="V61" s="36" t="s">
        <v>151</v>
      </c>
      <c r="W61" s="36" t="s">
        <v>440</v>
      </c>
      <c r="X61" s="36">
        <v>1721</v>
      </c>
      <c r="Y61" s="36" t="s">
        <v>368</v>
      </c>
      <c r="Z61" s="36" t="s">
        <v>945</v>
      </c>
      <c r="AA61" s="36" t="s">
        <v>375</v>
      </c>
      <c r="AB61" s="36"/>
      <c r="AC61" s="37"/>
      <c r="AD61" s="36"/>
      <c r="AE61" s="36"/>
      <c r="AF61" s="36"/>
      <c r="AG61" s="38"/>
    </row>
    <row r="62" spans="1:33" ht="51.75" x14ac:dyDescent="0.25">
      <c r="A62" s="81">
        <v>1288033004</v>
      </c>
      <c r="B62" s="36" t="s">
        <v>859</v>
      </c>
      <c r="C62" s="36" t="s">
        <v>860</v>
      </c>
      <c r="D62" s="36" t="s">
        <v>354</v>
      </c>
      <c r="E62" s="36" t="s">
        <v>151</v>
      </c>
      <c r="F62" s="36" t="s">
        <v>440</v>
      </c>
      <c r="G62" s="36">
        <v>1721</v>
      </c>
      <c r="H62" s="36" t="s">
        <v>368</v>
      </c>
      <c r="I62" s="36" t="s">
        <v>945</v>
      </c>
      <c r="J62" s="36" t="s">
        <v>375</v>
      </c>
      <c r="K62" s="36"/>
      <c r="L62" s="37"/>
      <c r="M62" s="36"/>
      <c r="N62" s="38"/>
      <c r="R62" s="36">
        <v>1288033004</v>
      </c>
      <c r="S62" s="36" t="s">
        <v>859</v>
      </c>
      <c r="T62" s="36" t="s">
        <v>860</v>
      </c>
      <c r="U62" s="36" t="s">
        <v>354</v>
      </c>
      <c r="V62" s="36" t="s">
        <v>151</v>
      </c>
      <c r="W62" s="36" t="s">
        <v>440</v>
      </c>
      <c r="X62" s="36">
        <v>1721</v>
      </c>
      <c r="Y62" s="36" t="s">
        <v>368</v>
      </c>
      <c r="Z62" s="36" t="s">
        <v>945</v>
      </c>
      <c r="AA62" s="36" t="s">
        <v>375</v>
      </c>
      <c r="AB62" s="36"/>
      <c r="AC62" s="37"/>
      <c r="AD62" s="36"/>
      <c r="AE62" s="36"/>
      <c r="AF62" s="36"/>
      <c r="AG62" s="38"/>
    </row>
    <row r="63" spans="1:33" ht="39" x14ac:dyDescent="0.25">
      <c r="A63" s="81">
        <v>1392481230</v>
      </c>
      <c r="B63" s="36" t="s">
        <v>861</v>
      </c>
      <c r="C63" s="36" t="s">
        <v>862</v>
      </c>
      <c r="D63" s="36" t="s">
        <v>354</v>
      </c>
      <c r="E63" s="36" t="s">
        <v>173</v>
      </c>
      <c r="F63" s="36" t="s">
        <v>440</v>
      </c>
      <c r="G63" s="36">
        <v>1702</v>
      </c>
      <c r="H63" s="36" t="s">
        <v>368</v>
      </c>
      <c r="I63" s="36" t="s">
        <v>488</v>
      </c>
      <c r="J63" s="36" t="s">
        <v>360</v>
      </c>
      <c r="K63" s="36"/>
      <c r="L63" s="37"/>
      <c r="M63" s="36"/>
      <c r="N63" s="38"/>
      <c r="R63" s="36">
        <v>1392481230</v>
      </c>
      <c r="S63" s="36" t="s">
        <v>861</v>
      </c>
      <c r="T63" s="36" t="s">
        <v>862</v>
      </c>
      <c r="U63" s="36" t="s">
        <v>354</v>
      </c>
      <c r="V63" s="36" t="s">
        <v>173</v>
      </c>
      <c r="W63" s="36" t="s">
        <v>440</v>
      </c>
      <c r="X63" s="36">
        <v>1702</v>
      </c>
      <c r="Y63" s="36" t="s">
        <v>368</v>
      </c>
      <c r="Z63" s="36" t="s">
        <v>488</v>
      </c>
      <c r="AA63" s="36" t="s">
        <v>360</v>
      </c>
      <c r="AB63" s="36"/>
      <c r="AC63" s="37"/>
      <c r="AD63" s="36"/>
      <c r="AE63" s="36"/>
      <c r="AF63" s="36"/>
      <c r="AG63" s="38"/>
    </row>
    <row r="64" spans="1:33" ht="39" x14ac:dyDescent="0.25">
      <c r="A64" s="81">
        <v>1218608114</v>
      </c>
      <c r="B64" s="36" t="s">
        <v>863</v>
      </c>
      <c r="C64" s="36" t="s">
        <v>864</v>
      </c>
      <c r="D64" s="36" t="s">
        <v>354</v>
      </c>
      <c r="E64" s="36" t="s">
        <v>170</v>
      </c>
      <c r="F64" s="36" t="s">
        <v>440</v>
      </c>
      <c r="G64" s="36">
        <v>1702</v>
      </c>
      <c r="H64" s="36" t="s">
        <v>368</v>
      </c>
      <c r="I64" s="36" t="s">
        <v>488</v>
      </c>
      <c r="J64" s="36" t="s">
        <v>360</v>
      </c>
      <c r="K64" s="36"/>
      <c r="L64" s="37"/>
      <c r="M64" s="36"/>
      <c r="N64" s="38"/>
      <c r="R64" s="36">
        <v>1218608114</v>
      </c>
      <c r="S64" s="36" t="s">
        <v>863</v>
      </c>
      <c r="T64" s="36" t="s">
        <v>864</v>
      </c>
      <c r="U64" s="36" t="s">
        <v>354</v>
      </c>
      <c r="V64" s="36" t="s">
        <v>170</v>
      </c>
      <c r="W64" s="36" t="s">
        <v>440</v>
      </c>
      <c r="X64" s="36">
        <v>1702</v>
      </c>
      <c r="Y64" s="36" t="s">
        <v>368</v>
      </c>
      <c r="Z64" s="36" t="s">
        <v>488</v>
      </c>
      <c r="AA64" s="36" t="s">
        <v>360</v>
      </c>
      <c r="AB64" s="36"/>
      <c r="AC64" s="37"/>
      <c r="AD64" s="36"/>
      <c r="AE64" s="36"/>
      <c r="AF64" s="36"/>
      <c r="AG64" s="38"/>
    </row>
    <row r="65" spans="1:33" ht="51.75" x14ac:dyDescent="0.25">
      <c r="A65" s="81">
        <v>1337008006</v>
      </c>
      <c r="B65" s="36" t="s">
        <v>865</v>
      </c>
      <c r="C65" s="36" t="s">
        <v>866</v>
      </c>
      <c r="D65" s="36" t="s">
        <v>354</v>
      </c>
      <c r="E65" s="36" t="s">
        <v>867</v>
      </c>
      <c r="F65" s="36" t="s">
        <v>440</v>
      </c>
      <c r="G65" s="36">
        <v>1799</v>
      </c>
      <c r="H65" s="36" t="s">
        <v>368</v>
      </c>
      <c r="I65" s="36" t="s">
        <v>488</v>
      </c>
      <c r="J65" s="36" t="s">
        <v>375</v>
      </c>
      <c r="K65" s="36"/>
      <c r="L65" s="37"/>
      <c r="M65" s="36"/>
      <c r="N65" s="38"/>
      <c r="R65" s="36">
        <v>1337008006</v>
      </c>
      <c r="S65" s="36" t="s">
        <v>865</v>
      </c>
      <c r="T65" s="36" t="s">
        <v>866</v>
      </c>
      <c r="U65" s="36" t="s">
        <v>354</v>
      </c>
      <c r="V65" s="36" t="s">
        <v>867</v>
      </c>
      <c r="W65" s="36" t="s">
        <v>440</v>
      </c>
      <c r="X65" s="36">
        <v>1799</v>
      </c>
      <c r="Y65" s="36" t="s">
        <v>368</v>
      </c>
      <c r="Z65" s="36" t="s">
        <v>488</v>
      </c>
      <c r="AA65" s="36" t="s">
        <v>375</v>
      </c>
      <c r="AB65" s="36"/>
      <c r="AC65" s="37"/>
      <c r="AD65" s="36"/>
      <c r="AE65" s="36"/>
      <c r="AF65" s="36"/>
      <c r="AG65" s="38"/>
    </row>
    <row r="66" spans="1:33" ht="51.75" x14ac:dyDescent="0.25">
      <c r="A66" s="81">
        <v>1492116113</v>
      </c>
      <c r="B66" s="36" t="s">
        <v>868</v>
      </c>
      <c r="C66" s="36" t="s">
        <v>869</v>
      </c>
      <c r="D66" s="36" t="s">
        <v>354</v>
      </c>
      <c r="E66" s="36" t="s">
        <v>161</v>
      </c>
      <c r="F66" s="36" t="s">
        <v>440</v>
      </c>
      <c r="G66" s="36">
        <v>1721</v>
      </c>
      <c r="H66" s="36" t="s">
        <v>368</v>
      </c>
      <c r="I66" s="36" t="s">
        <v>488</v>
      </c>
      <c r="J66" s="36" t="s">
        <v>375</v>
      </c>
      <c r="K66" s="36"/>
      <c r="L66" s="37"/>
      <c r="M66" s="36"/>
      <c r="N66" s="38"/>
      <c r="R66" s="36">
        <v>1492116113</v>
      </c>
      <c r="S66" s="36" t="s">
        <v>868</v>
      </c>
      <c r="T66" s="36" t="s">
        <v>869</v>
      </c>
      <c r="U66" s="36" t="s">
        <v>354</v>
      </c>
      <c r="V66" s="36" t="s">
        <v>161</v>
      </c>
      <c r="W66" s="36" t="s">
        <v>440</v>
      </c>
      <c r="X66" s="36">
        <v>1721</v>
      </c>
      <c r="Y66" s="36" t="s">
        <v>368</v>
      </c>
      <c r="Z66" s="36" t="s">
        <v>488</v>
      </c>
      <c r="AA66" s="36" t="s">
        <v>375</v>
      </c>
      <c r="AB66" s="36"/>
      <c r="AC66" s="37"/>
      <c r="AD66" s="36"/>
      <c r="AE66" s="36"/>
      <c r="AF66" s="36"/>
      <c r="AG66" s="38"/>
    </row>
    <row r="67" spans="1:33" ht="51.75" x14ac:dyDescent="0.25">
      <c r="A67" s="81">
        <v>1362430276</v>
      </c>
      <c r="B67" s="36" t="s">
        <v>870</v>
      </c>
      <c r="C67" s="36" t="s">
        <v>871</v>
      </c>
      <c r="D67" s="36" t="s">
        <v>354</v>
      </c>
      <c r="E67" s="36" t="s">
        <v>158</v>
      </c>
      <c r="F67" s="36" t="s">
        <v>440</v>
      </c>
      <c r="G67" s="36">
        <v>1721</v>
      </c>
      <c r="H67" s="36" t="s">
        <v>368</v>
      </c>
      <c r="I67" s="36" t="s">
        <v>488</v>
      </c>
      <c r="J67" s="36" t="s">
        <v>375</v>
      </c>
      <c r="K67" s="36"/>
      <c r="L67" s="37"/>
      <c r="M67" s="36"/>
      <c r="N67" s="38"/>
      <c r="R67" s="36">
        <v>1362430276</v>
      </c>
      <c r="S67" s="36" t="s">
        <v>870</v>
      </c>
      <c r="T67" s="36" t="s">
        <v>871</v>
      </c>
      <c r="U67" s="36" t="s">
        <v>354</v>
      </c>
      <c r="V67" s="36" t="s">
        <v>158</v>
      </c>
      <c r="W67" s="36" t="s">
        <v>440</v>
      </c>
      <c r="X67" s="36">
        <v>1721</v>
      </c>
      <c r="Y67" s="36" t="s">
        <v>368</v>
      </c>
      <c r="Z67" s="36" t="s">
        <v>488</v>
      </c>
      <c r="AA67" s="36" t="s">
        <v>375</v>
      </c>
      <c r="AB67" s="36"/>
      <c r="AC67" s="37"/>
      <c r="AD67" s="36"/>
      <c r="AE67" s="36"/>
      <c r="AF67" s="36"/>
      <c r="AG67" s="38"/>
    </row>
    <row r="68" spans="1:33" ht="51.75" x14ac:dyDescent="0.25">
      <c r="A68" s="81">
        <v>1505173816</v>
      </c>
      <c r="B68" s="36" t="s">
        <v>872</v>
      </c>
      <c r="C68" s="36" t="s">
        <v>856</v>
      </c>
      <c r="D68" s="36" t="s">
        <v>354</v>
      </c>
      <c r="E68" s="36" t="s">
        <v>158</v>
      </c>
      <c r="F68" s="36" t="s">
        <v>440</v>
      </c>
      <c r="G68" s="36">
        <v>1721</v>
      </c>
      <c r="H68" s="36" t="s">
        <v>414</v>
      </c>
      <c r="I68" s="36" t="s">
        <v>488</v>
      </c>
      <c r="J68" s="36" t="s">
        <v>375</v>
      </c>
      <c r="K68" s="36"/>
      <c r="L68" s="37"/>
      <c r="M68" s="36"/>
      <c r="N68" s="38"/>
      <c r="R68" s="36">
        <v>1505173816</v>
      </c>
      <c r="S68" s="36" t="s">
        <v>872</v>
      </c>
      <c r="T68" s="36" t="s">
        <v>856</v>
      </c>
      <c r="U68" s="36" t="s">
        <v>354</v>
      </c>
      <c r="V68" s="36" t="s">
        <v>158</v>
      </c>
      <c r="W68" s="36" t="s">
        <v>440</v>
      </c>
      <c r="X68" s="36">
        <v>1721</v>
      </c>
      <c r="Y68" s="36" t="s">
        <v>414</v>
      </c>
      <c r="Z68" s="36" t="s">
        <v>488</v>
      </c>
      <c r="AA68" s="36" t="s">
        <v>375</v>
      </c>
      <c r="AB68" s="36"/>
      <c r="AC68" s="37"/>
      <c r="AD68" s="36"/>
      <c r="AE68" s="36"/>
      <c r="AF68" s="36"/>
      <c r="AG68" s="38"/>
    </row>
    <row r="69" spans="1:33" ht="51.75" x14ac:dyDescent="0.25">
      <c r="A69" s="81">
        <v>1224436146</v>
      </c>
      <c r="B69" s="36" t="s">
        <v>873</v>
      </c>
      <c r="C69" s="36" t="s">
        <v>874</v>
      </c>
      <c r="D69" s="36" t="s">
        <v>354</v>
      </c>
      <c r="E69" s="36" t="s">
        <v>155</v>
      </c>
      <c r="F69" s="36" t="s">
        <v>440</v>
      </c>
      <c r="G69" s="36">
        <v>1721</v>
      </c>
      <c r="H69" s="36" t="s">
        <v>368</v>
      </c>
      <c r="I69" s="36" t="s">
        <v>488</v>
      </c>
      <c r="J69" s="36" t="s">
        <v>375</v>
      </c>
      <c r="K69" s="36"/>
      <c r="L69" s="37"/>
      <c r="M69" s="36"/>
      <c r="N69" s="38"/>
      <c r="R69" s="36">
        <v>1224436146</v>
      </c>
      <c r="S69" s="36" t="s">
        <v>873</v>
      </c>
      <c r="T69" s="36" t="s">
        <v>874</v>
      </c>
      <c r="U69" s="36" t="s">
        <v>354</v>
      </c>
      <c r="V69" s="36" t="s">
        <v>155</v>
      </c>
      <c r="W69" s="36" t="s">
        <v>440</v>
      </c>
      <c r="X69" s="36">
        <v>1721</v>
      </c>
      <c r="Y69" s="36" t="s">
        <v>368</v>
      </c>
      <c r="Z69" s="36" t="s">
        <v>488</v>
      </c>
      <c r="AA69" s="36" t="s">
        <v>375</v>
      </c>
      <c r="AB69" s="36"/>
      <c r="AC69" s="37"/>
      <c r="AD69" s="36"/>
      <c r="AE69" s="36"/>
      <c r="AF69" s="36"/>
      <c r="AG69" s="38"/>
    </row>
    <row r="70" spans="1:33" ht="51.75" x14ac:dyDescent="0.25">
      <c r="A70" s="81">
        <v>1273180803</v>
      </c>
      <c r="B70" s="36" t="s">
        <v>875</v>
      </c>
      <c r="C70" s="36" t="s">
        <v>876</v>
      </c>
      <c r="D70" s="36" t="s">
        <v>354</v>
      </c>
      <c r="E70" s="36" t="s">
        <v>155</v>
      </c>
      <c r="F70" s="36" t="s">
        <v>440</v>
      </c>
      <c r="G70" s="36">
        <v>1721</v>
      </c>
      <c r="H70" s="36" t="s">
        <v>368</v>
      </c>
      <c r="I70" s="36" t="s">
        <v>488</v>
      </c>
      <c r="J70" s="36" t="s">
        <v>375</v>
      </c>
      <c r="K70" s="36"/>
      <c r="L70" s="37"/>
      <c r="M70" s="36"/>
      <c r="N70" s="38"/>
      <c r="R70" s="36">
        <v>1273180803</v>
      </c>
      <c r="S70" s="36" t="s">
        <v>875</v>
      </c>
      <c r="T70" s="36" t="s">
        <v>876</v>
      </c>
      <c r="U70" s="36" t="s">
        <v>354</v>
      </c>
      <c r="V70" s="36" t="s">
        <v>155</v>
      </c>
      <c r="W70" s="36" t="s">
        <v>440</v>
      </c>
      <c r="X70" s="36">
        <v>1721</v>
      </c>
      <c r="Y70" s="36" t="s">
        <v>368</v>
      </c>
      <c r="Z70" s="36" t="s">
        <v>488</v>
      </c>
      <c r="AA70" s="36" t="s">
        <v>375</v>
      </c>
      <c r="AB70" s="36"/>
      <c r="AC70" s="37"/>
      <c r="AD70" s="36"/>
      <c r="AE70" s="36"/>
      <c r="AF70" s="36"/>
      <c r="AG70" s="38"/>
    </row>
    <row r="71" spans="1:33" ht="39" x14ac:dyDescent="0.25">
      <c r="A71" s="81">
        <v>1144600478</v>
      </c>
      <c r="B71" s="36" t="s">
        <v>877</v>
      </c>
      <c r="C71" s="36" t="s">
        <v>878</v>
      </c>
      <c r="D71" s="36" t="s">
        <v>354</v>
      </c>
      <c r="E71" s="36" t="s">
        <v>170</v>
      </c>
      <c r="F71" s="36" t="s">
        <v>440</v>
      </c>
      <c r="G71" s="36">
        <v>1702</v>
      </c>
      <c r="H71" s="36" t="s">
        <v>368</v>
      </c>
      <c r="I71" s="36" t="s">
        <v>486</v>
      </c>
      <c r="J71" s="36" t="s">
        <v>360</v>
      </c>
      <c r="K71" s="36"/>
      <c r="L71" s="37"/>
      <c r="M71" s="36"/>
      <c r="N71" s="38"/>
      <c r="R71" s="36">
        <v>1144600478</v>
      </c>
      <c r="S71" s="36" t="s">
        <v>877</v>
      </c>
      <c r="T71" s="36" t="s">
        <v>878</v>
      </c>
      <c r="U71" s="36" t="s">
        <v>354</v>
      </c>
      <c r="V71" s="36" t="s">
        <v>170</v>
      </c>
      <c r="W71" s="36" t="s">
        <v>440</v>
      </c>
      <c r="X71" s="36">
        <v>1702</v>
      </c>
      <c r="Y71" s="36" t="s">
        <v>368</v>
      </c>
      <c r="Z71" s="36" t="s">
        <v>486</v>
      </c>
      <c r="AA71" s="36" t="s">
        <v>360</v>
      </c>
      <c r="AB71" s="36"/>
      <c r="AC71" s="37"/>
      <c r="AD71" s="36"/>
      <c r="AE71" s="36"/>
      <c r="AF71" s="36"/>
      <c r="AG71" s="38"/>
    </row>
    <row r="72" spans="1:33" ht="51.75" x14ac:dyDescent="0.25">
      <c r="A72" s="81">
        <v>1208649546</v>
      </c>
      <c r="B72" s="36" t="s">
        <v>879</v>
      </c>
      <c r="C72" s="36" t="s">
        <v>880</v>
      </c>
      <c r="D72" s="36" t="s">
        <v>354</v>
      </c>
      <c r="E72" s="36" t="s">
        <v>161</v>
      </c>
      <c r="F72" s="36" t="s">
        <v>440</v>
      </c>
      <c r="G72" s="36">
        <v>1721</v>
      </c>
      <c r="H72" s="36" t="s">
        <v>368</v>
      </c>
      <c r="I72" s="36" t="s">
        <v>486</v>
      </c>
      <c r="J72" s="36" t="s">
        <v>375</v>
      </c>
      <c r="K72" s="36"/>
      <c r="L72" s="37"/>
      <c r="M72" s="36"/>
      <c r="N72" s="38"/>
      <c r="R72" s="36">
        <v>1208649546</v>
      </c>
      <c r="S72" s="36" t="s">
        <v>879</v>
      </c>
      <c r="T72" s="36" t="s">
        <v>880</v>
      </c>
      <c r="U72" s="36" t="s">
        <v>354</v>
      </c>
      <c r="V72" s="36" t="s">
        <v>161</v>
      </c>
      <c r="W72" s="36" t="s">
        <v>440</v>
      </c>
      <c r="X72" s="36">
        <v>1721</v>
      </c>
      <c r="Y72" s="36" t="s">
        <v>368</v>
      </c>
      <c r="Z72" s="36" t="s">
        <v>486</v>
      </c>
      <c r="AA72" s="36" t="s">
        <v>375</v>
      </c>
      <c r="AB72" s="36" t="s">
        <v>655</v>
      </c>
      <c r="AC72" s="37">
        <v>45313</v>
      </c>
      <c r="AD72" s="36" t="s">
        <v>212</v>
      </c>
      <c r="AE72" s="36">
        <v>71</v>
      </c>
      <c r="AF72" s="36">
        <v>196</v>
      </c>
      <c r="AG72" s="38"/>
    </row>
    <row r="73" spans="1:33" ht="51.75" x14ac:dyDescent="0.25">
      <c r="A73" s="81">
        <v>1433270027</v>
      </c>
      <c r="B73" s="36" t="s">
        <v>772</v>
      </c>
      <c r="C73" s="36" t="s">
        <v>881</v>
      </c>
      <c r="D73" s="36" t="s">
        <v>354</v>
      </c>
      <c r="E73" s="36" t="s">
        <v>155</v>
      </c>
      <c r="F73" s="36" t="s">
        <v>440</v>
      </c>
      <c r="G73" s="36">
        <v>1721</v>
      </c>
      <c r="H73" s="36" t="s">
        <v>368</v>
      </c>
      <c r="I73" s="36" t="s">
        <v>486</v>
      </c>
      <c r="J73" s="36" t="s">
        <v>375</v>
      </c>
      <c r="K73" s="36"/>
      <c r="L73" s="37"/>
      <c r="M73" s="36"/>
      <c r="N73" s="38"/>
      <c r="R73" s="36">
        <v>1433270027</v>
      </c>
      <c r="S73" s="36" t="s">
        <v>772</v>
      </c>
      <c r="T73" s="36" t="s">
        <v>881</v>
      </c>
      <c r="U73" s="36" t="s">
        <v>354</v>
      </c>
      <c r="V73" s="36" t="s">
        <v>155</v>
      </c>
      <c r="W73" s="36" t="s">
        <v>440</v>
      </c>
      <c r="X73" s="36">
        <v>1721</v>
      </c>
      <c r="Y73" s="36" t="s">
        <v>368</v>
      </c>
      <c r="Z73" s="36" t="s">
        <v>486</v>
      </c>
      <c r="AA73" s="36" t="s">
        <v>375</v>
      </c>
      <c r="AB73" s="36" t="s">
        <v>655</v>
      </c>
      <c r="AC73" s="37">
        <v>45313</v>
      </c>
      <c r="AD73" s="36" t="s">
        <v>212</v>
      </c>
      <c r="AE73" s="36">
        <v>72</v>
      </c>
      <c r="AF73" s="36">
        <v>180</v>
      </c>
      <c r="AG73" s="38"/>
    </row>
    <row r="74" spans="1:33" ht="51.75" x14ac:dyDescent="0.25">
      <c r="A74" s="81">
        <v>1517276328</v>
      </c>
      <c r="B74" s="36" t="s">
        <v>882</v>
      </c>
      <c r="C74" s="36" t="s">
        <v>883</v>
      </c>
      <c r="D74" s="36" t="s">
        <v>354</v>
      </c>
      <c r="E74" s="36" t="s">
        <v>151</v>
      </c>
      <c r="F74" s="36" t="s">
        <v>440</v>
      </c>
      <c r="G74" s="36">
        <v>1721</v>
      </c>
      <c r="H74" s="36" t="s">
        <v>368</v>
      </c>
      <c r="I74" s="36" t="s">
        <v>486</v>
      </c>
      <c r="J74" s="36" t="s">
        <v>375</v>
      </c>
      <c r="K74" s="36"/>
      <c r="L74" s="37"/>
      <c r="M74" s="36"/>
      <c r="N74" s="38"/>
      <c r="R74" s="36">
        <v>1517276328</v>
      </c>
      <c r="S74" s="36" t="s">
        <v>882</v>
      </c>
      <c r="T74" s="36" t="s">
        <v>883</v>
      </c>
      <c r="U74" s="36" t="s">
        <v>354</v>
      </c>
      <c r="V74" s="36" t="s">
        <v>151</v>
      </c>
      <c r="W74" s="36" t="s">
        <v>440</v>
      </c>
      <c r="X74" s="36">
        <v>1721</v>
      </c>
      <c r="Y74" s="36" t="s">
        <v>368</v>
      </c>
      <c r="Z74" s="36" t="s">
        <v>486</v>
      </c>
      <c r="AA74" s="36" t="s">
        <v>375</v>
      </c>
      <c r="AB74" s="36"/>
      <c r="AC74" s="37"/>
      <c r="AD74" s="36"/>
      <c r="AE74" s="36"/>
      <c r="AF74" s="36"/>
      <c r="AG74" s="38"/>
    </row>
    <row r="75" spans="1:33" ht="51.75" x14ac:dyDescent="0.25">
      <c r="A75" s="81">
        <v>1312308399</v>
      </c>
      <c r="B75" s="36" t="s">
        <v>884</v>
      </c>
      <c r="C75" s="36" t="s">
        <v>885</v>
      </c>
      <c r="D75" s="36" t="s">
        <v>354</v>
      </c>
      <c r="E75" s="36" t="s">
        <v>147</v>
      </c>
      <c r="F75" s="36" t="s">
        <v>440</v>
      </c>
      <c r="G75" s="36">
        <v>231</v>
      </c>
      <c r="H75" s="36" t="s">
        <v>368</v>
      </c>
      <c r="I75" s="36" t="s">
        <v>486</v>
      </c>
      <c r="J75" s="36" t="s">
        <v>375</v>
      </c>
      <c r="K75" s="36"/>
      <c r="L75" s="37"/>
      <c r="M75" s="36"/>
      <c r="N75" s="38"/>
      <c r="R75" s="36">
        <v>1312308399</v>
      </c>
      <c r="S75" s="36" t="s">
        <v>884</v>
      </c>
      <c r="T75" s="36" t="s">
        <v>885</v>
      </c>
      <c r="U75" s="36" t="s">
        <v>354</v>
      </c>
      <c r="V75" s="36" t="s">
        <v>147</v>
      </c>
      <c r="W75" s="36" t="s">
        <v>440</v>
      </c>
      <c r="X75" s="36">
        <v>231</v>
      </c>
      <c r="Y75" s="36" t="s">
        <v>368</v>
      </c>
      <c r="Z75" s="36" t="s">
        <v>486</v>
      </c>
      <c r="AA75" s="36" t="s">
        <v>375</v>
      </c>
      <c r="AB75" s="36"/>
      <c r="AC75" s="37"/>
      <c r="AD75" s="36"/>
      <c r="AE75" s="36"/>
      <c r="AF75" s="36"/>
      <c r="AG75" s="38"/>
    </row>
    <row r="76" spans="1:33" ht="51.75" x14ac:dyDescent="0.25">
      <c r="A76" s="81">
        <v>1025451492</v>
      </c>
      <c r="B76" s="36" t="s">
        <v>886</v>
      </c>
      <c r="C76" s="36" t="s">
        <v>887</v>
      </c>
      <c r="D76" s="36" t="s">
        <v>354</v>
      </c>
      <c r="E76" s="36" t="s">
        <v>147</v>
      </c>
      <c r="F76" s="36" t="s">
        <v>440</v>
      </c>
      <c r="G76" s="36">
        <v>1721</v>
      </c>
      <c r="H76" s="36" t="s">
        <v>368</v>
      </c>
      <c r="I76" s="36" t="s">
        <v>486</v>
      </c>
      <c r="J76" s="36" t="s">
        <v>375</v>
      </c>
      <c r="K76" s="36"/>
      <c r="L76" s="37"/>
      <c r="M76" s="36"/>
      <c r="N76" s="38"/>
      <c r="R76" s="36">
        <v>1025451492</v>
      </c>
      <c r="S76" s="36" t="s">
        <v>886</v>
      </c>
      <c r="T76" s="36" t="s">
        <v>887</v>
      </c>
      <c r="U76" s="36" t="s">
        <v>354</v>
      </c>
      <c r="V76" s="36" t="s">
        <v>147</v>
      </c>
      <c r="W76" s="36" t="s">
        <v>440</v>
      </c>
      <c r="X76" s="36">
        <v>1721</v>
      </c>
      <c r="Y76" s="36" t="s">
        <v>368</v>
      </c>
      <c r="Z76" s="36" t="s">
        <v>486</v>
      </c>
      <c r="AA76" s="36" t="s">
        <v>375</v>
      </c>
      <c r="AB76" s="36"/>
      <c r="AC76" s="37"/>
      <c r="AD76" s="36"/>
      <c r="AE76" s="36"/>
      <c r="AF76" s="36"/>
      <c r="AG76" s="38"/>
    </row>
    <row r="77" spans="1:33" ht="39" x14ac:dyDescent="0.25">
      <c r="A77" s="81">
        <v>1041964509</v>
      </c>
      <c r="B77" s="36" t="s">
        <v>888</v>
      </c>
      <c r="C77" s="36" t="s">
        <v>889</v>
      </c>
      <c r="D77" s="36" t="s">
        <v>354</v>
      </c>
      <c r="E77" s="36" t="s">
        <v>176</v>
      </c>
      <c r="F77" s="36" t="s">
        <v>440</v>
      </c>
      <c r="G77" s="36">
        <v>1702</v>
      </c>
      <c r="H77" s="36" t="s">
        <v>368</v>
      </c>
      <c r="I77" s="36" t="s">
        <v>490</v>
      </c>
      <c r="J77" s="36" t="s">
        <v>360</v>
      </c>
      <c r="K77" s="36"/>
      <c r="L77" s="37"/>
      <c r="M77" s="36"/>
      <c r="N77" s="38"/>
      <c r="R77" s="36">
        <v>1041964509</v>
      </c>
      <c r="S77" s="36" t="s">
        <v>888</v>
      </c>
      <c r="T77" s="36" t="s">
        <v>889</v>
      </c>
      <c r="U77" s="36" t="s">
        <v>354</v>
      </c>
      <c r="V77" s="36" t="s">
        <v>176</v>
      </c>
      <c r="W77" s="36" t="s">
        <v>440</v>
      </c>
      <c r="X77" s="36">
        <v>1702</v>
      </c>
      <c r="Y77" s="36" t="s">
        <v>368</v>
      </c>
      <c r="Z77" s="36" t="s">
        <v>490</v>
      </c>
      <c r="AA77" s="36" t="s">
        <v>360</v>
      </c>
      <c r="AB77" s="36"/>
      <c r="AC77" s="37"/>
      <c r="AD77" s="36"/>
      <c r="AE77" s="36"/>
      <c r="AF77" s="36"/>
      <c r="AG77" s="38"/>
    </row>
    <row r="78" spans="1:33" ht="39" x14ac:dyDescent="0.25">
      <c r="A78" s="81">
        <v>1366872660</v>
      </c>
      <c r="B78" s="36" t="s">
        <v>890</v>
      </c>
      <c r="C78" s="36" t="s">
        <v>875</v>
      </c>
      <c r="D78" s="36" t="s">
        <v>354</v>
      </c>
      <c r="E78" s="36" t="s">
        <v>170</v>
      </c>
      <c r="F78" s="36" t="s">
        <v>440</v>
      </c>
      <c r="G78" s="36">
        <v>1702</v>
      </c>
      <c r="H78" s="36" t="s">
        <v>414</v>
      </c>
      <c r="I78" s="36" t="s">
        <v>490</v>
      </c>
      <c r="J78" s="36" t="s">
        <v>360</v>
      </c>
      <c r="K78" s="36"/>
      <c r="L78" s="37"/>
      <c r="M78" s="36"/>
      <c r="N78" s="38"/>
      <c r="R78" s="36">
        <v>1366872660</v>
      </c>
      <c r="S78" s="36" t="s">
        <v>890</v>
      </c>
      <c r="T78" s="36" t="s">
        <v>875</v>
      </c>
      <c r="U78" s="36" t="s">
        <v>354</v>
      </c>
      <c r="V78" s="36" t="s">
        <v>170</v>
      </c>
      <c r="W78" s="36" t="s">
        <v>440</v>
      </c>
      <c r="X78" s="36">
        <v>1702</v>
      </c>
      <c r="Y78" s="36" t="s">
        <v>414</v>
      </c>
      <c r="Z78" s="36" t="s">
        <v>490</v>
      </c>
      <c r="AA78" s="36" t="s">
        <v>360</v>
      </c>
      <c r="AB78" s="36"/>
      <c r="AC78" s="37"/>
      <c r="AD78" s="36"/>
      <c r="AE78" s="36"/>
      <c r="AF78" s="36"/>
      <c r="AG78" s="38"/>
    </row>
    <row r="79" spans="1:33" ht="51.75" x14ac:dyDescent="0.25">
      <c r="A79" s="81">
        <v>1163650418</v>
      </c>
      <c r="B79" s="36" t="s">
        <v>891</v>
      </c>
      <c r="C79" s="36" t="s">
        <v>892</v>
      </c>
      <c r="D79" s="36" t="s">
        <v>354</v>
      </c>
      <c r="E79" s="36" t="s">
        <v>867</v>
      </c>
      <c r="F79" s="36" t="s">
        <v>440</v>
      </c>
      <c r="G79" s="36">
        <v>8999</v>
      </c>
      <c r="H79" s="36" t="s">
        <v>368</v>
      </c>
      <c r="I79" s="36" t="s">
        <v>490</v>
      </c>
      <c r="J79" s="36" t="s">
        <v>375</v>
      </c>
      <c r="K79" s="36"/>
      <c r="L79" s="37"/>
      <c r="M79" s="36"/>
      <c r="N79" s="38"/>
      <c r="R79" s="36">
        <v>1163650418</v>
      </c>
      <c r="S79" s="36" t="s">
        <v>891</v>
      </c>
      <c r="T79" s="36" t="s">
        <v>892</v>
      </c>
      <c r="U79" s="36" t="s">
        <v>354</v>
      </c>
      <c r="V79" s="36" t="s">
        <v>867</v>
      </c>
      <c r="W79" s="36" t="s">
        <v>440</v>
      </c>
      <c r="X79" s="36">
        <v>8999</v>
      </c>
      <c r="Y79" s="36" t="s">
        <v>368</v>
      </c>
      <c r="Z79" s="36" t="s">
        <v>490</v>
      </c>
      <c r="AA79" s="36" t="s">
        <v>375</v>
      </c>
      <c r="AB79" s="36"/>
      <c r="AC79" s="37"/>
      <c r="AD79" s="36"/>
      <c r="AE79" s="36"/>
      <c r="AF79" s="36"/>
      <c r="AG79" s="38"/>
    </row>
    <row r="80" spans="1:33" ht="51.75" x14ac:dyDescent="0.25">
      <c r="A80" s="81">
        <v>1269922284</v>
      </c>
      <c r="B80" s="36" t="s">
        <v>893</v>
      </c>
      <c r="C80" s="36" t="s">
        <v>894</v>
      </c>
      <c r="D80" s="36" t="s">
        <v>354</v>
      </c>
      <c r="E80" s="36" t="s">
        <v>158</v>
      </c>
      <c r="F80" s="36" t="s">
        <v>440</v>
      </c>
      <c r="G80" s="36">
        <v>1721</v>
      </c>
      <c r="H80" s="36" t="s">
        <v>368</v>
      </c>
      <c r="I80" s="36" t="s">
        <v>490</v>
      </c>
      <c r="J80" s="36" t="s">
        <v>375</v>
      </c>
      <c r="K80" s="36"/>
      <c r="L80" s="37"/>
      <c r="M80" s="36"/>
      <c r="N80" s="38"/>
      <c r="R80" s="36">
        <v>1269922284</v>
      </c>
      <c r="S80" s="36" t="s">
        <v>893</v>
      </c>
      <c r="T80" s="36" t="s">
        <v>894</v>
      </c>
      <c r="U80" s="36" t="s">
        <v>354</v>
      </c>
      <c r="V80" s="36" t="s">
        <v>158</v>
      </c>
      <c r="W80" s="36" t="s">
        <v>440</v>
      </c>
      <c r="X80" s="36">
        <v>1721</v>
      </c>
      <c r="Y80" s="36" t="s">
        <v>368</v>
      </c>
      <c r="Z80" s="36" t="s">
        <v>490</v>
      </c>
      <c r="AA80" s="36" t="s">
        <v>375</v>
      </c>
      <c r="AB80" s="36"/>
      <c r="AC80" s="37"/>
      <c r="AD80" s="36"/>
      <c r="AE80" s="36"/>
      <c r="AF80" s="36"/>
      <c r="AG80" s="38"/>
    </row>
    <row r="81" spans="1:33" ht="51.75" x14ac:dyDescent="0.25">
      <c r="A81" s="78">
        <v>1410597200</v>
      </c>
      <c r="B81" s="32" t="s">
        <v>895</v>
      </c>
      <c r="C81" s="32" t="s">
        <v>896</v>
      </c>
      <c r="D81" s="32" t="s">
        <v>354</v>
      </c>
      <c r="E81" s="32" t="s">
        <v>151</v>
      </c>
      <c r="F81" s="32" t="s">
        <v>440</v>
      </c>
      <c r="G81" s="32">
        <v>1721</v>
      </c>
      <c r="H81" s="32" t="s">
        <v>368</v>
      </c>
      <c r="I81" s="32" t="s">
        <v>490</v>
      </c>
      <c r="J81" s="32" t="s">
        <v>375</v>
      </c>
      <c r="K81" s="32"/>
      <c r="L81" s="33"/>
      <c r="M81" s="32"/>
      <c r="N81" s="35"/>
      <c r="R81" s="36">
        <v>1410597200</v>
      </c>
      <c r="S81" s="36" t="s">
        <v>895</v>
      </c>
      <c r="T81" s="36" t="s">
        <v>896</v>
      </c>
      <c r="U81" s="36" t="s">
        <v>354</v>
      </c>
      <c r="V81" s="36" t="s">
        <v>151</v>
      </c>
      <c r="W81" s="36" t="s">
        <v>440</v>
      </c>
      <c r="X81" s="36">
        <v>1721</v>
      </c>
      <c r="Y81" s="36" t="s">
        <v>368</v>
      </c>
      <c r="Z81" s="36" t="s">
        <v>490</v>
      </c>
      <c r="AA81" s="36" t="s">
        <v>375</v>
      </c>
      <c r="AB81" s="36" t="s">
        <v>655</v>
      </c>
      <c r="AC81" s="37">
        <v>45313</v>
      </c>
      <c r="AD81" s="36" t="s">
        <v>212</v>
      </c>
      <c r="AE81" s="36">
        <v>75</v>
      </c>
      <c r="AF81" s="36">
        <v>186</v>
      </c>
      <c r="AG81" s="38"/>
    </row>
  </sheetData>
  <mergeCells count="2">
    <mergeCell ref="AB1:AG1"/>
    <mergeCell ref="K1:N1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3C7-FE3C-4B5F-BB72-F93BBE730F5E}">
  <dimension ref="A1:X81"/>
  <sheetViews>
    <sheetView workbookViewId="0">
      <selection activeCell="M4" sqref="M4"/>
    </sheetView>
  </sheetViews>
  <sheetFormatPr defaultRowHeight="15" x14ac:dyDescent="0.25"/>
  <cols>
    <col min="1" max="1" width="10.140625" bestFit="1" customWidth="1"/>
    <col min="2" max="3" width="11.42578125" bestFit="1" customWidth="1"/>
    <col min="6" max="6" width="10.28515625" bestFit="1" customWidth="1"/>
    <col min="8" max="8" width="9.42578125" bestFit="1" customWidth="1"/>
    <col min="11" max="15" width="11.42578125" bestFit="1" customWidth="1"/>
    <col min="17" max="17" width="11.42578125" bestFit="1" customWidth="1"/>
    <col min="19" max="19" width="11.42578125" bestFit="1" customWidth="1"/>
    <col min="21" max="21" width="11.42578125" bestFit="1" customWidth="1"/>
    <col min="23" max="23" width="9.28515625" bestFit="1" customWidth="1"/>
    <col min="24" max="24" width="11.42578125" bestFit="1" customWidth="1"/>
  </cols>
  <sheetData>
    <row r="1" spans="1:24" ht="18.75" x14ac:dyDescent="0.3">
      <c r="A1" s="220" t="s">
        <v>704</v>
      </c>
      <c r="B1" s="220"/>
      <c r="C1" s="220"/>
      <c r="D1" s="220"/>
      <c r="E1" s="220"/>
      <c r="F1" s="220"/>
      <c r="G1" s="220"/>
      <c r="H1" s="220"/>
      <c r="I1" s="220"/>
      <c r="J1" s="220"/>
      <c r="K1" s="227" t="s">
        <v>95</v>
      </c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8"/>
    </row>
    <row r="2" spans="1:24" ht="26.25" x14ac:dyDescent="0.25">
      <c r="A2" s="5" t="s">
        <v>337</v>
      </c>
      <c r="B2" s="4" t="s">
        <v>338</v>
      </c>
      <c r="C2" s="4" t="s">
        <v>339</v>
      </c>
      <c r="D2" s="4" t="s">
        <v>340</v>
      </c>
      <c r="E2" s="4" t="s">
        <v>207</v>
      </c>
      <c r="F2" s="4" t="s">
        <v>434</v>
      </c>
      <c r="G2" s="4" t="s">
        <v>341</v>
      </c>
      <c r="H2" s="4" t="s">
        <v>623</v>
      </c>
      <c r="I2" s="4" t="s">
        <v>192</v>
      </c>
      <c r="J2" s="4" t="s">
        <v>343</v>
      </c>
      <c r="K2" s="1" t="s">
        <v>624</v>
      </c>
      <c r="L2" s="1" t="s">
        <v>625</v>
      </c>
      <c r="M2" s="1" t="s">
        <v>437</v>
      </c>
      <c r="N2" s="1" t="s">
        <v>705</v>
      </c>
      <c r="O2" s="1" t="s">
        <v>706</v>
      </c>
      <c r="P2" s="1" t="s">
        <v>658</v>
      </c>
      <c r="Q2" s="1" t="s">
        <v>707</v>
      </c>
      <c r="R2" s="1" t="s">
        <v>708</v>
      </c>
      <c r="S2" s="1" t="s">
        <v>709</v>
      </c>
      <c r="T2" s="1" t="s">
        <v>710</v>
      </c>
      <c r="U2" s="1" t="s">
        <v>711</v>
      </c>
      <c r="V2" s="1" t="s">
        <v>712</v>
      </c>
      <c r="W2" s="1" t="s">
        <v>703</v>
      </c>
      <c r="X2" s="7" t="s">
        <v>713</v>
      </c>
    </row>
    <row r="3" spans="1:24" ht="39" x14ac:dyDescent="0.25">
      <c r="A3" s="157">
        <v>4741999075</v>
      </c>
      <c r="B3" s="158" t="s">
        <v>742</v>
      </c>
      <c r="C3" s="158" t="s">
        <v>743</v>
      </c>
      <c r="D3" s="158" t="s">
        <v>354</v>
      </c>
      <c r="E3" s="158" t="s">
        <v>170</v>
      </c>
      <c r="F3" s="158" t="s">
        <v>440</v>
      </c>
      <c r="G3" s="158">
        <v>1702</v>
      </c>
      <c r="H3" s="158" t="s">
        <v>414</v>
      </c>
      <c r="I3" s="158" t="s">
        <v>230</v>
      </c>
      <c r="J3" s="158" t="s">
        <v>360</v>
      </c>
      <c r="K3" s="158" t="s">
        <v>655</v>
      </c>
      <c r="L3" s="159">
        <v>45225</v>
      </c>
      <c r="M3" s="158" t="s">
        <v>453</v>
      </c>
      <c r="N3" s="158" t="b">
        <v>0</v>
      </c>
      <c r="O3" s="160">
        <v>0.1388888888888889</v>
      </c>
      <c r="P3" s="158">
        <v>67</v>
      </c>
      <c r="Q3" s="158">
        <v>120</v>
      </c>
      <c r="R3" s="158">
        <v>100</v>
      </c>
      <c r="S3" s="160">
        <v>8.9583333333333334E-2</v>
      </c>
      <c r="T3" s="158">
        <v>100</v>
      </c>
      <c r="U3" s="158">
        <v>267</v>
      </c>
      <c r="V3" s="158" t="s">
        <v>714</v>
      </c>
      <c r="W3" s="158"/>
      <c r="X3" s="158" t="b">
        <v>0</v>
      </c>
    </row>
    <row r="4" spans="1:24" ht="51.75" x14ac:dyDescent="0.25">
      <c r="A4" s="84">
        <v>1538999384</v>
      </c>
      <c r="B4" s="32" t="s">
        <v>744</v>
      </c>
      <c r="C4" s="32" t="s">
        <v>745</v>
      </c>
      <c r="D4" s="32" t="s">
        <v>354</v>
      </c>
      <c r="E4" s="32" t="s">
        <v>161</v>
      </c>
      <c r="F4" s="32" t="s">
        <v>440</v>
      </c>
      <c r="G4" s="32">
        <v>1721</v>
      </c>
      <c r="H4" s="32" t="s">
        <v>368</v>
      </c>
      <c r="I4" s="32" t="s">
        <v>230</v>
      </c>
      <c r="J4" s="32" t="s">
        <v>375</v>
      </c>
      <c r="K4" s="32" t="s">
        <v>655</v>
      </c>
      <c r="L4" s="33">
        <v>45224</v>
      </c>
      <c r="M4" s="32" t="s">
        <v>453</v>
      </c>
      <c r="N4" s="32" t="b">
        <v>0</v>
      </c>
      <c r="O4" s="34">
        <v>0.1173611111111111</v>
      </c>
      <c r="P4" s="32">
        <v>90</v>
      </c>
      <c r="Q4" s="32">
        <v>115</v>
      </c>
      <c r="R4" s="32">
        <v>100</v>
      </c>
      <c r="S4" s="34">
        <v>9.5833333333333326E-2</v>
      </c>
      <c r="T4" s="32">
        <v>89</v>
      </c>
      <c r="U4" s="32">
        <v>279</v>
      </c>
      <c r="V4" s="32" t="s">
        <v>714</v>
      </c>
      <c r="W4" s="32"/>
      <c r="X4" s="32" t="b">
        <v>0</v>
      </c>
    </row>
    <row r="5" spans="1:24" ht="51.75" x14ac:dyDescent="0.25">
      <c r="A5" s="84">
        <v>1160110691</v>
      </c>
      <c r="B5" s="32" t="s">
        <v>746</v>
      </c>
      <c r="C5" s="32" t="s">
        <v>747</v>
      </c>
      <c r="D5" s="32" t="s">
        <v>354</v>
      </c>
      <c r="E5" s="32" t="s">
        <v>158</v>
      </c>
      <c r="F5" s="32" t="s">
        <v>440</v>
      </c>
      <c r="G5" s="32">
        <v>1721</v>
      </c>
      <c r="H5" s="32" t="s">
        <v>368</v>
      </c>
      <c r="I5" s="32" t="s">
        <v>230</v>
      </c>
      <c r="J5" s="32" t="s">
        <v>375</v>
      </c>
      <c r="K5" s="32" t="s">
        <v>655</v>
      </c>
      <c r="L5" s="33">
        <v>45225</v>
      </c>
      <c r="M5" s="32" t="s">
        <v>453</v>
      </c>
      <c r="N5" s="32" t="b">
        <v>0</v>
      </c>
      <c r="O5" s="34">
        <v>0.10416666666666667</v>
      </c>
      <c r="P5" s="32">
        <v>100</v>
      </c>
      <c r="Q5" s="32">
        <v>120</v>
      </c>
      <c r="R5" s="32">
        <v>100</v>
      </c>
      <c r="S5" s="34">
        <v>7.8472222222222221E-2</v>
      </c>
      <c r="T5" s="32">
        <v>100</v>
      </c>
      <c r="U5" s="32">
        <v>300</v>
      </c>
      <c r="V5" s="32" t="s">
        <v>714</v>
      </c>
      <c r="W5" s="32"/>
      <c r="X5" s="32" t="b">
        <v>0</v>
      </c>
    </row>
    <row r="6" spans="1:24" ht="51.75" x14ac:dyDescent="0.25">
      <c r="A6" s="84">
        <v>1520074788</v>
      </c>
      <c r="B6" s="32" t="s">
        <v>748</v>
      </c>
      <c r="C6" s="32" t="s">
        <v>749</v>
      </c>
      <c r="D6" s="32" t="s">
        <v>354</v>
      </c>
      <c r="E6" s="32" t="s">
        <v>158</v>
      </c>
      <c r="F6" s="32" t="s">
        <v>440</v>
      </c>
      <c r="G6" s="32">
        <v>1721</v>
      </c>
      <c r="H6" s="32" t="s">
        <v>368</v>
      </c>
      <c r="I6" s="32" t="s">
        <v>230</v>
      </c>
      <c r="J6" s="32" t="s">
        <v>375</v>
      </c>
      <c r="K6" s="32" t="s">
        <v>655</v>
      </c>
      <c r="L6" s="33">
        <v>45225</v>
      </c>
      <c r="M6" s="32" t="s">
        <v>212</v>
      </c>
      <c r="N6" s="32" t="b">
        <v>0</v>
      </c>
      <c r="O6" s="34">
        <v>0.11805555555555557</v>
      </c>
      <c r="P6" s="32">
        <v>90</v>
      </c>
      <c r="Q6" s="32">
        <v>116</v>
      </c>
      <c r="R6" s="32">
        <v>100</v>
      </c>
      <c r="S6" s="34">
        <v>8.0555555555555561E-2</v>
      </c>
      <c r="T6" s="32">
        <v>100</v>
      </c>
      <c r="U6" s="32">
        <v>290</v>
      </c>
      <c r="V6" s="32" t="s">
        <v>714</v>
      </c>
      <c r="W6" s="32"/>
      <c r="X6" s="32" t="b">
        <v>0</v>
      </c>
    </row>
    <row r="7" spans="1:24" ht="51.75" x14ac:dyDescent="0.25">
      <c r="A7" s="84">
        <v>1220711349</v>
      </c>
      <c r="B7" s="32" t="s">
        <v>750</v>
      </c>
      <c r="C7" s="32" t="s">
        <v>751</v>
      </c>
      <c r="D7" s="32" t="s">
        <v>354</v>
      </c>
      <c r="E7" s="32" t="s">
        <v>155</v>
      </c>
      <c r="F7" s="32" t="s">
        <v>440</v>
      </c>
      <c r="G7" s="32">
        <v>1721</v>
      </c>
      <c r="H7" s="32" t="s">
        <v>368</v>
      </c>
      <c r="I7" s="32" t="s">
        <v>230</v>
      </c>
      <c r="J7" s="32" t="s">
        <v>375</v>
      </c>
      <c r="K7" s="32" t="s">
        <v>655</v>
      </c>
      <c r="L7" s="33">
        <v>45238</v>
      </c>
      <c r="M7" s="32" t="s">
        <v>453</v>
      </c>
      <c r="N7" s="32" t="b">
        <v>0</v>
      </c>
      <c r="O7" s="34">
        <v>0.15347222222222223</v>
      </c>
      <c r="P7" s="32">
        <v>81</v>
      </c>
      <c r="Q7" s="32">
        <v>80</v>
      </c>
      <c r="R7" s="32">
        <v>100</v>
      </c>
      <c r="S7" s="34">
        <v>0.12916666666666668</v>
      </c>
      <c r="T7" s="32">
        <v>88</v>
      </c>
      <c r="U7" s="32">
        <v>269</v>
      </c>
      <c r="V7" s="32" t="s">
        <v>714</v>
      </c>
      <c r="W7" s="32"/>
      <c r="X7" s="32" t="b">
        <v>0</v>
      </c>
    </row>
    <row r="8" spans="1:24" ht="51.75" x14ac:dyDescent="0.25">
      <c r="A8" s="84">
        <v>1534568011</v>
      </c>
      <c r="B8" s="32" t="s">
        <v>752</v>
      </c>
      <c r="C8" s="32" t="s">
        <v>753</v>
      </c>
      <c r="D8" s="32" t="s">
        <v>354</v>
      </c>
      <c r="E8" s="32" t="s">
        <v>155</v>
      </c>
      <c r="F8" s="32" t="s">
        <v>440</v>
      </c>
      <c r="G8" s="32">
        <v>1721</v>
      </c>
      <c r="H8" s="32" t="s">
        <v>368</v>
      </c>
      <c r="I8" s="32" t="s">
        <v>230</v>
      </c>
      <c r="J8" s="32" t="s">
        <v>375</v>
      </c>
      <c r="K8" s="32" t="s">
        <v>655</v>
      </c>
      <c r="L8" s="33">
        <v>45225</v>
      </c>
      <c r="M8" s="32" t="s">
        <v>453</v>
      </c>
      <c r="N8" s="32" t="b">
        <v>0</v>
      </c>
      <c r="O8" s="34">
        <v>0.11805555555555557</v>
      </c>
      <c r="P8" s="32">
        <v>89</v>
      </c>
      <c r="Q8" s="32">
        <v>116</v>
      </c>
      <c r="R8" s="32">
        <v>100</v>
      </c>
      <c r="S8" s="34">
        <v>8.3333333333333329E-2</v>
      </c>
      <c r="T8" s="32">
        <v>100</v>
      </c>
      <c r="U8" s="32">
        <v>289</v>
      </c>
      <c r="V8" s="32" t="s">
        <v>714</v>
      </c>
      <c r="W8" s="32"/>
      <c r="X8" s="32" t="b">
        <v>0</v>
      </c>
    </row>
    <row r="9" spans="1:24" ht="51.75" x14ac:dyDescent="0.25">
      <c r="A9" s="84">
        <v>1418134206</v>
      </c>
      <c r="B9" s="32" t="s">
        <v>754</v>
      </c>
      <c r="C9" s="32" t="s">
        <v>755</v>
      </c>
      <c r="D9" s="32" t="s">
        <v>354</v>
      </c>
      <c r="E9" s="32" t="s">
        <v>155</v>
      </c>
      <c r="F9" s="32" t="s">
        <v>440</v>
      </c>
      <c r="G9" s="32">
        <v>1700</v>
      </c>
      <c r="H9" s="32" t="s">
        <v>368</v>
      </c>
      <c r="I9" s="32" t="s">
        <v>230</v>
      </c>
      <c r="J9" s="32" t="s">
        <v>375</v>
      </c>
      <c r="K9" s="32" t="s">
        <v>655</v>
      </c>
      <c r="L9" s="33">
        <v>45195</v>
      </c>
      <c r="M9" s="32" t="s">
        <v>212</v>
      </c>
      <c r="N9" s="32" t="b">
        <v>0</v>
      </c>
      <c r="O9" s="34">
        <v>0.1125</v>
      </c>
      <c r="P9" s="32">
        <v>96</v>
      </c>
      <c r="Q9" s="32">
        <v>115</v>
      </c>
      <c r="R9" s="32">
        <v>100</v>
      </c>
      <c r="S9" s="34">
        <v>7.7083333333333337E-2</v>
      </c>
      <c r="T9" s="32">
        <v>100</v>
      </c>
      <c r="U9" s="32">
        <v>296</v>
      </c>
      <c r="V9" s="32" t="s">
        <v>714</v>
      </c>
      <c r="W9" s="32"/>
      <c r="X9" s="32" t="b">
        <v>0</v>
      </c>
    </row>
    <row r="10" spans="1:24" ht="51.75" x14ac:dyDescent="0.25">
      <c r="A10" s="84">
        <v>1007476454</v>
      </c>
      <c r="B10" s="32" t="s">
        <v>756</v>
      </c>
      <c r="C10" s="32" t="s">
        <v>757</v>
      </c>
      <c r="D10" s="32" t="s">
        <v>354</v>
      </c>
      <c r="E10" s="32" t="s">
        <v>151</v>
      </c>
      <c r="F10" s="32" t="s">
        <v>440</v>
      </c>
      <c r="G10" s="32">
        <v>1721</v>
      </c>
      <c r="H10" s="32" t="s">
        <v>368</v>
      </c>
      <c r="I10" s="32" t="s">
        <v>230</v>
      </c>
      <c r="J10" s="32" t="s">
        <v>375</v>
      </c>
      <c r="K10" s="32" t="s">
        <v>655</v>
      </c>
      <c r="L10" s="33">
        <v>45188</v>
      </c>
      <c r="M10" s="32" t="s">
        <v>212</v>
      </c>
      <c r="N10" s="32" t="b">
        <v>0</v>
      </c>
      <c r="O10" s="34">
        <v>0.12708333333333333</v>
      </c>
      <c r="P10" s="32">
        <v>79</v>
      </c>
      <c r="Q10" s="32">
        <v>106</v>
      </c>
      <c r="R10" s="32">
        <v>100</v>
      </c>
      <c r="S10" s="34">
        <v>9.9999999999999992E-2</v>
      </c>
      <c r="T10" s="32">
        <v>85</v>
      </c>
      <c r="U10" s="32">
        <v>264</v>
      </c>
      <c r="V10" s="32" t="s">
        <v>714</v>
      </c>
      <c r="W10" s="32"/>
      <c r="X10" s="32" t="b">
        <v>0</v>
      </c>
    </row>
    <row r="11" spans="1:24" ht="51.75" x14ac:dyDescent="0.25">
      <c r="A11" s="84">
        <v>1245991266</v>
      </c>
      <c r="B11" s="32" t="s">
        <v>758</v>
      </c>
      <c r="C11" s="32" t="s">
        <v>759</v>
      </c>
      <c r="D11" s="32" t="s">
        <v>354</v>
      </c>
      <c r="E11" s="32" t="s">
        <v>151</v>
      </c>
      <c r="F11" s="32" t="s">
        <v>440</v>
      </c>
      <c r="G11" s="32">
        <v>1721</v>
      </c>
      <c r="H11" s="32" t="s">
        <v>368</v>
      </c>
      <c r="I11" s="32" t="s">
        <v>230</v>
      </c>
      <c r="J11" s="32" t="s">
        <v>375</v>
      </c>
      <c r="K11" s="32" t="s">
        <v>655</v>
      </c>
      <c r="L11" s="33">
        <v>45131</v>
      </c>
      <c r="M11" s="32" t="s">
        <v>212</v>
      </c>
      <c r="N11" s="32" t="b">
        <v>0</v>
      </c>
      <c r="O11" s="34">
        <v>0.11875000000000001</v>
      </c>
      <c r="P11" s="32">
        <v>88</v>
      </c>
      <c r="Q11" s="32">
        <v>116</v>
      </c>
      <c r="R11" s="32">
        <v>100</v>
      </c>
      <c r="S11" s="34">
        <v>7.2916666666666671E-2</v>
      </c>
      <c r="T11" s="32">
        <v>100</v>
      </c>
      <c r="U11" s="32">
        <v>288</v>
      </c>
      <c r="V11" s="32" t="s">
        <v>714</v>
      </c>
      <c r="W11" s="32"/>
      <c r="X11" s="32" t="b">
        <v>0</v>
      </c>
    </row>
    <row r="12" spans="1:24" ht="51.75" x14ac:dyDescent="0.25">
      <c r="A12" s="84">
        <v>1019647482</v>
      </c>
      <c r="B12" s="32" t="s">
        <v>760</v>
      </c>
      <c r="C12" s="32" t="s">
        <v>761</v>
      </c>
      <c r="D12" s="32" t="s">
        <v>354</v>
      </c>
      <c r="E12" s="32" t="s">
        <v>151</v>
      </c>
      <c r="F12" s="32" t="s">
        <v>440</v>
      </c>
      <c r="G12" s="32">
        <v>1721</v>
      </c>
      <c r="H12" s="32" t="s">
        <v>368</v>
      </c>
      <c r="I12" s="32" t="s">
        <v>230</v>
      </c>
      <c r="J12" s="32" t="s">
        <v>375</v>
      </c>
      <c r="K12" s="32" t="s">
        <v>655</v>
      </c>
      <c r="L12" s="33">
        <v>45225</v>
      </c>
      <c r="M12" s="32" t="s">
        <v>453</v>
      </c>
      <c r="N12" s="32" t="b">
        <v>0</v>
      </c>
      <c r="O12" s="34">
        <v>0.125</v>
      </c>
      <c r="P12" s="32">
        <v>82</v>
      </c>
      <c r="Q12" s="32">
        <v>120</v>
      </c>
      <c r="R12" s="32">
        <v>100</v>
      </c>
      <c r="S12" s="34">
        <v>9.9999999999999992E-2</v>
      </c>
      <c r="T12" s="32">
        <v>85</v>
      </c>
      <c r="U12" s="32">
        <v>267</v>
      </c>
      <c r="V12" s="32" t="s">
        <v>714</v>
      </c>
      <c r="W12" s="32"/>
      <c r="X12" s="32" t="b">
        <v>0</v>
      </c>
    </row>
    <row r="13" spans="1:24" ht="51.75" x14ac:dyDescent="0.25">
      <c r="A13" s="84">
        <v>1216965036</v>
      </c>
      <c r="B13" s="32" t="s">
        <v>762</v>
      </c>
      <c r="C13" s="32" t="s">
        <v>763</v>
      </c>
      <c r="D13" s="32" t="s">
        <v>354</v>
      </c>
      <c r="E13" s="32" t="s">
        <v>151</v>
      </c>
      <c r="F13" s="32" t="s">
        <v>440</v>
      </c>
      <c r="G13" s="32">
        <v>1721</v>
      </c>
      <c r="H13" s="32" t="s">
        <v>368</v>
      </c>
      <c r="I13" s="32" t="s">
        <v>230</v>
      </c>
      <c r="J13" s="32" t="s">
        <v>375</v>
      </c>
      <c r="K13" s="32" t="s">
        <v>655</v>
      </c>
      <c r="L13" s="33">
        <v>45195</v>
      </c>
      <c r="M13" s="32" t="s">
        <v>212</v>
      </c>
      <c r="N13" s="32" t="b">
        <v>0</v>
      </c>
      <c r="O13" s="34">
        <v>0.11180555555555556</v>
      </c>
      <c r="P13" s="32">
        <v>97</v>
      </c>
      <c r="Q13" s="32">
        <v>115</v>
      </c>
      <c r="R13" s="32">
        <v>100</v>
      </c>
      <c r="S13" s="34">
        <v>7.013888888888889E-2</v>
      </c>
      <c r="T13" s="32">
        <v>100</v>
      </c>
      <c r="U13" s="32">
        <v>297</v>
      </c>
      <c r="V13" s="32" t="s">
        <v>714</v>
      </c>
      <c r="W13" s="32"/>
      <c r="X13" s="32" t="b">
        <v>0</v>
      </c>
    </row>
    <row r="14" spans="1:24" ht="51.75" x14ac:dyDescent="0.25">
      <c r="A14" s="84">
        <v>1014426852</v>
      </c>
      <c r="B14" s="32" t="s">
        <v>764</v>
      </c>
      <c r="C14" s="32" t="s">
        <v>765</v>
      </c>
      <c r="D14" s="32" t="s">
        <v>354</v>
      </c>
      <c r="E14" s="32" t="s">
        <v>151</v>
      </c>
      <c r="F14" s="32" t="s">
        <v>440</v>
      </c>
      <c r="G14" s="32">
        <v>1721</v>
      </c>
      <c r="H14" s="32" t="s">
        <v>368</v>
      </c>
      <c r="I14" s="32" t="s">
        <v>230</v>
      </c>
      <c r="J14" s="32" t="s">
        <v>375</v>
      </c>
      <c r="K14" s="32" t="s">
        <v>655</v>
      </c>
      <c r="L14" s="33">
        <v>45226</v>
      </c>
      <c r="M14" s="32" t="s">
        <v>212</v>
      </c>
      <c r="N14" s="32" t="b">
        <v>0</v>
      </c>
      <c r="O14" s="34">
        <v>0.12986111111111112</v>
      </c>
      <c r="P14" s="32">
        <v>76</v>
      </c>
      <c r="Q14" s="32">
        <v>88</v>
      </c>
      <c r="R14" s="32">
        <v>66</v>
      </c>
      <c r="S14" s="34">
        <v>0.11875000000000001</v>
      </c>
      <c r="T14" s="32">
        <v>64</v>
      </c>
      <c r="U14" s="32">
        <v>206</v>
      </c>
      <c r="V14" s="32" t="s">
        <v>715</v>
      </c>
      <c r="W14" s="32"/>
      <c r="X14" s="32" t="b">
        <v>0</v>
      </c>
    </row>
    <row r="15" spans="1:24" ht="51.75" x14ac:dyDescent="0.25">
      <c r="A15" s="84">
        <v>1342870108</v>
      </c>
      <c r="B15" s="32" t="s">
        <v>766</v>
      </c>
      <c r="C15" s="32" t="s">
        <v>767</v>
      </c>
      <c r="D15" s="32" t="s">
        <v>354</v>
      </c>
      <c r="E15" s="32" t="s">
        <v>151</v>
      </c>
      <c r="F15" s="32" t="s">
        <v>440</v>
      </c>
      <c r="G15" s="32">
        <v>1721</v>
      </c>
      <c r="H15" s="32" t="s">
        <v>368</v>
      </c>
      <c r="I15" s="32" t="s">
        <v>230</v>
      </c>
      <c r="J15" s="32" t="s">
        <v>375</v>
      </c>
      <c r="K15" s="32" t="s">
        <v>655</v>
      </c>
      <c r="L15" s="33">
        <v>45205</v>
      </c>
      <c r="M15" s="32" t="s">
        <v>212</v>
      </c>
      <c r="N15" s="32" t="b">
        <v>0</v>
      </c>
      <c r="O15" s="34">
        <v>0.13749999999999998</v>
      </c>
      <c r="P15" s="32">
        <v>64</v>
      </c>
      <c r="Q15" s="32">
        <v>120</v>
      </c>
      <c r="R15" s="32">
        <v>100</v>
      </c>
      <c r="S15" s="34">
        <v>9.3055555555555558E-2</v>
      </c>
      <c r="T15" s="32">
        <v>92</v>
      </c>
      <c r="U15" s="32">
        <v>256</v>
      </c>
      <c r="V15" s="32" t="s">
        <v>714</v>
      </c>
      <c r="W15" s="32"/>
      <c r="X15" s="32" t="b">
        <v>0</v>
      </c>
    </row>
    <row r="16" spans="1:24" ht="51.75" x14ac:dyDescent="0.25">
      <c r="A16" s="84">
        <v>1563539788</v>
      </c>
      <c r="B16" s="32" t="s">
        <v>768</v>
      </c>
      <c r="C16" s="32" t="s">
        <v>769</v>
      </c>
      <c r="D16" s="32" t="s">
        <v>354</v>
      </c>
      <c r="E16" s="32" t="s">
        <v>151</v>
      </c>
      <c r="F16" s="32" t="s">
        <v>440</v>
      </c>
      <c r="G16" s="32">
        <v>1721</v>
      </c>
      <c r="H16" s="32" t="s">
        <v>368</v>
      </c>
      <c r="I16" s="32" t="s">
        <v>230</v>
      </c>
      <c r="J16" s="32" t="s">
        <v>375</v>
      </c>
      <c r="K16" s="32" t="s">
        <v>655</v>
      </c>
      <c r="L16" s="33">
        <v>45225</v>
      </c>
      <c r="M16" s="32" t="s">
        <v>453</v>
      </c>
      <c r="N16" s="32" t="b">
        <v>0</v>
      </c>
      <c r="O16" s="34">
        <v>0.1125</v>
      </c>
      <c r="P16" s="32">
        <v>96</v>
      </c>
      <c r="Q16" s="32">
        <v>120</v>
      </c>
      <c r="R16" s="32">
        <v>100</v>
      </c>
      <c r="S16" s="34">
        <v>7.7083333333333337E-2</v>
      </c>
      <c r="T16" s="32">
        <v>100</v>
      </c>
      <c r="U16" s="32">
        <v>296</v>
      </c>
      <c r="V16" s="32" t="s">
        <v>714</v>
      </c>
      <c r="W16" s="32"/>
      <c r="X16" s="32" t="b">
        <v>0</v>
      </c>
    </row>
    <row r="17" spans="1:24" ht="51.75" x14ac:dyDescent="0.25">
      <c r="A17" s="84">
        <v>1243619874</v>
      </c>
      <c r="B17" s="32" t="s">
        <v>770</v>
      </c>
      <c r="C17" s="32" t="s">
        <v>771</v>
      </c>
      <c r="D17" s="32" t="s">
        <v>354</v>
      </c>
      <c r="E17" s="32" t="s">
        <v>147</v>
      </c>
      <c r="F17" s="32" t="s">
        <v>440</v>
      </c>
      <c r="G17" s="32">
        <v>1721</v>
      </c>
      <c r="H17" s="32" t="s">
        <v>368</v>
      </c>
      <c r="I17" s="32" t="s">
        <v>230</v>
      </c>
      <c r="J17" s="32" t="s">
        <v>375</v>
      </c>
      <c r="K17" s="32" t="s">
        <v>655</v>
      </c>
      <c r="L17" s="33">
        <v>45210</v>
      </c>
      <c r="M17" s="32" t="s">
        <v>212</v>
      </c>
      <c r="N17" s="32" t="b">
        <v>0</v>
      </c>
      <c r="O17" s="34">
        <v>0.12152777777777778</v>
      </c>
      <c r="P17" s="32">
        <v>85</v>
      </c>
      <c r="Q17" s="32">
        <v>115</v>
      </c>
      <c r="R17" s="32">
        <v>100</v>
      </c>
      <c r="S17" s="34">
        <v>0.10972222222222222</v>
      </c>
      <c r="T17" s="32">
        <v>72</v>
      </c>
      <c r="U17" s="32">
        <v>257</v>
      </c>
      <c r="V17" s="32" t="s">
        <v>714</v>
      </c>
      <c r="W17" s="32"/>
      <c r="X17" s="32" t="b">
        <v>0</v>
      </c>
    </row>
    <row r="18" spans="1:24" ht="39" x14ac:dyDescent="0.25">
      <c r="A18" s="84">
        <v>1204889319</v>
      </c>
      <c r="B18" s="32" t="s">
        <v>772</v>
      </c>
      <c r="C18" s="32" t="s">
        <v>773</v>
      </c>
      <c r="D18" s="32" t="s">
        <v>354</v>
      </c>
      <c r="E18" s="32" t="s">
        <v>170</v>
      </c>
      <c r="F18" s="32" t="s">
        <v>440</v>
      </c>
      <c r="G18" s="32">
        <v>1702</v>
      </c>
      <c r="H18" s="32" t="s">
        <v>414</v>
      </c>
      <c r="I18" s="32" t="s">
        <v>225</v>
      </c>
      <c r="J18" s="32" t="s">
        <v>360</v>
      </c>
      <c r="K18" s="32" t="s">
        <v>655</v>
      </c>
      <c r="L18" s="33">
        <v>45184</v>
      </c>
      <c r="M18" s="32" t="s">
        <v>212</v>
      </c>
      <c r="N18" s="32" t="b">
        <v>0</v>
      </c>
      <c r="O18" s="34">
        <v>0.12083333333333333</v>
      </c>
      <c r="P18" s="32">
        <v>86</v>
      </c>
      <c r="Q18" s="32">
        <v>105</v>
      </c>
      <c r="R18" s="32">
        <v>88</v>
      </c>
      <c r="S18" s="34">
        <v>0.1125</v>
      </c>
      <c r="T18" s="32">
        <v>69</v>
      </c>
      <c r="U18" s="32">
        <v>243</v>
      </c>
      <c r="V18" s="32" t="s">
        <v>714</v>
      </c>
      <c r="W18" s="32"/>
      <c r="X18" s="32" t="b">
        <v>0</v>
      </c>
    </row>
    <row r="19" spans="1:24" ht="51.75" x14ac:dyDescent="0.25">
      <c r="A19" s="84">
        <v>1598039312</v>
      </c>
      <c r="B19" s="32" t="s">
        <v>774</v>
      </c>
      <c r="C19" s="32" t="s">
        <v>775</v>
      </c>
      <c r="D19" s="32" t="s">
        <v>354</v>
      </c>
      <c r="E19" s="32" t="s">
        <v>161</v>
      </c>
      <c r="F19" s="32" t="s">
        <v>440</v>
      </c>
      <c r="G19" s="32">
        <v>1721</v>
      </c>
      <c r="H19" s="32" t="s">
        <v>368</v>
      </c>
      <c r="I19" s="32" t="s">
        <v>225</v>
      </c>
      <c r="J19" s="32" t="s">
        <v>375</v>
      </c>
      <c r="K19" s="32" t="s">
        <v>655</v>
      </c>
      <c r="L19" s="33">
        <v>45189</v>
      </c>
      <c r="M19" s="32" t="s">
        <v>212</v>
      </c>
      <c r="N19" s="32" t="b">
        <v>0</v>
      </c>
      <c r="O19" s="34">
        <v>0.11944444444444445</v>
      </c>
      <c r="P19" s="32">
        <v>87</v>
      </c>
      <c r="Q19" s="32">
        <v>115</v>
      </c>
      <c r="R19" s="32">
        <v>100</v>
      </c>
      <c r="S19" s="34">
        <v>0.1111111111111111</v>
      </c>
      <c r="T19" s="32">
        <v>71</v>
      </c>
      <c r="U19" s="32">
        <v>258</v>
      </c>
      <c r="V19" s="32" t="s">
        <v>714</v>
      </c>
      <c r="W19" s="32"/>
      <c r="X19" s="32" t="b">
        <v>0</v>
      </c>
    </row>
    <row r="20" spans="1:24" ht="51.75" x14ac:dyDescent="0.25">
      <c r="A20" s="84">
        <v>1057200841</v>
      </c>
      <c r="B20" s="32" t="s">
        <v>776</v>
      </c>
      <c r="C20" s="32" t="s">
        <v>777</v>
      </c>
      <c r="D20" s="32" t="s">
        <v>354</v>
      </c>
      <c r="E20" s="32" t="s">
        <v>158</v>
      </c>
      <c r="F20" s="32" t="s">
        <v>440</v>
      </c>
      <c r="G20" s="32">
        <v>1721</v>
      </c>
      <c r="H20" s="32" t="s">
        <v>368</v>
      </c>
      <c r="I20" s="32" t="s">
        <v>225</v>
      </c>
      <c r="J20" s="32" t="s">
        <v>375</v>
      </c>
      <c r="K20" s="32" t="s">
        <v>655</v>
      </c>
      <c r="L20" s="33">
        <v>45238</v>
      </c>
      <c r="M20" s="32" t="s">
        <v>453</v>
      </c>
      <c r="N20" s="32" t="b">
        <v>0</v>
      </c>
      <c r="O20" s="34">
        <v>0.13333333333333333</v>
      </c>
      <c r="P20" s="32">
        <v>70</v>
      </c>
      <c r="Q20" s="32">
        <v>120</v>
      </c>
      <c r="R20" s="32">
        <v>100</v>
      </c>
      <c r="S20" s="34">
        <v>0.1076388888888889</v>
      </c>
      <c r="T20" s="32">
        <v>75</v>
      </c>
      <c r="U20" s="32">
        <v>245</v>
      </c>
      <c r="V20" s="32" t="s">
        <v>714</v>
      </c>
      <c r="W20" s="32"/>
      <c r="X20" s="32" t="b">
        <v>0</v>
      </c>
    </row>
    <row r="21" spans="1:24" ht="64.5" x14ac:dyDescent="0.25">
      <c r="A21" s="84">
        <v>1605838371</v>
      </c>
      <c r="B21" s="32" t="s">
        <v>778</v>
      </c>
      <c r="C21" s="32" t="s">
        <v>779</v>
      </c>
      <c r="D21" s="32" t="s">
        <v>354</v>
      </c>
      <c r="E21" s="32" t="s">
        <v>158</v>
      </c>
      <c r="F21" s="32" t="s">
        <v>440</v>
      </c>
      <c r="G21" s="32">
        <v>1721</v>
      </c>
      <c r="H21" s="32" t="s">
        <v>368</v>
      </c>
      <c r="I21" s="32" t="s">
        <v>225</v>
      </c>
      <c r="J21" s="32" t="s">
        <v>375</v>
      </c>
      <c r="K21" s="32" t="s">
        <v>655</v>
      </c>
      <c r="L21" s="33">
        <v>45229</v>
      </c>
      <c r="M21" s="32" t="s">
        <v>212</v>
      </c>
      <c r="N21" s="32" t="b">
        <v>0</v>
      </c>
      <c r="O21" s="34">
        <v>0.12847222222222224</v>
      </c>
      <c r="P21" s="32">
        <v>80</v>
      </c>
      <c r="Q21" s="32">
        <v>120</v>
      </c>
      <c r="R21" s="32">
        <v>100</v>
      </c>
      <c r="S21" s="34">
        <v>9.5138888888888884E-2</v>
      </c>
      <c r="T21" s="32">
        <v>95</v>
      </c>
      <c r="U21" s="32">
        <v>275</v>
      </c>
      <c r="V21" s="32" t="s">
        <v>714</v>
      </c>
      <c r="W21" s="32" t="s">
        <v>716</v>
      </c>
      <c r="X21" s="32" t="b">
        <v>0</v>
      </c>
    </row>
    <row r="22" spans="1:24" ht="51.75" x14ac:dyDescent="0.25">
      <c r="A22" s="84">
        <v>1583777566</v>
      </c>
      <c r="B22" s="32" t="s">
        <v>780</v>
      </c>
      <c r="C22" s="32" t="s">
        <v>781</v>
      </c>
      <c r="D22" s="32" t="s">
        <v>354</v>
      </c>
      <c r="E22" s="32" t="s">
        <v>155</v>
      </c>
      <c r="F22" s="32" t="s">
        <v>440</v>
      </c>
      <c r="G22" s="32">
        <v>1721</v>
      </c>
      <c r="H22" s="32" t="s">
        <v>368</v>
      </c>
      <c r="I22" s="32" t="s">
        <v>225</v>
      </c>
      <c r="J22" s="32" t="s">
        <v>375</v>
      </c>
      <c r="K22" s="32" t="s">
        <v>655</v>
      </c>
      <c r="L22" s="33">
        <v>45237</v>
      </c>
      <c r="M22" s="32" t="s">
        <v>453</v>
      </c>
      <c r="N22" s="32" t="b">
        <v>0</v>
      </c>
      <c r="O22" s="34">
        <v>0.12708333333333333</v>
      </c>
      <c r="P22" s="32">
        <v>79</v>
      </c>
      <c r="Q22" s="32">
        <v>112</v>
      </c>
      <c r="R22" s="32">
        <v>100</v>
      </c>
      <c r="S22" s="34">
        <v>0.10208333333333335</v>
      </c>
      <c r="T22" s="32">
        <v>83</v>
      </c>
      <c r="U22" s="32">
        <v>262</v>
      </c>
      <c r="V22" s="32" t="s">
        <v>714</v>
      </c>
      <c r="W22" s="32"/>
      <c r="X22" s="32" t="b">
        <v>0</v>
      </c>
    </row>
    <row r="23" spans="1:24" ht="51.75" x14ac:dyDescent="0.25">
      <c r="A23" s="84">
        <v>1309210629</v>
      </c>
      <c r="B23" s="32" t="s">
        <v>782</v>
      </c>
      <c r="C23" s="32" t="s">
        <v>783</v>
      </c>
      <c r="D23" s="32" t="s">
        <v>354</v>
      </c>
      <c r="E23" s="32" t="s">
        <v>155</v>
      </c>
      <c r="F23" s="32" t="s">
        <v>440</v>
      </c>
      <c r="G23" s="32">
        <v>1721</v>
      </c>
      <c r="H23" s="32" t="s">
        <v>368</v>
      </c>
      <c r="I23" s="32" t="s">
        <v>225</v>
      </c>
      <c r="J23" s="32" t="s">
        <v>375</v>
      </c>
      <c r="K23" s="32" t="s">
        <v>655</v>
      </c>
      <c r="L23" s="33">
        <v>45261</v>
      </c>
      <c r="M23" s="32" t="s">
        <v>212</v>
      </c>
      <c r="N23" s="32" t="b">
        <v>0</v>
      </c>
      <c r="O23" s="34">
        <v>0.1173611111111111</v>
      </c>
      <c r="P23" s="32">
        <v>94</v>
      </c>
      <c r="Q23" s="32">
        <v>120</v>
      </c>
      <c r="R23" s="32">
        <v>100</v>
      </c>
      <c r="S23" s="34">
        <v>8.4027777777777771E-2</v>
      </c>
      <c r="T23" s="32">
        <v>100</v>
      </c>
      <c r="U23" s="32">
        <v>294</v>
      </c>
      <c r="V23" s="32" t="s">
        <v>714</v>
      </c>
      <c r="W23" s="32"/>
      <c r="X23" s="32" t="b">
        <v>0</v>
      </c>
    </row>
    <row r="24" spans="1:24" ht="51.75" x14ac:dyDescent="0.25">
      <c r="A24" s="84">
        <v>1068605275</v>
      </c>
      <c r="B24" s="32" t="s">
        <v>784</v>
      </c>
      <c r="C24" s="32" t="s">
        <v>785</v>
      </c>
      <c r="D24" s="32" t="s">
        <v>354</v>
      </c>
      <c r="E24" s="32" t="s">
        <v>155</v>
      </c>
      <c r="F24" s="32" t="s">
        <v>440</v>
      </c>
      <c r="G24" s="32">
        <v>1700</v>
      </c>
      <c r="H24" s="32" t="s">
        <v>368</v>
      </c>
      <c r="I24" s="32" t="s">
        <v>225</v>
      </c>
      <c r="J24" s="32" t="s">
        <v>375</v>
      </c>
      <c r="K24" s="32" t="s">
        <v>655</v>
      </c>
      <c r="L24" s="33">
        <v>45225</v>
      </c>
      <c r="M24" s="32" t="s">
        <v>453</v>
      </c>
      <c r="N24" s="32" t="b">
        <v>0</v>
      </c>
      <c r="O24" s="34">
        <v>0.1388888888888889</v>
      </c>
      <c r="P24" s="32">
        <v>95</v>
      </c>
      <c r="Q24" s="32">
        <v>74</v>
      </c>
      <c r="R24" s="32">
        <v>100</v>
      </c>
      <c r="S24" s="34">
        <v>9.7222222222222224E-2</v>
      </c>
      <c r="T24" s="32">
        <v>100</v>
      </c>
      <c r="U24" s="32">
        <v>295</v>
      </c>
      <c r="V24" s="32" t="s">
        <v>714</v>
      </c>
      <c r="W24" s="32"/>
      <c r="X24" s="32" t="b">
        <v>0</v>
      </c>
    </row>
    <row r="25" spans="1:24" ht="51.75" x14ac:dyDescent="0.25">
      <c r="A25" s="84">
        <v>1504022008</v>
      </c>
      <c r="B25" s="32" t="s">
        <v>786</v>
      </c>
      <c r="C25" s="32" t="s">
        <v>787</v>
      </c>
      <c r="D25" s="32" t="s">
        <v>354</v>
      </c>
      <c r="E25" s="32" t="s">
        <v>151</v>
      </c>
      <c r="F25" s="32" t="s">
        <v>440</v>
      </c>
      <c r="G25" s="32">
        <v>1721</v>
      </c>
      <c r="H25" s="32" t="s">
        <v>368</v>
      </c>
      <c r="I25" s="32" t="s">
        <v>225</v>
      </c>
      <c r="J25" s="32" t="s">
        <v>375</v>
      </c>
      <c r="K25" s="32" t="s">
        <v>655</v>
      </c>
      <c r="L25" s="33">
        <v>45250</v>
      </c>
      <c r="M25" s="32" t="s">
        <v>453</v>
      </c>
      <c r="N25" s="32" t="b">
        <v>0</v>
      </c>
      <c r="O25" s="34">
        <v>0.14861111111111111</v>
      </c>
      <c r="P25" s="32">
        <v>50</v>
      </c>
      <c r="Q25" s="32">
        <v>115</v>
      </c>
      <c r="R25" s="32">
        <v>100</v>
      </c>
      <c r="S25" s="34">
        <v>0.10347222222222223</v>
      </c>
      <c r="T25" s="32">
        <v>80</v>
      </c>
      <c r="U25" s="32">
        <v>230</v>
      </c>
      <c r="V25" s="32" t="s">
        <v>715</v>
      </c>
      <c r="W25" s="32"/>
      <c r="X25" s="32" t="b">
        <v>0</v>
      </c>
    </row>
    <row r="26" spans="1:24" ht="51.75" x14ac:dyDescent="0.25">
      <c r="A26" s="84">
        <v>1306349386</v>
      </c>
      <c r="B26" s="32" t="s">
        <v>788</v>
      </c>
      <c r="C26" s="32" t="s">
        <v>789</v>
      </c>
      <c r="D26" s="32" t="s">
        <v>354</v>
      </c>
      <c r="E26" s="32" t="s">
        <v>151</v>
      </c>
      <c r="F26" s="32" t="s">
        <v>440</v>
      </c>
      <c r="G26" s="32">
        <v>1721</v>
      </c>
      <c r="H26" s="32" t="s">
        <v>368</v>
      </c>
      <c r="I26" s="32" t="s">
        <v>225</v>
      </c>
      <c r="J26" s="32" t="s">
        <v>375</v>
      </c>
      <c r="K26" s="32" t="s">
        <v>655</v>
      </c>
      <c r="L26" s="33">
        <v>45225</v>
      </c>
      <c r="M26" s="32" t="s">
        <v>453</v>
      </c>
      <c r="N26" s="32" t="b">
        <v>0</v>
      </c>
      <c r="O26" s="34">
        <v>0.11805555555555557</v>
      </c>
      <c r="P26" s="32">
        <v>90</v>
      </c>
      <c r="Q26" s="32">
        <v>117</v>
      </c>
      <c r="R26" s="32">
        <v>100</v>
      </c>
      <c r="S26" s="34">
        <v>8.4027777777777771E-2</v>
      </c>
      <c r="T26" s="32">
        <v>100</v>
      </c>
      <c r="U26" s="32">
        <v>290</v>
      </c>
      <c r="V26" s="32" t="s">
        <v>714</v>
      </c>
      <c r="W26" s="32"/>
      <c r="X26" s="32" t="b">
        <v>0</v>
      </c>
    </row>
    <row r="27" spans="1:24" ht="51.75" x14ac:dyDescent="0.25">
      <c r="A27" s="84">
        <v>1320652076</v>
      </c>
      <c r="B27" s="32" t="s">
        <v>790</v>
      </c>
      <c r="C27" s="32" t="s">
        <v>791</v>
      </c>
      <c r="D27" s="32" t="s">
        <v>354</v>
      </c>
      <c r="E27" s="32" t="s">
        <v>151</v>
      </c>
      <c r="F27" s="32" t="s">
        <v>440</v>
      </c>
      <c r="G27" s="32">
        <v>1721</v>
      </c>
      <c r="H27" s="32" t="s">
        <v>368</v>
      </c>
      <c r="I27" s="32" t="s">
        <v>225</v>
      </c>
      <c r="J27" s="32" t="s">
        <v>375</v>
      </c>
      <c r="K27" s="32" t="s">
        <v>655</v>
      </c>
      <c r="L27" s="33">
        <v>45180</v>
      </c>
      <c r="M27" s="32" t="s">
        <v>212</v>
      </c>
      <c r="N27" s="32" t="b">
        <v>0</v>
      </c>
      <c r="O27" s="34">
        <v>0.12847222222222224</v>
      </c>
      <c r="P27" s="32">
        <v>76</v>
      </c>
      <c r="Q27" s="32">
        <v>131</v>
      </c>
      <c r="R27" s="32">
        <v>100</v>
      </c>
      <c r="S27" s="34">
        <v>0.10555555555555556</v>
      </c>
      <c r="T27" s="32">
        <v>77</v>
      </c>
      <c r="U27" s="32">
        <v>253</v>
      </c>
      <c r="V27" s="32" t="s">
        <v>714</v>
      </c>
      <c r="W27" s="32"/>
      <c r="X27" s="32" t="b">
        <v>0</v>
      </c>
    </row>
    <row r="28" spans="1:24" ht="51.75" x14ac:dyDescent="0.25">
      <c r="A28" s="84">
        <v>1478966980</v>
      </c>
      <c r="B28" s="32" t="s">
        <v>792</v>
      </c>
      <c r="C28" s="32" t="s">
        <v>793</v>
      </c>
      <c r="D28" s="32" t="s">
        <v>354</v>
      </c>
      <c r="E28" s="32" t="s">
        <v>151</v>
      </c>
      <c r="F28" s="32" t="s">
        <v>440</v>
      </c>
      <c r="G28" s="32">
        <v>1721</v>
      </c>
      <c r="H28" s="32" t="s">
        <v>368</v>
      </c>
      <c r="I28" s="32" t="s">
        <v>225</v>
      </c>
      <c r="J28" s="32" t="s">
        <v>375</v>
      </c>
      <c r="K28" s="32" t="s">
        <v>655</v>
      </c>
      <c r="L28" s="33">
        <v>45250</v>
      </c>
      <c r="M28" s="32" t="s">
        <v>453</v>
      </c>
      <c r="N28" s="32" t="b">
        <v>0</v>
      </c>
      <c r="O28" s="34">
        <v>0.13958333333333334</v>
      </c>
      <c r="P28" s="32">
        <v>61</v>
      </c>
      <c r="Q28" s="32">
        <v>120</v>
      </c>
      <c r="R28" s="32">
        <v>100</v>
      </c>
      <c r="S28" s="34">
        <v>0.1013888888888889</v>
      </c>
      <c r="T28" s="32">
        <v>82</v>
      </c>
      <c r="U28" s="32">
        <v>243</v>
      </c>
      <c r="V28" s="32" t="s">
        <v>714</v>
      </c>
      <c r="W28" s="32"/>
      <c r="X28" s="32" t="b">
        <v>0</v>
      </c>
    </row>
    <row r="29" spans="1:24" ht="51.75" x14ac:dyDescent="0.25">
      <c r="A29" s="84">
        <v>1308481514</v>
      </c>
      <c r="B29" s="32" t="s">
        <v>794</v>
      </c>
      <c r="C29" s="32" t="s">
        <v>795</v>
      </c>
      <c r="D29" s="32" t="s">
        <v>354</v>
      </c>
      <c r="E29" s="32" t="s">
        <v>151</v>
      </c>
      <c r="F29" s="32" t="s">
        <v>440</v>
      </c>
      <c r="G29" s="32">
        <v>1721</v>
      </c>
      <c r="H29" s="32" t="s">
        <v>368</v>
      </c>
      <c r="I29" s="32" t="s">
        <v>225</v>
      </c>
      <c r="J29" s="32" t="s">
        <v>375</v>
      </c>
      <c r="K29" s="32" t="s">
        <v>655</v>
      </c>
      <c r="L29" s="33">
        <v>45225</v>
      </c>
      <c r="M29" s="32" t="s">
        <v>453</v>
      </c>
      <c r="N29" s="32" t="b">
        <v>0</v>
      </c>
      <c r="O29" s="34">
        <v>0.17361111111111113</v>
      </c>
      <c r="P29" s="32">
        <v>68</v>
      </c>
      <c r="Q29" s="32">
        <v>76</v>
      </c>
      <c r="R29" s="32">
        <v>100</v>
      </c>
      <c r="S29" s="34">
        <v>0.15972222222222224</v>
      </c>
      <c r="T29" s="32">
        <v>72</v>
      </c>
      <c r="U29" s="32">
        <v>240</v>
      </c>
      <c r="V29" s="32" t="s">
        <v>714</v>
      </c>
      <c r="W29" s="32"/>
      <c r="X29" s="32" t="b">
        <v>0</v>
      </c>
    </row>
    <row r="30" spans="1:24" ht="51.75" x14ac:dyDescent="0.25">
      <c r="A30" s="84">
        <v>1511922179</v>
      </c>
      <c r="B30" s="32" t="s">
        <v>796</v>
      </c>
      <c r="C30" s="32" t="s">
        <v>797</v>
      </c>
      <c r="D30" s="32" t="s">
        <v>354</v>
      </c>
      <c r="E30" s="32" t="s">
        <v>151</v>
      </c>
      <c r="F30" s="32" t="s">
        <v>440</v>
      </c>
      <c r="G30" s="32">
        <v>1721</v>
      </c>
      <c r="H30" s="32" t="s">
        <v>368</v>
      </c>
      <c r="I30" s="32" t="s">
        <v>225</v>
      </c>
      <c r="J30" s="32" t="s">
        <v>375</v>
      </c>
      <c r="K30" s="32" t="s">
        <v>655</v>
      </c>
      <c r="L30" s="33">
        <v>45225</v>
      </c>
      <c r="M30" s="32" t="s">
        <v>453</v>
      </c>
      <c r="N30" s="32" t="b">
        <v>0</v>
      </c>
      <c r="O30" s="34">
        <v>0.125</v>
      </c>
      <c r="P30" s="32">
        <v>82</v>
      </c>
      <c r="Q30" s="32">
        <v>120</v>
      </c>
      <c r="R30" s="32">
        <v>100</v>
      </c>
      <c r="S30" s="34">
        <v>8.3333333333333329E-2</v>
      </c>
      <c r="T30" s="32">
        <v>100</v>
      </c>
      <c r="U30" s="32">
        <v>282</v>
      </c>
      <c r="V30" s="32" t="s">
        <v>714</v>
      </c>
      <c r="W30" s="32"/>
      <c r="X30" s="32" t="b">
        <v>0</v>
      </c>
    </row>
    <row r="31" spans="1:24" ht="51.75" x14ac:dyDescent="0.25">
      <c r="A31" s="84">
        <v>1363966758</v>
      </c>
      <c r="B31" s="32" t="s">
        <v>798</v>
      </c>
      <c r="C31" s="32" t="s">
        <v>799</v>
      </c>
      <c r="D31" s="32" t="s">
        <v>354</v>
      </c>
      <c r="E31" s="32" t="s">
        <v>151</v>
      </c>
      <c r="F31" s="32" t="s">
        <v>440</v>
      </c>
      <c r="G31" s="32">
        <v>1721</v>
      </c>
      <c r="H31" s="32" t="s">
        <v>368</v>
      </c>
      <c r="I31" s="32" t="s">
        <v>225</v>
      </c>
      <c r="J31" s="32" t="s">
        <v>375</v>
      </c>
      <c r="K31" s="32" t="s">
        <v>655</v>
      </c>
      <c r="L31" s="33">
        <v>45131</v>
      </c>
      <c r="M31" s="32" t="s">
        <v>212</v>
      </c>
      <c r="N31" s="32" t="b">
        <v>0</v>
      </c>
      <c r="O31" s="34">
        <v>0.13125000000000001</v>
      </c>
      <c r="P31" s="32">
        <v>72</v>
      </c>
      <c r="Q31" s="32">
        <v>97</v>
      </c>
      <c r="R31" s="32">
        <v>78</v>
      </c>
      <c r="S31" s="34">
        <v>9.3055555555555558E-2</v>
      </c>
      <c r="T31" s="32">
        <v>92</v>
      </c>
      <c r="U31" s="32">
        <v>242</v>
      </c>
      <c r="V31" s="32" t="s">
        <v>714</v>
      </c>
      <c r="W31" s="32"/>
      <c r="X31" s="32" t="b">
        <v>0</v>
      </c>
    </row>
    <row r="32" spans="1:24" ht="51.75" x14ac:dyDescent="0.25">
      <c r="A32" s="84">
        <v>1212075255</v>
      </c>
      <c r="B32" s="32" t="s">
        <v>800</v>
      </c>
      <c r="C32" s="32" t="s">
        <v>801</v>
      </c>
      <c r="D32" s="32" t="s">
        <v>354</v>
      </c>
      <c r="E32" s="32" t="s">
        <v>147</v>
      </c>
      <c r="F32" s="32" t="s">
        <v>440</v>
      </c>
      <c r="G32" s="32">
        <v>1721</v>
      </c>
      <c r="H32" s="32" t="s">
        <v>368</v>
      </c>
      <c r="I32" s="32" t="s">
        <v>225</v>
      </c>
      <c r="J32" s="32" t="s">
        <v>375</v>
      </c>
      <c r="K32" s="32" t="s">
        <v>655</v>
      </c>
      <c r="L32" s="33">
        <v>45225</v>
      </c>
      <c r="M32" s="32" t="s">
        <v>453</v>
      </c>
      <c r="N32" s="32" t="b">
        <v>0</v>
      </c>
      <c r="O32" s="34">
        <v>0.13333333333333333</v>
      </c>
      <c r="P32" s="32">
        <v>78</v>
      </c>
      <c r="Q32" s="32">
        <v>120</v>
      </c>
      <c r="R32" s="32">
        <v>100</v>
      </c>
      <c r="S32" s="34">
        <v>9.5138888888888884E-2</v>
      </c>
      <c r="T32" s="32">
        <v>99</v>
      </c>
      <c r="U32" s="32">
        <v>277</v>
      </c>
      <c r="V32" s="32" t="s">
        <v>714</v>
      </c>
      <c r="W32" s="32"/>
      <c r="X32" s="32" t="b">
        <v>0</v>
      </c>
    </row>
    <row r="33" spans="1:24" ht="39" x14ac:dyDescent="0.25">
      <c r="A33" s="84">
        <v>1039148847</v>
      </c>
      <c r="B33" s="32" t="s">
        <v>802</v>
      </c>
      <c r="C33" s="32" t="s">
        <v>803</v>
      </c>
      <c r="D33" s="32" t="s">
        <v>354</v>
      </c>
      <c r="E33" s="32" t="s">
        <v>170</v>
      </c>
      <c r="F33" s="32" t="s">
        <v>440</v>
      </c>
      <c r="G33" s="32">
        <v>1702</v>
      </c>
      <c r="H33" s="32" t="s">
        <v>368</v>
      </c>
      <c r="I33" s="32" t="s">
        <v>211</v>
      </c>
      <c r="J33" s="32" t="s">
        <v>360</v>
      </c>
      <c r="K33" s="32" t="s">
        <v>655</v>
      </c>
      <c r="L33" s="33">
        <v>45250</v>
      </c>
      <c r="M33" s="32" t="s">
        <v>453</v>
      </c>
      <c r="N33" s="32" t="b">
        <v>0</v>
      </c>
      <c r="O33" s="34">
        <v>0.14375000000000002</v>
      </c>
      <c r="P33" s="32">
        <v>58</v>
      </c>
      <c r="Q33" s="32">
        <v>117</v>
      </c>
      <c r="R33" s="32">
        <v>100</v>
      </c>
      <c r="S33" s="34">
        <v>8.8888888888888892E-2</v>
      </c>
      <c r="T33" s="32">
        <v>98</v>
      </c>
      <c r="U33" s="32">
        <v>256</v>
      </c>
      <c r="V33" s="32" t="s">
        <v>714</v>
      </c>
      <c r="W33" s="32"/>
      <c r="X33" s="32" t="b">
        <v>0</v>
      </c>
    </row>
    <row r="34" spans="1:24" ht="51.75" x14ac:dyDescent="0.25">
      <c r="A34" s="84">
        <v>1282303798</v>
      </c>
      <c r="B34" s="32" t="s">
        <v>804</v>
      </c>
      <c r="C34" s="32" t="s">
        <v>805</v>
      </c>
      <c r="D34" s="32" t="s">
        <v>354</v>
      </c>
      <c r="E34" s="32" t="s">
        <v>161</v>
      </c>
      <c r="F34" s="32" t="s">
        <v>440</v>
      </c>
      <c r="G34" s="32">
        <v>1721</v>
      </c>
      <c r="H34" s="32" t="s">
        <v>414</v>
      </c>
      <c r="I34" s="32" t="s">
        <v>211</v>
      </c>
      <c r="J34" s="32" t="s">
        <v>375</v>
      </c>
      <c r="K34" s="32" t="s">
        <v>655</v>
      </c>
      <c r="L34" s="33">
        <v>45231</v>
      </c>
      <c r="M34" s="32" t="s">
        <v>212</v>
      </c>
      <c r="N34" s="32" t="b">
        <v>0</v>
      </c>
      <c r="O34" s="34">
        <v>0.1388888888888889</v>
      </c>
      <c r="P34" s="32">
        <v>64</v>
      </c>
      <c r="Q34" s="32">
        <v>116</v>
      </c>
      <c r="R34" s="32">
        <v>100</v>
      </c>
      <c r="S34" s="34">
        <v>9.2361111111111116E-2</v>
      </c>
      <c r="T34" s="32">
        <v>94</v>
      </c>
      <c r="U34" s="32">
        <v>258</v>
      </c>
      <c r="V34" s="32" t="s">
        <v>714</v>
      </c>
      <c r="W34" s="32"/>
      <c r="X34" s="32" t="b">
        <v>0</v>
      </c>
    </row>
    <row r="35" spans="1:24" ht="51.75" x14ac:dyDescent="0.25">
      <c r="A35" s="84">
        <v>1456272150</v>
      </c>
      <c r="B35" s="32" t="s">
        <v>806</v>
      </c>
      <c r="C35" s="32" t="s">
        <v>807</v>
      </c>
      <c r="D35" s="32" t="s">
        <v>354</v>
      </c>
      <c r="E35" s="32" t="s">
        <v>158</v>
      </c>
      <c r="F35" s="32" t="s">
        <v>440</v>
      </c>
      <c r="G35" s="32">
        <v>1721</v>
      </c>
      <c r="H35" s="32" t="s">
        <v>368</v>
      </c>
      <c r="I35" s="32" t="s">
        <v>211</v>
      </c>
      <c r="J35" s="32" t="s">
        <v>375</v>
      </c>
      <c r="K35" s="32" t="s">
        <v>655</v>
      </c>
      <c r="L35" s="33">
        <v>45225</v>
      </c>
      <c r="M35" s="32" t="s">
        <v>453</v>
      </c>
      <c r="N35" s="32" t="b">
        <v>0</v>
      </c>
      <c r="O35" s="34">
        <v>0.10833333333333334</v>
      </c>
      <c r="P35" s="32">
        <v>100</v>
      </c>
      <c r="Q35" s="32">
        <v>120</v>
      </c>
      <c r="R35" s="32">
        <v>100</v>
      </c>
      <c r="S35" s="34">
        <v>7.7083333333333337E-2</v>
      </c>
      <c r="T35" s="32">
        <v>100</v>
      </c>
      <c r="U35" s="32">
        <v>300</v>
      </c>
      <c r="V35" s="32" t="s">
        <v>714</v>
      </c>
      <c r="W35" s="32"/>
      <c r="X35" s="32" t="b">
        <v>0</v>
      </c>
    </row>
    <row r="36" spans="1:24" ht="51.75" x14ac:dyDescent="0.25">
      <c r="A36" s="84">
        <v>1364104581</v>
      </c>
      <c r="B36" s="32" t="s">
        <v>808</v>
      </c>
      <c r="C36" s="32" t="s">
        <v>809</v>
      </c>
      <c r="D36" s="32" t="s">
        <v>354</v>
      </c>
      <c r="E36" s="32" t="s">
        <v>158</v>
      </c>
      <c r="F36" s="32" t="s">
        <v>440</v>
      </c>
      <c r="G36" s="32">
        <v>1721</v>
      </c>
      <c r="H36" s="32" t="s">
        <v>368</v>
      </c>
      <c r="I36" s="32" t="s">
        <v>211</v>
      </c>
      <c r="J36" s="32" t="s">
        <v>375</v>
      </c>
      <c r="K36" s="32" t="s">
        <v>655</v>
      </c>
      <c r="L36" s="33">
        <v>45210</v>
      </c>
      <c r="M36" s="32" t="s">
        <v>212</v>
      </c>
      <c r="N36" s="32" t="b">
        <v>0</v>
      </c>
      <c r="O36" s="34">
        <v>0.12430555555555556</v>
      </c>
      <c r="P36" s="32">
        <v>81</v>
      </c>
      <c r="Q36" s="32">
        <v>115</v>
      </c>
      <c r="R36" s="32">
        <v>100</v>
      </c>
      <c r="S36" s="34">
        <v>0.12083333333333333</v>
      </c>
      <c r="T36" s="32">
        <v>59</v>
      </c>
      <c r="U36" s="32">
        <v>240</v>
      </c>
      <c r="V36" s="32" t="s">
        <v>714</v>
      </c>
      <c r="W36" s="32"/>
      <c r="X36" s="32" t="b">
        <v>0</v>
      </c>
    </row>
    <row r="37" spans="1:24" ht="64.5" x14ac:dyDescent="0.25">
      <c r="A37" s="84">
        <v>1599673202</v>
      </c>
      <c r="B37" s="32" t="s">
        <v>810</v>
      </c>
      <c r="C37" s="32" t="s">
        <v>811</v>
      </c>
      <c r="D37" s="32" t="s">
        <v>354</v>
      </c>
      <c r="E37" s="32" t="s">
        <v>155</v>
      </c>
      <c r="F37" s="32" t="s">
        <v>440</v>
      </c>
      <c r="G37" s="32">
        <v>1721</v>
      </c>
      <c r="H37" s="32" t="s">
        <v>368</v>
      </c>
      <c r="I37" s="32" t="s">
        <v>211</v>
      </c>
      <c r="J37" s="32" t="s">
        <v>375</v>
      </c>
      <c r="K37" s="32" t="s">
        <v>655</v>
      </c>
      <c r="L37" s="33">
        <v>45250</v>
      </c>
      <c r="M37" s="32" t="s">
        <v>453</v>
      </c>
      <c r="N37" s="32" t="b">
        <v>0</v>
      </c>
      <c r="O37" s="34">
        <v>0.15069444444444444</v>
      </c>
      <c r="P37" s="32">
        <v>52</v>
      </c>
      <c r="Q37" s="32">
        <v>116</v>
      </c>
      <c r="R37" s="32">
        <v>95</v>
      </c>
      <c r="S37" s="34">
        <v>0.10208333333333335</v>
      </c>
      <c r="T37" s="32">
        <v>87</v>
      </c>
      <c r="U37" s="32">
        <v>234</v>
      </c>
      <c r="V37" s="32" t="s">
        <v>715</v>
      </c>
      <c r="W37" s="32" t="s">
        <v>716</v>
      </c>
      <c r="X37" s="32" t="b">
        <v>0</v>
      </c>
    </row>
    <row r="38" spans="1:24" ht="51.75" x14ac:dyDescent="0.25">
      <c r="A38" s="84">
        <v>1163508456</v>
      </c>
      <c r="B38" s="32" t="s">
        <v>812</v>
      </c>
      <c r="C38" s="32" t="s">
        <v>813</v>
      </c>
      <c r="D38" s="32" t="s">
        <v>354</v>
      </c>
      <c r="E38" s="32" t="s">
        <v>155</v>
      </c>
      <c r="F38" s="32" t="s">
        <v>440</v>
      </c>
      <c r="G38" s="32">
        <v>1721</v>
      </c>
      <c r="H38" s="32" t="s">
        <v>368</v>
      </c>
      <c r="I38" s="32" t="s">
        <v>211</v>
      </c>
      <c r="J38" s="32" t="s">
        <v>375</v>
      </c>
      <c r="K38" s="32" t="s">
        <v>655</v>
      </c>
      <c r="L38" s="33">
        <v>45238</v>
      </c>
      <c r="M38" s="32" t="s">
        <v>453</v>
      </c>
      <c r="N38" s="32" t="b">
        <v>0</v>
      </c>
      <c r="O38" s="34">
        <v>0.13541666666666666</v>
      </c>
      <c r="P38" s="32">
        <v>67</v>
      </c>
      <c r="Q38" s="32">
        <v>120</v>
      </c>
      <c r="R38" s="32">
        <v>100</v>
      </c>
      <c r="S38" s="34">
        <v>8.8888888888888892E-2</v>
      </c>
      <c r="T38" s="32">
        <v>97</v>
      </c>
      <c r="U38" s="32">
        <v>264</v>
      </c>
      <c r="V38" s="32" t="s">
        <v>714</v>
      </c>
      <c r="W38" s="32" t="s">
        <v>717</v>
      </c>
      <c r="X38" s="32" t="b">
        <v>0</v>
      </c>
    </row>
    <row r="39" spans="1:24" ht="51.75" x14ac:dyDescent="0.25">
      <c r="A39" s="84">
        <v>1093026721</v>
      </c>
      <c r="B39" s="32" t="s">
        <v>814</v>
      </c>
      <c r="C39" s="32" t="s">
        <v>815</v>
      </c>
      <c r="D39" s="32" t="s">
        <v>354</v>
      </c>
      <c r="E39" s="32" t="s">
        <v>155</v>
      </c>
      <c r="F39" s="32" t="s">
        <v>440</v>
      </c>
      <c r="G39" s="32">
        <v>1700</v>
      </c>
      <c r="H39" s="32" t="s">
        <v>368</v>
      </c>
      <c r="I39" s="32" t="s">
        <v>211</v>
      </c>
      <c r="J39" s="32" t="s">
        <v>375</v>
      </c>
      <c r="K39" s="32" t="s">
        <v>655</v>
      </c>
      <c r="L39" s="33">
        <v>45225</v>
      </c>
      <c r="M39" s="32" t="s">
        <v>453</v>
      </c>
      <c r="N39" s="32" t="b">
        <v>0</v>
      </c>
      <c r="O39" s="34">
        <v>0.14583333333333334</v>
      </c>
      <c r="P39" s="32">
        <v>53</v>
      </c>
      <c r="Q39" s="32">
        <v>116</v>
      </c>
      <c r="R39" s="32">
        <v>100</v>
      </c>
      <c r="S39" s="34">
        <v>0.1013888888888889</v>
      </c>
      <c r="T39" s="32">
        <v>82</v>
      </c>
      <c r="U39" s="32">
        <v>235</v>
      </c>
      <c r="V39" s="32" t="s">
        <v>714</v>
      </c>
      <c r="W39" s="32"/>
      <c r="X39" s="32" t="b">
        <v>0</v>
      </c>
    </row>
    <row r="40" spans="1:24" ht="51.75" x14ac:dyDescent="0.25">
      <c r="A40" s="84">
        <v>1523342542</v>
      </c>
      <c r="B40" s="32" t="s">
        <v>816</v>
      </c>
      <c r="C40" s="32" t="s">
        <v>817</v>
      </c>
      <c r="D40" s="32" t="s">
        <v>354</v>
      </c>
      <c r="E40" s="32" t="s">
        <v>151</v>
      </c>
      <c r="F40" s="32" t="s">
        <v>440</v>
      </c>
      <c r="G40" s="32">
        <v>1721</v>
      </c>
      <c r="H40" s="32" t="s">
        <v>368</v>
      </c>
      <c r="I40" s="32" t="s">
        <v>211</v>
      </c>
      <c r="J40" s="32" t="s">
        <v>375</v>
      </c>
      <c r="K40" s="32" t="s">
        <v>655</v>
      </c>
      <c r="L40" s="33">
        <v>45225</v>
      </c>
      <c r="M40" s="32" t="s">
        <v>453</v>
      </c>
      <c r="N40" s="32" t="b">
        <v>0</v>
      </c>
      <c r="O40" s="34">
        <v>0.12083333333333333</v>
      </c>
      <c r="P40" s="32">
        <v>90</v>
      </c>
      <c r="Q40" s="32">
        <v>120</v>
      </c>
      <c r="R40" s="32">
        <v>100</v>
      </c>
      <c r="S40" s="34">
        <v>8.1944444444444445E-2</v>
      </c>
      <c r="T40" s="32">
        <v>100</v>
      </c>
      <c r="U40" s="32">
        <v>290</v>
      </c>
      <c r="V40" s="32" t="s">
        <v>714</v>
      </c>
      <c r="W40" s="32"/>
      <c r="X40" s="32" t="b">
        <v>0</v>
      </c>
    </row>
    <row r="41" spans="1:24" ht="51.75" x14ac:dyDescent="0.25">
      <c r="A41" s="84">
        <v>1128365853</v>
      </c>
      <c r="B41" s="32" t="s">
        <v>818</v>
      </c>
      <c r="C41" s="32" t="s">
        <v>819</v>
      </c>
      <c r="D41" s="32" t="s">
        <v>354</v>
      </c>
      <c r="E41" s="32" t="s">
        <v>151</v>
      </c>
      <c r="F41" s="32" t="s">
        <v>440</v>
      </c>
      <c r="G41" s="32">
        <v>1721</v>
      </c>
      <c r="H41" s="32" t="s">
        <v>368</v>
      </c>
      <c r="I41" s="32" t="s">
        <v>211</v>
      </c>
      <c r="J41" s="32" t="s">
        <v>375</v>
      </c>
      <c r="K41" s="32" t="s">
        <v>655</v>
      </c>
      <c r="L41" s="33">
        <v>45250</v>
      </c>
      <c r="M41" s="32" t="s">
        <v>453</v>
      </c>
      <c r="N41" s="32" t="b">
        <v>0</v>
      </c>
      <c r="O41" s="34">
        <v>0.14722222222222223</v>
      </c>
      <c r="P41" s="32">
        <v>57</v>
      </c>
      <c r="Q41" s="32">
        <v>120</v>
      </c>
      <c r="R41" s="32">
        <v>100</v>
      </c>
      <c r="S41" s="34">
        <v>0.10833333333333334</v>
      </c>
      <c r="T41" s="32">
        <v>81</v>
      </c>
      <c r="U41" s="32">
        <v>238</v>
      </c>
      <c r="V41" s="32" t="s">
        <v>714</v>
      </c>
      <c r="W41" s="32"/>
      <c r="X41" s="32" t="b">
        <v>0</v>
      </c>
    </row>
    <row r="42" spans="1:24" ht="51.75" x14ac:dyDescent="0.25">
      <c r="A42" s="84">
        <v>1164109197</v>
      </c>
      <c r="B42" s="32" t="s">
        <v>820</v>
      </c>
      <c r="C42" s="32" t="s">
        <v>821</v>
      </c>
      <c r="D42" s="32" t="s">
        <v>354</v>
      </c>
      <c r="E42" s="32" t="s">
        <v>151</v>
      </c>
      <c r="F42" s="32" t="s">
        <v>440</v>
      </c>
      <c r="G42" s="32">
        <v>1721</v>
      </c>
      <c r="H42" s="32" t="s">
        <v>368</v>
      </c>
      <c r="I42" s="32" t="s">
        <v>211</v>
      </c>
      <c r="J42" s="32" t="s">
        <v>375</v>
      </c>
      <c r="K42" s="32" t="s">
        <v>655</v>
      </c>
      <c r="L42" s="33">
        <v>45195</v>
      </c>
      <c r="M42" s="32" t="s">
        <v>212</v>
      </c>
      <c r="N42" s="32" t="b">
        <v>0</v>
      </c>
      <c r="O42" s="34">
        <v>0.12361111111111112</v>
      </c>
      <c r="P42" s="32">
        <v>82</v>
      </c>
      <c r="Q42" s="32">
        <v>116</v>
      </c>
      <c r="R42" s="32">
        <v>100</v>
      </c>
      <c r="S42" s="34">
        <v>9.2361111111111116E-2</v>
      </c>
      <c r="T42" s="32">
        <v>93</v>
      </c>
      <c r="U42" s="32">
        <v>275</v>
      </c>
      <c r="V42" s="32" t="s">
        <v>714</v>
      </c>
      <c r="W42" s="32"/>
      <c r="X42" s="32" t="b">
        <v>0</v>
      </c>
    </row>
    <row r="43" spans="1:24" ht="51.75" x14ac:dyDescent="0.25">
      <c r="A43" s="84">
        <v>1397980725</v>
      </c>
      <c r="B43" s="32" t="s">
        <v>822</v>
      </c>
      <c r="C43" s="32" t="s">
        <v>823</v>
      </c>
      <c r="D43" s="32" t="s">
        <v>354</v>
      </c>
      <c r="E43" s="32" t="s">
        <v>151</v>
      </c>
      <c r="F43" s="32" t="s">
        <v>440</v>
      </c>
      <c r="G43" s="32">
        <v>1721</v>
      </c>
      <c r="H43" s="32" t="s">
        <v>368</v>
      </c>
      <c r="I43" s="32" t="s">
        <v>211</v>
      </c>
      <c r="J43" s="32" t="s">
        <v>375</v>
      </c>
      <c r="K43" s="32" t="s">
        <v>655</v>
      </c>
      <c r="L43" s="33">
        <v>45225</v>
      </c>
      <c r="M43" s="32" t="s">
        <v>453</v>
      </c>
      <c r="N43" s="32" t="b">
        <v>0</v>
      </c>
      <c r="O43" s="34">
        <v>0.1076388888888889</v>
      </c>
      <c r="P43" s="32">
        <v>100</v>
      </c>
      <c r="Q43" s="32">
        <v>120</v>
      </c>
      <c r="R43" s="32">
        <v>100</v>
      </c>
      <c r="S43" s="34">
        <v>7.8472222222222221E-2</v>
      </c>
      <c r="T43" s="32">
        <v>100</v>
      </c>
      <c r="U43" s="32">
        <v>300</v>
      </c>
      <c r="V43" s="32" t="s">
        <v>714</v>
      </c>
      <c r="W43" s="32"/>
      <c r="X43" s="32" t="b">
        <v>0</v>
      </c>
    </row>
    <row r="44" spans="1:24" ht="51.75" x14ac:dyDescent="0.25">
      <c r="A44" s="84">
        <v>1135673321</v>
      </c>
      <c r="B44" s="32" t="s">
        <v>824</v>
      </c>
      <c r="C44" s="32" t="s">
        <v>825</v>
      </c>
      <c r="D44" s="32" t="s">
        <v>354</v>
      </c>
      <c r="E44" s="32" t="s">
        <v>151</v>
      </c>
      <c r="F44" s="32" t="s">
        <v>440</v>
      </c>
      <c r="G44" s="32">
        <v>1721</v>
      </c>
      <c r="H44" s="32" t="s">
        <v>368</v>
      </c>
      <c r="I44" s="32" t="s">
        <v>211</v>
      </c>
      <c r="J44" s="32" t="s">
        <v>375</v>
      </c>
      <c r="K44" s="32" t="s">
        <v>655</v>
      </c>
      <c r="L44" s="33">
        <v>45224</v>
      </c>
      <c r="M44" s="32" t="s">
        <v>453</v>
      </c>
      <c r="N44" s="32" t="b">
        <v>0</v>
      </c>
      <c r="O44" s="34">
        <v>0.10416666666666667</v>
      </c>
      <c r="P44" s="32">
        <v>100</v>
      </c>
      <c r="Q44" s="32">
        <v>116</v>
      </c>
      <c r="R44" s="32">
        <v>100</v>
      </c>
      <c r="S44" s="34">
        <v>9.3055555555555558E-2</v>
      </c>
      <c r="T44" s="32">
        <v>93</v>
      </c>
      <c r="U44" s="32">
        <v>293</v>
      </c>
      <c r="V44" s="32" t="s">
        <v>714</v>
      </c>
      <c r="W44" s="32"/>
      <c r="X44" s="32" t="b">
        <v>0</v>
      </c>
    </row>
    <row r="45" spans="1:24" ht="51.75" x14ac:dyDescent="0.25">
      <c r="A45" s="84">
        <v>1502371969</v>
      </c>
      <c r="B45" s="32" t="s">
        <v>826</v>
      </c>
      <c r="C45" s="32" t="s">
        <v>827</v>
      </c>
      <c r="D45" s="32" t="s">
        <v>354</v>
      </c>
      <c r="E45" s="32" t="s">
        <v>151</v>
      </c>
      <c r="F45" s="32" t="s">
        <v>440</v>
      </c>
      <c r="G45" s="32">
        <v>1721</v>
      </c>
      <c r="H45" s="32" t="s">
        <v>368</v>
      </c>
      <c r="I45" s="32" t="s">
        <v>211</v>
      </c>
      <c r="J45" s="32" t="s">
        <v>375</v>
      </c>
      <c r="K45" s="32" t="s">
        <v>655</v>
      </c>
      <c r="L45" s="33">
        <v>45224</v>
      </c>
      <c r="M45" s="32" t="s">
        <v>453</v>
      </c>
      <c r="N45" s="32" t="b">
        <v>0</v>
      </c>
      <c r="O45" s="34">
        <v>8.9583333333333334E-2</v>
      </c>
      <c r="P45" s="32">
        <v>100</v>
      </c>
      <c r="Q45" s="32">
        <v>116</v>
      </c>
      <c r="R45" s="32">
        <v>100</v>
      </c>
      <c r="S45" s="34">
        <v>7.4999999999999997E-2</v>
      </c>
      <c r="T45" s="32">
        <v>100</v>
      </c>
      <c r="U45" s="32">
        <v>300</v>
      </c>
      <c r="V45" s="32" t="s">
        <v>714</v>
      </c>
      <c r="W45" s="32"/>
      <c r="X45" s="32" t="b">
        <v>0</v>
      </c>
    </row>
    <row r="46" spans="1:24" ht="51.75" x14ac:dyDescent="0.25">
      <c r="A46" s="84">
        <v>1397447603</v>
      </c>
      <c r="B46" s="32" t="s">
        <v>828</v>
      </c>
      <c r="C46" s="32" t="s">
        <v>829</v>
      </c>
      <c r="D46" s="32" t="s">
        <v>354</v>
      </c>
      <c r="E46" s="32" t="s">
        <v>151</v>
      </c>
      <c r="F46" s="32" t="s">
        <v>440</v>
      </c>
      <c r="G46" s="32">
        <v>1721</v>
      </c>
      <c r="H46" s="32" t="s">
        <v>368</v>
      </c>
      <c r="I46" s="32" t="s">
        <v>211</v>
      </c>
      <c r="J46" s="32" t="s">
        <v>375</v>
      </c>
      <c r="K46" s="32" t="s">
        <v>655</v>
      </c>
      <c r="L46" s="33">
        <v>45225</v>
      </c>
      <c r="M46" s="32" t="s">
        <v>453</v>
      </c>
      <c r="N46" s="32" t="b">
        <v>0</v>
      </c>
      <c r="O46" s="34">
        <v>0.1388888888888889</v>
      </c>
      <c r="P46" s="32">
        <v>95</v>
      </c>
      <c r="Q46" s="32">
        <v>75</v>
      </c>
      <c r="R46" s="32">
        <v>100</v>
      </c>
      <c r="S46" s="34">
        <v>9.375E-2</v>
      </c>
      <c r="T46" s="32">
        <v>100</v>
      </c>
      <c r="U46" s="32">
        <v>295</v>
      </c>
      <c r="V46" s="32" t="s">
        <v>714</v>
      </c>
      <c r="W46" s="32"/>
      <c r="X46" s="32" t="b">
        <v>0</v>
      </c>
    </row>
    <row r="47" spans="1:24" ht="51.75" x14ac:dyDescent="0.25">
      <c r="A47" s="84">
        <v>1207085014</v>
      </c>
      <c r="B47" s="32" t="s">
        <v>830</v>
      </c>
      <c r="C47" s="32" t="s">
        <v>831</v>
      </c>
      <c r="D47" s="32" t="s">
        <v>354</v>
      </c>
      <c r="E47" s="32" t="s">
        <v>147</v>
      </c>
      <c r="F47" s="32" t="s">
        <v>440</v>
      </c>
      <c r="G47" s="32">
        <v>1721</v>
      </c>
      <c r="H47" s="32" t="s">
        <v>414</v>
      </c>
      <c r="I47" s="32" t="s">
        <v>211</v>
      </c>
      <c r="J47" s="32" t="s">
        <v>375</v>
      </c>
      <c r="K47" s="32" t="s">
        <v>655</v>
      </c>
      <c r="L47" s="33">
        <v>45245</v>
      </c>
      <c r="M47" s="32" t="s">
        <v>453</v>
      </c>
      <c r="N47" s="32" t="b">
        <v>0</v>
      </c>
      <c r="O47" s="34">
        <v>0.14791666666666667</v>
      </c>
      <c r="P47" s="32">
        <v>53</v>
      </c>
      <c r="Q47" s="32">
        <v>116</v>
      </c>
      <c r="R47" s="32">
        <v>100</v>
      </c>
      <c r="S47" s="34">
        <v>0.11944444444444445</v>
      </c>
      <c r="T47" s="32">
        <v>63</v>
      </c>
      <c r="U47" s="32">
        <v>216</v>
      </c>
      <c r="V47" s="32" t="s">
        <v>715</v>
      </c>
      <c r="W47" s="32"/>
      <c r="X47" s="32" t="b">
        <v>0</v>
      </c>
    </row>
    <row r="48" spans="1:24" ht="51.75" x14ac:dyDescent="0.25">
      <c r="A48" s="84">
        <v>1045261897</v>
      </c>
      <c r="B48" s="32" t="s">
        <v>832</v>
      </c>
      <c r="C48" s="32" t="s">
        <v>833</v>
      </c>
      <c r="D48" s="32" t="s">
        <v>354</v>
      </c>
      <c r="E48" s="32" t="s">
        <v>155</v>
      </c>
      <c r="F48" s="32" t="s">
        <v>440</v>
      </c>
      <c r="G48" s="32">
        <v>1721</v>
      </c>
      <c r="H48" s="32" t="s">
        <v>368</v>
      </c>
      <c r="I48" s="32" t="s">
        <v>211</v>
      </c>
      <c r="J48" s="32" t="s">
        <v>375</v>
      </c>
      <c r="K48" s="32" t="s">
        <v>655</v>
      </c>
      <c r="L48" s="33">
        <v>45225</v>
      </c>
      <c r="M48" s="32" t="s">
        <v>453</v>
      </c>
      <c r="N48" s="32" t="b">
        <v>0</v>
      </c>
      <c r="O48" s="34">
        <v>0.12847222222222224</v>
      </c>
      <c r="P48" s="32">
        <v>76</v>
      </c>
      <c r="Q48" s="32">
        <v>120</v>
      </c>
      <c r="R48" s="32">
        <v>100</v>
      </c>
      <c r="S48" s="34">
        <v>8.5416666666666655E-2</v>
      </c>
      <c r="T48" s="32">
        <v>100</v>
      </c>
      <c r="U48" s="32">
        <v>276</v>
      </c>
      <c r="V48" s="32" t="s">
        <v>714</v>
      </c>
      <c r="W48" s="32"/>
      <c r="X48" s="32" t="b">
        <v>0</v>
      </c>
    </row>
    <row r="49" spans="1:24" ht="51.75" x14ac:dyDescent="0.25">
      <c r="A49" s="84">
        <v>1043584855</v>
      </c>
      <c r="B49" s="32" t="s">
        <v>834</v>
      </c>
      <c r="C49" s="32" t="s">
        <v>835</v>
      </c>
      <c r="D49" s="32" t="s">
        <v>354</v>
      </c>
      <c r="E49" s="32" t="s">
        <v>147</v>
      </c>
      <c r="F49" s="32" t="s">
        <v>440</v>
      </c>
      <c r="G49" s="32">
        <v>1721</v>
      </c>
      <c r="H49" s="32" t="s">
        <v>368</v>
      </c>
      <c r="I49" s="32" t="s">
        <v>211</v>
      </c>
      <c r="J49" s="32" t="s">
        <v>375</v>
      </c>
      <c r="K49" s="32" t="s">
        <v>655</v>
      </c>
      <c r="L49" s="33">
        <v>45225</v>
      </c>
      <c r="M49" s="32" t="s">
        <v>212</v>
      </c>
      <c r="N49" s="32" t="b">
        <v>0</v>
      </c>
      <c r="O49" s="34">
        <v>0.12013888888888889</v>
      </c>
      <c r="P49" s="32">
        <v>93</v>
      </c>
      <c r="Q49" s="32">
        <v>115</v>
      </c>
      <c r="R49" s="32">
        <v>100</v>
      </c>
      <c r="S49" s="34">
        <v>8.6805555555555566E-2</v>
      </c>
      <c r="T49" s="32">
        <v>100</v>
      </c>
      <c r="U49" s="32">
        <v>293</v>
      </c>
      <c r="V49" s="32" t="s">
        <v>714</v>
      </c>
      <c r="W49" s="32"/>
      <c r="X49" s="32" t="b">
        <v>0</v>
      </c>
    </row>
    <row r="50" spans="1:24" ht="39" x14ac:dyDescent="0.25">
      <c r="A50" s="84">
        <v>1466955974</v>
      </c>
      <c r="B50" s="32" t="s">
        <v>836</v>
      </c>
      <c r="C50" s="32" t="s">
        <v>837</v>
      </c>
      <c r="D50" s="32" t="s">
        <v>354</v>
      </c>
      <c r="E50" s="32" t="s">
        <v>170</v>
      </c>
      <c r="F50" s="32" t="s">
        <v>440</v>
      </c>
      <c r="G50" s="32">
        <v>1702</v>
      </c>
      <c r="H50" s="32" t="s">
        <v>368</v>
      </c>
      <c r="I50" s="32" t="s">
        <v>945</v>
      </c>
      <c r="J50" s="32" t="s">
        <v>360</v>
      </c>
      <c r="K50" s="32" t="s">
        <v>655</v>
      </c>
      <c r="L50" s="33">
        <v>45246</v>
      </c>
      <c r="M50" s="32" t="s">
        <v>453</v>
      </c>
      <c r="N50" s="32" t="b">
        <v>0</v>
      </c>
      <c r="O50" s="34">
        <v>0.11041666666666666</v>
      </c>
      <c r="P50" s="32">
        <v>99</v>
      </c>
      <c r="Q50" s="32">
        <v>121</v>
      </c>
      <c r="R50" s="32">
        <v>100</v>
      </c>
      <c r="S50" s="34">
        <v>9.2361111111111116E-2</v>
      </c>
      <c r="T50" s="32">
        <v>93</v>
      </c>
      <c r="U50" s="32">
        <v>292</v>
      </c>
      <c r="V50" s="32" t="s">
        <v>714</v>
      </c>
      <c r="W50" s="32" t="s">
        <v>717</v>
      </c>
      <c r="X50" s="32" t="b">
        <v>0</v>
      </c>
    </row>
    <row r="51" spans="1:24" ht="51.75" x14ac:dyDescent="0.25">
      <c r="A51" s="84">
        <v>1086482908</v>
      </c>
      <c r="B51" s="32" t="s">
        <v>838</v>
      </c>
      <c r="C51" s="32" t="s">
        <v>839</v>
      </c>
      <c r="D51" s="32" t="s">
        <v>354</v>
      </c>
      <c r="E51" s="32" t="s">
        <v>161</v>
      </c>
      <c r="F51" s="32" t="s">
        <v>440</v>
      </c>
      <c r="G51" s="32">
        <v>1721</v>
      </c>
      <c r="H51" s="32" t="s">
        <v>368</v>
      </c>
      <c r="I51" s="32" t="s">
        <v>945</v>
      </c>
      <c r="J51" s="32" t="s">
        <v>375</v>
      </c>
      <c r="K51" s="32" t="s">
        <v>655</v>
      </c>
      <c r="L51" s="33">
        <v>45225</v>
      </c>
      <c r="M51" s="32" t="s">
        <v>453</v>
      </c>
      <c r="N51" s="32" t="b">
        <v>0</v>
      </c>
      <c r="O51" s="34">
        <v>0.13333333333333333</v>
      </c>
      <c r="P51" s="32">
        <v>100</v>
      </c>
      <c r="Q51" s="32">
        <v>74</v>
      </c>
      <c r="R51" s="32">
        <v>100</v>
      </c>
      <c r="S51" s="34">
        <v>0.10416666666666667</v>
      </c>
      <c r="T51" s="32">
        <v>100</v>
      </c>
      <c r="U51" s="32">
        <v>300</v>
      </c>
      <c r="V51" s="32" t="s">
        <v>714</v>
      </c>
      <c r="W51" s="32"/>
      <c r="X51" s="32" t="b">
        <v>0</v>
      </c>
    </row>
    <row r="52" spans="1:24" ht="51.75" x14ac:dyDescent="0.25">
      <c r="A52" s="84">
        <v>1378280647</v>
      </c>
      <c r="B52" s="32" t="s">
        <v>840</v>
      </c>
      <c r="C52" s="32" t="s">
        <v>841</v>
      </c>
      <c r="D52" s="32" t="s">
        <v>354</v>
      </c>
      <c r="E52" s="32" t="s">
        <v>158</v>
      </c>
      <c r="F52" s="32" t="s">
        <v>440</v>
      </c>
      <c r="G52" s="32">
        <v>1721</v>
      </c>
      <c r="H52" s="32" t="s">
        <v>368</v>
      </c>
      <c r="I52" s="32" t="s">
        <v>945</v>
      </c>
      <c r="J52" s="32" t="s">
        <v>375</v>
      </c>
      <c r="K52" s="32" t="s">
        <v>655</v>
      </c>
      <c r="L52" s="33">
        <v>45225</v>
      </c>
      <c r="M52" s="32" t="s">
        <v>453</v>
      </c>
      <c r="N52" s="32" t="b">
        <v>0</v>
      </c>
      <c r="O52" s="34">
        <v>0.1388888888888889</v>
      </c>
      <c r="P52" s="32">
        <v>62</v>
      </c>
      <c r="Q52" s="32">
        <v>120</v>
      </c>
      <c r="R52" s="32">
        <v>100</v>
      </c>
      <c r="S52" s="34">
        <v>8.819444444444445E-2</v>
      </c>
      <c r="T52" s="32">
        <v>98</v>
      </c>
      <c r="U52" s="32">
        <v>260</v>
      </c>
      <c r="V52" s="32" t="s">
        <v>714</v>
      </c>
      <c r="W52" s="32"/>
      <c r="X52" s="32" t="b">
        <v>0</v>
      </c>
    </row>
    <row r="53" spans="1:24" ht="51.75" x14ac:dyDescent="0.25">
      <c r="A53" s="84">
        <v>1376933246</v>
      </c>
      <c r="B53" s="32" t="s">
        <v>842</v>
      </c>
      <c r="C53" s="32" t="s">
        <v>843</v>
      </c>
      <c r="D53" s="32" t="s">
        <v>354</v>
      </c>
      <c r="E53" s="32" t="s">
        <v>158</v>
      </c>
      <c r="F53" s="32" t="s">
        <v>440</v>
      </c>
      <c r="G53" s="32">
        <v>1721</v>
      </c>
      <c r="H53" s="32" t="s">
        <v>368</v>
      </c>
      <c r="I53" s="32" t="s">
        <v>945</v>
      </c>
      <c r="J53" s="32" t="s">
        <v>375</v>
      </c>
      <c r="K53" s="32" t="s">
        <v>655</v>
      </c>
      <c r="L53" s="33">
        <v>45225</v>
      </c>
      <c r="M53" s="32" t="s">
        <v>453</v>
      </c>
      <c r="N53" s="32" t="b">
        <v>0</v>
      </c>
      <c r="O53" s="34">
        <v>0.12361111111111112</v>
      </c>
      <c r="P53" s="32">
        <v>82</v>
      </c>
      <c r="Q53" s="32">
        <v>120</v>
      </c>
      <c r="R53" s="32">
        <v>100</v>
      </c>
      <c r="S53" s="34">
        <v>8.6805555555555566E-2</v>
      </c>
      <c r="T53" s="32">
        <v>99</v>
      </c>
      <c r="U53" s="32">
        <v>281</v>
      </c>
      <c r="V53" s="32" t="s">
        <v>714</v>
      </c>
      <c r="W53" s="32"/>
      <c r="X53" s="32" t="b">
        <v>0</v>
      </c>
    </row>
    <row r="54" spans="1:24" ht="51.75" x14ac:dyDescent="0.25">
      <c r="A54" s="84">
        <v>1480655370</v>
      </c>
      <c r="B54" s="32" t="s">
        <v>844</v>
      </c>
      <c r="C54" s="32" t="s">
        <v>845</v>
      </c>
      <c r="D54" s="32" t="s">
        <v>354</v>
      </c>
      <c r="E54" s="32" t="s">
        <v>155</v>
      </c>
      <c r="F54" s="32" t="s">
        <v>440</v>
      </c>
      <c r="G54" s="32">
        <v>1721</v>
      </c>
      <c r="H54" s="32" t="s">
        <v>368</v>
      </c>
      <c r="I54" s="32" t="s">
        <v>945</v>
      </c>
      <c r="J54" s="32" t="s">
        <v>375</v>
      </c>
      <c r="K54" s="32" t="s">
        <v>655</v>
      </c>
      <c r="L54" s="33">
        <v>45195</v>
      </c>
      <c r="M54" s="32" t="s">
        <v>212</v>
      </c>
      <c r="N54" s="32" t="b">
        <v>0</v>
      </c>
      <c r="O54" s="34">
        <v>0.12638888888888888</v>
      </c>
      <c r="P54" s="32">
        <v>80</v>
      </c>
      <c r="Q54" s="32">
        <v>116</v>
      </c>
      <c r="R54" s="32">
        <v>100</v>
      </c>
      <c r="S54" s="34">
        <v>9.0277777777777776E-2</v>
      </c>
      <c r="T54" s="32">
        <v>96</v>
      </c>
      <c r="U54" s="32">
        <v>276</v>
      </c>
      <c r="V54" s="32" t="s">
        <v>714</v>
      </c>
      <c r="W54" s="32"/>
      <c r="X54" s="32" t="b">
        <v>0</v>
      </c>
    </row>
    <row r="55" spans="1:24" ht="51.75" x14ac:dyDescent="0.25">
      <c r="A55" s="84">
        <v>1328891644</v>
      </c>
      <c r="B55" s="32" t="s">
        <v>846</v>
      </c>
      <c r="C55" s="32" t="s">
        <v>847</v>
      </c>
      <c r="D55" s="32" t="s">
        <v>354</v>
      </c>
      <c r="E55" s="32" t="s">
        <v>155</v>
      </c>
      <c r="F55" s="32" t="s">
        <v>440</v>
      </c>
      <c r="G55" s="32">
        <v>1721</v>
      </c>
      <c r="H55" s="32" t="s">
        <v>368</v>
      </c>
      <c r="I55" s="32" t="s">
        <v>945</v>
      </c>
      <c r="J55" s="32" t="s">
        <v>375</v>
      </c>
      <c r="K55" s="32" t="s">
        <v>655</v>
      </c>
      <c r="L55" s="33">
        <v>45225</v>
      </c>
      <c r="M55" s="32" t="s">
        <v>453</v>
      </c>
      <c r="N55" s="32" t="b">
        <v>0</v>
      </c>
      <c r="O55" s="34">
        <v>0.12638888888888888</v>
      </c>
      <c r="P55" s="32">
        <v>80</v>
      </c>
      <c r="Q55" s="32">
        <v>120</v>
      </c>
      <c r="R55" s="32">
        <v>100</v>
      </c>
      <c r="S55" s="34">
        <v>7.9861111111111105E-2</v>
      </c>
      <c r="T55" s="32">
        <v>100</v>
      </c>
      <c r="U55" s="32">
        <v>280</v>
      </c>
      <c r="V55" s="32" t="s">
        <v>714</v>
      </c>
      <c r="W55" s="32"/>
      <c r="X55" s="32" t="b">
        <v>0</v>
      </c>
    </row>
    <row r="56" spans="1:24" ht="51.75" x14ac:dyDescent="0.25">
      <c r="A56" s="84">
        <v>1583347169</v>
      </c>
      <c r="B56" s="32" t="s">
        <v>800</v>
      </c>
      <c r="C56" s="32" t="s">
        <v>848</v>
      </c>
      <c r="D56" s="32" t="s">
        <v>354</v>
      </c>
      <c r="E56" s="32" t="s">
        <v>155</v>
      </c>
      <c r="F56" s="32" t="s">
        <v>440</v>
      </c>
      <c r="G56" s="32">
        <v>1700</v>
      </c>
      <c r="H56" s="32" t="s">
        <v>368</v>
      </c>
      <c r="I56" s="32" t="s">
        <v>945</v>
      </c>
      <c r="J56" s="32" t="s">
        <v>375</v>
      </c>
      <c r="K56" s="32" t="s">
        <v>655</v>
      </c>
      <c r="L56" s="33">
        <v>45225</v>
      </c>
      <c r="M56" s="32" t="s">
        <v>453</v>
      </c>
      <c r="N56" s="32" t="b">
        <v>0</v>
      </c>
      <c r="O56" s="34">
        <v>0.1388888888888889</v>
      </c>
      <c r="P56" s="32">
        <v>62</v>
      </c>
      <c r="Q56" s="32">
        <v>121</v>
      </c>
      <c r="R56" s="32">
        <v>100</v>
      </c>
      <c r="S56" s="34">
        <v>9.0277777777777776E-2</v>
      </c>
      <c r="T56" s="32">
        <v>95</v>
      </c>
      <c r="U56" s="32">
        <v>257</v>
      </c>
      <c r="V56" s="32" t="s">
        <v>714</v>
      </c>
      <c r="W56" s="32"/>
      <c r="X56" s="32" t="b">
        <v>0</v>
      </c>
    </row>
    <row r="57" spans="1:24" ht="51.75" x14ac:dyDescent="0.25">
      <c r="A57" s="84">
        <v>1110516278</v>
      </c>
      <c r="B57" s="32" t="s">
        <v>849</v>
      </c>
      <c r="C57" s="32" t="s">
        <v>850</v>
      </c>
      <c r="D57" s="32" t="s">
        <v>354</v>
      </c>
      <c r="E57" s="32" t="s">
        <v>151</v>
      </c>
      <c r="F57" s="32" t="s">
        <v>440</v>
      </c>
      <c r="G57" s="32">
        <v>1721</v>
      </c>
      <c r="H57" s="32" t="s">
        <v>368</v>
      </c>
      <c r="I57" s="32" t="s">
        <v>945</v>
      </c>
      <c r="J57" s="32" t="s">
        <v>375</v>
      </c>
      <c r="K57" s="32" t="s">
        <v>655</v>
      </c>
      <c r="L57" s="33">
        <v>45210</v>
      </c>
      <c r="M57" s="32" t="s">
        <v>212</v>
      </c>
      <c r="N57" s="32" t="b">
        <v>0</v>
      </c>
      <c r="O57" s="34">
        <v>0.12430555555555556</v>
      </c>
      <c r="P57" s="32">
        <v>83</v>
      </c>
      <c r="Q57" s="32">
        <v>108</v>
      </c>
      <c r="R57" s="32">
        <v>90</v>
      </c>
      <c r="S57" s="34">
        <v>9.5833333333333326E-2</v>
      </c>
      <c r="T57" s="32">
        <v>90</v>
      </c>
      <c r="U57" s="32">
        <v>263</v>
      </c>
      <c r="V57" s="32" t="s">
        <v>714</v>
      </c>
      <c r="W57" s="32"/>
      <c r="X57" s="32" t="b">
        <v>0</v>
      </c>
    </row>
    <row r="58" spans="1:24" ht="51.75" x14ac:dyDescent="0.25">
      <c r="A58" s="84">
        <v>1288365821</v>
      </c>
      <c r="B58" s="32" t="s">
        <v>851</v>
      </c>
      <c r="C58" s="32" t="s">
        <v>852</v>
      </c>
      <c r="D58" s="32" t="s">
        <v>354</v>
      </c>
      <c r="E58" s="32" t="s">
        <v>151</v>
      </c>
      <c r="F58" s="32" t="s">
        <v>440</v>
      </c>
      <c r="G58" s="32">
        <v>1721</v>
      </c>
      <c r="H58" s="32" t="s">
        <v>414</v>
      </c>
      <c r="I58" s="32" t="s">
        <v>945</v>
      </c>
      <c r="J58" s="32" t="s">
        <v>375</v>
      </c>
      <c r="K58" s="32" t="s">
        <v>655</v>
      </c>
      <c r="L58" s="33">
        <v>45224</v>
      </c>
      <c r="M58" s="32" t="s">
        <v>453</v>
      </c>
      <c r="N58" s="32" t="b">
        <v>0</v>
      </c>
      <c r="O58" s="34">
        <v>0.12361111111111112</v>
      </c>
      <c r="P58" s="32">
        <v>89</v>
      </c>
      <c r="Q58" s="32">
        <v>110</v>
      </c>
      <c r="R58" s="32">
        <v>100</v>
      </c>
      <c r="S58" s="34">
        <v>0.10625</v>
      </c>
      <c r="T58" s="32">
        <v>88</v>
      </c>
      <c r="U58" s="32">
        <v>277</v>
      </c>
      <c r="V58" s="32" t="s">
        <v>714</v>
      </c>
      <c r="W58" s="32"/>
      <c r="X58" s="32" t="b">
        <v>0</v>
      </c>
    </row>
    <row r="59" spans="1:24" ht="51.75" x14ac:dyDescent="0.25">
      <c r="A59" s="84">
        <v>1236623846</v>
      </c>
      <c r="B59" s="32" t="s">
        <v>853</v>
      </c>
      <c r="C59" s="32" t="s">
        <v>854</v>
      </c>
      <c r="D59" s="32" t="s">
        <v>354</v>
      </c>
      <c r="E59" s="32" t="s">
        <v>151</v>
      </c>
      <c r="F59" s="32" t="s">
        <v>440</v>
      </c>
      <c r="G59" s="32">
        <v>1721</v>
      </c>
      <c r="H59" s="32" t="s">
        <v>368</v>
      </c>
      <c r="I59" s="32" t="s">
        <v>945</v>
      </c>
      <c r="J59" s="32" t="s">
        <v>375</v>
      </c>
      <c r="K59" s="32" t="s">
        <v>655</v>
      </c>
      <c r="L59" s="33">
        <v>45245</v>
      </c>
      <c r="M59" s="32" t="s">
        <v>453</v>
      </c>
      <c r="N59" s="32" t="b">
        <v>0</v>
      </c>
      <c r="O59" s="34">
        <v>0.15069444444444444</v>
      </c>
      <c r="P59" s="32">
        <v>50</v>
      </c>
      <c r="Q59" s="32">
        <v>116</v>
      </c>
      <c r="R59" s="32">
        <v>100</v>
      </c>
      <c r="S59" s="34">
        <v>0.11944444444444445</v>
      </c>
      <c r="T59" s="32">
        <v>63</v>
      </c>
      <c r="U59" s="32">
        <v>213</v>
      </c>
      <c r="V59" s="32" t="s">
        <v>715</v>
      </c>
      <c r="W59" s="32"/>
      <c r="X59" s="32" t="b">
        <v>0</v>
      </c>
    </row>
    <row r="60" spans="1:24" ht="51.75" x14ac:dyDescent="0.25">
      <c r="A60" s="84">
        <v>1565683368</v>
      </c>
      <c r="B60" s="32" t="s">
        <v>855</v>
      </c>
      <c r="C60" s="32" t="s">
        <v>856</v>
      </c>
      <c r="D60" s="32" t="s">
        <v>354</v>
      </c>
      <c r="E60" s="32" t="s">
        <v>151</v>
      </c>
      <c r="F60" s="32" t="s">
        <v>440</v>
      </c>
      <c r="G60" s="32">
        <v>1721</v>
      </c>
      <c r="H60" s="32" t="s">
        <v>368</v>
      </c>
      <c r="I60" s="32" t="s">
        <v>945</v>
      </c>
      <c r="J60" s="32" t="s">
        <v>375</v>
      </c>
      <c r="K60" s="32" t="s">
        <v>655</v>
      </c>
      <c r="L60" s="33">
        <v>45225</v>
      </c>
      <c r="M60" s="32" t="s">
        <v>453</v>
      </c>
      <c r="N60" s="32" t="b">
        <v>0</v>
      </c>
      <c r="O60" s="34">
        <v>9.7222222222222224E-2</v>
      </c>
      <c r="P60" s="32">
        <v>100</v>
      </c>
      <c r="Q60" s="32">
        <v>120</v>
      </c>
      <c r="R60" s="32">
        <v>100</v>
      </c>
      <c r="S60" s="34">
        <v>6.5277777777777782E-2</v>
      </c>
      <c r="T60" s="32">
        <v>100</v>
      </c>
      <c r="U60" s="32">
        <v>300</v>
      </c>
      <c r="V60" s="32" t="s">
        <v>714</v>
      </c>
      <c r="W60" s="32"/>
      <c r="X60" s="32" t="b">
        <v>0</v>
      </c>
    </row>
    <row r="61" spans="1:24" ht="51.75" x14ac:dyDescent="0.25">
      <c r="A61" s="84">
        <v>1064194807</v>
      </c>
      <c r="B61" s="32" t="s">
        <v>857</v>
      </c>
      <c r="C61" s="32" t="s">
        <v>858</v>
      </c>
      <c r="D61" s="32" t="s">
        <v>354</v>
      </c>
      <c r="E61" s="32" t="s">
        <v>151</v>
      </c>
      <c r="F61" s="32" t="s">
        <v>440</v>
      </c>
      <c r="G61" s="32">
        <v>1721</v>
      </c>
      <c r="H61" s="32" t="s">
        <v>368</v>
      </c>
      <c r="I61" s="32" t="s">
        <v>945</v>
      </c>
      <c r="J61" s="32" t="s">
        <v>375</v>
      </c>
      <c r="K61" s="32" t="s">
        <v>655</v>
      </c>
      <c r="L61" s="33">
        <v>45131</v>
      </c>
      <c r="M61" s="32" t="s">
        <v>212</v>
      </c>
      <c r="N61" s="32" t="b">
        <v>0</v>
      </c>
      <c r="O61" s="34">
        <v>0.13680555555555554</v>
      </c>
      <c r="P61" s="32">
        <v>65</v>
      </c>
      <c r="Q61" s="32">
        <v>96</v>
      </c>
      <c r="R61" s="32">
        <v>76</v>
      </c>
      <c r="S61" s="34">
        <v>9.0277777777777776E-2</v>
      </c>
      <c r="T61" s="32">
        <v>95</v>
      </c>
      <c r="U61" s="32">
        <v>236</v>
      </c>
      <c r="V61" s="32" t="s">
        <v>714</v>
      </c>
      <c r="W61" s="32"/>
      <c r="X61" s="32" t="b">
        <v>0</v>
      </c>
    </row>
    <row r="62" spans="1:24" ht="51.75" x14ac:dyDescent="0.25">
      <c r="A62" s="84">
        <v>1288033004</v>
      </c>
      <c r="B62" s="32" t="s">
        <v>859</v>
      </c>
      <c r="C62" s="32" t="s">
        <v>860</v>
      </c>
      <c r="D62" s="32" t="s">
        <v>354</v>
      </c>
      <c r="E62" s="32" t="s">
        <v>151</v>
      </c>
      <c r="F62" s="32" t="s">
        <v>440</v>
      </c>
      <c r="G62" s="32">
        <v>1721</v>
      </c>
      <c r="H62" s="32" t="s">
        <v>368</v>
      </c>
      <c r="I62" s="32" t="s">
        <v>945</v>
      </c>
      <c r="J62" s="32" t="s">
        <v>375</v>
      </c>
      <c r="K62" s="32" t="s">
        <v>655</v>
      </c>
      <c r="L62" s="33">
        <v>45250</v>
      </c>
      <c r="M62" s="32" t="s">
        <v>453</v>
      </c>
      <c r="N62" s="32" t="b">
        <v>0</v>
      </c>
      <c r="O62" s="34">
        <v>0.12013888888888889</v>
      </c>
      <c r="P62" s="32">
        <v>87</v>
      </c>
      <c r="Q62" s="32">
        <v>120</v>
      </c>
      <c r="R62" s="32">
        <v>100</v>
      </c>
      <c r="S62" s="34">
        <v>8.2638888888888887E-2</v>
      </c>
      <c r="T62" s="32">
        <v>100</v>
      </c>
      <c r="U62" s="32">
        <v>287</v>
      </c>
      <c r="V62" s="32" t="s">
        <v>714</v>
      </c>
      <c r="W62" s="32"/>
      <c r="X62" s="32" t="b">
        <v>0</v>
      </c>
    </row>
    <row r="63" spans="1:24" ht="39" x14ac:dyDescent="0.25">
      <c r="A63" s="84">
        <v>1392481230</v>
      </c>
      <c r="B63" s="32" t="s">
        <v>861</v>
      </c>
      <c r="C63" s="32" t="s">
        <v>862</v>
      </c>
      <c r="D63" s="32" t="s">
        <v>354</v>
      </c>
      <c r="E63" s="32" t="s">
        <v>173</v>
      </c>
      <c r="F63" s="32" t="s">
        <v>440</v>
      </c>
      <c r="G63" s="32">
        <v>1702</v>
      </c>
      <c r="H63" s="32" t="s">
        <v>368</v>
      </c>
      <c r="I63" s="32" t="s">
        <v>488</v>
      </c>
      <c r="J63" s="32" t="s">
        <v>360</v>
      </c>
      <c r="K63" s="32" t="s">
        <v>655</v>
      </c>
      <c r="L63" s="33">
        <v>45225</v>
      </c>
      <c r="M63" s="32" t="s">
        <v>453</v>
      </c>
      <c r="N63" s="32" t="b">
        <v>0</v>
      </c>
      <c r="O63" s="34">
        <v>0.11666666666666665</v>
      </c>
      <c r="P63" s="32">
        <v>92</v>
      </c>
      <c r="Q63" s="32">
        <v>120</v>
      </c>
      <c r="R63" s="32">
        <v>100</v>
      </c>
      <c r="S63" s="34">
        <v>8.5416666666666655E-2</v>
      </c>
      <c r="T63" s="32">
        <v>100</v>
      </c>
      <c r="U63" s="32">
        <v>292</v>
      </c>
      <c r="V63" s="32" t="s">
        <v>714</v>
      </c>
      <c r="W63" s="32"/>
      <c r="X63" s="32" t="b">
        <v>0</v>
      </c>
    </row>
    <row r="64" spans="1:24" ht="39" x14ac:dyDescent="0.25">
      <c r="A64" s="84">
        <v>1218608114</v>
      </c>
      <c r="B64" s="32" t="s">
        <v>863</v>
      </c>
      <c r="C64" s="32" t="s">
        <v>864</v>
      </c>
      <c r="D64" s="32" t="s">
        <v>354</v>
      </c>
      <c r="E64" s="32" t="s">
        <v>170</v>
      </c>
      <c r="F64" s="32" t="s">
        <v>440</v>
      </c>
      <c r="G64" s="32">
        <v>1702</v>
      </c>
      <c r="H64" s="32" t="s">
        <v>368</v>
      </c>
      <c r="I64" s="32" t="s">
        <v>488</v>
      </c>
      <c r="J64" s="32" t="s">
        <v>360</v>
      </c>
      <c r="K64" s="32" t="s">
        <v>655</v>
      </c>
      <c r="L64" s="33">
        <v>45188</v>
      </c>
      <c r="M64" s="32" t="s">
        <v>212</v>
      </c>
      <c r="N64" s="32" t="b">
        <v>0</v>
      </c>
      <c r="O64" s="34">
        <v>0.11458333333333333</v>
      </c>
      <c r="P64" s="32">
        <v>97</v>
      </c>
      <c r="Q64" s="32">
        <v>123</v>
      </c>
      <c r="R64" s="32">
        <v>100</v>
      </c>
      <c r="S64" s="34">
        <v>7.7777777777777779E-2</v>
      </c>
      <c r="T64" s="32">
        <v>100</v>
      </c>
      <c r="U64" s="32">
        <v>297</v>
      </c>
      <c r="V64" s="32" t="s">
        <v>714</v>
      </c>
      <c r="W64" s="32"/>
      <c r="X64" s="32" t="b">
        <v>0</v>
      </c>
    </row>
    <row r="65" spans="1:24" ht="51.75" x14ac:dyDescent="0.25">
      <c r="A65" s="38">
        <v>1337008006</v>
      </c>
      <c r="B65" s="38" t="s">
        <v>865</v>
      </c>
      <c r="C65" s="38" t="s">
        <v>866</v>
      </c>
      <c r="D65" s="38" t="s">
        <v>354</v>
      </c>
      <c r="E65" s="38" t="s">
        <v>867</v>
      </c>
      <c r="F65" s="38" t="s">
        <v>440</v>
      </c>
      <c r="G65" s="38">
        <v>1799</v>
      </c>
      <c r="H65" s="38" t="s">
        <v>368</v>
      </c>
      <c r="I65" s="38" t="s">
        <v>488</v>
      </c>
      <c r="J65" s="38" t="s">
        <v>375</v>
      </c>
      <c r="K65" s="38" t="s">
        <v>655</v>
      </c>
      <c r="L65" s="70">
        <v>45225</v>
      </c>
      <c r="M65" s="38" t="s">
        <v>453</v>
      </c>
      <c r="N65" s="38" t="b">
        <v>0</v>
      </c>
      <c r="O65" s="145">
        <v>0.13055555555555556</v>
      </c>
      <c r="P65" s="38">
        <v>73</v>
      </c>
      <c r="Q65" s="38">
        <v>115</v>
      </c>
      <c r="R65" s="38">
        <v>100</v>
      </c>
      <c r="S65" s="145">
        <v>9.3055555555555558E-2</v>
      </c>
      <c r="T65" s="38">
        <v>92</v>
      </c>
      <c r="U65" s="38">
        <v>265</v>
      </c>
      <c r="V65" s="38" t="s">
        <v>268</v>
      </c>
      <c r="W65" s="38" t="s">
        <v>268</v>
      </c>
      <c r="X65" s="38" t="b">
        <v>0</v>
      </c>
    </row>
    <row r="66" spans="1:24" ht="51.75" x14ac:dyDescent="0.25">
      <c r="A66" s="38">
        <v>1492116113</v>
      </c>
      <c r="B66" s="38" t="s">
        <v>868</v>
      </c>
      <c r="C66" s="38" t="s">
        <v>869</v>
      </c>
      <c r="D66" s="38" t="s">
        <v>354</v>
      </c>
      <c r="E66" s="38" t="s">
        <v>161</v>
      </c>
      <c r="F66" s="38" t="s">
        <v>440</v>
      </c>
      <c r="G66" s="38">
        <v>1721</v>
      </c>
      <c r="H66" s="38" t="s">
        <v>368</v>
      </c>
      <c r="I66" s="38" t="s">
        <v>488</v>
      </c>
      <c r="J66" s="38" t="s">
        <v>375</v>
      </c>
      <c r="K66" s="38" t="s">
        <v>655</v>
      </c>
      <c r="L66" s="70">
        <v>45153</v>
      </c>
      <c r="M66" s="38" t="s">
        <v>212</v>
      </c>
      <c r="N66" s="38" t="b">
        <v>0</v>
      </c>
      <c r="O66" s="145">
        <v>0.10625</v>
      </c>
      <c r="P66" s="38">
        <v>100</v>
      </c>
      <c r="Q66" s="38">
        <v>115</v>
      </c>
      <c r="R66" s="38">
        <v>100</v>
      </c>
      <c r="S66" s="145">
        <v>0.11805555555555557</v>
      </c>
      <c r="T66" s="38">
        <v>63</v>
      </c>
      <c r="U66" s="38">
        <v>263</v>
      </c>
      <c r="V66" s="38" t="s">
        <v>714</v>
      </c>
      <c r="W66" s="38"/>
      <c r="X66" s="38" t="b">
        <v>0</v>
      </c>
    </row>
    <row r="67" spans="1:24" ht="51.75" x14ac:dyDescent="0.25">
      <c r="A67" s="38">
        <v>1362430276</v>
      </c>
      <c r="B67" s="38" t="s">
        <v>870</v>
      </c>
      <c r="C67" s="38" t="s">
        <v>871</v>
      </c>
      <c r="D67" s="38" t="s">
        <v>354</v>
      </c>
      <c r="E67" s="38" t="s">
        <v>158</v>
      </c>
      <c r="F67" s="38" t="s">
        <v>440</v>
      </c>
      <c r="G67" s="38">
        <v>1721</v>
      </c>
      <c r="H67" s="38" t="s">
        <v>368</v>
      </c>
      <c r="I67" s="38" t="s">
        <v>488</v>
      </c>
      <c r="J67" s="38" t="s">
        <v>375</v>
      </c>
      <c r="K67" s="38" t="s">
        <v>655</v>
      </c>
      <c r="L67" s="70">
        <v>45225</v>
      </c>
      <c r="M67" s="38" t="s">
        <v>453</v>
      </c>
      <c r="N67" s="38" t="b">
        <v>0</v>
      </c>
      <c r="O67" s="145">
        <v>0.12638888888888888</v>
      </c>
      <c r="P67" s="38">
        <v>79</v>
      </c>
      <c r="Q67" s="38">
        <v>121</v>
      </c>
      <c r="R67" s="38">
        <v>100</v>
      </c>
      <c r="S67" s="145">
        <v>9.0277777777777776E-2</v>
      </c>
      <c r="T67" s="38">
        <v>95</v>
      </c>
      <c r="U67" s="38">
        <v>274</v>
      </c>
      <c r="V67" s="38" t="s">
        <v>714</v>
      </c>
      <c r="W67" s="38"/>
      <c r="X67" s="38" t="b">
        <v>0</v>
      </c>
    </row>
    <row r="68" spans="1:24" ht="64.5" x14ac:dyDescent="0.25">
      <c r="A68" s="38">
        <v>1505173816</v>
      </c>
      <c r="B68" s="38" t="s">
        <v>872</v>
      </c>
      <c r="C68" s="38" t="s">
        <v>856</v>
      </c>
      <c r="D68" s="38" t="s">
        <v>354</v>
      </c>
      <c r="E68" s="38" t="s">
        <v>158</v>
      </c>
      <c r="F68" s="38" t="s">
        <v>440</v>
      </c>
      <c r="G68" s="38">
        <v>1721</v>
      </c>
      <c r="H68" s="38" t="s">
        <v>414</v>
      </c>
      <c r="I68" s="38" t="s">
        <v>488</v>
      </c>
      <c r="J68" s="38" t="s">
        <v>375</v>
      </c>
      <c r="K68" s="38" t="s">
        <v>655</v>
      </c>
      <c r="L68" s="70">
        <v>45237</v>
      </c>
      <c r="M68" s="38" t="s">
        <v>453</v>
      </c>
      <c r="N68" s="38" t="b">
        <v>0</v>
      </c>
      <c r="O68" s="145">
        <v>0.11805555555555557</v>
      </c>
      <c r="P68" s="38">
        <v>91</v>
      </c>
      <c r="Q68" s="38">
        <v>135</v>
      </c>
      <c r="R68" s="38">
        <v>100</v>
      </c>
      <c r="S68" s="145">
        <v>9.9999999999999992E-2</v>
      </c>
      <c r="T68" s="38">
        <v>85</v>
      </c>
      <c r="U68" s="38">
        <v>276</v>
      </c>
      <c r="V68" s="38" t="s">
        <v>714</v>
      </c>
      <c r="W68" s="38" t="s">
        <v>716</v>
      </c>
      <c r="X68" s="38" t="b">
        <v>0</v>
      </c>
    </row>
    <row r="69" spans="1:24" ht="51.75" x14ac:dyDescent="0.25">
      <c r="A69" s="38">
        <v>1224436146</v>
      </c>
      <c r="B69" s="38" t="s">
        <v>873</v>
      </c>
      <c r="C69" s="38" t="s">
        <v>874</v>
      </c>
      <c r="D69" s="38" t="s">
        <v>354</v>
      </c>
      <c r="E69" s="38" t="s">
        <v>155</v>
      </c>
      <c r="F69" s="38" t="s">
        <v>440</v>
      </c>
      <c r="G69" s="38">
        <v>1721</v>
      </c>
      <c r="H69" s="38" t="s">
        <v>368</v>
      </c>
      <c r="I69" s="38" t="s">
        <v>488</v>
      </c>
      <c r="J69" s="38" t="s">
        <v>375</v>
      </c>
      <c r="K69" s="38" t="s">
        <v>655</v>
      </c>
      <c r="L69" s="70">
        <v>45225</v>
      </c>
      <c r="M69" s="38" t="s">
        <v>453</v>
      </c>
      <c r="N69" s="38" t="b">
        <v>0</v>
      </c>
      <c r="O69" s="145">
        <v>0.1173611111111111</v>
      </c>
      <c r="P69" s="38">
        <v>90</v>
      </c>
      <c r="Q69" s="38">
        <v>127</v>
      </c>
      <c r="R69" s="38">
        <v>100</v>
      </c>
      <c r="S69" s="145">
        <v>8.4722222222222213E-2</v>
      </c>
      <c r="T69" s="38">
        <v>100</v>
      </c>
      <c r="U69" s="38">
        <v>290</v>
      </c>
      <c r="V69" s="38" t="s">
        <v>714</v>
      </c>
      <c r="W69" s="38"/>
      <c r="X69" s="38" t="b">
        <v>0</v>
      </c>
    </row>
    <row r="70" spans="1:24" ht="51.75" x14ac:dyDescent="0.25">
      <c r="A70" s="38">
        <v>1273180803</v>
      </c>
      <c r="B70" s="38" t="s">
        <v>875</v>
      </c>
      <c r="C70" s="38" t="s">
        <v>876</v>
      </c>
      <c r="D70" s="38" t="s">
        <v>354</v>
      </c>
      <c r="E70" s="38" t="s">
        <v>155</v>
      </c>
      <c r="F70" s="38" t="s">
        <v>440</v>
      </c>
      <c r="G70" s="38">
        <v>1721</v>
      </c>
      <c r="H70" s="38" t="s">
        <v>368</v>
      </c>
      <c r="I70" s="38" t="s">
        <v>488</v>
      </c>
      <c r="J70" s="38" t="s">
        <v>375</v>
      </c>
      <c r="K70" s="38" t="s">
        <v>655</v>
      </c>
      <c r="L70" s="70">
        <v>45195</v>
      </c>
      <c r="M70" s="38" t="s">
        <v>212</v>
      </c>
      <c r="N70" s="38" t="b">
        <v>0</v>
      </c>
      <c r="O70" s="145">
        <v>0.16319444444444445</v>
      </c>
      <c r="P70" s="38">
        <v>71</v>
      </c>
      <c r="Q70" s="38">
        <v>74</v>
      </c>
      <c r="R70" s="38">
        <v>100</v>
      </c>
      <c r="S70" s="145">
        <v>0.12430555555555556</v>
      </c>
      <c r="T70" s="38">
        <v>92</v>
      </c>
      <c r="U70" s="38">
        <v>263</v>
      </c>
      <c r="V70" s="38" t="s">
        <v>714</v>
      </c>
      <c r="W70" s="38"/>
      <c r="X70" s="38" t="b">
        <v>0</v>
      </c>
    </row>
    <row r="71" spans="1:24" ht="39" x14ac:dyDescent="0.25">
      <c r="A71" s="38">
        <v>1144600478</v>
      </c>
      <c r="B71" s="38" t="s">
        <v>877</v>
      </c>
      <c r="C71" s="38" t="s">
        <v>878</v>
      </c>
      <c r="D71" s="38" t="s">
        <v>354</v>
      </c>
      <c r="E71" s="38" t="s">
        <v>170</v>
      </c>
      <c r="F71" s="38" t="s">
        <v>440</v>
      </c>
      <c r="G71" s="38">
        <v>1702</v>
      </c>
      <c r="H71" s="38" t="s">
        <v>368</v>
      </c>
      <c r="I71" s="38" t="s">
        <v>486</v>
      </c>
      <c r="J71" s="38" t="s">
        <v>360</v>
      </c>
      <c r="K71" s="38" t="s">
        <v>655</v>
      </c>
      <c r="L71" s="70">
        <v>45225</v>
      </c>
      <c r="M71" s="38" t="s">
        <v>453</v>
      </c>
      <c r="N71" s="38" t="b">
        <v>0</v>
      </c>
      <c r="O71" s="145">
        <v>0.125</v>
      </c>
      <c r="P71" s="38">
        <v>82</v>
      </c>
      <c r="Q71" s="38">
        <v>120</v>
      </c>
      <c r="R71" s="38">
        <v>100</v>
      </c>
      <c r="S71" s="145">
        <v>9.8611111111111108E-2</v>
      </c>
      <c r="T71" s="38">
        <v>87</v>
      </c>
      <c r="U71" s="38">
        <v>269</v>
      </c>
      <c r="V71" s="38" t="s">
        <v>714</v>
      </c>
      <c r="W71" s="38"/>
      <c r="X71" s="38" t="b">
        <v>0</v>
      </c>
    </row>
    <row r="72" spans="1:24" ht="51.75" x14ac:dyDescent="0.25">
      <c r="A72" s="38">
        <v>1208649546</v>
      </c>
      <c r="B72" s="38" t="s">
        <v>879</v>
      </c>
      <c r="C72" s="38" t="s">
        <v>880</v>
      </c>
      <c r="D72" s="38" t="s">
        <v>354</v>
      </c>
      <c r="E72" s="38" t="s">
        <v>161</v>
      </c>
      <c r="F72" s="38" t="s">
        <v>440</v>
      </c>
      <c r="G72" s="38">
        <v>1721</v>
      </c>
      <c r="H72" s="38" t="s">
        <v>368</v>
      </c>
      <c r="I72" s="38" t="s">
        <v>486</v>
      </c>
      <c r="J72" s="38" t="s">
        <v>375</v>
      </c>
      <c r="K72" s="38" t="s">
        <v>655</v>
      </c>
      <c r="L72" s="70">
        <v>45237</v>
      </c>
      <c r="M72" s="38" t="s">
        <v>453</v>
      </c>
      <c r="N72" s="38" t="b">
        <v>0</v>
      </c>
      <c r="O72" s="145">
        <v>0.13055555555555556</v>
      </c>
      <c r="P72" s="38">
        <v>73</v>
      </c>
      <c r="Q72" s="38">
        <v>109</v>
      </c>
      <c r="R72" s="38">
        <v>93</v>
      </c>
      <c r="S72" s="145">
        <v>0.10208333333333335</v>
      </c>
      <c r="T72" s="38">
        <v>81</v>
      </c>
      <c r="U72" s="38">
        <v>247</v>
      </c>
      <c r="V72" s="38" t="s">
        <v>714</v>
      </c>
      <c r="W72" s="38" t="s">
        <v>717</v>
      </c>
      <c r="X72" s="38" t="b">
        <v>0</v>
      </c>
    </row>
    <row r="73" spans="1:24" ht="51.75" x14ac:dyDescent="0.25">
      <c r="A73" s="38">
        <v>1433270027</v>
      </c>
      <c r="B73" s="38" t="s">
        <v>772</v>
      </c>
      <c r="C73" s="38" t="s">
        <v>881</v>
      </c>
      <c r="D73" s="38" t="s">
        <v>354</v>
      </c>
      <c r="E73" s="38" t="s">
        <v>155</v>
      </c>
      <c r="F73" s="38" t="s">
        <v>440</v>
      </c>
      <c r="G73" s="38">
        <v>1721</v>
      </c>
      <c r="H73" s="38" t="s">
        <v>368</v>
      </c>
      <c r="I73" s="38" t="s">
        <v>486</v>
      </c>
      <c r="J73" s="38" t="s">
        <v>375</v>
      </c>
      <c r="K73" s="38" t="s">
        <v>655</v>
      </c>
      <c r="L73" s="70">
        <v>45224</v>
      </c>
      <c r="M73" s="38" t="s">
        <v>453</v>
      </c>
      <c r="N73" s="38" t="b">
        <v>0</v>
      </c>
      <c r="O73" s="145">
        <v>0.12361111111111112</v>
      </c>
      <c r="P73" s="38">
        <v>82</v>
      </c>
      <c r="Q73" s="38">
        <v>115</v>
      </c>
      <c r="R73" s="38">
        <v>100</v>
      </c>
      <c r="S73" s="145">
        <v>0.11319444444444444</v>
      </c>
      <c r="T73" s="38">
        <v>68</v>
      </c>
      <c r="U73" s="38">
        <v>250</v>
      </c>
      <c r="V73" s="38" t="s">
        <v>714</v>
      </c>
      <c r="W73" s="38"/>
      <c r="X73" s="38" t="b">
        <v>0</v>
      </c>
    </row>
    <row r="74" spans="1:24" ht="51.75" x14ac:dyDescent="0.25">
      <c r="A74" s="38">
        <v>1517276328</v>
      </c>
      <c r="B74" s="38" t="s">
        <v>882</v>
      </c>
      <c r="C74" s="38" t="s">
        <v>883</v>
      </c>
      <c r="D74" s="38" t="s">
        <v>354</v>
      </c>
      <c r="E74" s="38" t="s">
        <v>151</v>
      </c>
      <c r="F74" s="38" t="s">
        <v>440</v>
      </c>
      <c r="G74" s="38">
        <v>1721</v>
      </c>
      <c r="H74" s="38" t="s">
        <v>368</v>
      </c>
      <c r="I74" s="38" t="s">
        <v>486</v>
      </c>
      <c r="J74" s="38" t="s">
        <v>375</v>
      </c>
      <c r="K74" s="38" t="s">
        <v>655</v>
      </c>
      <c r="L74" s="70">
        <v>45166</v>
      </c>
      <c r="M74" s="38" t="s">
        <v>212</v>
      </c>
      <c r="N74" s="38" t="b">
        <v>0</v>
      </c>
      <c r="O74" s="145">
        <v>0.14027777777777778</v>
      </c>
      <c r="P74" s="38">
        <v>65</v>
      </c>
      <c r="Q74" s="38">
        <v>121</v>
      </c>
      <c r="R74" s="38">
        <v>100</v>
      </c>
      <c r="S74" s="145">
        <v>0.11180555555555556</v>
      </c>
      <c r="T74" s="38">
        <v>77</v>
      </c>
      <c r="U74" s="38">
        <v>242</v>
      </c>
      <c r="V74" s="38" t="s">
        <v>714</v>
      </c>
      <c r="W74" s="38"/>
      <c r="X74" s="38" t="b">
        <v>0</v>
      </c>
    </row>
    <row r="75" spans="1:24" ht="51.75" x14ac:dyDescent="0.25">
      <c r="A75" s="38">
        <v>1312308399</v>
      </c>
      <c r="B75" s="38" t="s">
        <v>884</v>
      </c>
      <c r="C75" s="38" t="s">
        <v>885</v>
      </c>
      <c r="D75" s="38" t="s">
        <v>354</v>
      </c>
      <c r="E75" s="38" t="s">
        <v>147</v>
      </c>
      <c r="F75" s="38" t="s">
        <v>440</v>
      </c>
      <c r="G75" s="38">
        <v>231</v>
      </c>
      <c r="H75" s="38" t="s">
        <v>368</v>
      </c>
      <c r="I75" s="38" t="s">
        <v>486</v>
      </c>
      <c r="J75" s="38" t="s">
        <v>375</v>
      </c>
      <c r="K75" s="38" t="s">
        <v>655</v>
      </c>
      <c r="L75" s="70">
        <v>45225</v>
      </c>
      <c r="M75" s="38" t="s">
        <v>453</v>
      </c>
      <c r="N75" s="38" t="b">
        <v>0</v>
      </c>
      <c r="O75" s="145">
        <v>0.12152777777777778</v>
      </c>
      <c r="P75" s="38">
        <v>86</v>
      </c>
      <c r="Q75" s="38">
        <v>120</v>
      </c>
      <c r="R75" s="38">
        <v>100</v>
      </c>
      <c r="S75" s="145">
        <v>8.2638888888888887E-2</v>
      </c>
      <c r="T75" s="38">
        <v>100</v>
      </c>
      <c r="U75" s="38">
        <v>286</v>
      </c>
      <c r="V75" s="38" t="s">
        <v>714</v>
      </c>
      <c r="W75" s="38"/>
      <c r="X75" s="38" t="b">
        <v>0</v>
      </c>
    </row>
    <row r="76" spans="1:24" ht="51.75" x14ac:dyDescent="0.25">
      <c r="A76" s="38">
        <v>1025451492</v>
      </c>
      <c r="B76" s="38" t="s">
        <v>886</v>
      </c>
      <c r="C76" s="38" t="s">
        <v>887</v>
      </c>
      <c r="D76" s="38" t="s">
        <v>354</v>
      </c>
      <c r="E76" s="38" t="s">
        <v>147</v>
      </c>
      <c r="F76" s="38" t="s">
        <v>440</v>
      </c>
      <c r="G76" s="38">
        <v>1721</v>
      </c>
      <c r="H76" s="38" t="s">
        <v>368</v>
      </c>
      <c r="I76" s="38" t="s">
        <v>486</v>
      </c>
      <c r="J76" s="38" t="s">
        <v>375</v>
      </c>
      <c r="K76" s="38" t="s">
        <v>655</v>
      </c>
      <c r="L76" s="70">
        <v>45195</v>
      </c>
      <c r="M76" s="38" t="s">
        <v>212</v>
      </c>
      <c r="N76" s="38" t="b">
        <v>0</v>
      </c>
      <c r="O76" s="145">
        <v>0.11666666666666665</v>
      </c>
      <c r="P76" s="38">
        <v>92</v>
      </c>
      <c r="Q76" s="38">
        <v>116</v>
      </c>
      <c r="R76" s="38">
        <v>100</v>
      </c>
      <c r="S76" s="145">
        <v>8.1944444444444445E-2</v>
      </c>
      <c r="T76" s="38">
        <v>100</v>
      </c>
      <c r="U76" s="38">
        <v>292</v>
      </c>
      <c r="V76" s="38" t="s">
        <v>714</v>
      </c>
      <c r="W76" s="38"/>
      <c r="X76" s="38" t="b">
        <v>0</v>
      </c>
    </row>
    <row r="77" spans="1:24" ht="39" x14ac:dyDescent="0.25">
      <c r="A77" s="38">
        <v>1041964509</v>
      </c>
      <c r="B77" s="38" t="s">
        <v>888</v>
      </c>
      <c r="C77" s="38" t="s">
        <v>889</v>
      </c>
      <c r="D77" s="38" t="s">
        <v>354</v>
      </c>
      <c r="E77" s="38" t="s">
        <v>176</v>
      </c>
      <c r="F77" s="38" t="s">
        <v>440</v>
      </c>
      <c r="G77" s="38">
        <v>1702</v>
      </c>
      <c r="H77" s="38" t="s">
        <v>368</v>
      </c>
      <c r="I77" s="38" t="s">
        <v>490</v>
      </c>
      <c r="J77" s="38" t="s">
        <v>360</v>
      </c>
      <c r="K77" s="38" t="s">
        <v>655</v>
      </c>
      <c r="L77" s="70">
        <v>45250</v>
      </c>
      <c r="M77" s="38" t="s">
        <v>453</v>
      </c>
      <c r="N77" s="38" t="b">
        <v>0</v>
      </c>
      <c r="O77" s="145">
        <v>0.12152777777777778</v>
      </c>
      <c r="P77" s="38">
        <v>85</v>
      </c>
      <c r="Q77" s="38">
        <v>115</v>
      </c>
      <c r="R77" s="38">
        <v>100</v>
      </c>
      <c r="S77" s="145">
        <v>8.8888888888888892E-2</v>
      </c>
      <c r="T77" s="38">
        <v>97</v>
      </c>
      <c r="U77" s="38">
        <v>282</v>
      </c>
      <c r="V77" s="38" t="s">
        <v>714</v>
      </c>
      <c r="W77" s="38"/>
      <c r="X77" s="38" t="b">
        <v>0</v>
      </c>
    </row>
    <row r="78" spans="1:24" ht="39" x14ac:dyDescent="0.25">
      <c r="A78" s="38">
        <v>1366872660</v>
      </c>
      <c r="B78" s="38" t="s">
        <v>890</v>
      </c>
      <c r="C78" s="38" t="s">
        <v>875</v>
      </c>
      <c r="D78" s="38" t="s">
        <v>354</v>
      </c>
      <c r="E78" s="38" t="s">
        <v>170</v>
      </c>
      <c r="F78" s="38" t="s">
        <v>440</v>
      </c>
      <c r="G78" s="38">
        <v>1702</v>
      </c>
      <c r="H78" s="38" t="s">
        <v>414</v>
      </c>
      <c r="I78" s="38" t="s">
        <v>490</v>
      </c>
      <c r="J78" s="38" t="s">
        <v>360</v>
      </c>
      <c r="K78" s="38" t="s">
        <v>655</v>
      </c>
      <c r="L78" s="70">
        <v>45225</v>
      </c>
      <c r="M78" s="38" t="s">
        <v>453</v>
      </c>
      <c r="N78" s="38" t="b">
        <v>0</v>
      </c>
      <c r="O78" s="145">
        <v>0.11944444444444445</v>
      </c>
      <c r="P78" s="38">
        <v>87</v>
      </c>
      <c r="Q78" s="38">
        <v>116</v>
      </c>
      <c r="R78" s="38">
        <v>100</v>
      </c>
      <c r="S78" s="145">
        <v>7.4999999999999997E-2</v>
      </c>
      <c r="T78" s="38">
        <v>100</v>
      </c>
      <c r="U78" s="38">
        <v>287</v>
      </c>
      <c r="V78" s="38" t="s">
        <v>714</v>
      </c>
      <c r="W78" s="38"/>
      <c r="X78" s="38" t="b">
        <v>0</v>
      </c>
    </row>
    <row r="79" spans="1:24" ht="51.75" x14ac:dyDescent="0.25">
      <c r="A79" s="38">
        <v>1163650418</v>
      </c>
      <c r="B79" s="38" t="s">
        <v>891</v>
      </c>
      <c r="C79" s="38" t="s">
        <v>892</v>
      </c>
      <c r="D79" s="38" t="s">
        <v>354</v>
      </c>
      <c r="E79" s="38" t="s">
        <v>867</v>
      </c>
      <c r="F79" s="38" t="s">
        <v>440</v>
      </c>
      <c r="G79" s="38">
        <v>8999</v>
      </c>
      <c r="H79" s="38" t="s">
        <v>368</v>
      </c>
      <c r="I79" s="38" t="s">
        <v>490</v>
      </c>
      <c r="J79" s="38" t="s">
        <v>375</v>
      </c>
      <c r="K79" s="38" t="s">
        <v>655</v>
      </c>
      <c r="L79" s="70">
        <v>45250</v>
      </c>
      <c r="M79" s="38" t="s">
        <v>453</v>
      </c>
      <c r="N79" s="38" t="b">
        <v>0</v>
      </c>
      <c r="O79" s="145">
        <v>0.10069444444444443</v>
      </c>
      <c r="P79" s="38">
        <v>100</v>
      </c>
      <c r="Q79" s="38">
        <v>90</v>
      </c>
      <c r="R79" s="38">
        <v>78</v>
      </c>
      <c r="S79" s="145">
        <v>7.9861111111111105E-2</v>
      </c>
      <c r="T79" s="38">
        <v>100</v>
      </c>
      <c r="U79" s="38">
        <v>278</v>
      </c>
      <c r="V79" s="38" t="s">
        <v>714</v>
      </c>
      <c r="W79" s="38" t="s">
        <v>717</v>
      </c>
      <c r="X79" s="38" t="b">
        <v>0</v>
      </c>
    </row>
    <row r="80" spans="1:24" ht="51.75" x14ac:dyDescent="0.25">
      <c r="A80" s="38">
        <v>1269922284</v>
      </c>
      <c r="B80" s="38" t="s">
        <v>893</v>
      </c>
      <c r="C80" s="38" t="s">
        <v>894</v>
      </c>
      <c r="D80" s="38" t="s">
        <v>354</v>
      </c>
      <c r="E80" s="38" t="s">
        <v>158</v>
      </c>
      <c r="F80" s="38" t="s">
        <v>440</v>
      </c>
      <c r="G80" s="38">
        <v>1721</v>
      </c>
      <c r="H80" s="38" t="s">
        <v>368</v>
      </c>
      <c r="I80" s="38" t="s">
        <v>490</v>
      </c>
      <c r="J80" s="38" t="s">
        <v>375</v>
      </c>
      <c r="K80" s="38" t="s">
        <v>655</v>
      </c>
      <c r="L80" s="70">
        <v>45233</v>
      </c>
      <c r="M80" s="38" t="s">
        <v>453</v>
      </c>
      <c r="N80" s="38" t="b">
        <v>0</v>
      </c>
      <c r="O80" s="145">
        <v>0.11527777777777777</v>
      </c>
      <c r="P80" s="38">
        <v>93</v>
      </c>
      <c r="Q80" s="38">
        <v>116</v>
      </c>
      <c r="R80" s="38">
        <v>100</v>
      </c>
      <c r="S80" s="145">
        <v>0.10416666666666667</v>
      </c>
      <c r="T80" s="38">
        <v>79</v>
      </c>
      <c r="U80" s="38">
        <v>272</v>
      </c>
      <c r="V80" s="38" t="s">
        <v>714</v>
      </c>
      <c r="W80" s="38"/>
      <c r="X80" s="38" t="b">
        <v>0</v>
      </c>
    </row>
    <row r="81" spans="1:24" ht="51.75" x14ac:dyDescent="0.25">
      <c r="A81" s="38">
        <v>1410597200</v>
      </c>
      <c r="B81" s="38" t="s">
        <v>895</v>
      </c>
      <c r="C81" s="38" t="s">
        <v>896</v>
      </c>
      <c r="D81" s="38" t="s">
        <v>354</v>
      </c>
      <c r="E81" s="38" t="s">
        <v>151</v>
      </c>
      <c r="F81" s="38" t="s">
        <v>440</v>
      </c>
      <c r="G81" s="38">
        <v>1721</v>
      </c>
      <c r="H81" s="38" t="s">
        <v>368</v>
      </c>
      <c r="I81" s="38" t="s">
        <v>490</v>
      </c>
      <c r="J81" s="38" t="s">
        <v>375</v>
      </c>
      <c r="K81" s="38" t="s">
        <v>655</v>
      </c>
      <c r="L81" s="70">
        <v>45225</v>
      </c>
      <c r="M81" s="38" t="s">
        <v>453</v>
      </c>
      <c r="N81" s="38" t="b">
        <v>0</v>
      </c>
      <c r="O81" s="145">
        <v>0.13958333333333334</v>
      </c>
      <c r="P81" s="38">
        <v>61</v>
      </c>
      <c r="Q81" s="38">
        <v>115</v>
      </c>
      <c r="R81" s="38">
        <v>100</v>
      </c>
      <c r="S81" s="145">
        <v>0.10277777777777779</v>
      </c>
      <c r="T81" s="38">
        <v>81</v>
      </c>
      <c r="U81" s="38">
        <v>242</v>
      </c>
      <c r="V81" s="38" t="s">
        <v>714</v>
      </c>
      <c r="W81" s="38"/>
      <c r="X81" s="38" t="b">
        <v>0</v>
      </c>
    </row>
  </sheetData>
  <sheetProtection sort="0"/>
  <mergeCells count="2">
    <mergeCell ref="K1:X1"/>
    <mergeCell ref="A1:J1"/>
  </mergeCells>
  <dataValidations count="2">
    <dataValidation type="whole" errorStyle="warning" allowBlank="1" showInputMessage="1" showErrorMessage="1" errorTitle="Don't Touch" error="Raw MCTIMS query outputs." sqref="Y1:XFD1048576 A82:X1048576 K1:X2 A2:J2" xr:uid="{A1CD70AB-768F-45BF-9D66-467D414CE334}">
      <formula1>500</formula1>
      <formula2>501</formula2>
    </dataValidation>
    <dataValidation errorStyle="warning" allowBlank="1" showInputMessage="1" showErrorMessage="1" errorTitle="Don't Touch" error="Raw MCTIMS query outputs." sqref="A1:J1" xr:uid="{79A45C2A-CDC7-4DEB-B5D9-D0691BDCC90B}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B364-ACD0-4BB6-B208-35D6BE1730CF}">
  <dimension ref="A1:AE81"/>
  <sheetViews>
    <sheetView workbookViewId="0">
      <selection activeCell="K3" sqref="K3:S10"/>
    </sheetView>
  </sheetViews>
  <sheetFormatPr defaultRowHeight="15" x14ac:dyDescent="0.25"/>
  <cols>
    <col min="1" max="1" width="12" bestFit="1" customWidth="1"/>
    <col min="2" max="2" width="12" customWidth="1"/>
    <col min="3" max="3" width="12.28515625" customWidth="1"/>
    <col min="6" max="6" width="10.28515625" bestFit="1" customWidth="1"/>
    <col min="8" max="8" width="9.42578125" bestFit="1" customWidth="1"/>
    <col min="10" max="10" width="33.85546875" bestFit="1" customWidth="1"/>
    <col min="11" max="11" width="13.140625" bestFit="1" customWidth="1"/>
    <col min="12" max="12" width="16.140625" bestFit="1" customWidth="1"/>
    <col min="13" max="13" width="15.28515625" bestFit="1" customWidth="1"/>
    <col min="14" max="14" width="16.140625" bestFit="1" customWidth="1"/>
    <col min="15" max="15" width="11.42578125" bestFit="1" customWidth="1"/>
    <col min="16" max="16" width="9.28515625" bestFit="1" customWidth="1"/>
    <col min="17" max="17" width="10.140625" bestFit="1" customWidth="1"/>
    <col min="18" max="18" width="9.28515625" bestFit="1" customWidth="1"/>
    <col min="19" max="19" width="11" bestFit="1" customWidth="1"/>
    <col min="20" max="20" width="9.28515625" bestFit="1" customWidth="1"/>
    <col min="21" max="22" width="9.42578125" bestFit="1" customWidth="1"/>
    <col min="23" max="23" width="10" bestFit="1" customWidth="1"/>
    <col min="24" max="24" width="12" customWidth="1"/>
    <col min="26" max="26" width="9.28515625" bestFit="1" customWidth="1"/>
    <col min="27" max="27" width="12.5703125" bestFit="1" customWidth="1"/>
    <col min="28" max="28" width="11.5703125" bestFit="1" customWidth="1"/>
    <col min="29" max="29" width="9.28515625" bestFit="1" customWidth="1"/>
    <col min="30" max="30" width="10.42578125" bestFit="1" customWidth="1"/>
    <col min="31" max="31" width="16" bestFit="1" customWidth="1"/>
  </cols>
  <sheetData>
    <row r="1" spans="1:31" ht="18.75" x14ac:dyDescent="0.3">
      <c r="A1" s="220" t="s">
        <v>718</v>
      </c>
      <c r="B1" s="220"/>
      <c r="C1" s="220"/>
      <c r="D1" s="220"/>
      <c r="E1" s="220"/>
      <c r="F1" s="220"/>
      <c r="G1" s="220"/>
      <c r="H1" s="220"/>
      <c r="I1" s="220"/>
      <c r="J1" s="220"/>
      <c r="K1" s="227" t="s">
        <v>82</v>
      </c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8"/>
    </row>
    <row r="2" spans="1:31" x14ac:dyDescent="0.25">
      <c r="A2" s="5" t="s">
        <v>337</v>
      </c>
      <c r="B2" s="4" t="s">
        <v>338</v>
      </c>
      <c r="C2" s="4" t="s">
        <v>339</v>
      </c>
      <c r="D2" s="4" t="s">
        <v>340</v>
      </c>
      <c r="E2" s="4" t="s">
        <v>207</v>
      </c>
      <c r="F2" s="4" t="s">
        <v>434</v>
      </c>
      <c r="G2" s="4" t="s">
        <v>341</v>
      </c>
      <c r="H2" s="4" t="s">
        <v>623</v>
      </c>
      <c r="I2" s="4" t="s">
        <v>192</v>
      </c>
      <c r="J2" s="4" t="s">
        <v>343</v>
      </c>
      <c r="K2" s="1" t="s">
        <v>624</v>
      </c>
      <c r="L2" s="1" t="s">
        <v>719</v>
      </c>
      <c r="M2" s="1" t="s">
        <v>437</v>
      </c>
      <c r="N2" s="1" t="s">
        <v>705</v>
      </c>
      <c r="O2" s="1" t="s">
        <v>720</v>
      </c>
      <c r="P2" s="1" t="s">
        <v>721</v>
      </c>
      <c r="Q2" s="1" t="s">
        <v>722</v>
      </c>
      <c r="R2" s="1" t="s">
        <v>723</v>
      </c>
      <c r="S2" s="1" t="s">
        <v>724</v>
      </c>
      <c r="T2" s="1" t="s">
        <v>725</v>
      </c>
      <c r="U2" s="1" t="s">
        <v>726</v>
      </c>
      <c r="V2" s="1" t="s">
        <v>727</v>
      </c>
      <c r="W2" s="1" t="s">
        <v>728</v>
      </c>
      <c r="X2" s="1" t="s">
        <v>729</v>
      </c>
      <c r="Y2" s="1" t="s">
        <v>730</v>
      </c>
      <c r="Z2" s="1" t="s">
        <v>731</v>
      </c>
      <c r="AA2" s="1" t="s">
        <v>711</v>
      </c>
      <c r="AB2" s="1" t="s">
        <v>732</v>
      </c>
      <c r="AC2" s="1" t="s">
        <v>703</v>
      </c>
      <c r="AD2" s="1" t="s">
        <v>733</v>
      </c>
      <c r="AE2" s="7" t="s">
        <v>734</v>
      </c>
    </row>
    <row r="3" spans="1:31" x14ac:dyDescent="0.25">
      <c r="A3" s="157">
        <v>4741999075</v>
      </c>
      <c r="B3" s="158" t="s">
        <v>742</v>
      </c>
      <c r="C3" s="158" t="s">
        <v>743</v>
      </c>
      <c r="D3" s="158" t="s">
        <v>354</v>
      </c>
      <c r="E3" s="158" t="s">
        <v>170</v>
      </c>
      <c r="F3" s="158" t="s">
        <v>440</v>
      </c>
      <c r="G3" s="158">
        <v>1702</v>
      </c>
      <c r="H3" s="158" t="s">
        <v>414</v>
      </c>
      <c r="I3" s="158" t="s">
        <v>230</v>
      </c>
      <c r="J3" s="158" t="s">
        <v>360</v>
      </c>
      <c r="K3" s="158"/>
      <c r="L3" s="159"/>
      <c r="M3" s="158"/>
      <c r="N3" s="158"/>
      <c r="O3" s="158"/>
      <c r="P3" s="158"/>
      <c r="Q3" s="158"/>
      <c r="R3" s="158"/>
      <c r="S3" s="158"/>
      <c r="T3" s="158"/>
      <c r="U3" s="160"/>
      <c r="V3" s="158"/>
      <c r="W3" s="161"/>
      <c r="X3" s="158"/>
      <c r="Y3" s="158"/>
      <c r="Z3" s="158"/>
      <c r="AA3" s="158"/>
      <c r="AB3" s="158"/>
      <c r="AC3" s="158"/>
      <c r="AD3" s="158"/>
      <c r="AE3" s="158"/>
    </row>
    <row r="4" spans="1:31" x14ac:dyDescent="0.25">
      <c r="A4" s="84">
        <v>1538999384</v>
      </c>
      <c r="B4" s="32" t="s">
        <v>744</v>
      </c>
      <c r="C4" s="32" t="s">
        <v>745</v>
      </c>
      <c r="D4" s="32" t="s">
        <v>354</v>
      </c>
      <c r="E4" s="32" t="s">
        <v>161</v>
      </c>
      <c r="F4" s="32" t="s">
        <v>440</v>
      </c>
      <c r="G4" s="32">
        <v>1721</v>
      </c>
      <c r="H4" s="32" t="s">
        <v>368</v>
      </c>
      <c r="I4" s="32" t="s">
        <v>230</v>
      </c>
      <c r="J4" s="32" t="s">
        <v>375</v>
      </c>
      <c r="K4" s="32"/>
      <c r="L4" s="33"/>
      <c r="M4" s="32"/>
      <c r="N4" s="32"/>
      <c r="O4" s="32"/>
      <c r="P4" s="32"/>
      <c r="Q4" s="32"/>
      <c r="R4" s="32"/>
      <c r="S4" s="32"/>
      <c r="T4" s="32"/>
      <c r="U4" s="34"/>
      <c r="V4" s="32"/>
      <c r="W4" s="34"/>
      <c r="X4" s="32"/>
      <c r="Y4" s="32"/>
      <c r="Z4" s="32"/>
      <c r="AA4" s="32"/>
      <c r="AB4" s="32"/>
      <c r="AC4" s="32"/>
      <c r="AD4" s="32"/>
      <c r="AE4" s="32"/>
    </row>
    <row r="5" spans="1:31" x14ac:dyDescent="0.25">
      <c r="A5" s="84">
        <v>1160110691</v>
      </c>
      <c r="B5" s="32" t="s">
        <v>746</v>
      </c>
      <c r="C5" s="32" t="s">
        <v>747</v>
      </c>
      <c r="D5" s="32" t="s">
        <v>354</v>
      </c>
      <c r="E5" s="32" t="s">
        <v>158</v>
      </c>
      <c r="F5" s="32" t="s">
        <v>440</v>
      </c>
      <c r="G5" s="32">
        <v>1721</v>
      </c>
      <c r="H5" s="32" t="s">
        <v>368</v>
      </c>
      <c r="I5" s="32" t="s">
        <v>230</v>
      </c>
      <c r="J5" s="32" t="s">
        <v>375</v>
      </c>
      <c r="K5" s="32"/>
      <c r="L5" s="33"/>
      <c r="M5" s="32"/>
      <c r="N5" s="32"/>
      <c r="O5" s="32"/>
      <c r="P5" s="32"/>
      <c r="Q5" s="32"/>
      <c r="R5" s="32"/>
      <c r="S5" s="32"/>
      <c r="T5" s="32"/>
      <c r="U5" s="34"/>
      <c r="V5" s="32"/>
      <c r="W5" s="162"/>
      <c r="X5" s="32"/>
      <c r="Y5" s="32"/>
      <c r="Z5" s="32"/>
      <c r="AA5" s="32"/>
      <c r="AB5" s="32"/>
      <c r="AC5" s="32"/>
      <c r="AD5" s="32"/>
      <c r="AE5" s="32"/>
    </row>
    <row r="6" spans="1:31" x14ac:dyDescent="0.25">
      <c r="A6" s="84">
        <v>1520074788</v>
      </c>
      <c r="B6" s="32" t="s">
        <v>748</v>
      </c>
      <c r="C6" s="32" t="s">
        <v>749</v>
      </c>
      <c r="D6" s="32" t="s">
        <v>354</v>
      </c>
      <c r="E6" s="32" t="s">
        <v>158</v>
      </c>
      <c r="F6" s="32" t="s">
        <v>440</v>
      </c>
      <c r="G6" s="32">
        <v>1721</v>
      </c>
      <c r="H6" s="32" t="s">
        <v>368</v>
      </c>
      <c r="I6" s="32" t="s">
        <v>230</v>
      </c>
      <c r="J6" s="32" t="s">
        <v>375</v>
      </c>
      <c r="K6" s="32"/>
      <c r="L6" s="33"/>
      <c r="M6" s="32"/>
      <c r="N6" s="32"/>
      <c r="O6" s="32"/>
      <c r="P6" s="32"/>
      <c r="Q6" s="32"/>
      <c r="R6" s="32"/>
      <c r="S6" s="32"/>
      <c r="T6" s="32"/>
      <c r="U6" s="34"/>
      <c r="V6" s="32"/>
      <c r="W6" s="34"/>
      <c r="X6" s="32"/>
      <c r="Y6" s="32"/>
      <c r="Z6" s="32"/>
      <c r="AA6" s="32"/>
      <c r="AB6" s="32"/>
      <c r="AC6" s="32"/>
      <c r="AD6" s="32"/>
      <c r="AE6" s="32"/>
    </row>
    <row r="7" spans="1:31" x14ac:dyDescent="0.25">
      <c r="A7" s="84">
        <v>1220711349</v>
      </c>
      <c r="B7" s="32" t="s">
        <v>750</v>
      </c>
      <c r="C7" s="32" t="s">
        <v>751</v>
      </c>
      <c r="D7" s="32" t="s">
        <v>354</v>
      </c>
      <c r="E7" s="32" t="s">
        <v>155</v>
      </c>
      <c r="F7" s="32" t="s">
        <v>440</v>
      </c>
      <c r="G7" s="32">
        <v>1721</v>
      </c>
      <c r="H7" s="32" t="s">
        <v>368</v>
      </c>
      <c r="I7" s="32" t="s">
        <v>230</v>
      </c>
      <c r="J7" s="32" t="s">
        <v>375</v>
      </c>
      <c r="K7" s="32"/>
      <c r="L7" s="33"/>
      <c r="M7" s="32"/>
      <c r="N7" s="32"/>
      <c r="O7" s="32"/>
      <c r="P7" s="32"/>
      <c r="Q7" s="32"/>
      <c r="R7" s="32"/>
      <c r="S7" s="32"/>
      <c r="T7" s="32"/>
      <c r="U7" s="34"/>
      <c r="V7" s="32"/>
      <c r="W7" s="34"/>
      <c r="X7" s="32"/>
      <c r="Y7" s="32"/>
      <c r="Z7" s="32"/>
      <c r="AA7" s="32"/>
      <c r="AB7" s="32"/>
      <c r="AC7" s="32"/>
      <c r="AD7" s="32"/>
      <c r="AE7" s="32"/>
    </row>
    <row r="8" spans="1:31" x14ac:dyDescent="0.25">
      <c r="A8" s="84">
        <v>1534568011</v>
      </c>
      <c r="B8" s="32" t="s">
        <v>752</v>
      </c>
      <c r="C8" s="32" t="s">
        <v>753</v>
      </c>
      <c r="D8" s="32" t="s">
        <v>354</v>
      </c>
      <c r="E8" s="32" t="s">
        <v>155</v>
      </c>
      <c r="F8" s="32" t="s">
        <v>440</v>
      </c>
      <c r="G8" s="32">
        <v>1721</v>
      </c>
      <c r="H8" s="32" t="s">
        <v>368</v>
      </c>
      <c r="I8" s="32" t="s">
        <v>230</v>
      </c>
      <c r="J8" s="32" t="s">
        <v>375</v>
      </c>
      <c r="K8" s="32"/>
      <c r="L8" s="33"/>
      <c r="M8" s="32"/>
      <c r="N8" s="32"/>
      <c r="O8" s="32"/>
      <c r="P8" s="32"/>
      <c r="Q8" s="32"/>
      <c r="R8" s="32"/>
      <c r="S8" s="32"/>
      <c r="T8" s="32"/>
      <c r="U8" s="34"/>
      <c r="V8" s="32"/>
      <c r="W8" s="162"/>
      <c r="X8" s="32"/>
      <c r="Y8" s="32"/>
      <c r="Z8" s="32"/>
      <c r="AA8" s="32"/>
      <c r="AB8" s="32"/>
      <c r="AC8" s="32"/>
      <c r="AD8" s="32"/>
      <c r="AE8" s="32"/>
    </row>
    <row r="9" spans="1:31" x14ac:dyDescent="0.25">
      <c r="A9" s="84">
        <v>1418134206</v>
      </c>
      <c r="B9" s="32" t="s">
        <v>754</v>
      </c>
      <c r="C9" s="32" t="s">
        <v>755</v>
      </c>
      <c r="D9" s="32" t="s">
        <v>354</v>
      </c>
      <c r="E9" s="32" t="s">
        <v>155</v>
      </c>
      <c r="F9" s="32" t="s">
        <v>440</v>
      </c>
      <c r="G9" s="32">
        <v>1700</v>
      </c>
      <c r="H9" s="32" t="s">
        <v>368</v>
      </c>
      <c r="I9" s="32" t="s">
        <v>230</v>
      </c>
      <c r="J9" s="32" t="s">
        <v>375</v>
      </c>
      <c r="K9" s="32"/>
      <c r="L9" s="33"/>
      <c r="M9" s="32"/>
      <c r="N9" s="32"/>
      <c r="O9" s="32"/>
      <c r="P9" s="32"/>
      <c r="Q9" s="32"/>
      <c r="R9" s="32"/>
      <c r="S9" s="32"/>
      <c r="T9" s="32"/>
      <c r="U9" s="34"/>
      <c r="V9" s="32"/>
      <c r="W9" s="34"/>
      <c r="X9" s="32"/>
      <c r="Y9" s="32"/>
      <c r="Z9" s="32"/>
      <c r="AA9" s="32"/>
      <c r="AB9" s="32"/>
      <c r="AC9" s="32"/>
      <c r="AD9" s="32"/>
      <c r="AE9" s="32"/>
    </row>
    <row r="10" spans="1:31" x14ac:dyDescent="0.25">
      <c r="A10" s="84">
        <v>1007476454</v>
      </c>
      <c r="B10" s="32" t="s">
        <v>756</v>
      </c>
      <c r="C10" s="32" t="s">
        <v>757</v>
      </c>
      <c r="D10" s="32" t="s">
        <v>354</v>
      </c>
      <c r="E10" s="32" t="s">
        <v>151</v>
      </c>
      <c r="F10" s="32" t="s">
        <v>440</v>
      </c>
      <c r="G10" s="32">
        <v>1721</v>
      </c>
      <c r="H10" s="32" t="s">
        <v>368</v>
      </c>
      <c r="I10" s="32" t="s">
        <v>230</v>
      </c>
      <c r="J10" s="32" t="s">
        <v>375</v>
      </c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4"/>
      <c r="V10" s="32"/>
      <c r="W10" s="34"/>
      <c r="X10" s="32"/>
      <c r="Y10" s="32"/>
      <c r="Z10" s="32"/>
      <c r="AA10" s="32"/>
      <c r="AB10" s="32"/>
      <c r="AC10" s="32"/>
      <c r="AD10" s="32"/>
      <c r="AE10" s="32"/>
    </row>
    <row r="11" spans="1:31" x14ac:dyDescent="0.25">
      <c r="A11" s="84">
        <v>1245991266</v>
      </c>
      <c r="B11" s="32" t="s">
        <v>758</v>
      </c>
      <c r="C11" s="32" t="s">
        <v>759</v>
      </c>
      <c r="D11" s="32" t="s">
        <v>354</v>
      </c>
      <c r="E11" s="32" t="s">
        <v>151</v>
      </c>
      <c r="F11" s="32" t="s">
        <v>440</v>
      </c>
      <c r="G11" s="32">
        <v>1721</v>
      </c>
      <c r="H11" s="32" t="s">
        <v>368</v>
      </c>
      <c r="I11" s="32" t="s">
        <v>230</v>
      </c>
      <c r="J11" s="32" t="s">
        <v>375</v>
      </c>
      <c r="K11" s="163" t="s">
        <v>655</v>
      </c>
      <c r="L11" s="164">
        <v>45330</v>
      </c>
      <c r="M11" s="165" t="s">
        <v>212</v>
      </c>
      <c r="N11" s="165" t="b">
        <v>0</v>
      </c>
      <c r="O11" s="165">
        <v>13</v>
      </c>
      <c r="P11" s="165">
        <v>67</v>
      </c>
      <c r="Q11" s="165" t="s">
        <v>458</v>
      </c>
      <c r="R11" s="165" t="s">
        <v>458</v>
      </c>
      <c r="S11" s="165" t="s">
        <v>458</v>
      </c>
      <c r="T11" s="165" t="s">
        <v>458</v>
      </c>
      <c r="U11" s="166">
        <v>0.15625</v>
      </c>
      <c r="V11" s="165">
        <v>100</v>
      </c>
      <c r="W11" s="166">
        <v>0.97013888888888899</v>
      </c>
      <c r="X11" s="165">
        <v>67</v>
      </c>
      <c r="Y11" s="165" t="s">
        <v>458</v>
      </c>
      <c r="Z11" s="165" t="s">
        <v>458</v>
      </c>
      <c r="AA11" s="165">
        <v>234</v>
      </c>
      <c r="AB11" s="165" t="s">
        <v>735</v>
      </c>
      <c r="AC11" s="165" t="s">
        <v>458</v>
      </c>
      <c r="AD11" s="165" t="b">
        <v>0</v>
      </c>
      <c r="AE11" s="158" t="s">
        <v>458</v>
      </c>
    </row>
    <row r="12" spans="1:31" x14ac:dyDescent="0.25">
      <c r="A12" s="84">
        <v>1019647482</v>
      </c>
      <c r="B12" s="32" t="s">
        <v>760</v>
      </c>
      <c r="C12" s="32" t="s">
        <v>761</v>
      </c>
      <c r="D12" s="32" t="s">
        <v>354</v>
      </c>
      <c r="E12" s="32" t="s">
        <v>151</v>
      </c>
      <c r="F12" s="32" t="s">
        <v>440</v>
      </c>
      <c r="G12" s="32">
        <v>1721</v>
      </c>
      <c r="H12" s="32" t="s">
        <v>368</v>
      </c>
      <c r="I12" s="32" t="s">
        <v>230</v>
      </c>
      <c r="J12" s="32" t="s">
        <v>375</v>
      </c>
      <c r="K12" s="32"/>
      <c r="L12" s="33"/>
      <c r="M12" s="32"/>
      <c r="N12" s="32"/>
      <c r="O12" s="32"/>
      <c r="P12" s="32"/>
      <c r="Q12" s="32"/>
      <c r="R12" s="32"/>
      <c r="S12" s="32"/>
      <c r="T12" s="32"/>
      <c r="U12" s="34"/>
      <c r="V12" s="32"/>
      <c r="W12" s="162"/>
      <c r="X12" s="32"/>
      <c r="Y12" s="32"/>
      <c r="Z12" s="32"/>
      <c r="AA12" s="32"/>
      <c r="AB12" s="32"/>
      <c r="AC12" s="32"/>
      <c r="AD12" s="32"/>
      <c r="AE12" s="32"/>
    </row>
    <row r="13" spans="1:31" x14ac:dyDescent="0.25">
      <c r="A13" s="167">
        <v>1216965036</v>
      </c>
      <c r="B13" s="167" t="s">
        <v>762</v>
      </c>
      <c r="C13" s="167" t="s">
        <v>763</v>
      </c>
      <c r="D13" s="167" t="s">
        <v>354</v>
      </c>
      <c r="E13" s="167" t="s">
        <v>151</v>
      </c>
      <c r="F13" s="167" t="s">
        <v>440</v>
      </c>
      <c r="G13" s="167">
        <v>1721</v>
      </c>
      <c r="H13" s="167" t="s">
        <v>368</v>
      </c>
      <c r="I13" s="167" t="s">
        <v>230</v>
      </c>
      <c r="J13" s="167" t="s">
        <v>375</v>
      </c>
      <c r="K13" s="167" t="s">
        <v>655</v>
      </c>
      <c r="L13" s="168">
        <v>45376</v>
      </c>
      <c r="M13" s="167" t="s">
        <v>736</v>
      </c>
      <c r="N13" s="167" t="b">
        <v>0</v>
      </c>
      <c r="O13" s="167">
        <v>23</v>
      </c>
      <c r="P13" s="167">
        <v>100</v>
      </c>
      <c r="Q13" s="167" t="s">
        <v>458</v>
      </c>
      <c r="R13" s="167" t="s">
        <v>458</v>
      </c>
      <c r="S13" s="167" t="s">
        <v>458</v>
      </c>
      <c r="T13" s="167" t="s">
        <v>458</v>
      </c>
      <c r="U13" s="169">
        <v>0.15625</v>
      </c>
      <c r="V13" s="167">
        <v>100</v>
      </c>
      <c r="W13" s="170">
        <v>1.0888888888888888</v>
      </c>
      <c r="X13" s="167">
        <v>49</v>
      </c>
      <c r="Y13" s="167" t="s">
        <v>458</v>
      </c>
      <c r="Z13" s="167" t="s">
        <v>458</v>
      </c>
      <c r="AA13" s="167">
        <v>249</v>
      </c>
      <c r="AB13" s="167" t="s">
        <v>737</v>
      </c>
      <c r="AC13" s="167" t="s">
        <v>458</v>
      </c>
      <c r="AD13" s="167" t="b">
        <v>0</v>
      </c>
      <c r="AE13" s="167" t="s">
        <v>458</v>
      </c>
    </row>
    <row r="14" spans="1:31" x14ac:dyDescent="0.25">
      <c r="A14" s="84">
        <v>1014426852</v>
      </c>
      <c r="B14" s="32" t="s">
        <v>764</v>
      </c>
      <c r="C14" s="32" t="s">
        <v>765</v>
      </c>
      <c r="D14" s="32" t="s">
        <v>354</v>
      </c>
      <c r="E14" s="32" t="s">
        <v>151</v>
      </c>
      <c r="F14" s="32" t="s">
        <v>440</v>
      </c>
      <c r="G14" s="32">
        <v>1721</v>
      </c>
      <c r="H14" s="32" t="s">
        <v>368</v>
      </c>
      <c r="I14" s="32" t="s">
        <v>230</v>
      </c>
      <c r="J14" s="32" t="s">
        <v>375</v>
      </c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4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spans="1:31" x14ac:dyDescent="0.25">
      <c r="A15" s="84">
        <v>1342870108</v>
      </c>
      <c r="B15" s="32" t="s">
        <v>766</v>
      </c>
      <c r="C15" s="32" t="s">
        <v>767</v>
      </c>
      <c r="D15" s="32" t="s">
        <v>354</v>
      </c>
      <c r="E15" s="32" t="s">
        <v>151</v>
      </c>
      <c r="F15" s="32" t="s">
        <v>440</v>
      </c>
      <c r="G15" s="32">
        <v>1721</v>
      </c>
      <c r="H15" s="32" t="s">
        <v>368</v>
      </c>
      <c r="I15" s="32" t="s">
        <v>230</v>
      </c>
      <c r="J15" s="32" t="s">
        <v>375</v>
      </c>
      <c r="K15" s="32"/>
      <c r="L15" s="33"/>
      <c r="M15" s="32"/>
      <c r="N15" s="32"/>
      <c r="O15" s="32"/>
      <c r="P15" s="32"/>
      <c r="Q15" s="32"/>
      <c r="R15" s="32"/>
      <c r="S15" s="32"/>
      <c r="T15" s="32"/>
      <c r="U15" s="34"/>
      <c r="V15" s="32"/>
      <c r="W15" s="34"/>
      <c r="X15" s="32"/>
      <c r="Y15" s="32"/>
      <c r="Z15" s="32"/>
      <c r="AA15" s="32"/>
      <c r="AB15" s="32"/>
      <c r="AC15" s="32"/>
      <c r="AD15" s="32"/>
      <c r="AE15" s="32"/>
    </row>
    <row r="16" spans="1:31" x14ac:dyDescent="0.25">
      <c r="A16" s="167">
        <v>1563539788</v>
      </c>
      <c r="B16" s="167" t="s">
        <v>768</v>
      </c>
      <c r="C16" s="167" t="s">
        <v>769</v>
      </c>
      <c r="D16" s="167" t="s">
        <v>354</v>
      </c>
      <c r="E16" s="167" t="s">
        <v>151</v>
      </c>
      <c r="F16" s="167" t="s">
        <v>440</v>
      </c>
      <c r="G16" s="167">
        <v>1721</v>
      </c>
      <c r="H16" s="167" t="s">
        <v>368</v>
      </c>
      <c r="I16" s="167" t="s">
        <v>230</v>
      </c>
      <c r="J16" s="167" t="s">
        <v>375</v>
      </c>
      <c r="K16" s="167" t="s">
        <v>655</v>
      </c>
      <c r="L16" s="168">
        <v>45373</v>
      </c>
      <c r="M16" s="167" t="s">
        <v>212</v>
      </c>
      <c r="N16" s="167" t="b">
        <v>0</v>
      </c>
      <c r="O16" s="167">
        <v>10</v>
      </c>
      <c r="P16" s="167">
        <v>57</v>
      </c>
      <c r="Q16" s="167" t="s">
        <v>458</v>
      </c>
      <c r="R16" s="167" t="s">
        <v>458</v>
      </c>
      <c r="S16" s="167" t="s">
        <v>458</v>
      </c>
      <c r="T16" s="167" t="s">
        <v>458</v>
      </c>
      <c r="U16" s="169">
        <v>0.15625</v>
      </c>
      <c r="V16" s="167">
        <v>100</v>
      </c>
      <c r="W16" s="170">
        <v>1.0277777777777779</v>
      </c>
      <c r="X16" s="167">
        <v>60</v>
      </c>
      <c r="Y16" s="167" t="s">
        <v>458</v>
      </c>
      <c r="Z16" s="167" t="s">
        <v>458</v>
      </c>
      <c r="AA16" s="167">
        <v>217</v>
      </c>
      <c r="AB16" s="167" t="s">
        <v>735</v>
      </c>
      <c r="AC16" s="167" t="s">
        <v>458</v>
      </c>
      <c r="AD16" s="167" t="b">
        <v>0</v>
      </c>
      <c r="AE16" s="167" t="s">
        <v>458</v>
      </c>
    </row>
    <row r="17" spans="1:31" x14ac:dyDescent="0.25">
      <c r="A17" s="84">
        <v>1243619874</v>
      </c>
      <c r="B17" s="32" t="s">
        <v>770</v>
      </c>
      <c r="C17" s="32" t="s">
        <v>771</v>
      </c>
      <c r="D17" s="32" t="s">
        <v>354</v>
      </c>
      <c r="E17" s="32" t="s">
        <v>147</v>
      </c>
      <c r="F17" s="32" t="s">
        <v>440</v>
      </c>
      <c r="G17" s="32">
        <v>1721</v>
      </c>
      <c r="H17" s="32" t="s">
        <v>368</v>
      </c>
      <c r="I17" s="32" t="s">
        <v>230</v>
      </c>
      <c r="J17" s="32" t="s">
        <v>375</v>
      </c>
      <c r="K17" s="32"/>
      <c r="L17" s="33"/>
      <c r="M17" s="32"/>
      <c r="N17" s="32"/>
      <c r="O17" s="32"/>
      <c r="P17" s="32"/>
      <c r="Q17" s="32"/>
      <c r="R17" s="32"/>
      <c r="S17" s="32"/>
      <c r="T17" s="32"/>
      <c r="U17" s="34"/>
      <c r="V17" s="32"/>
      <c r="W17" s="34"/>
      <c r="X17" s="32"/>
      <c r="Y17" s="32"/>
      <c r="Z17" s="32"/>
      <c r="AA17" s="32"/>
      <c r="AB17" s="32"/>
      <c r="AC17" s="32"/>
      <c r="AD17" s="32"/>
      <c r="AE17" s="32"/>
    </row>
    <row r="18" spans="1:31" x14ac:dyDescent="0.25">
      <c r="A18" s="84">
        <v>1204889319</v>
      </c>
      <c r="B18" s="32" t="s">
        <v>772</v>
      </c>
      <c r="C18" s="32" t="s">
        <v>773</v>
      </c>
      <c r="D18" s="32" t="s">
        <v>354</v>
      </c>
      <c r="E18" s="32" t="s">
        <v>170</v>
      </c>
      <c r="F18" s="32" t="s">
        <v>440</v>
      </c>
      <c r="G18" s="32">
        <v>1702</v>
      </c>
      <c r="H18" s="32" t="s">
        <v>414</v>
      </c>
      <c r="I18" s="32" t="s">
        <v>225</v>
      </c>
      <c r="J18" s="32" t="s">
        <v>360</v>
      </c>
      <c r="K18" s="157" t="s">
        <v>655</v>
      </c>
      <c r="L18" s="159">
        <v>45328</v>
      </c>
      <c r="M18" s="158" t="s">
        <v>212</v>
      </c>
      <c r="N18" s="158" t="b">
        <v>0</v>
      </c>
      <c r="O18" s="158">
        <v>19</v>
      </c>
      <c r="P18" s="158">
        <v>87</v>
      </c>
      <c r="Q18" s="158" t="s">
        <v>458</v>
      </c>
      <c r="R18" s="158" t="s">
        <v>458</v>
      </c>
      <c r="S18" s="158" t="s">
        <v>458</v>
      </c>
      <c r="T18" s="158" t="s">
        <v>458</v>
      </c>
      <c r="U18" s="160">
        <v>0.15625</v>
      </c>
      <c r="V18" s="158">
        <v>100</v>
      </c>
      <c r="W18" s="160">
        <v>0.97638888888888886</v>
      </c>
      <c r="X18" s="158">
        <v>66</v>
      </c>
      <c r="Y18" s="158" t="s">
        <v>458</v>
      </c>
      <c r="Z18" s="158" t="s">
        <v>458</v>
      </c>
      <c r="AA18" s="158">
        <v>253</v>
      </c>
      <c r="AB18" s="158" t="s">
        <v>737</v>
      </c>
      <c r="AC18" s="158" t="s">
        <v>458</v>
      </c>
      <c r="AD18" s="158" t="b">
        <v>0</v>
      </c>
      <c r="AE18" s="165" t="s">
        <v>458</v>
      </c>
    </row>
    <row r="19" spans="1:31" x14ac:dyDescent="0.25">
      <c r="A19" s="84">
        <v>1598039312</v>
      </c>
      <c r="B19" s="32" t="s">
        <v>774</v>
      </c>
      <c r="C19" s="32" t="s">
        <v>775</v>
      </c>
      <c r="D19" s="32" t="s">
        <v>354</v>
      </c>
      <c r="E19" s="32" t="s">
        <v>161</v>
      </c>
      <c r="F19" s="32" t="s">
        <v>440</v>
      </c>
      <c r="G19" s="32">
        <v>1721</v>
      </c>
      <c r="H19" s="32" t="s">
        <v>368</v>
      </c>
      <c r="I19" s="32" t="s">
        <v>225</v>
      </c>
      <c r="J19" s="32" t="s">
        <v>375</v>
      </c>
      <c r="K19" s="32"/>
      <c r="L19" s="33"/>
      <c r="M19" s="32"/>
      <c r="N19" s="32"/>
      <c r="O19" s="32"/>
      <c r="P19" s="32"/>
      <c r="Q19" s="32"/>
      <c r="R19" s="32"/>
      <c r="S19" s="32"/>
      <c r="T19" s="32"/>
      <c r="U19" s="34"/>
      <c r="V19" s="32"/>
      <c r="W19" s="162"/>
      <c r="X19" s="32"/>
      <c r="Y19" s="32"/>
      <c r="Z19" s="32"/>
      <c r="AA19" s="32"/>
      <c r="AB19" s="32"/>
      <c r="AC19" s="32"/>
      <c r="AD19" s="32"/>
      <c r="AE19" s="32"/>
    </row>
    <row r="20" spans="1:31" x14ac:dyDescent="0.25">
      <c r="A20" s="84">
        <v>1057200841</v>
      </c>
      <c r="B20" s="32" t="s">
        <v>776</v>
      </c>
      <c r="C20" s="32" t="s">
        <v>777</v>
      </c>
      <c r="D20" s="32" t="s">
        <v>354</v>
      </c>
      <c r="E20" s="32" t="s">
        <v>158</v>
      </c>
      <c r="F20" s="32" t="s">
        <v>440</v>
      </c>
      <c r="G20" s="32">
        <v>1721</v>
      </c>
      <c r="H20" s="32" t="s">
        <v>368</v>
      </c>
      <c r="I20" s="32" t="s">
        <v>225</v>
      </c>
      <c r="J20" s="32" t="s">
        <v>375</v>
      </c>
      <c r="K20" s="32"/>
      <c r="L20" s="33"/>
      <c r="M20" s="32"/>
      <c r="N20" s="32"/>
      <c r="O20" s="32"/>
      <c r="P20" s="32"/>
      <c r="Q20" s="32"/>
      <c r="R20" s="32"/>
      <c r="S20" s="32"/>
      <c r="T20" s="32"/>
      <c r="U20" s="34"/>
      <c r="V20" s="32"/>
      <c r="W20" s="34"/>
      <c r="X20" s="32"/>
      <c r="Y20" s="32"/>
      <c r="Z20" s="32"/>
      <c r="AA20" s="32"/>
      <c r="AB20" s="32"/>
      <c r="AC20" s="32"/>
      <c r="AD20" s="32"/>
      <c r="AE20" s="32"/>
    </row>
    <row r="21" spans="1:31" x14ac:dyDescent="0.25">
      <c r="A21" s="157">
        <v>1605838371</v>
      </c>
      <c r="B21" s="158" t="s">
        <v>778</v>
      </c>
      <c r="C21" s="158" t="s">
        <v>779</v>
      </c>
      <c r="D21" s="158" t="s">
        <v>354</v>
      </c>
      <c r="E21" s="158" t="s">
        <v>158</v>
      </c>
      <c r="F21" s="158" t="s">
        <v>440</v>
      </c>
      <c r="G21" s="158">
        <v>1721</v>
      </c>
      <c r="H21" s="158" t="s">
        <v>368</v>
      </c>
      <c r="I21" s="158" t="s">
        <v>225</v>
      </c>
      <c r="J21" s="158" t="s">
        <v>375</v>
      </c>
      <c r="K21" s="158" t="s">
        <v>655</v>
      </c>
      <c r="L21" s="159">
        <v>45330</v>
      </c>
      <c r="M21" s="158" t="s">
        <v>212</v>
      </c>
      <c r="N21" s="158" t="b">
        <v>0</v>
      </c>
      <c r="O21" s="158">
        <v>20</v>
      </c>
      <c r="P21" s="158">
        <v>100</v>
      </c>
      <c r="Q21" s="158" t="s">
        <v>458</v>
      </c>
      <c r="R21" s="158" t="s">
        <v>458</v>
      </c>
      <c r="S21" s="158" t="s">
        <v>458</v>
      </c>
      <c r="T21" s="158" t="s">
        <v>458</v>
      </c>
      <c r="U21" s="160">
        <v>0.15625</v>
      </c>
      <c r="V21" s="158">
        <v>100</v>
      </c>
      <c r="W21" s="160">
        <v>0.78819444444444453</v>
      </c>
      <c r="X21" s="158">
        <v>94</v>
      </c>
      <c r="Y21" s="158" t="s">
        <v>458</v>
      </c>
      <c r="Z21" s="158" t="s">
        <v>458</v>
      </c>
      <c r="AA21" s="158">
        <v>294</v>
      </c>
      <c r="AB21" s="158" t="s">
        <v>737</v>
      </c>
      <c r="AC21" s="158" t="s">
        <v>458</v>
      </c>
      <c r="AD21" s="158" t="b">
        <v>0</v>
      </c>
      <c r="AE21" s="158" t="s">
        <v>458</v>
      </c>
    </row>
    <row r="22" spans="1:31" x14ac:dyDescent="0.25">
      <c r="A22" s="84">
        <v>1583777566</v>
      </c>
      <c r="B22" s="32" t="s">
        <v>780</v>
      </c>
      <c r="C22" s="32" t="s">
        <v>781</v>
      </c>
      <c r="D22" s="32" t="s">
        <v>354</v>
      </c>
      <c r="E22" s="32" t="s">
        <v>155</v>
      </c>
      <c r="F22" s="32" t="s">
        <v>440</v>
      </c>
      <c r="G22" s="32">
        <v>1721</v>
      </c>
      <c r="H22" s="32" t="s">
        <v>368</v>
      </c>
      <c r="I22" s="32" t="s">
        <v>225</v>
      </c>
      <c r="J22" s="32" t="s">
        <v>375</v>
      </c>
      <c r="K22" s="32"/>
      <c r="L22" s="33"/>
      <c r="M22" s="32"/>
      <c r="N22" s="32"/>
      <c r="O22" s="32"/>
      <c r="P22" s="32"/>
      <c r="Q22" s="32"/>
      <c r="R22" s="32"/>
      <c r="S22" s="32"/>
      <c r="T22" s="32"/>
      <c r="U22" s="34"/>
      <c r="V22" s="32"/>
      <c r="W22" s="34"/>
      <c r="X22" s="32"/>
      <c r="Y22" s="32"/>
      <c r="Z22" s="32"/>
      <c r="AA22" s="32"/>
      <c r="AB22" s="32"/>
      <c r="AC22" s="32"/>
      <c r="AD22" s="32"/>
      <c r="AE22" s="32"/>
    </row>
    <row r="23" spans="1:31" x14ac:dyDescent="0.25">
      <c r="A23" s="84">
        <v>1309210629</v>
      </c>
      <c r="B23" s="32" t="s">
        <v>782</v>
      </c>
      <c r="C23" s="32" t="s">
        <v>783</v>
      </c>
      <c r="D23" s="32" t="s">
        <v>354</v>
      </c>
      <c r="E23" s="32" t="s">
        <v>155</v>
      </c>
      <c r="F23" s="32" t="s">
        <v>440</v>
      </c>
      <c r="G23" s="32">
        <v>1721</v>
      </c>
      <c r="H23" s="32" t="s">
        <v>368</v>
      </c>
      <c r="I23" s="32" t="s">
        <v>225</v>
      </c>
      <c r="J23" s="32" t="s">
        <v>375</v>
      </c>
      <c r="K23" s="32"/>
      <c r="L23" s="33"/>
      <c r="M23" s="32"/>
      <c r="N23" s="32"/>
      <c r="O23" s="32"/>
      <c r="P23" s="32"/>
      <c r="Q23" s="32"/>
      <c r="R23" s="32"/>
      <c r="S23" s="32"/>
      <c r="T23" s="32"/>
      <c r="U23" s="34"/>
      <c r="V23" s="32"/>
      <c r="W23" s="34"/>
      <c r="X23" s="32"/>
      <c r="Y23" s="32"/>
      <c r="Z23" s="32"/>
      <c r="AA23" s="32"/>
      <c r="AB23" s="32"/>
      <c r="AC23" s="32"/>
      <c r="AD23" s="32"/>
      <c r="AE23" s="32"/>
    </row>
    <row r="24" spans="1:31" x14ac:dyDescent="0.25">
      <c r="A24" s="84">
        <v>1068605275</v>
      </c>
      <c r="B24" s="32" t="s">
        <v>784</v>
      </c>
      <c r="C24" s="32" t="s">
        <v>785</v>
      </c>
      <c r="D24" s="32" t="s">
        <v>354</v>
      </c>
      <c r="E24" s="32" t="s">
        <v>155</v>
      </c>
      <c r="F24" s="32" t="s">
        <v>440</v>
      </c>
      <c r="G24" s="32">
        <v>1700</v>
      </c>
      <c r="H24" s="32" t="s">
        <v>368</v>
      </c>
      <c r="I24" s="32" t="s">
        <v>225</v>
      </c>
      <c r="J24" s="32" t="s">
        <v>375</v>
      </c>
      <c r="K24" s="32"/>
      <c r="L24" s="33"/>
      <c r="M24" s="32"/>
      <c r="N24" s="32"/>
      <c r="O24" s="32"/>
      <c r="P24" s="32"/>
      <c r="Q24" s="32"/>
      <c r="R24" s="32"/>
      <c r="S24" s="32"/>
      <c r="T24" s="32"/>
      <c r="U24" s="34"/>
      <c r="V24" s="32"/>
      <c r="W24" s="34"/>
      <c r="X24" s="32"/>
      <c r="Y24" s="32"/>
      <c r="Z24" s="32"/>
      <c r="AA24" s="32"/>
      <c r="AB24" s="32"/>
      <c r="AC24" s="32"/>
      <c r="AD24" s="32"/>
      <c r="AE24" s="32"/>
    </row>
    <row r="25" spans="1:31" x14ac:dyDescent="0.25">
      <c r="A25" s="84">
        <v>1504022008</v>
      </c>
      <c r="B25" s="32" t="s">
        <v>786</v>
      </c>
      <c r="C25" s="32" t="s">
        <v>787</v>
      </c>
      <c r="D25" s="32" t="s">
        <v>354</v>
      </c>
      <c r="E25" s="32" t="s">
        <v>151</v>
      </c>
      <c r="F25" s="32" t="s">
        <v>440</v>
      </c>
      <c r="G25" s="32">
        <v>1721</v>
      </c>
      <c r="H25" s="32" t="s">
        <v>368</v>
      </c>
      <c r="I25" s="32" t="s">
        <v>225</v>
      </c>
      <c r="J25" s="32" t="s">
        <v>375</v>
      </c>
      <c r="K25" s="32"/>
      <c r="L25" s="33"/>
      <c r="M25" s="32"/>
      <c r="N25" s="32"/>
      <c r="O25" s="32"/>
      <c r="P25" s="32"/>
      <c r="Q25" s="32"/>
      <c r="R25" s="32"/>
      <c r="S25" s="32"/>
      <c r="T25" s="32"/>
      <c r="U25" s="34"/>
      <c r="V25" s="32"/>
      <c r="W25" s="34"/>
      <c r="X25" s="32"/>
      <c r="Y25" s="32"/>
      <c r="Z25" s="32"/>
      <c r="AA25" s="32"/>
      <c r="AB25" s="32"/>
      <c r="AC25" s="32"/>
      <c r="AD25" s="32"/>
      <c r="AE25" s="32"/>
    </row>
    <row r="26" spans="1:31" x14ac:dyDescent="0.25">
      <c r="A26" s="84">
        <v>1306349386</v>
      </c>
      <c r="B26" s="32" t="s">
        <v>788</v>
      </c>
      <c r="C26" s="32" t="s">
        <v>789</v>
      </c>
      <c r="D26" s="32" t="s">
        <v>354</v>
      </c>
      <c r="E26" s="32" t="s">
        <v>151</v>
      </c>
      <c r="F26" s="32" t="s">
        <v>440</v>
      </c>
      <c r="G26" s="32">
        <v>1721</v>
      </c>
      <c r="H26" s="32" t="s">
        <v>368</v>
      </c>
      <c r="I26" s="32" t="s">
        <v>225</v>
      </c>
      <c r="J26" s="32" t="s">
        <v>375</v>
      </c>
      <c r="K26" s="32"/>
      <c r="L26" s="33"/>
      <c r="M26" s="32"/>
      <c r="N26" s="32"/>
      <c r="O26" s="32"/>
      <c r="P26" s="32"/>
      <c r="Q26" s="32"/>
      <c r="R26" s="32"/>
      <c r="S26" s="32"/>
      <c r="T26" s="32"/>
      <c r="U26" s="34"/>
      <c r="V26" s="32"/>
      <c r="W26" s="162"/>
      <c r="X26" s="32"/>
      <c r="Y26" s="32"/>
      <c r="Z26" s="32"/>
      <c r="AA26" s="32"/>
      <c r="AB26" s="32"/>
      <c r="AC26" s="32"/>
      <c r="AD26" s="32"/>
      <c r="AE26" s="32"/>
    </row>
    <row r="27" spans="1:31" x14ac:dyDescent="0.25">
      <c r="A27" s="84">
        <v>1320652076</v>
      </c>
      <c r="B27" s="32" t="s">
        <v>790</v>
      </c>
      <c r="C27" s="32" t="s">
        <v>791</v>
      </c>
      <c r="D27" s="32" t="s">
        <v>354</v>
      </c>
      <c r="E27" s="32" t="s">
        <v>151</v>
      </c>
      <c r="F27" s="32" t="s">
        <v>440</v>
      </c>
      <c r="G27" s="32">
        <v>1721</v>
      </c>
      <c r="H27" s="32" t="s">
        <v>368</v>
      </c>
      <c r="I27" s="32" t="s">
        <v>225</v>
      </c>
      <c r="J27" s="32" t="s">
        <v>375</v>
      </c>
      <c r="K27" s="32"/>
      <c r="L27" s="33"/>
      <c r="M27" s="32"/>
      <c r="N27" s="32"/>
      <c r="O27" s="32"/>
      <c r="P27" s="32"/>
      <c r="Q27" s="32"/>
      <c r="R27" s="32"/>
      <c r="S27" s="32"/>
      <c r="T27" s="32"/>
      <c r="U27" s="34"/>
      <c r="V27" s="32"/>
      <c r="W27" s="162"/>
      <c r="X27" s="32"/>
      <c r="Y27" s="32"/>
      <c r="Z27" s="32"/>
      <c r="AA27" s="32"/>
      <c r="AB27" s="32"/>
      <c r="AC27" s="32"/>
      <c r="AD27" s="32"/>
      <c r="AE27" s="32"/>
    </row>
    <row r="28" spans="1:31" x14ac:dyDescent="0.25">
      <c r="A28" s="84">
        <v>1478966980</v>
      </c>
      <c r="B28" s="32" t="s">
        <v>792</v>
      </c>
      <c r="C28" s="32" t="s">
        <v>793</v>
      </c>
      <c r="D28" s="32" t="s">
        <v>354</v>
      </c>
      <c r="E28" s="32" t="s">
        <v>151</v>
      </c>
      <c r="F28" s="32" t="s">
        <v>440</v>
      </c>
      <c r="G28" s="32">
        <v>1721</v>
      </c>
      <c r="H28" s="32" t="s">
        <v>368</v>
      </c>
      <c r="I28" s="32" t="s">
        <v>225</v>
      </c>
      <c r="J28" s="32" t="s">
        <v>375</v>
      </c>
      <c r="K28" s="32"/>
      <c r="L28" s="33"/>
      <c r="M28" s="32"/>
      <c r="N28" s="32"/>
      <c r="O28" s="32"/>
      <c r="P28" s="32"/>
      <c r="Q28" s="32"/>
      <c r="R28" s="32"/>
      <c r="S28" s="32"/>
      <c r="T28" s="32"/>
      <c r="U28" s="34"/>
      <c r="V28" s="32"/>
      <c r="W28" s="162"/>
      <c r="X28" s="32"/>
      <c r="Y28" s="32"/>
      <c r="Z28" s="32"/>
      <c r="AA28" s="32"/>
      <c r="AB28" s="32"/>
      <c r="AC28" s="32"/>
      <c r="AD28" s="32"/>
      <c r="AE28" s="32"/>
    </row>
    <row r="29" spans="1:31" x14ac:dyDescent="0.25">
      <c r="A29" s="84">
        <v>1308481514</v>
      </c>
      <c r="B29" s="32" t="s">
        <v>794</v>
      </c>
      <c r="C29" s="32" t="s">
        <v>795</v>
      </c>
      <c r="D29" s="32" t="s">
        <v>354</v>
      </c>
      <c r="E29" s="32" t="s">
        <v>151</v>
      </c>
      <c r="F29" s="32" t="s">
        <v>440</v>
      </c>
      <c r="G29" s="32">
        <v>1721</v>
      </c>
      <c r="H29" s="32" t="s">
        <v>368</v>
      </c>
      <c r="I29" s="32" t="s">
        <v>225</v>
      </c>
      <c r="J29" s="32" t="s">
        <v>375</v>
      </c>
      <c r="K29" s="32"/>
      <c r="L29" s="33"/>
      <c r="M29" s="32"/>
      <c r="N29" s="32"/>
      <c r="O29" s="32"/>
      <c r="P29" s="32"/>
      <c r="Q29" s="32"/>
      <c r="R29" s="32"/>
      <c r="S29" s="32"/>
      <c r="T29" s="32"/>
      <c r="U29" s="34"/>
      <c r="V29" s="32"/>
      <c r="W29" s="162"/>
      <c r="X29" s="32"/>
      <c r="Y29" s="32"/>
      <c r="Z29" s="32"/>
      <c r="AA29" s="32"/>
      <c r="AB29" s="32"/>
      <c r="AC29" s="32"/>
      <c r="AD29" s="32"/>
      <c r="AE29" s="32"/>
    </row>
    <row r="30" spans="1:31" x14ac:dyDescent="0.25">
      <c r="A30" s="84">
        <v>1511922179</v>
      </c>
      <c r="B30" s="32" t="s">
        <v>796</v>
      </c>
      <c r="C30" s="32" t="s">
        <v>797</v>
      </c>
      <c r="D30" s="32" t="s">
        <v>354</v>
      </c>
      <c r="E30" s="32" t="s">
        <v>151</v>
      </c>
      <c r="F30" s="32" t="s">
        <v>440</v>
      </c>
      <c r="G30" s="32">
        <v>1721</v>
      </c>
      <c r="H30" s="32" t="s">
        <v>368</v>
      </c>
      <c r="I30" s="32" t="s">
        <v>225</v>
      </c>
      <c r="J30" s="32" t="s">
        <v>375</v>
      </c>
      <c r="K30" s="32"/>
      <c r="L30" s="33"/>
      <c r="M30" s="32"/>
      <c r="N30" s="32"/>
      <c r="O30" s="32"/>
      <c r="P30" s="32"/>
      <c r="Q30" s="32"/>
      <c r="R30" s="32"/>
      <c r="S30" s="32"/>
      <c r="T30" s="32"/>
      <c r="U30" s="34"/>
      <c r="V30" s="32"/>
      <c r="W30" s="162"/>
      <c r="X30" s="32"/>
      <c r="Y30" s="32"/>
      <c r="Z30" s="32"/>
      <c r="AA30" s="32"/>
      <c r="AB30" s="32"/>
      <c r="AC30" s="32"/>
      <c r="AD30" s="32"/>
      <c r="AE30" s="32"/>
    </row>
    <row r="31" spans="1:31" x14ac:dyDescent="0.25">
      <c r="A31" s="171">
        <v>1363966758</v>
      </c>
      <c r="B31" s="78" t="s">
        <v>798</v>
      </c>
      <c r="C31" s="78" t="s">
        <v>799</v>
      </c>
      <c r="D31" s="78" t="s">
        <v>354</v>
      </c>
      <c r="E31" s="78" t="s">
        <v>151</v>
      </c>
      <c r="F31" s="78" t="s">
        <v>440</v>
      </c>
      <c r="G31" s="78">
        <v>1721</v>
      </c>
      <c r="H31" s="78" t="s">
        <v>368</v>
      </c>
      <c r="I31" s="78" t="s">
        <v>225</v>
      </c>
      <c r="J31" s="78" t="s">
        <v>375</v>
      </c>
      <c r="K31" s="78" t="s">
        <v>655</v>
      </c>
      <c r="L31" s="172">
        <v>45376</v>
      </c>
      <c r="M31" s="78" t="s">
        <v>736</v>
      </c>
      <c r="N31" s="78" t="b">
        <v>0</v>
      </c>
      <c r="O31" s="78">
        <v>16</v>
      </c>
      <c r="P31" s="78">
        <v>77</v>
      </c>
      <c r="Q31" s="78" t="s">
        <v>458</v>
      </c>
      <c r="R31" s="78" t="s">
        <v>458</v>
      </c>
      <c r="S31" s="78" t="s">
        <v>458</v>
      </c>
      <c r="T31" s="78" t="s">
        <v>458</v>
      </c>
      <c r="U31" s="174">
        <v>0.15625</v>
      </c>
      <c r="V31" s="78">
        <v>100</v>
      </c>
      <c r="W31" s="174">
        <v>0.88263888888888886</v>
      </c>
      <c r="X31" s="78">
        <v>79</v>
      </c>
      <c r="Y31" s="78" t="s">
        <v>458</v>
      </c>
      <c r="Z31" s="78" t="s">
        <v>458</v>
      </c>
      <c r="AA31" s="78">
        <v>256</v>
      </c>
      <c r="AB31" s="78" t="s">
        <v>737</v>
      </c>
      <c r="AC31" s="78" t="s">
        <v>458</v>
      </c>
      <c r="AD31" s="78" t="b">
        <v>0</v>
      </c>
      <c r="AE31" s="78" t="s">
        <v>458</v>
      </c>
    </row>
    <row r="32" spans="1:31" x14ac:dyDescent="0.25">
      <c r="A32" s="84">
        <v>1212075255</v>
      </c>
      <c r="B32" s="32" t="s">
        <v>800</v>
      </c>
      <c r="C32" s="32" t="s">
        <v>801</v>
      </c>
      <c r="D32" s="32" t="s">
        <v>354</v>
      </c>
      <c r="E32" s="32" t="s">
        <v>147</v>
      </c>
      <c r="F32" s="32" t="s">
        <v>440</v>
      </c>
      <c r="G32" s="32">
        <v>1721</v>
      </c>
      <c r="H32" s="32" t="s">
        <v>368</v>
      </c>
      <c r="I32" s="32" t="s">
        <v>225</v>
      </c>
      <c r="J32" s="32" t="s">
        <v>375</v>
      </c>
      <c r="K32" s="32"/>
      <c r="L32" s="33"/>
      <c r="M32" s="32"/>
      <c r="N32" s="32"/>
      <c r="O32" s="32"/>
      <c r="P32" s="32"/>
      <c r="Q32" s="32"/>
      <c r="R32" s="32"/>
      <c r="S32" s="32"/>
      <c r="T32" s="32"/>
      <c r="U32" s="34"/>
      <c r="V32" s="32"/>
      <c r="W32" s="162"/>
      <c r="X32" s="32"/>
      <c r="Y32" s="32"/>
      <c r="Z32" s="32"/>
      <c r="AA32" s="32"/>
      <c r="AB32" s="32"/>
      <c r="AC32" s="32"/>
      <c r="AD32" s="32"/>
      <c r="AE32" s="32"/>
    </row>
    <row r="33" spans="1:31" x14ac:dyDescent="0.25">
      <c r="A33" s="84">
        <v>1039148847</v>
      </c>
      <c r="B33" s="32" t="s">
        <v>802</v>
      </c>
      <c r="C33" s="32" t="s">
        <v>803</v>
      </c>
      <c r="D33" s="32" t="s">
        <v>354</v>
      </c>
      <c r="E33" s="32" t="s">
        <v>170</v>
      </c>
      <c r="F33" s="32" t="s">
        <v>440</v>
      </c>
      <c r="G33" s="32">
        <v>1702</v>
      </c>
      <c r="H33" s="32" t="s">
        <v>368</v>
      </c>
      <c r="I33" s="32" t="s">
        <v>211</v>
      </c>
      <c r="J33" s="32" t="s">
        <v>360</v>
      </c>
      <c r="K33" s="32"/>
      <c r="L33" s="33"/>
      <c r="M33" s="32"/>
      <c r="N33" s="32"/>
      <c r="O33" s="32"/>
      <c r="P33" s="32"/>
      <c r="Q33" s="32"/>
      <c r="R33" s="32"/>
      <c r="S33" s="32"/>
      <c r="T33" s="32"/>
      <c r="U33" s="34"/>
      <c r="V33" s="32"/>
      <c r="W33" s="34"/>
      <c r="X33" s="32"/>
      <c r="Y33" s="32"/>
      <c r="Z33" s="32"/>
      <c r="AA33" s="32"/>
      <c r="AB33" s="32"/>
      <c r="AC33" s="32"/>
      <c r="AD33" s="32"/>
      <c r="AE33" s="32"/>
    </row>
    <row r="34" spans="1:31" x14ac:dyDescent="0.25">
      <c r="A34" s="84">
        <v>1282303798</v>
      </c>
      <c r="B34" s="32" t="s">
        <v>804</v>
      </c>
      <c r="C34" s="32" t="s">
        <v>805</v>
      </c>
      <c r="D34" s="32" t="s">
        <v>354</v>
      </c>
      <c r="E34" s="32" t="s">
        <v>161</v>
      </c>
      <c r="F34" s="32" t="s">
        <v>440</v>
      </c>
      <c r="G34" s="32">
        <v>1721</v>
      </c>
      <c r="H34" s="32" t="s">
        <v>414</v>
      </c>
      <c r="I34" s="32" t="s">
        <v>211</v>
      </c>
      <c r="J34" s="32" t="s">
        <v>375</v>
      </c>
      <c r="K34" s="32"/>
      <c r="L34" s="33"/>
      <c r="M34" s="32"/>
      <c r="N34" s="32"/>
      <c r="O34" s="32"/>
      <c r="P34" s="32"/>
      <c r="Q34" s="32"/>
      <c r="R34" s="32"/>
      <c r="S34" s="32"/>
      <c r="T34" s="32"/>
      <c r="U34" s="34"/>
      <c r="V34" s="32"/>
      <c r="W34" s="34"/>
      <c r="X34" s="32"/>
      <c r="Y34" s="32"/>
      <c r="Z34" s="32"/>
      <c r="AA34" s="32"/>
      <c r="AB34" s="32"/>
      <c r="AC34" s="32"/>
      <c r="AD34" s="32"/>
      <c r="AE34" s="32"/>
    </row>
    <row r="35" spans="1:31" x14ac:dyDescent="0.25">
      <c r="A35" s="84">
        <v>1456272150</v>
      </c>
      <c r="B35" s="32" t="s">
        <v>806</v>
      </c>
      <c r="C35" s="32" t="s">
        <v>807</v>
      </c>
      <c r="D35" s="32" t="s">
        <v>354</v>
      </c>
      <c r="E35" s="32" t="s">
        <v>158</v>
      </c>
      <c r="F35" s="32" t="s">
        <v>440</v>
      </c>
      <c r="G35" s="32">
        <v>1721</v>
      </c>
      <c r="H35" s="32" t="s">
        <v>368</v>
      </c>
      <c r="I35" s="32" t="s">
        <v>211</v>
      </c>
      <c r="J35" s="32" t="s">
        <v>375</v>
      </c>
      <c r="K35" s="32"/>
      <c r="L35" s="33"/>
      <c r="M35" s="32"/>
      <c r="N35" s="32"/>
      <c r="O35" s="32"/>
      <c r="P35" s="32"/>
      <c r="Q35" s="32"/>
      <c r="R35" s="32"/>
      <c r="S35" s="32"/>
      <c r="T35" s="32"/>
      <c r="U35" s="34"/>
      <c r="V35" s="32"/>
      <c r="W35" s="34"/>
      <c r="X35" s="32"/>
      <c r="Y35" s="32"/>
      <c r="Z35" s="32"/>
      <c r="AA35" s="32"/>
      <c r="AB35" s="32"/>
      <c r="AC35" s="32"/>
      <c r="AD35" s="32"/>
      <c r="AE35" s="32"/>
    </row>
    <row r="36" spans="1:31" x14ac:dyDescent="0.25">
      <c r="A36" s="84">
        <v>1364104581</v>
      </c>
      <c r="B36" s="32" t="s">
        <v>808</v>
      </c>
      <c r="C36" s="32" t="s">
        <v>809</v>
      </c>
      <c r="D36" s="32" t="s">
        <v>354</v>
      </c>
      <c r="E36" s="32" t="s">
        <v>158</v>
      </c>
      <c r="F36" s="32" t="s">
        <v>440</v>
      </c>
      <c r="G36" s="32">
        <v>1721</v>
      </c>
      <c r="H36" s="32" t="s">
        <v>368</v>
      </c>
      <c r="I36" s="32" t="s">
        <v>211</v>
      </c>
      <c r="J36" s="32" t="s">
        <v>375</v>
      </c>
      <c r="K36" s="32"/>
      <c r="L36" s="33"/>
      <c r="M36" s="32"/>
      <c r="N36" s="32"/>
      <c r="O36" s="32"/>
      <c r="P36" s="32"/>
      <c r="Q36" s="32"/>
      <c r="R36" s="32"/>
      <c r="S36" s="32"/>
      <c r="T36" s="32"/>
      <c r="U36" s="34"/>
      <c r="V36" s="32"/>
      <c r="W36" s="34"/>
      <c r="X36" s="32"/>
      <c r="Y36" s="32"/>
      <c r="Z36" s="32"/>
      <c r="AA36" s="32"/>
      <c r="AB36" s="32"/>
      <c r="AC36" s="32"/>
      <c r="AD36" s="32"/>
      <c r="AE36" s="32"/>
    </row>
    <row r="37" spans="1:31" x14ac:dyDescent="0.25">
      <c r="A37" s="84">
        <v>1599673202</v>
      </c>
      <c r="B37" s="32" t="s">
        <v>810</v>
      </c>
      <c r="C37" s="32" t="s">
        <v>811</v>
      </c>
      <c r="D37" s="32" t="s">
        <v>354</v>
      </c>
      <c r="E37" s="32" t="s">
        <v>155</v>
      </c>
      <c r="F37" s="32" t="s">
        <v>440</v>
      </c>
      <c r="G37" s="32">
        <v>1721</v>
      </c>
      <c r="H37" s="32" t="s">
        <v>368</v>
      </c>
      <c r="I37" s="32" t="s">
        <v>211</v>
      </c>
      <c r="J37" s="32" t="s">
        <v>375</v>
      </c>
      <c r="K37" s="157"/>
      <c r="L37" s="159"/>
      <c r="M37" s="158"/>
      <c r="N37" s="158"/>
      <c r="O37" s="158"/>
      <c r="P37" s="158"/>
      <c r="Q37" s="158"/>
      <c r="R37" s="158"/>
      <c r="S37" s="158"/>
      <c r="T37" s="158"/>
      <c r="U37" s="160"/>
      <c r="V37" s="158"/>
      <c r="W37" s="160"/>
      <c r="X37" s="158"/>
      <c r="Y37" s="158"/>
      <c r="Z37" s="158"/>
      <c r="AA37" s="158"/>
      <c r="AB37" s="158"/>
      <c r="AC37" s="158"/>
      <c r="AD37" s="158"/>
      <c r="AE37" s="158"/>
    </row>
    <row r="38" spans="1:31" x14ac:dyDescent="0.25">
      <c r="A38" s="84">
        <v>1163508456</v>
      </c>
      <c r="B38" s="32" t="s">
        <v>812</v>
      </c>
      <c r="C38" s="32" t="s">
        <v>813</v>
      </c>
      <c r="D38" s="32" t="s">
        <v>354</v>
      </c>
      <c r="E38" s="32" t="s">
        <v>155</v>
      </c>
      <c r="F38" s="32" t="s">
        <v>440</v>
      </c>
      <c r="G38" s="32">
        <v>1721</v>
      </c>
      <c r="H38" s="32" t="s">
        <v>368</v>
      </c>
      <c r="I38" s="32" t="s">
        <v>211</v>
      </c>
      <c r="J38" s="32" t="s">
        <v>375</v>
      </c>
      <c r="K38" s="32" t="s">
        <v>655</v>
      </c>
      <c r="L38" s="33">
        <v>45328</v>
      </c>
      <c r="M38" s="32" t="s">
        <v>212</v>
      </c>
      <c r="N38" s="32" t="b">
        <v>0</v>
      </c>
      <c r="O38" s="32">
        <v>23</v>
      </c>
      <c r="P38" s="32">
        <v>100</v>
      </c>
      <c r="Q38" s="32" t="s">
        <v>458</v>
      </c>
      <c r="R38" s="32" t="s">
        <v>458</v>
      </c>
      <c r="S38" s="32" t="s">
        <v>458</v>
      </c>
      <c r="T38" s="32" t="s">
        <v>458</v>
      </c>
      <c r="U38" s="34">
        <v>0.15625</v>
      </c>
      <c r="V38" s="32">
        <v>100</v>
      </c>
      <c r="W38" s="34">
        <v>0.97083333333333333</v>
      </c>
      <c r="X38" s="32">
        <v>67</v>
      </c>
      <c r="Y38" s="32" t="s">
        <v>458</v>
      </c>
      <c r="Z38" s="32" t="s">
        <v>458</v>
      </c>
      <c r="AA38" s="32">
        <v>267</v>
      </c>
      <c r="AB38" s="32" t="s">
        <v>737</v>
      </c>
      <c r="AC38" s="32" t="s">
        <v>458</v>
      </c>
      <c r="AD38" s="32" t="b">
        <v>0</v>
      </c>
      <c r="AE38" s="32" t="s">
        <v>458</v>
      </c>
    </row>
    <row r="39" spans="1:31" x14ac:dyDescent="0.25">
      <c r="A39" s="84">
        <v>1093026721</v>
      </c>
      <c r="B39" s="32" t="s">
        <v>814</v>
      </c>
      <c r="C39" s="32" t="s">
        <v>815</v>
      </c>
      <c r="D39" s="32" t="s">
        <v>354</v>
      </c>
      <c r="E39" s="32" t="s">
        <v>155</v>
      </c>
      <c r="F39" s="32" t="s">
        <v>440</v>
      </c>
      <c r="G39" s="32">
        <v>1700</v>
      </c>
      <c r="H39" s="32" t="s">
        <v>368</v>
      </c>
      <c r="I39" s="32" t="s">
        <v>211</v>
      </c>
      <c r="J39" s="32" t="s">
        <v>375</v>
      </c>
      <c r="K39" s="32"/>
      <c r="L39" s="33"/>
      <c r="M39" s="32"/>
      <c r="N39" s="32"/>
      <c r="O39" s="32"/>
      <c r="P39" s="32"/>
      <c r="Q39" s="32"/>
      <c r="R39" s="32"/>
      <c r="S39" s="32"/>
      <c r="T39" s="32"/>
      <c r="U39" s="34"/>
      <c r="V39" s="32"/>
      <c r="W39" s="34"/>
      <c r="X39" s="32"/>
      <c r="Y39" s="32"/>
      <c r="Z39" s="32"/>
      <c r="AA39" s="32"/>
      <c r="AB39" s="32"/>
      <c r="AC39" s="32"/>
      <c r="AD39" s="32"/>
      <c r="AE39" s="32"/>
    </row>
    <row r="40" spans="1:31" x14ac:dyDescent="0.25">
      <c r="A40" s="84">
        <v>1523342542</v>
      </c>
      <c r="B40" s="32" t="s">
        <v>816</v>
      </c>
      <c r="C40" s="32" t="s">
        <v>817</v>
      </c>
      <c r="D40" s="32" t="s">
        <v>354</v>
      </c>
      <c r="E40" s="32" t="s">
        <v>151</v>
      </c>
      <c r="F40" s="32" t="s">
        <v>440</v>
      </c>
      <c r="G40" s="32">
        <v>1721</v>
      </c>
      <c r="H40" s="32" t="s">
        <v>368</v>
      </c>
      <c r="I40" s="32" t="s">
        <v>211</v>
      </c>
      <c r="J40" s="32" t="s">
        <v>375</v>
      </c>
      <c r="K40" s="32"/>
      <c r="L40" s="33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 spans="1:31" x14ac:dyDescent="0.25">
      <c r="A41" s="84">
        <v>1128365853</v>
      </c>
      <c r="B41" s="32" t="s">
        <v>818</v>
      </c>
      <c r="C41" s="32" t="s">
        <v>819</v>
      </c>
      <c r="D41" s="32" t="s">
        <v>354</v>
      </c>
      <c r="E41" s="32" t="s">
        <v>151</v>
      </c>
      <c r="F41" s="32" t="s">
        <v>440</v>
      </c>
      <c r="G41" s="32">
        <v>1721</v>
      </c>
      <c r="H41" s="32" t="s">
        <v>368</v>
      </c>
      <c r="I41" s="32" t="s">
        <v>211</v>
      </c>
      <c r="J41" s="32" t="s">
        <v>375</v>
      </c>
      <c r="K41" s="32"/>
      <c r="L41" s="33"/>
      <c r="M41" s="32"/>
      <c r="N41" s="32"/>
      <c r="O41" s="32"/>
      <c r="P41" s="32"/>
      <c r="Q41" s="32"/>
      <c r="R41" s="32"/>
      <c r="S41" s="32"/>
      <c r="T41" s="32"/>
      <c r="U41" s="34"/>
      <c r="V41" s="32"/>
      <c r="W41" s="34"/>
      <c r="X41" s="32"/>
      <c r="Y41" s="32"/>
      <c r="Z41" s="32"/>
      <c r="AA41" s="32"/>
      <c r="AB41" s="32"/>
      <c r="AC41" s="32"/>
      <c r="AD41" s="32"/>
      <c r="AE41" s="32"/>
    </row>
    <row r="42" spans="1:31" x14ac:dyDescent="0.25">
      <c r="A42" s="84">
        <v>1164109197</v>
      </c>
      <c r="B42" s="32" t="s">
        <v>820</v>
      </c>
      <c r="C42" s="32" t="s">
        <v>821</v>
      </c>
      <c r="D42" s="32" t="s">
        <v>354</v>
      </c>
      <c r="E42" s="32" t="s">
        <v>151</v>
      </c>
      <c r="F42" s="32" t="s">
        <v>440</v>
      </c>
      <c r="G42" s="32">
        <v>1721</v>
      </c>
      <c r="H42" s="32" t="s">
        <v>368</v>
      </c>
      <c r="I42" s="32" t="s">
        <v>211</v>
      </c>
      <c r="J42" s="32" t="s">
        <v>375</v>
      </c>
      <c r="K42" s="32"/>
      <c r="L42" s="33"/>
      <c r="M42" s="32"/>
      <c r="N42" s="32"/>
      <c r="O42" s="32"/>
      <c r="P42" s="32"/>
      <c r="Q42" s="32"/>
      <c r="R42" s="32"/>
      <c r="S42" s="32"/>
      <c r="T42" s="32"/>
      <c r="U42" s="34"/>
      <c r="V42" s="32"/>
      <c r="W42" s="162"/>
      <c r="X42" s="32"/>
      <c r="Y42" s="32"/>
      <c r="Z42" s="32"/>
      <c r="AA42" s="32"/>
      <c r="AB42" s="32"/>
      <c r="AC42" s="32"/>
      <c r="AD42" s="32"/>
      <c r="AE42" s="32"/>
    </row>
    <row r="43" spans="1:31" x14ac:dyDescent="0.25">
      <c r="A43" s="84">
        <v>1397980725</v>
      </c>
      <c r="B43" s="32" t="s">
        <v>822</v>
      </c>
      <c r="C43" s="32" t="s">
        <v>823</v>
      </c>
      <c r="D43" s="32" t="s">
        <v>354</v>
      </c>
      <c r="E43" s="32" t="s">
        <v>151</v>
      </c>
      <c r="F43" s="32" t="s">
        <v>440</v>
      </c>
      <c r="G43" s="32">
        <v>1721</v>
      </c>
      <c r="H43" s="32" t="s">
        <v>368</v>
      </c>
      <c r="I43" s="32" t="s">
        <v>211</v>
      </c>
      <c r="J43" s="32" t="s">
        <v>375</v>
      </c>
      <c r="K43" s="32"/>
      <c r="L43" s="33"/>
      <c r="M43" s="32"/>
      <c r="N43" s="32"/>
      <c r="O43" s="32"/>
      <c r="P43" s="32"/>
      <c r="Q43" s="32"/>
      <c r="R43" s="32"/>
      <c r="S43" s="32"/>
      <c r="T43" s="32"/>
      <c r="U43" s="34"/>
      <c r="V43" s="32"/>
      <c r="W43" s="162"/>
      <c r="X43" s="32"/>
      <c r="Y43" s="32"/>
      <c r="Z43" s="32"/>
      <c r="AA43" s="32"/>
      <c r="AB43" s="32"/>
      <c r="AC43" s="32"/>
      <c r="AD43" s="32"/>
      <c r="AE43" s="32"/>
    </row>
    <row r="44" spans="1:31" x14ac:dyDescent="0.25">
      <c r="A44" s="84">
        <v>1135673321</v>
      </c>
      <c r="B44" s="32" t="s">
        <v>824</v>
      </c>
      <c r="C44" s="32" t="s">
        <v>825</v>
      </c>
      <c r="D44" s="32" t="s">
        <v>354</v>
      </c>
      <c r="E44" s="32" t="s">
        <v>151</v>
      </c>
      <c r="F44" s="32" t="s">
        <v>440</v>
      </c>
      <c r="G44" s="32">
        <v>1721</v>
      </c>
      <c r="H44" s="32" t="s">
        <v>368</v>
      </c>
      <c r="I44" s="32" t="s">
        <v>211</v>
      </c>
      <c r="J44" s="32" t="s">
        <v>375</v>
      </c>
      <c r="K44" s="32"/>
      <c r="L44" s="33"/>
      <c r="M44" s="32"/>
      <c r="N44" s="32"/>
      <c r="O44" s="32"/>
      <c r="P44" s="32"/>
      <c r="Q44" s="32"/>
      <c r="R44" s="32"/>
      <c r="S44" s="32"/>
      <c r="T44" s="32"/>
      <c r="U44" s="34"/>
      <c r="V44" s="32"/>
      <c r="W44" s="162"/>
      <c r="X44" s="32"/>
      <c r="Y44" s="32"/>
      <c r="Z44" s="32"/>
      <c r="AA44" s="32"/>
      <c r="AB44" s="32"/>
      <c r="AC44" s="32"/>
      <c r="AD44" s="32"/>
      <c r="AE44" s="32"/>
    </row>
    <row r="45" spans="1:31" x14ac:dyDescent="0.25">
      <c r="A45" s="84">
        <v>1502371969</v>
      </c>
      <c r="B45" s="32" t="s">
        <v>826</v>
      </c>
      <c r="C45" s="32" t="s">
        <v>827</v>
      </c>
      <c r="D45" s="32" t="s">
        <v>354</v>
      </c>
      <c r="E45" s="32" t="s">
        <v>151</v>
      </c>
      <c r="F45" s="32" t="s">
        <v>440</v>
      </c>
      <c r="G45" s="32">
        <v>1721</v>
      </c>
      <c r="H45" s="32" t="s">
        <v>368</v>
      </c>
      <c r="I45" s="32" t="s">
        <v>211</v>
      </c>
      <c r="J45" s="32" t="s">
        <v>375</v>
      </c>
      <c r="K45" s="32"/>
      <c r="L45" s="33"/>
      <c r="M45" s="32"/>
      <c r="N45" s="32"/>
      <c r="O45" s="32"/>
      <c r="P45" s="32"/>
      <c r="Q45" s="32"/>
      <c r="R45" s="32"/>
      <c r="S45" s="32"/>
      <c r="T45" s="32"/>
      <c r="U45" s="34"/>
      <c r="V45" s="32"/>
      <c r="W45" s="32"/>
      <c r="X45" s="32"/>
      <c r="Y45" s="32"/>
      <c r="Z45" s="32"/>
      <c r="AA45" s="32"/>
      <c r="AB45" s="32"/>
      <c r="AC45" s="32"/>
      <c r="AD45" s="32"/>
      <c r="AE45" s="32"/>
    </row>
    <row r="46" spans="1:31" x14ac:dyDescent="0.25">
      <c r="A46" s="84">
        <v>1397447603</v>
      </c>
      <c r="B46" s="32" t="s">
        <v>828</v>
      </c>
      <c r="C46" s="32" t="s">
        <v>829</v>
      </c>
      <c r="D46" s="32" t="s">
        <v>354</v>
      </c>
      <c r="E46" s="32" t="s">
        <v>151</v>
      </c>
      <c r="F46" s="32" t="s">
        <v>440</v>
      </c>
      <c r="G46" s="32">
        <v>1721</v>
      </c>
      <c r="H46" s="32" t="s">
        <v>368</v>
      </c>
      <c r="I46" s="32" t="s">
        <v>211</v>
      </c>
      <c r="J46" s="32" t="s">
        <v>375</v>
      </c>
      <c r="K46" s="32"/>
      <c r="L46" s="33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</row>
    <row r="47" spans="1:31" x14ac:dyDescent="0.25">
      <c r="A47" s="84">
        <v>1207085014</v>
      </c>
      <c r="B47" s="32" t="s">
        <v>830</v>
      </c>
      <c r="C47" s="32" t="s">
        <v>831</v>
      </c>
      <c r="D47" s="32" t="s">
        <v>354</v>
      </c>
      <c r="E47" s="32" t="s">
        <v>147</v>
      </c>
      <c r="F47" s="32" t="s">
        <v>440</v>
      </c>
      <c r="G47" s="32">
        <v>1721</v>
      </c>
      <c r="H47" s="32" t="s">
        <v>414</v>
      </c>
      <c r="I47" s="32" t="s">
        <v>211</v>
      </c>
      <c r="J47" s="32" t="s">
        <v>375</v>
      </c>
      <c r="K47" s="32"/>
      <c r="L47" s="33"/>
      <c r="M47" s="32"/>
      <c r="N47" s="32"/>
      <c r="O47" s="32"/>
      <c r="P47" s="32"/>
      <c r="Q47" s="32"/>
      <c r="R47" s="32"/>
      <c r="S47" s="32"/>
      <c r="T47" s="32"/>
      <c r="U47" s="34"/>
      <c r="V47" s="32"/>
      <c r="W47" s="34"/>
      <c r="X47" s="32"/>
      <c r="Y47" s="32"/>
      <c r="Z47" s="32"/>
      <c r="AA47" s="32"/>
      <c r="AB47" s="32"/>
      <c r="AC47" s="32"/>
      <c r="AD47" s="32"/>
      <c r="AE47" s="32"/>
    </row>
    <row r="48" spans="1:31" x14ac:dyDescent="0.25">
      <c r="A48" s="84">
        <v>1045261897</v>
      </c>
      <c r="B48" s="32" t="s">
        <v>832</v>
      </c>
      <c r="C48" s="32" t="s">
        <v>833</v>
      </c>
      <c r="D48" s="32" t="s">
        <v>354</v>
      </c>
      <c r="E48" s="32" t="s">
        <v>155</v>
      </c>
      <c r="F48" s="32" t="s">
        <v>440</v>
      </c>
      <c r="G48" s="32">
        <v>1721</v>
      </c>
      <c r="H48" s="32" t="s">
        <v>368</v>
      </c>
      <c r="I48" s="32" t="s">
        <v>211</v>
      </c>
      <c r="J48" s="32" t="s">
        <v>375</v>
      </c>
      <c r="K48" s="157"/>
      <c r="L48" s="159"/>
      <c r="M48" s="158"/>
      <c r="N48" s="158"/>
      <c r="O48" s="158"/>
      <c r="P48" s="158"/>
      <c r="Q48" s="158"/>
      <c r="R48" s="158"/>
      <c r="S48" s="158"/>
      <c r="T48" s="158"/>
      <c r="U48" s="160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</row>
    <row r="49" spans="1:31" x14ac:dyDescent="0.25">
      <c r="A49" s="84">
        <v>1043584855</v>
      </c>
      <c r="B49" s="32" t="s">
        <v>834</v>
      </c>
      <c r="C49" s="32" t="s">
        <v>835</v>
      </c>
      <c r="D49" s="32" t="s">
        <v>354</v>
      </c>
      <c r="E49" s="32" t="s">
        <v>147</v>
      </c>
      <c r="F49" s="32" t="s">
        <v>440</v>
      </c>
      <c r="G49" s="32">
        <v>1721</v>
      </c>
      <c r="H49" s="32" t="s">
        <v>368</v>
      </c>
      <c r="I49" s="32" t="s">
        <v>211</v>
      </c>
      <c r="J49" s="32" t="s">
        <v>375</v>
      </c>
      <c r="K49" s="32" t="s">
        <v>655</v>
      </c>
      <c r="L49" s="33">
        <v>45327</v>
      </c>
      <c r="M49" s="32" t="s">
        <v>212</v>
      </c>
      <c r="N49" s="32" t="b">
        <v>0</v>
      </c>
      <c r="O49" s="32">
        <v>12</v>
      </c>
      <c r="P49" s="32">
        <v>63</v>
      </c>
      <c r="Q49" s="32" t="s">
        <v>458</v>
      </c>
      <c r="R49" s="32" t="s">
        <v>458</v>
      </c>
      <c r="S49" s="32" t="s">
        <v>458</v>
      </c>
      <c r="T49" s="32" t="s">
        <v>458</v>
      </c>
      <c r="U49" s="34">
        <v>0.15625</v>
      </c>
      <c r="V49" s="32">
        <v>100</v>
      </c>
      <c r="W49" s="34">
        <v>0.93333333333333324</v>
      </c>
      <c r="X49" s="32">
        <v>72</v>
      </c>
      <c r="Y49" s="32" t="s">
        <v>458</v>
      </c>
      <c r="Z49" s="32" t="s">
        <v>458</v>
      </c>
      <c r="AA49" s="32">
        <v>235</v>
      </c>
      <c r="AB49" s="32" t="s">
        <v>737</v>
      </c>
      <c r="AC49" s="32" t="s">
        <v>458</v>
      </c>
      <c r="AD49" s="32" t="b">
        <v>0</v>
      </c>
      <c r="AE49" s="32" t="s">
        <v>458</v>
      </c>
    </row>
    <row r="50" spans="1:31" x14ac:dyDescent="0.25">
      <c r="A50" s="84">
        <v>1466955974</v>
      </c>
      <c r="B50" s="32" t="s">
        <v>836</v>
      </c>
      <c r="C50" s="32" t="s">
        <v>837</v>
      </c>
      <c r="D50" s="32" t="s">
        <v>354</v>
      </c>
      <c r="E50" s="32" t="s">
        <v>170</v>
      </c>
      <c r="F50" s="32" t="s">
        <v>440</v>
      </c>
      <c r="G50" s="32">
        <v>1702</v>
      </c>
      <c r="H50" s="32" t="s">
        <v>368</v>
      </c>
      <c r="I50" s="32" t="s">
        <v>945</v>
      </c>
      <c r="J50" s="32" t="s">
        <v>360</v>
      </c>
      <c r="K50" s="32"/>
      <c r="L50" s="33"/>
      <c r="M50" s="32"/>
      <c r="N50" s="32"/>
      <c r="O50" s="32"/>
      <c r="P50" s="32"/>
      <c r="Q50" s="32"/>
      <c r="R50" s="32"/>
      <c r="S50" s="32"/>
      <c r="T50" s="32"/>
      <c r="U50" s="34"/>
      <c r="V50" s="32"/>
      <c r="W50" s="34"/>
      <c r="X50" s="32"/>
      <c r="Y50" s="32"/>
      <c r="Z50" s="32"/>
      <c r="AA50" s="32"/>
      <c r="AB50" s="32"/>
      <c r="AC50" s="32"/>
      <c r="AD50" s="32"/>
      <c r="AE50" s="32"/>
    </row>
    <row r="51" spans="1:31" x14ac:dyDescent="0.25">
      <c r="A51" s="84">
        <v>1086482908</v>
      </c>
      <c r="B51" s="32" t="s">
        <v>838</v>
      </c>
      <c r="C51" s="32" t="s">
        <v>839</v>
      </c>
      <c r="D51" s="32" t="s">
        <v>354</v>
      </c>
      <c r="E51" s="32" t="s">
        <v>161</v>
      </c>
      <c r="F51" s="32" t="s">
        <v>440</v>
      </c>
      <c r="G51" s="32">
        <v>1721</v>
      </c>
      <c r="H51" s="32" t="s">
        <v>368</v>
      </c>
      <c r="I51" s="32" t="s">
        <v>945</v>
      </c>
      <c r="J51" s="32" t="s">
        <v>375</v>
      </c>
      <c r="K51" s="32"/>
      <c r="L51" s="33"/>
      <c r="M51" s="32"/>
      <c r="N51" s="32"/>
      <c r="O51" s="32"/>
      <c r="P51" s="32"/>
      <c r="Q51" s="32"/>
      <c r="R51" s="32"/>
      <c r="S51" s="32"/>
      <c r="T51" s="32"/>
      <c r="U51" s="34"/>
      <c r="V51" s="32"/>
      <c r="W51" s="162"/>
      <c r="X51" s="32"/>
      <c r="Y51" s="32"/>
      <c r="Z51" s="32"/>
      <c r="AA51" s="32"/>
      <c r="AB51" s="32"/>
      <c r="AC51" s="32"/>
      <c r="AD51" s="32"/>
      <c r="AE51" s="32"/>
    </row>
    <row r="52" spans="1:31" x14ac:dyDescent="0.25">
      <c r="A52" s="84">
        <v>1378280647</v>
      </c>
      <c r="B52" s="32" t="s">
        <v>840</v>
      </c>
      <c r="C52" s="32" t="s">
        <v>841</v>
      </c>
      <c r="D52" s="32" t="s">
        <v>354</v>
      </c>
      <c r="E52" s="32" t="s">
        <v>158</v>
      </c>
      <c r="F52" s="32" t="s">
        <v>440</v>
      </c>
      <c r="G52" s="32">
        <v>1721</v>
      </c>
      <c r="H52" s="32" t="s">
        <v>368</v>
      </c>
      <c r="I52" s="32" t="s">
        <v>945</v>
      </c>
      <c r="J52" s="32" t="s">
        <v>375</v>
      </c>
      <c r="K52" s="32"/>
      <c r="L52" s="33"/>
      <c r="M52" s="32"/>
      <c r="N52" s="32"/>
      <c r="O52" s="32"/>
      <c r="P52" s="32"/>
      <c r="Q52" s="32"/>
      <c r="R52" s="32"/>
      <c r="S52" s="32"/>
      <c r="T52" s="32"/>
      <c r="U52" s="34"/>
      <c r="V52" s="32"/>
      <c r="W52" s="162"/>
      <c r="X52" s="32"/>
      <c r="Y52" s="32"/>
      <c r="Z52" s="32"/>
      <c r="AA52" s="32"/>
      <c r="AB52" s="32"/>
      <c r="AC52" s="32"/>
      <c r="AD52" s="32"/>
      <c r="AE52" s="32"/>
    </row>
    <row r="53" spans="1:31" x14ac:dyDescent="0.25">
      <c r="A53" s="84">
        <v>1376933246</v>
      </c>
      <c r="B53" s="32" t="s">
        <v>842</v>
      </c>
      <c r="C53" s="32" t="s">
        <v>843</v>
      </c>
      <c r="D53" s="32" t="s">
        <v>354</v>
      </c>
      <c r="E53" s="32" t="s">
        <v>158</v>
      </c>
      <c r="F53" s="32" t="s">
        <v>440</v>
      </c>
      <c r="G53" s="32">
        <v>1721</v>
      </c>
      <c r="H53" s="32" t="s">
        <v>368</v>
      </c>
      <c r="I53" s="32" t="s">
        <v>945</v>
      </c>
      <c r="J53" s="32" t="s">
        <v>375</v>
      </c>
      <c r="K53" s="32"/>
      <c r="L53" s="33"/>
      <c r="M53" s="32"/>
      <c r="N53" s="32"/>
      <c r="O53" s="32"/>
      <c r="P53" s="32"/>
      <c r="Q53" s="32"/>
      <c r="R53" s="32"/>
      <c r="S53" s="32"/>
      <c r="T53" s="32"/>
      <c r="U53" s="34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 spans="1:31" x14ac:dyDescent="0.25">
      <c r="A54" s="84">
        <v>1480655370</v>
      </c>
      <c r="B54" s="32" t="s">
        <v>844</v>
      </c>
      <c r="C54" s="32" t="s">
        <v>845</v>
      </c>
      <c r="D54" s="32" t="s">
        <v>354</v>
      </c>
      <c r="E54" s="32" t="s">
        <v>155</v>
      </c>
      <c r="F54" s="32" t="s">
        <v>440</v>
      </c>
      <c r="G54" s="32">
        <v>1721</v>
      </c>
      <c r="H54" s="32" t="s">
        <v>368</v>
      </c>
      <c r="I54" s="32" t="s">
        <v>945</v>
      </c>
      <c r="J54" s="32" t="s">
        <v>375</v>
      </c>
      <c r="K54" s="32"/>
      <c r="L54" s="33"/>
      <c r="M54" s="32"/>
      <c r="N54" s="32"/>
      <c r="O54" s="32"/>
      <c r="P54" s="32"/>
      <c r="Q54" s="32"/>
      <c r="R54" s="32"/>
      <c r="S54" s="32"/>
      <c r="T54" s="32"/>
      <c r="U54" s="34"/>
      <c r="V54" s="32"/>
      <c r="W54" s="34"/>
      <c r="X54" s="32"/>
      <c r="Y54" s="32"/>
      <c r="Z54" s="32"/>
      <c r="AA54" s="32"/>
      <c r="AB54" s="32"/>
      <c r="AC54" s="32"/>
      <c r="AD54" s="32"/>
      <c r="AE54" s="32"/>
    </row>
    <row r="55" spans="1:31" x14ac:dyDescent="0.25">
      <c r="A55" s="84">
        <v>1328891644</v>
      </c>
      <c r="B55" s="32" t="s">
        <v>846</v>
      </c>
      <c r="C55" s="32" t="s">
        <v>847</v>
      </c>
      <c r="D55" s="32" t="s">
        <v>354</v>
      </c>
      <c r="E55" s="32" t="s">
        <v>155</v>
      </c>
      <c r="F55" s="32" t="s">
        <v>440</v>
      </c>
      <c r="G55" s="32">
        <v>1721</v>
      </c>
      <c r="H55" s="32" t="s">
        <v>368</v>
      </c>
      <c r="I55" s="32" t="s">
        <v>945</v>
      </c>
      <c r="J55" s="32" t="s">
        <v>375</v>
      </c>
      <c r="K55" s="32"/>
      <c r="L55" s="33"/>
      <c r="M55" s="32"/>
      <c r="N55" s="32"/>
      <c r="O55" s="32"/>
      <c r="P55" s="32"/>
      <c r="Q55" s="32"/>
      <c r="R55" s="32"/>
      <c r="S55" s="32"/>
      <c r="T55" s="32"/>
      <c r="U55" s="34"/>
      <c r="V55" s="32"/>
      <c r="W55" s="162"/>
      <c r="X55" s="32"/>
      <c r="Y55" s="32"/>
      <c r="Z55" s="32"/>
      <c r="AA55" s="32"/>
      <c r="AB55" s="32"/>
      <c r="AC55" s="32"/>
      <c r="AD55" s="32"/>
      <c r="AE55" s="32"/>
    </row>
    <row r="56" spans="1:31" x14ac:dyDescent="0.25">
      <c r="A56" s="84">
        <v>1583347169</v>
      </c>
      <c r="B56" s="32" t="s">
        <v>800</v>
      </c>
      <c r="C56" s="32" t="s">
        <v>848</v>
      </c>
      <c r="D56" s="32" t="s">
        <v>354</v>
      </c>
      <c r="E56" s="32" t="s">
        <v>155</v>
      </c>
      <c r="F56" s="32" t="s">
        <v>440</v>
      </c>
      <c r="G56" s="32">
        <v>1700</v>
      </c>
      <c r="H56" s="32" t="s">
        <v>368</v>
      </c>
      <c r="I56" s="32" t="s">
        <v>945</v>
      </c>
      <c r="J56" s="32" t="s">
        <v>375</v>
      </c>
      <c r="K56" s="32"/>
      <c r="L56" s="33"/>
      <c r="M56" s="32"/>
      <c r="N56" s="32"/>
      <c r="O56" s="32"/>
      <c r="P56" s="32"/>
      <c r="Q56" s="32"/>
      <c r="R56" s="32"/>
      <c r="S56" s="32"/>
      <c r="T56" s="32"/>
      <c r="U56" s="34"/>
      <c r="V56" s="32"/>
      <c r="W56" s="34"/>
      <c r="X56" s="32"/>
      <c r="Y56" s="32"/>
      <c r="Z56" s="32"/>
      <c r="AA56" s="32"/>
      <c r="AB56" s="32"/>
      <c r="AC56" s="32"/>
      <c r="AD56" s="32"/>
      <c r="AE56" s="32"/>
    </row>
    <row r="57" spans="1:31" x14ac:dyDescent="0.25">
      <c r="A57" s="84">
        <v>1110516278</v>
      </c>
      <c r="B57" s="32" t="s">
        <v>849</v>
      </c>
      <c r="C57" s="32" t="s">
        <v>850</v>
      </c>
      <c r="D57" s="32" t="s">
        <v>354</v>
      </c>
      <c r="E57" s="32" t="s">
        <v>151</v>
      </c>
      <c r="F57" s="32" t="s">
        <v>440</v>
      </c>
      <c r="G57" s="32">
        <v>1721</v>
      </c>
      <c r="H57" s="32" t="s">
        <v>368</v>
      </c>
      <c r="I57" s="32" t="s">
        <v>945</v>
      </c>
      <c r="J57" s="32" t="s">
        <v>375</v>
      </c>
      <c r="K57" s="32"/>
      <c r="L57" s="33"/>
      <c r="M57" s="32"/>
      <c r="N57" s="32"/>
      <c r="O57" s="32"/>
      <c r="P57" s="32"/>
      <c r="Q57" s="32"/>
      <c r="R57" s="32"/>
      <c r="S57" s="32"/>
      <c r="T57" s="32"/>
      <c r="U57" s="34"/>
      <c r="V57" s="32"/>
      <c r="W57" s="34"/>
      <c r="X57" s="32"/>
      <c r="Y57" s="32"/>
      <c r="Z57" s="32"/>
      <c r="AA57" s="32"/>
      <c r="AB57" s="32"/>
      <c r="AC57" s="32"/>
      <c r="AD57" s="32"/>
      <c r="AE57" s="32"/>
    </row>
    <row r="58" spans="1:31" x14ac:dyDescent="0.25">
      <c r="A58" s="84">
        <v>1288365821</v>
      </c>
      <c r="B58" s="32" t="s">
        <v>851</v>
      </c>
      <c r="C58" s="32" t="s">
        <v>852</v>
      </c>
      <c r="D58" s="32" t="s">
        <v>354</v>
      </c>
      <c r="E58" s="32" t="s">
        <v>151</v>
      </c>
      <c r="F58" s="32" t="s">
        <v>440</v>
      </c>
      <c r="G58" s="32">
        <v>1721</v>
      </c>
      <c r="H58" s="32" t="s">
        <v>414</v>
      </c>
      <c r="I58" s="32" t="s">
        <v>945</v>
      </c>
      <c r="J58" s="32" t="s">
        <v>375</v>
      </c>
      <c r="K58" s="32"/>
      <c r="L58" s="33"/>
      <c r="M58" s="32"/>
      <c r="N58" s="32"/>
      <c r="O58" s="32"/>
      <c r="P58" s="32"/>
      <c r="Q58" s="32"/>
      <c r="R58" s="32"/>
      <c r="S58" s="32"/>
      <c r="T58" s="32"/>
      <c r="U58" s="34"/>
      <c r="V58" s="32"/>
      <c r="W58" s="34"/>
      <c r="X58" s="32"/>
      <c r="Y58" s="32"/>
      <c r="Z58" s="32"/>
      <c r="AA58" s="32"/>
      <c r="AB58" s="32"/>
      <c r="AC58" s="32"/>
      <c r="AD58" s="32"/>
      <c r="AE58" s="32"/>
    </row>
    <row r="59" spans="1:31" x14ac:dyDescent="0.25">
      <c r="A59" s="84">
        <v>1236623846</v>
      </c>
      <c r="B59" s="32" t="s">
        <v>853</v>
      </c>
      <c r="C59" s="32" t="s">
        <v>854</v>
      </c>
      <c r="D59" s="32" t="s">
        <v>354</v>
      </c>
      <c r="E59" s="32" t="s">
        <v>151</v>
      </c>
      <c r="F59" s="32" t="s">
        <v>440</v>
      </c>
      <c r="G59" s="32">
        <v>1721</v>
      </c>
      <c r="H59" s="32" t="s">
        <v>368</v>
      </c>
      <c r="I59" s="32" t="s">
        <v>945</v>
      </c>
      <c r="J59" s="32" t="s">
        <v>375</v>
      </c>
      <c r="K59" s="32"/>
      <c r="L59" s="33"/>
      <c r="M59" s="32"/>
      <c r="N59" s="32"/>
      <c r="O59" s="32"/>
      <c r="P59" s="32"/>
      <c r="Q59" s="32"/>
      <c r="R59" s="32"/>
      <c r="S59" s="32"/>
      <c r="T59" s="32"/>
      <c r="U59" s="34"/>
      <c r="V59" s="32"/>
      <c r="W59" s="34"/>
      <c r="X59" s="32"/>
      <c r="Y59" s="32"/>
      <c r="Z59" s="32"/>
      <c r="AA59" s="32"/>
      <c r="AB59" s="32"/>
      <c r="AC59" s="32"/>
      <c r="AD59" s="32"/>
      <c r="AE59" s="32"/>
    </row>
    <row r="60" spans="1:31" x14ac:dyDescent="0.25">
      <c r="A60" s="84">
        <v>1565683368</v>
      </c>
      <c r="B60" s="32" t="s">
        <v>855</v>
      </c>
      <c r="C60" s="32" t="s">
        <v>856</v>
      </c>
      <c r="D60" s="32" t="s">
        <v>354</v>
      </c>
      <c r="E60" s="32" t="s">
        <v>151</v>
      </c>
      <c r="F60" s="32" t="s">
        <v>440</v>
      </c>
      <c r="G60" s="32">
        <v>1721</v>
      </c>
      <c r="H60" s="32" t="s">
        <v>368</v>
      </c>
      <c r="I60" s="32" t="s">
        <v>945</v>
      </c>
      <c r="J60" s="32" t="s">
        <v>375</v>
      </c>
      <c r="K60" s="32"/>
      <c r="L60" s="33"/>
      <c r="M60" s="32"/>
      <c r="N60" s="32"/>
      <c r="O60" s="32"/>
      <c r="P60" s="32"/>
      <c r="Q60" s="32"/>
      <c r="R60" s="32"/>
      <c r="S60" s="32"/>
      <c r="T60" s="32"/>
      <c r="U60" s="34"/>
      <c r="V60" s="32"/>
      <c r="W60" s="34"/>
      <c r="X60" s="32"/>
      <c r="Y60" s="32"/>
      <c r="Z60" s="32"/>
      <c r="AA60" s="32"/>
      <c r="AB60" s="32"/>
      <c r="AC60" s="32"/>
      <c r="AD60" s="32"/>
      <c r="AE60" s="32"/>
    </row>
    <row r="61" spans="1:31" x14ac:dyDescent="0.25">
      <c r="A61" s="84">
        <v>1064194807</v>
      </c>
      <c r="B61" s="32" t="s">
        <v>857</v>
      </c>
      <c r="C61" s="32" t="s">
        <v>858</v>
      </c>
      <c r="D61" s="32" t="s">
        <v>354</v>
      </c>
      <c r="E61" s="32" t="s">
        <v>151</v>
      </c>
      <c r="F61" s="32" t="s">
        <v>440</v>
      </c>
      <c r="G61" s="32">
        <v>1721</v>
      </c>
      <c r="H61" s="32" t="s">
        <v>368</v>
      </c>
      <c r="I61" s="32" t="s">
        <v>945</v>
      </c>
      <c r="J61" s="32" t="s">
        <v>375</v>
      </c>
      <c r="K61" s="32"/>
      <c r="L61" s="33"/>
      <c r="M61" s="32"/>
      <c r="N61" s="32"/>
      <c r="O61" s="32"/>
      <c r="P61" s="32"/>
      <c r="Q61" s="32"/>
      <c r="R61" s="32"/>
      <c r="S61" s="32"/>
      <c r="T61" s="32"/>
      <c r="U61" s="34"/>
      <c r="V61" s="32"/>
      <c r="W61" s="162"/>
      <c r="X61" s="32"/>
      <c r="Y61" s="32"/>
      <c r="Z61" s="32"/>
      <c r="AA61" s="32"/>
      <c r="AB61" s="32"/>
      <c r="AC61" s="32"/>
      <c r="AD61" s="32"/>
      <c r="AE61" s="32"/>
    </row>
    <row r="62" spans="1:31" x14ac:dyDescent="0.25">
      <c r="A62" s="84">
        <v>1288033004</v>
      </c>
      <c r="B62" s="32" t="s">
        <v>859</v>
      </c>
      <c r="C62" s="32" t="s">
        <v>860</v>
      </c>
      <c r="D62" s="32" t="s">
        <v>354</v>
      </c>
      <c r="E62" s="32" t="s">
        <v>151</v>
      </c>
      <c r="F62" s="32" t="s">
        <v>440</v>
      </c>
      <c r="G62" s="32">
        <v>1721</v>
      </c>
      <c r="H62" s="32" t="s">
        <v>368</v>
      </c>
      <c r="I62" s="32" t="s">
        <v>945</v>
      </c>
      <c r="J62" s="32" t="s">
        <v>375</v>
      </c>
      <c r="K62" s="32"/>
      <c r="L62" s="33"/>
      <c r="M62" s="32"/>
      <c r="N62" s="32"/>
      <c r="O62" s="32"/>
      <c r="P62" s="32"/>
      <c r="Q62" s="32"/>
      <c r="R62" s="32"/>
      <c r="S62" s="32"/>
      <c r="T62" s="32"/>
      <c r="U62" s="34"/>
      <c r="V62" s="32"/>
      <c r="W62" s="34"/>
      <c r="X62" s="32"/>
      <c r="Y62" s="32"/>
      <c r="Z62" s="32"/>
      <c r="AA62" s="32"/>
      <c r="AB62" s="32"/>
      <c r="AC62" s="32"/>
      <c r="AD62" s="32"/>
      <c r="AE62" s="32"/>
    </row>
    <row r="63" spans="1:31" x14ac:dyDescent="0.25">
      <c r="A63" s="84">
        <v>1392481230</v>
      </c>
      <c r="B63" s="32" t="s">
        <v>861</v>
      </c>
      <c r="C63" s="32" t="s">
        <v>862</v>
      </c>
      <c r="D63" s="32" t="s">
        <v>354</v>
      </c>
      <c r="E63" s="32" t="s">
        <v>173</v>
      </c>
      <c r="F63" s="32" t="s">
        <v>440</v>
      </c>
      <c r="G63" s="32">
        <v>1702</v>
      </c>
      <c r="H63" s="32" t="s">
        <v>368</v>
      </c>
      <c r="I63" s="32" t="s">
        <v>488</v>
      </c>
      <c r="J63" s="32" t="s">
        <v>360</v>
      </c>
      <c r="K63" s="32"/>
      <c r="L63" s="33"/>
      <c r="M63" s="32"/>
      <c r="N63" s="32"/>
      <c r="O63" s="32"/>
      <c r="P63" s="32"/>
      <c r="Q63" s="32"/>
      <c r="R63" s="32"/>
      <c r="S63" s="32"/>
      <c r="T63" s="32"/>
      <c r="U63" s="34"/>
      <c r="V63" s="32"/>
      <c r="W63" s="162"/>
      <c r="X63" s="32"/>
      <c r="Y63" s="32"/>
      <c r="Z63" s="32"/>
      <c r="AA63" s="32"/>
      <c r="AB63" s="32"/>
      <c r="AC63" s="32"/>
      <c r="AD63" s="32"/>
      <c r="AE63" s="32"/>
    </row>
    <row r="64" spans="1:31" x14ac:dyDescent="0.25">
      <c r="A64" s="84">
        <v>1218608114</v>
      </c>
      <c r="B64" s="32" t="s">
        <v>863</v>
      </c>
      <c r="C64" s="32" t="s">
        <v>864</v>
      </c>
      <c r="D64" s="32" t="s">
        <v>354</v>
      </c>
      <c r="E64" s="32" t="s">
        <v>170</v>
      </c>
      <c r="F64" s="32" t="s">
        <v>440</v>
      </c>
      <c r="G64" s="32">
        <v>1702</v>
      </c>
      <c r="H64" s="32" t="s">
        <v>368</v>
      </c>
      <c r="I64" s="32" t="s">
        <v>488</v>
      </c>
      <c r="J64" s="32" t="s">
        <v>360</v>
      </c>
      <c r="K64" s="32"/>
      <c r="L64" s="33"/>
      <c r="M64" s="32"/>
      <c r="N64" s="32"/>
      <c r="O64" s="32"/>
      <c r="P64" s="32"/>
      <c r="Q64" s="32"/>
      <c r="R64" s="32"/>
      <c r="S64" s="32"/>
      <c r="T64" s="32"/>
      <c r="U64" s="34"/>
      <c r="V64" s="32"/>
      <c r="W64" s="162"/>
      <c r="X64" s="32"/>
      <c r="Y64" s="32"/>
      <c r="Z64" s="32"/>
      <c r="AA64" s="32"/>
      <c r="AB64" s="32"/>
      <c r="AC64" s="32"/>
      <c r="AD64" s="32"/>
      <c r="AE64" s="32"/>
    </row>
    <row r="65" spans="1:31" x14ac:dyDescent="0.25">
      <c r="A65" s="84">
        <v>1337008006</v>
      </c>
      <c r="B65" s="32" t="s">
        <v>865</v>
      </c>
      <c r="C65" s="32" t="s">
        <v>866</v>
      </c>
      <c r="D65" s="32" t="s">
        <v>354</v>
      </c>
      <c r="E65" s="32" t="s">
        <v>867</v>
      </c>
      <c r="F65" s="32" t="s">
        <v>440</v>
      </c>
      <c r="G65" s="32">
        <v>1799</v>
      </c>
      <c r="H65" s="32" t="s">
        <v>368</v>
      </c>
      <c r="I65" s="32" t="s">
        <v>488</v>
      </c>
      <c r="J65" s="32" t="s">
        <v>375</v>
      </c>
      <c r="K65" s="32"/>
      <c r="L65" s="33"/>
      <c r="M65" s="32"/>
      <c r="N65" s="32"/>
      <c r="O65" s="32"/>
      <c r="P65" s="32"/>
      <c r="Q65" s="32"/>
      <c r="R65" s="32"/>
      <c r="S65" s="32"/>
      <c r="T65" s="32"/>
      <c r="U65" s="34"/>
      <c r="V65" s="32"/>
      <c r="W65" s="162"/>
      <c r="X65" s="32"/>
      <c r="Y65" s="32"/>
      <c r="Z65" s="32"/>
      <c r="AA65" s="32"/>
      <c r="AB65" s="32"/>
      <c r="AC65" s="32"/>
      <c r="AD65" s="32"/>
      <c r="AE65" s="32"/>
    </row>
    <row r="66" spans="1:31" x14ac:dyDescent="0.25">
      <c r="A66" s="84">
        <v>1492116113</v>
      </c>
      <c r="B66" s="32" t="s">
        <v>868</v>
      </c>
      <c r="C66" s="32" t="s">
        <v>869</v>
      </c>
      <c r="D66" s="32" t="s">
        <v>354</v>
      </c>
      <c r="E66" s="32" t="s">
        <v>161</v>
      </c>
      <c r="F66" s="32" t="s">
        <v>440</v>
      </c>
      <c r="G66" s="32">
        <v>1721</v>
      </c>
      <c r="H66" s="32" t="s">
        <v>368</v>
      </c>
      <c r="I66" s="32" t="s">
        <v>488</v>
      </c>
      <c r="J66" s="32" t="s">
        <v>375</v>
      </c>
      <c r="K66" s="32"/>
      <c r="L66" s="33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 spans="1:31" x14ac:dyDescent="0.25">
      <c r="A67" s="84">
        <v>1362430276</v>
      </c>
      <c r="B67" s="32" t="s">
        <v>870</v>
      </c>
      <c r="C67" s="32" t="s">
        <v>871</v>
      </c>
      <c r="D67" s="32" t="s">
        <v>354</v>
      </c>
      <c r="E67" s="32" t="s">
        <v>158</v>
      </c>
      <c r="F67" s="32" t="s">
        <v>440</v>
      </c>
      <c r="G67" s="32">
        <v>1721</v>
      </c>
      <c r="H67" s="32" t="s">
        <v>368</v>
      </c>
      <c r="I67" s="32" t="s">
        <v>488</v>
      </c>
      <c r="J67" s="32" t="s">
        <v>375</v>
      </c>
      <c r="K67" s="32"/>
      <c r="L67" s="33"/>
      <c r="M67" s="32"/>
      <c r="N67" s="32"/>
      <c r="O67" s="32"/>
      <c r="P67" s="32"/>
      <c r="Q67" s="32"/>
      <c r="R67" s="32"/>
      <c r="S67" s="32"/>
      <c r="T67" s="32"/>
      <c r="U67" s="34"/>
      <c r="V67" s="32"/>
      <c r="W67" s="162"/>
      <c r="X67" s="32"/>
      <c r="Y67" s="32"/>
      <c r="Z67" s="32"/>
      <c r="AA67" s="32"/>
      <c r="AB67" s="32"/>
      <c r="AC67" s="32"/>
      <c r="AD67" s="32"/>
      <c r="AE67" s="32"/>
    </row>
    <row r="68" spans="1:31" x14ac:dyDescent="0.25">
      <c r="A68" s="84">
        <v>1505173816</v>
      </c>
      <c r="B68" s="32" t="s">
        <v>872</v>
      </c>
      <c r="C68" s="32" t="s">
        <v>856</v>
      </c>
      <c r="D68" s="32" t="s">
        <v>354</v>
      </c>
      <c r="E68" s="32" t="s">
        <v>158</v>
      </c>
      <c r="F68" s="32" t="s">
        <v>440</v>
      </c>
      <c r="G68" s="32">
        <v>1721</v>
      </c>
      <c r="H68" s="32" t="s">
        <v>414</v>
      </c>
      <c r="I68" s="32" t="s">
        <v>488</v>
      </c>
      <c r="J68" s="32" t="s">
        <v>375</v>
      </c>
      <c r="K68" s="32"/>
      <c r="L68" s="33"/>
      <c r="M68" s="32"/>
      <c r="N68" s="32"/>
      <c r="O68" s="32"/>
      <c r="P68" s="32"/>
      <c r="Q68" s="32"/>
      <c r="R68" s="32"/>
      <c r="S68" s="32"/>
      <c r="T68" s="32"/>
      <c r="U68" s="34"/>
      <c r="V68" s="32"/>
      <c r="W68" s="34"/>
      <c r="X68" s="32"/>
      <c r="Y68" s="32"/>
      <c r="Z68" s="32"/>
      <c r="AA68" s="32"/>
      <c r="AB68" s="32"/>
      <c r="AC68" s="32"/>
      <c r="AD68" s="32"/>
      <c r="AE68" s="32"/>
    </row>
    <row r="69" spans="1:31" x14ac:dyDescent="0.25">
      <c r="A69" s="84">
        <v>1224436146</v>
      </c>
      <c r="B69" s="32" t="s">
        <v>873</v>
      </c>
      <c r="C69" s="32" t="s">
        <v>874</v>
      </c>
      <c r="D69" s="32" t="s">
        <v>354</v>
      </c>
      <c r="E69" s="32" t="s">
        <v>155</v>
      </c>
      <c r="F69" s="32" t="s">
        <v>440</v>
      </c>
      <c r="G69" s="32">
        <v>1721</v>
      </c>
      <c r="H69" s="32" t="s">
        <v>368</v>
      </c>
      <c r="I69" s="32" t="s">
        <v>488</v>
      </c>
      <c r="J69" s="32" t="s">
        <v>375</v>
      </c>
      <c r="K69" s="32"/>
      <c r="L69" s="33"/>
      <c r="M69" s="32"/>
      <c r="N69" s="32"/>
      <c r="O69" s="32"/>
      <c r="P69" s="32"/>
      <c r="Q69" s="32"/>
      <c r="R69" s="32"/>
      <c r="S69" s="32"/>
      <c r="T69" s="32"/>
      <c r="U69" s="34"/>
      <c r="V69" s="32"/>
      <c r="W69" s="34"/>
      <c r="X69" s="32"/>
      <c r="Y69" s="32"/>
      <c r="Z69" s="32"/>
      <c r="AA69" s="32"/>
      <c r="AB69" s="32"/>
      <c r="AC69" s="32"/>
      <c r="AD69" s="32"/>
      <c r="AE69" s="32"/>
    </row>
    <row r="70" spans="1:31" x14ac:dyDescent="0.25">
      <c r="A70" s="84">
        <v>1273180803</v>
      </c>
      <c r="B70" s="32" t="s">
        <v>875</v>
      </c>
      <c r="C70" s="32" t="s">
        <v>876</v>
      </c>
      <c r="D70" s="32" t="s">
        <v>354</v>
      </c>
      <c r="E70" s="32" t="s">
        <v>155</v>
      </c>
      <c r="F70" s="32" t="s">
        <v>440</v>
      </c>
      <c r="G70" s="32">
        <v>1721</v>
      </c>
      <c r="H70" s="32" t="s">
        <v>368</v>
      </c>
      <c r="I70" s="32" t="s">
        <v>488</v>
      </c>
      <c r="J70" s="32" t="s">
        <v>375</v>
      </c>
      <c r="K70" s="32"/>
      <c r="L70" s="33"/>
      <c r="M70" s="32"/>
      <c r="N70" s="32"/>
      <c r="O70" s="32"/>
      <c r="P70" s="32"/>
      <c r="Q70" s="32"/>
      <c r="R70" s="32"/>
      <c r="S70" s="32"/>
      <c r="T70" s="32"/>
      <c r="U70" s="34"/>
      <c r="V70" s="32"/>
      <c r="W70" s="34"/>
      <c r="X70" s="32"/>
      <c r="Y70" s="32"/>
      <c r="Z70" s="32"/>
      <c r="AA70" s="32"/>
      <c r="AB70" s="32"/>
      <c r="AC70" s="32"/>
      <c r="AD70" s="32"/>
      <c r="AE70" s="32"/>
    </row>
    <row r="71" spans="1:31" x14ac:dyDescent="0.25">
      <c r="A71" s="84">
        <v>1144600478</v>
      </c>
      <c r="B71" s="32" t="s">
        <v>877</v>
      </c>
      <c r="C71" s="32" t="s">
        <v>878</v>
      </c>
      <c r="D71" s="32" t="s">
        <v>354</v>
      </c>
      <c r="E71" s="32" t="s">
        <v>170</v>
      </c>
      <c r="F71" s="32" t="s">
        <v>440</v>
      </c>
      <c r="G71" s="32">
        <v>1702</v>
      </c>
      <c r="H71" s="32" t="s">
        <v>368</v>
      </c>
      <c r="I71" s="32" t="s">
        <v>486</v>
      </c>
      <c r="J71" s="32" t="s">
        <v>360</v>
      </c>
      <c r="K71" s="32"/>
      <c r="L71" s="33"/>
      <c r="M71" s="32"/>
      <c r="N71" s="32"/>
      <c r="O71" s="32"/>
      <c r="P71" s="32"/>
      <c r="Q71" s="32"/>
      <c r="R71" s="32"/>
      <c r="S71" s="32"/>
      <c r="T71" s="32"/>
      <c r="U71" s="34"/>
      <c r="V71" s="32"/>
      <c r="W71" s="34"/>
      <c r="X71" s="32"/>
      <c r="Y71" s="32"/>
      <c r="Z71" s="32"/>
      <c r="AA71" s="32"/>
      <c r="AB71" s="32"/>
      <c r="AC71" s="32"/>
      <c r="AD71" s="32"/>
      <c r="AE71" s="32"/>
    </row>
    <row r="72" spans="1:31" x14ac:dyDescent="0.25">
      <c r="A72" s="84">
        <v>1208649546</v>
      </c>
      <c r="B72" s="32" t="s">
        <v>879</v>
      </c>
      <c r="C72" s="32" t="s">
        <v>880</v>
      </c>
      <c r="D72" s="32" t="s">
        <v>354</v>
      </c>
      <c r="E72" s="32" t="s">
        <v>161</v>
      </c>
      <c r="F72" s="32" t="s">
        <v>440</v>
      </c>
      <c r="G72" s="32">
        <v>1721</v>
      </c>
      <c r="H72" s="32" t="s">
        <v>368</v>
      </c>
      <c r="I72" s="32" t="s">
        <v>486</v>
      </c>
      <c r="J72" s="32" t="s">
        <v>375</v>
      </c>
      <c r="K72" s="32"/>
      <c r="L72" s="33"/>
      <c r="M72" s="32"/>
      <c r="N72" s="32"/>
      <c r="O72" s="32"/>
      <c r="P72" s="32"/>
      <c r="Q72" s="32"/>
      <c r="R72" s="32"/>
      <c r="S72" s="32"/>
      <c r="T72" s="32"/>
      <c r="U72" s="34"/>
      <c r="V72" s="32"/>
      <c r="W72" s="162"/>
      <c r="X72" s="32"/>
      <c r="Y72" s="32"/>
      <c r="Z72" s="32"/>
      <c r="AA72" s="32"/>
      <c r="AB72" s="32"/>
      <c r="AC72" s="32"/>
      <c r="AD72" s="32"/>
      <c r="AE72" s="32"/>
    </row>
    <row r="73" spans="1:31" x14ac:dyDescent="0.25">
      <c r="A73" s="84">
        <v>1433270027</v>
      </c>
      <c r="B73" s="32" t="s">
        <v>772</v>
      </c>
      <c r="C73" s="32" t="s">
        <v>881</v>
      </c>
      <c r="D73" s="32" t="s">
        <v>354</v>
      </c>
      <c r="E73" s="32" t="s">
        <v>155</v>
      </c>
      <c r="F73" s="32" t="s">
        <v>440</v>
      </c>
      <c r="G73" s="32">
        <v>1721</v>
      </c>
      <c r="H73" s="32" t="s">
        <v>368</v>
      </c>
      <c r="I73" s="32" t="s">
        <v>486</v>
      </c>
      <c r="J73" s="32" t="s">
        <v>375</v>
      </c>
      <c r="K73" s="32"/>
      <c r="L73" s="33"/>
      <c r="M73" s="32"/>
      <c r="N73" s="32"/>
      <c r="O73" s="32"/>
      <c r="P73" s="32"/>
      <c r="Q73" s="32"/>
      <c r="R73" s="32"/>
      <c r="S73" s="32"/>
      <c r="T73" s="32"/>
      <c r="U73" s="34"/>
      <c r="V73" s="32"/>
      <c r="W73" s="34"/>
      <c r="X73" s="32"/>
      <c r="Y73" s="32"/>
      <c r="Z73" s="32"/>
      <c r="AA73" s="32"/>
      <c r="AB73" s="32"/>
      <c r="AC73" s="32"/>
      <c r="AD73" s="32"/>
      <c r="AE73" s="32"/>
    </row>
    <row r="74" spans="1:31" x14ac:dyDescent="0.25">
      <c r="A74" s="157">
        <v>1517276328</v>
      </c>
      <c r="B74" s="158" t="s">
        <v>882</v>
      </c>
      <c r="C74" s="158" t="s">
        <v>883</v>
      </c>
      <c r="D74" s="158" t="s">
        <v>354</v>
      </c>
      <c r="E74" s="158" t="s">
        <v>151</v>
      </c>
      <c r="F74" s="158" t="s">
        <v>440</v>
      </c>
      <c r="G74" s="158">
        <v>1721</v>
      </c>
      <c r="H74" s="158" t="s">
        <v>368</v>
      </c>
      <c r="I74" s="158" t="s">
        <v>486</v>
      </c>
      <c r="J74" s="158" t="s">
        <v>375</v>
      </c>
      <c r="K74" s="158"/>
      <c r="L74" s="159"/>
      <c r="M74" s="158"/>
      <c r="N74" s="158"/>
      <c r="O74" s="158"/>
      <c r="P74" s="158"/>
      <c r="Q74" s="158"/>
      <c r="R74" s="158"/>
      <c r="S74" s="158"/>
      <c r="T74" s="158"/>
      <c r="U74" s="160"/>
      <c r="V74" s="158"/>
      <c r="W74" s="160"/>
      <c r="X74" s="158"/>
      <c r="Y74" s="158"/>
      <c r="Z74" s="158"/>
      <c r="AA74" s="158"/>
      <c r="AB74" s="158"/>
      <c r="AC74" s="158"/>
      <c r="AD74" s="158"/>
      <c r="AE74" s="158"/>
    </row>
    <row r="75" spans="1:31" ht="39" x14ac:dyDescent="0.25">
      <c r="A75" s="84">
        <v>1312308399</v>
      </c>
      <c r="B75" s="32" t="s">
        <v>884</v>
      </c>
      <c r="C75" s="32" t="s">
        <v>885</v>
      </c>
      <c r="D75" s="32" t="s">
        <v>354</v>
      </c>
      <c r="E75" s="32" t="s">
        <v>147</v>
      </c>
      <c r="F75" s="32" t="s">
        <v>440</v>
      </c>
      <c r="G75" s="32">
        <v>231</v>
      </c>
      <c r="H75" s="32" t="s">
        <v>368</v>
      </c>
      <c r="I75" s="32" t="s">
        <v>486</v>
      </c>
      <c r="J75" s="32" t="s">
        <v>375</v>
      </c>
      <c r="K75" s="32" t="s">
        <v>655</v>
      </c>
      <c r="L75" s="33">
        <v>45330</v>
      </c>
      <c r="M75" s="32" t="s">
        <v>736</v>
      </c>
      <c r="N75" s="32" t="b">
        <v>0</v>
      </c>
      <c r="O75" s="32">
        <v>20</v>
      </c>
      <c r="P75" s="32">
        <v>100</v>
      </c>
      <c r="Q75" s="32" t="s">
        <v>458</v>
      </c>
      <c r="R75" s="32" t="s">
        <v>458</v>
      </c>
      <c r="S75" s="32" t="s">
        <v>458</v>
      </c>
      <c r="T75" s="32" t="s">
        <v>458</v>
      </c>
      <c r="U75" s="32" t="s">
        <v>458</v>
      </c>
      <c r="V75" s="32">
        <v>100</v>
      </c>
      <c r="W75" s="34">
        <v>0.8666666666666667</v>
      </c>
      <c r="X75" s="32">
        <v>82</v>
      </c>
      <c r="Y75" s="32" t="s">
        <v>458</v>
      </c>
      <c r="Z75" s="32" t="s">
        <v>458</v>
      </c>
      <c r="AA75" s="32">
        <v>282</v>
      </c>
      <c r="AB75" s="32" t="s">
        <v>738</v>
      </c>
      <c r="AC75" s="32" t="s">
        <v>739</v>
      </c>
      <c r="AD75" s="32" t="b">
        <v>0</v>
      </c>
      <c r="AE75" s="32" t="s">
        <v>458</v>
      </c>
    </row>
    <row r="76" spans="1:31" x14ac:dyDescent="0.25">
      <c r="A76" s="84">
        <v>1025451492</v>
      </c>
      <c r="B76" s="32" t="s">
        <v>886</v>
      </c>
      <c r="C76" s="32" t="s">
        <v>887</v>
      </c>
      <c r="D76" s="32" t="s">
        <v>354</v>
      </c>
      <c r="E76" s="32" t="s">
        <v>147</v>
      </c>
      <c r="F76" s="32" t="s">
        <v>440</v>
      </c>
      <c r="G76" s="32">
        <v>1721</v>
      </c>
      <c r="H76" s="32" t="s">
        <v>368</v>
      </c>
      <c r="I76" s="32" t="s">
        <v>486</v>
      </c>
      <c r="J76" s="32" t="s">
        <v>375</v>
      </c>
      <c r="K76" s="32"/>
      <c r="L76" s="33"/>
      <c r="M76" s="32"/>
      <c r="N76" s="32"/>
      <c r="O76" s="32"/>
      <c r="P76" s="32"/>
      <c r="Q76" s="32"/>
      <c r="R76" s="32"/>
      <c r="S76" s="32"/>
      <c r="T76" s="32"/>
      <c r="U76" s="34"/>
      <c r="V76" s="32"/>
      <c r="W76" s="34"/>
      <c r="X76" s="32"/>
      <c r="Y76" s="32"/>
      <c r="Z76" s="32"/>
      <c r="AA76" s="32"/>
      <c r="AB76" s="32"/>
      <c r="AC76" s="32"/>
      <c r="AD76" s="32"/>
      <c r="AE76" s="32"/>
    </row>
    <row r="77" spans="1:31" x14ac:dyDescent="0.25">
      <c r="A77" s="84">
        <v>1041964509</v>
      </c>
      <c r="B77" s="32" t="s">
        <v>888</v>
      </c>
      <c r="C77" s="32" t="s">
        <v>889</v>
      </c>
      <c r="D77" s="32" t="s">
        <v>354</v>
      </c>
      <c r="E77" s="32" t="s">
        <v>176</v>
      </c>
      <c r="F77" s="32" t="s">
        <v>440</v>
      </c>
      <c r="G77" s="32">
        <v>1702</v>
      </c>
      <c r="H77" s="32" t="s">
        <v>368</v>
      </c>
      <c r="I77" s="32" t="s">
        <v>490</v>
      </c>
      <c r="J77" s="32" t="s">
        <v>360</v>
      </c>
      <c r="K77" s="32"/>
      <c r="L77" s="33"/>
      <c r="M77" s="32"/>
      <c r="N77" s="32"/>
      <c r="O77" s="32"/>
      <c r="P77" s="32"/>
      <c r="Q77" s="32"/>
      <c r="R77" s="32"/>
      <c r="S77" s="32"/>
      <c r="T77" s="32"/>
      <c r="U77" s="34"/>
      <c r="V77" s="32"/>
      <c r="W77" s="162"/>
      <c r="X77" s="32"/>
      <c r="Y77" s="32"/>
      <c r="Z77" s="32"/>
      <c r="AA77" s="32"/>
      <c r="AB77" s="32"/>
      <c r="AC77" s="32"/>
      <c r="AD77" s="32"/>
      <c r="AE77" s="32"/>
    </row>
    <row r="78" spans="1:31" ht="26.25" x14ac:dyDescent="0.25">
      <c r="A78" s="84">
        <v>1366872660</v>
      </c>
      <c r="B78" s="32" t="s">
        <v>890</v>
      </c>
      <c r="C78" s="32" t="s">
        <v>875</v>
      </c>
      <c r="D78" s="32" t="s">
        <v>354</v>
      </c>
      <c r="E78" s="32" t="s">
        <v>170</v>
      </c>
      <c r="F78" s="32" t="s">
        <v>440</v>
      </c>
      <c r="G78" s="32">
        <v>1702</v>
      </c>
      <c r="H78" s="32" t="s">
        <v>414</v>
      </c>
      <c r="I78" s="32" t="s">
        <v>490</v>
      </c>
      <c r="J78" s="32" t="s">
        <v>360</v>
      </c>
      <c r="K78" s="32"/>
      <c r="L78" s="33"/>
      <c r="M78" s="32"/>
      <c r="N78" s="32"/>
      <c r="O78" s="32"/>
      <c r="P78" s="32"/>
      <c r="Q78" s="32"/>
      <c r="R78" s="32"/>
      <c r="S78" s="32"/>
      <c r="T78" s="32"/>
      <c r="U78" s="34"/>
      <c r="V78" s="32"/>
      <c r="W78" s="162"/>
      <c r="X78" s="32"/>
      <c r="Y78" s="32"/>
      <c r="Z78" s="32"/>
      <c r="AA78" s="32"/>
      <c r="AB78" s="32"/>
      <c r="AC78" s="32"/>
      <c r="AD78" s="32"/>
      <c r="AE78" s="32"/>
    </row>
    <row r="79" spans="1:31" x14ac:dyDescent="0.25">
      <c r="A79" s="84">
        <v>1163650418</v>
      </c>
      <c r="B79" s="32" t="s">
        <v>891</v>
      </c>
      <c r="C79" s="32" t="s">
        <v>892</v>
      </c>
      <c r="D79" s="32" t="s">
        <v>354</v>
      </c>
      <c r="E79" s="32" t="s">
        <v>867</v>
      </c>
      <c r="F79" s="32" t="s">
        <v>440</v>
      </c>
      <c r="G79" s="32">
        <v>8999</v>
      </c>
      <c r="H79" s="32" t="s">
        <v>368</v>
      </c>
      <c r="I79" s="32" t="s">
        <v>490</v>
      </c>
      <c r="J79" s="32" t="s">
        <v>375</v>
      </c>
      <c r="K79" s="32"/>
      <c r="L79" s="33"/>
      <c r="M79" s="32"/>
      <c r="N79" s="32"/>
      <c r="O79" s="32"/>
      <c r="P79" s="32"/>
      <c r="Q79" s="32"/>
      <c r="R79" s="32"/>
      <c r="S79" s="32"/>
      <c r="T79" s="32"/>
      <c r="U79" s="34"/>
      <c r="V79" s="32"/>
      <c r="W79" s="162"/>
      <c r="X79" s="32"/>
      <c r="Y79" s="32"/>
      <c r="Z79" s="32"/>
      <c r="AA79" s="32"/>
      <c r="AB79" s="32"/>
      <c r="AC79" s="32"/>
      <c r="AD79" s="32"/>
      <c r="AE79" s="32"/>
    </row>
    <row r="80" spans="1:31" x14ac:dyDescent="0.25">
      <c r="A80" s="157">
        <v>1269922284</v>
      </c>
      <c r="B80" s="157" t="s">
        <v>893</v>
      </c>
      <c r="C80" s="157" t="s">
        <v>894</v>
      </c>
      <c r="D80" s="157" t="s">
        <v>354</v>
      </c>
      <c r="E80" s="157" t="s">
        <v>158</v>
      </c>
      <c r="F80" s="157" t="s">
        <v>440</v>
      </c>
      <c r="G80" s="157">
        <v>1721</v>
      </c>
      <c r="H80" s="157" t="s">
        <v>368</v>
      </c>
      <c r="I80" s="157" t="s">
        <v>490</v>
      </c>
      <c r="J80" s="157" t="s">
        <v>375</v>
      </c>
      <c r="K80" s="157"/>
      <c r="L80" s="173"/>
      <c r="M80" s="157"/>
      <c r="N80" s="157"/>
      <c r="O80" s="157"/>
      <c r="P80" s="157"/>
      <c r="Q80" s="157"/>
      <c r="R80" s="157"/>
      <c r="S80" s="157"/>
      <c r="T80" s="157"/>
      <c r="U80" s="175"/>
      <c r="V80" s="157"/>
      <c r="W80" s="177"/>
      <c r="X80" s="157"/>
      <c r="Y80" s="157"/>
      <c r="Z80" s="157"/>
      <c r="AA80" s="157"/>
      <c r="AB80" s="157"/>
      <c r="AC80" s="157"/>
      <c r="AD80" s="157"/>
      <c r="AE80" s="157"/>
    </row>
    <row r="81" spans="1:31" x14ac:dyDescent="0.25">
      <c r="A81" s="171">
        <v>1410597200</v>
      </c>
      <c r="B81" s="78" t="s">
        <v>895</v>
      </c>
      <c r="C81" s="78" t="s">
        <v>896</v>
      </c>
      <c r="D81" s="78" t="s">
        <v>354</v>
      </c>
      <c r="E81" s="78" t="s">
        <v>151</v>
      </c>
      <c r="F81" s="78" t="s">
        <v>440</v>
      </c>
      <c r="G81" s="78">
        <v>1721</v>
      </c>
      <c r="H81" s="78" t="s">
        <v>368</v>
      </c>
      <c r="I81" s="78" t="s">
        <v>490</v>
      </c>
      <c r="J81" s="78" t="s">
        <v>375</v>
      </c>
      <c r="K81" s="78" t="s">
        <v>655</v>
      </c>
      <c r="L81" s="172">
        <v>45337</v>
      </c>
      <c r="M81" s="78" t="s">
        <v>212</v>
      </c>
      <c r="N81" s="78" t="b">
        <v>0</v>
      </c>
      <c r="O81" s="78">
        <v>23</v>
      </c>
      <c r="P81" s="78">
        <v>100</v>
      </c>
      <c r="Q81" s="78" t="s">
        <v>458</v>
      </c>
      <c r="R81" s="78" t="s">
        <v>458</v>
      </c>
      <c r="S81" s="78" t="s">
        <v>458</v>
      </c>
      <c r="T81" s="78" t="s">
        <v>458</v>
      </c>
      <c r="U81" s="174">
        <v>0.15625</v>
      </c>
      <c r="V81" s="78">
        <v>100</v>
      </c>
      <c r="W81" s="176">
        <v>1.1138888888888889</v>
      </c>
      <c r="X81" s="78">
        <v>47</v>
      </c>
      <c r="Y81" s="78" t="s">
        <v>458</v>
      </c>
      <c r="Z81" s="78" t="s">
        <v>458</v>
      </c>
      <c r="AA81" s="78">
        <v>247</v>
      </c>
      <c r="AB81" s="78" t="s">
        <v>737</v>
      </c>
      <c r="AC81" s="78" t="s">
        <v>458</v>
      </c>
      <c r="AD81" s="78" t="b">
        <v>0</v>
      </c>
      <c r="AE81" s="78" t="s">
        <v>458</v>
      </c>
    </row>
  </sheetData>
  <sheetProtection sort="0"/>
  <mergeCells count="2">
    <mergeCell ref="K1:AE1"/>
    <mergeCell ref="A1:J1"/>
  </mergeCells>
  <dataValidations count="1">
    <dataValidation allowBlank="1" showInputMessage="1" showErrorMessage="1" sqref="A1:XFD1048576" xr:uid="{C09F5DE4-739C-46E6-96B0-29C4870F4B46}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35FE-4BBD-44B1-A9E8-440DBEC2EE18}">
  <dimension ref="A1:N27"/>
  <sheetViews>
    <sheetView workbookViewId="0">
      <selection activeCell="G7" sqref="G7"/>
    </sheetView>
  </sheetViews>
  <sheetFormatPr defaultRowHeight="15" x14ac:dyDescent="0.25"/>
  <cols>
    <col min="1" max="1" width="10.140625" bestFit="1" customWidth="1"/>
    <col min="2" max="3" width="11.42578125" bestFit="1" customWidth="1"/>
    <col min="6" max="6" width="10.28515625" bestFit="1" customWidth="1"/>
    <col min="8" max="8" width="9.42578125" bestFit="1" customWidth="1"/>
    <col min="11" max="14" width="11.42578125" bestFit="1" customWidth="1"/>
  </cols>
  <sheetData>
    <row r="1" spans="1:14" ht="18.75" x14ac:dyDescent="0.3">
      <c r="A1" s="214" t="s">
        <v>740</v>
      </c>
      <c r="B1" s="214"/>
      <c r="C1" s="214"/>
      <c r="D1" s="214"/>
      <c r="E1" s="214"/>
      <c r="F1" s="214"/>
      <c r="G1" s="214"/>
      <c r="H1" s="214"/>
      <c r="I1" s="214"/>
      <c r="J1" s="214"/>
      <c r="K1" s="229" t="s">
        <v>31</v>
      </c>
      <c r="L1" s="230"/>
      <c r="M1" s="230"/>
      <c r="N1" s="231"/>
    </row>
    <row r="2" spans="1:14" ht="51.75" x14ac:dyDescent="0.25">
      <c r="A2" s="69" t="s">
        <v>337</v>
      </c>
      <c r="B2" s="69" t="s">
        <v>338</v>
      </c>
      <c r="C2" s="69" t="s">
        <v>339</v>
      </c>
      <c r="D2" s="69" t="s">
        <v>340</v>
      </c>
      <c r="E2" s="69" t="s">
        <v>207</v>
      </c>
      <c r="F2" s="69" t="s">
        <v>434</v>
      </c>
      <c r="G2" s="69" t="s">
        <v>341</v>
      </c>
      <c r="H2" s="69" t="s">
        <v>623</v>
      </c>
      <c r="I2" s="69" t="s">
        <v>192</v>
      </c>
      <c r="J2" s="69" t="s">
        <v>343</v>
      </c>
      <c r="K2" s="69" t="s">
        <v>624</v>
      </c>
      <c r="L2" s="69" t="s">
        <v>625</v>
      </c>
      <c r="M2" s="69" t="s">
        <v>437</v>
      </c>
      <c r="N2" s="69" t="s">
        <v>741</v>
      </c>
    </row>
    <row r="3" spans="1:14" hidden="1" x14ac:dyDescent="0.25">
      <c r="A3" s="2">
        <v>1608616434</v>
      </c>
      <c r="B3" s="2" t="s">
        <v>356</v>
      </c>
      <c r="C3" s="2" t="s">
        <v>357</v>
      </c>
      <c r="D3" s="2" t="s">
        <v>354</v>
      </c>
      <c r="E3" s="2" t="s">
        <v>235</v>
      </c>
      <c r="F3" s="2" t="s">
        <v>440</v>
      </c>
      <c r="G3" s="2" t="s">
        <v>458</v>
      </c>
      <c r="H3" s="2" t="s">
        <v>368</v>
      </c>
      <c r="I3" s="2" t="s">
        <v>215</v>
      </c>
      <c r="J3" s="2" t="s">
        <v>458</v>
      </c>
      <c r="K3" s="2" t="s">
        <v>655</v>
      </c>
      <c r="L3" s="3">
        <v>45179</v>
      </c>
      <c r="M3" s="2" t="s">
        <v>212</v>
      </c>
      <c r="N3" s="8" t="s">
        <v>4</v>
      </c>
    </row>
    <row r="4" spans="1:14" ht="39" x14ac:dyDescent="0.25">
      <c r="A4" s="32">
        <v>4741999075</v>
      </c>
      <c r="B4" s="32" t="s">
        <v>742</v>
      </c>
      <c r="C4" s="32" t="s">
        <v>743</v>
      </c>
      <c r="D4" s="32" t="s">
        <v>354</v>
      </c>
      <c r="E4" s="32" t="s">
        <v>170</v>
      </c>
      <c r="F4" s="32" t="s">
        <v>440</v>
      </c>
      <c r="G4" s="32">
        <v>1702</v>
      </c>
      <c r="H4" s="32" t="s">
        <v>414</v>
      </c>
      <c r="I4" s="32" t="s">
        <v>230</v>
      </c>
      <c r="J4" s="32" t="s">
        <v>360</v>
      </c>
      <c r="K4" s="32" t="s">
        <v>655</v>
      </c>
      <c r="L4" s="33">
        <v>45179</v>
      </c>
      <c r="M4" s="32" t="s">
        <v>212</v>
      </c>
      <c r="N4" s="35" t="s">
        <v>4</v>
      </c>
    </row>
    <row r="5" spans="1:14" ht="51.75" hidden="1" x14ac:dyDescent="0.25">
      <c r="A5" s="2">
        <v>1538999384</v>
      </c>
      <c r="B5" s="2" t="s">
        <v>744</v>
      </c>
      <c r="C5" s="2" t="s">
        <v>745</v>
      </c>
      <c r="D5" s="2" t="s">
        <v>354</v>
      </c>
      <c r="E5" s="2" t="s">
        <v>161</v>
      </c>
      <c r="F5" s="2" t="s">
        <v>440</v>
      </c>
      <c r="G5" s="2">
        <v>1721</v>
      </c>
      <c r="H5" s="2" t="s">
        <v>368</v>
      </c>
      <c r="I5" s="2" t="s">
        <v>230</v>
      </c>
      <c r="J5" s="2" t="s">
        <v>375</v>
      </c>
      <c r="K5" s="2" t="s">
        <v>655</v>
      </c>
      <c r="L5" s="3">
        <v>45131</v>
      </c>
      <c r="M5" s="2" t="s">
        <v>212</v>
      </c>
      <c r="N5" s="8" t="s">
        <v>4</v>
      </c>
    </row>
    <row r="6" spans="1:14" ht="51.75" hidden="1" x14ac:dyDescent="0.25">
      <c r="A6" s="32">
        <v>1160110691</v>
      </c>
      <c r="B6" s="32" t="s">
        <v>746</v>
      </c>
      <c r="C6" s="32" t="s">
        <v>747</v>
      </c>
      <c r="D6" s="32" t="s">
        <v>354</v>
      </c>
      <c r="E6" s="32" t="s">
        <v>158</v>
      </c>
      <c r="F6" s="32" t="s">
        <v>440</v>
      </c>
      <c r="G6" s="32">
        <v>1721</v>
      </c>
      <c r="H6" s="32" t="s">
        <v>368</v>
      </c>
      <c r="I6" s="32" t="s">
        <v>230</v>
      </c>
      <c r="J6" s="32" t="s">
        <v>375</v>
      </c>
      <c r="K6" s="32" t="s">
        <v>655</v>
      </c>
      <c r="L6" s="33">
        <v>45193</v>
      </c>
      <c r="M6" s="32" t="s">
        <v>212</v>
      </c>
      <c r="N6" s="35" t="s">
        <v>4</v>
      </c>
    </row>
    <row r="7" spans="1:14" ht="51.75" x14ac:dyDescent="0.25">
      <c r="A7" s="32">
        <v>1520074788</v>
      </c>
      <c r="B7" s="32" t="s">
        <v>748</v>
      </c>
      <c r="C7" s="32" t="s">
        <v>749</v>
      </c>
      <c r="D7" s="32" t="s">
        <v>354</v>
      </c>
      <c r="E7" s="32" t="s">
        <v>158</v>
      </c>
      <c r="F7" s="32" t="s">
        <v>440</v>
      </c>
      <c r="G7" s="32">
        <v>1721</v>
      </c>
      <c r="H7" s="32" t="s">
        <v>368</v>
      </c>
      <c r="I7" s="32" t="s">
        <v>230</v>
      </c>
      <c r="J7" s="32" t="s">
        <v>375</v>
      </c>
      <c r="K7" s="32" t="s">
        <v>655</v>
      </c>
      <c r="L7" s="33">
        <v>44950</v>
      </c>
      <c r="M7" s="32" t="s">
        <v>212</v>
      </c>
      <c r="N7" s="35" t="s">
        <v>4</v>
      </c>
    </row>
    <row r="8" spans="1:14" ht="51.75" x14ac:dyDescent="0.25">
      <c r="A8" s="32">
        <v>1220711349</v>
      </c>
      <c r="B8" s="32" t="s">
        <v>750</v>
      </c>
      <c r="C8" s="32" t="s">
        <v>751</v>
      </c>
      <c r="D8" s="32" t="s">
        <v>354</v>
      </c>
      <c r="E8" s="32" t="s">
        <v>155</v>
      </c>
      <c r="F8" s="32" t="s">
        <v>440</v>
      </c>
      <c r="G8" s="32">
        <v>1721</v>
      </c>
      <c r="H8" s="32" t="s">
        <v>368</v>
      </c>
      <c r="I8" s="32" t="s">
        <v>230</v>
      </c>
      <c r="J8" s="32" t="s">
        <v>375</v>
      </c>
      <c r="K8" s="32" t="s">
        <v>655</v>
      </c>
      <c r="L8" s="33">
        <v>45190</v>
      </c>
      <c r="M8" s="32" t="s">
        <v>212</v>
      </c>
      <c r="N8" s="35" t="s">
        <v>4</v>
      </c>
    </row>
    <row r="9" spans="1:14" ht="51.75" hidden="1" x14ac:dyDescent="0.25">
      <c r="A9" s="2">
        <v>1534568011</v>
      </c>
      <c r="B9" s="2" t="s">
        <v>752</v>
      </c>
      <c r="C9" s="2" t="s">
        <v>753</v>
      </c>
      <c r="D9" s="2" t="s">
        <v>354</v>
      </c>
      <c r="E9" s="2" t="s">
        <v>155</v>
      </c>
      <c r="F9" s="2" t="s">
        <v>440</v>
      </c>
      <c r="G9" s="2">
        <v>1721</v>
      </c>
      <c r="H9" s="2" t="s">
        <v>368</v>
      </c>
      <c r="I9" s="2" t="s">
        <v>230</v>
      </c>
      <c r="J9" s="2" t="s">
        <v>375</v>
      </c>
      <c r="K9" s="2" t="s">
        <v>655</v>
      </c>
      <c r="L9" s="3">
        <v>45244</v>
      </c>
      <c r="M9" s="2" t="s">
        <v>212</v>
      </c>
      <c r="N9" s="8" t="s">
        <v>4</v>
      </c>
    </row>
    <row r="10" spans="1:14" ht="51.75" hidden="1" x14ac:dyDescent="0.25">
      <c r="A10" s="32">
        <v>1418134206</v>
      </c>
      <c r="B10" s="32" t="s">
        <v>754</v>
      </c>
      <c r="C10" s="32" t="s">
        <v>755</v>
      </c>
      <c r="D10" s="32" t="s">
        <v>354</v>
      </c>
      <c r="E10" s="32" t="s">
        <v>155</v>
      </c>
      <c r="F10" s="32" t="s">
        <v>440</v>
      </c>
      <c r="G10" s="32">
        <v>1700</v>
      </c>
      <c r="H10" s="32" t="s">
        <v>368</v>
      </c>
      <c r="I10" s="32" t="s">
        <v>230</v>
      </c>
      <c r="J10" s="32" t="s">
        <v>375</v>
      </c>
      <c r="K10" s="32" t="s">
        <v>655</v>
      </c>
      <c r="L10" s="33">
        <v>45244</v>
      </c>
      <c r="M10" s="32" t="s">
        <v>212</v>
      </c>
      <c r="N10" s="35" t="s">
        <v>4</v>
      </c>
    </row>
    <row r="11" spans="1:14" ht="51.75" hidden="1" x14ac:dyDescent="0.25">
      <c r="A11" s="2">
        <v>1007476454</v>
      </c>
      <c r="B11" s="2" t="s">
        <v>756</v>
      </c>
      <c r="C11" s="2" t="s">
        <v>757</v>
      </c>
      <c r="D11" s="2" t="s">
        <v>354</v>
      </c>
      <c r="E11" s="2" t="s">
        <v>151</v>
      </c>
      <c r="F11" s="2" t="s">
        <v>440</v>
      </c>
      <c r="G11" s="2">
        <v>1721</v>
      </c>
      <c r="H11" s="2" t="s">
        <v>368</v>
      </c>
      <c r="I11" s="2" t="s">
        <v>230</v>
      </c>
      <c r="J11" s="2" t="s">
        <v>375</v>
      </c>
      <c r="K11" s="2" t="s">
        <v>655</v>
      </c>
      <c r="L11" s="3">
        <v>45221</v>
      </c>
      <c r="M11" s="2" t="s">
        <v>212</v>
      </c>
      <c r="N11" s="8" t="s">
        <v>4</v>
      </c>
    </row>
    <row r="12" spans="1:14" ht="51.75" hidden="1" x14ac:dyDescent="0.25">
      <c r="A12" s="32">
        <v>1245991266</v>
      </c>
      <c r="B12" s="32" t="s">
        <v>758</v>
      </c>
      <c r="C12" s="32" t="s">
        <v>759</v>
      </c>
      <c r="D12" s="32" t="s">
        <v>354</v>
      </c>
      <c r="E12" s="32" t="s">
        <v>151</v>
      </c>
      <c r="F12" s="32" t="s">
        <v>440</v>
      </c>
      <c r="G12" s="32">
        <v>1721</v>
      </c>
      <c r="H12" s="32" t="s">
        <v>368</v>
      </c>
      <c r="I12" s="32" t="s">
        <v>230</v>
      </c>
      <c r="J12" s="32" t="s">
        <v>375</v>
      </c>
      <c r="K12" s="32" t="s">
        <v>655</v>
      </c>
      <c r="L12" s="33">
        <v>44938</v>
      </c>
      <c r="M12" s="32" t="s">
        <v>212</v>
      </c>
      <c r="N12" s="35" t="s">
        <v>4</v>
      </c>
    </row>
    <row r="13" spans="1:14" ht="51.75" hidden="1" x14ac:dyDescent="0.25">
      <c r="A13" s="9">
        <v>1019647482</v>
      </c>
      <c r="B13" s="9" t="s">
        <v>760</v>
      </c>
      <c r="C13" s="9" t="s">
        <v>761</v>
      </c>
      <c r="D13" s="9" t="s">
        <v>354</v>
      </c>
      <c r="E13" s="9" t="s">
        <v>151</v>
      </c>
      <c r="F13" s="9" t="s">
        <v>440</v>
      </c>
      <c r="G13" s="9">
        <v>1721</v>
      </c>
      <c r="H13" s="9" t="s">
        <v>368</v>
      </c>
      <c r="I13" s="9" t="s">
        <v>230</v>
      </c>
      <c r="J13" s="9" t="s">
        <v>375</v>
      </c>
      <c r="K13" s="9" t="s">
        <v>655</v>
      </c>
      <c r="L13" s="10">
        <v>45201</v>
      </c>
      <c r="M13" s="9" t="s">
        <v>212</v>
      </c>
      <c r="N13" s="11" t="s">
        <v>4</v>
      </c>
    </row>
    <row r="14" spans="1:14" ht="51.75" x14ac:dyDescent="0.25">
      <c r="A14" s="36">
        <v>1216965036</v>
      </c>
      <c r="B14" s="36" t="s">
        <v>762</v>
      </c>
      <c r="C14" s="36" t="s">
        <v>763</v>
      </c>
      <c r="D14" s="36" t="s">
        <v>354</v>
      </c>
      <c r="E14" s="36" t="s">
        <v>151</v>
      </c>
      <c r="F14" s="36" t="s">
        <v>440</v>
      </c>
      <c r="G14" s="36">
        <v>1721</v>
      </c>
      <c r="H14" s="36" t="s">
        <v>368</v>
      </c>
      <c r="I14" s="36" t="s">
        <v>230</v>
      </c>
      <c r="J14" s="36" t="s">
        <v>375</v>
      </c>
      <c r="K14" s="36" t="s">
        <v>655</v>
      </c>
      <c r="L14" s="37">
        <v>45048</v>
      </c>
      <c r="M14" s="36" t="s">
        <v>212</v>
      </c>
      <c r="N14" s="38" t="s">
        <v>4</v>
      </c>
    </row>
    <row r="15" spans="1:14" ht="51.75" x14ac:dyDescent="0.25">
      <c r="A15" s="36">
        <v>1014426852</v>
      </c>
      <c r="B15" s="36" t="s">
        <v>764</v>
      </c>
      <c r="C15" s="36" t="s">
        <v>765</v>
      </c>
      <c r="D15" s="36" t="s">
        <v>354</v>
      </c>
      <c r="E15" s="36" t="s">
        <v>151</v>
      </c>
      <c r="F15" s="36" t="s">
        <v>440</v>
      </c>
      <c r="G15" s="36">
        <v>1721</v>
      </c>
      <c r="H15" s="36" t="s">
        <v>368</v>
      </c>
      <c r="I15" s="36" t="s">
        <v>230</v>
      </c>
      <c r="J15" s="36" t="s">
        <v>375</v>
      </c>
      <c r="K15" s="36" t="s">
        <v>655</v>
      </c>
      <c r="L15" s="37">
        <v>45263</v>
      </c>
      <c r="M15" s="36" t="s">
        <v>212</v>
      </c>
      <c r="N15" s="38" t="s">
        <v>4</v>
      </c>
    </row>
    <row r="16" spans="1:14" ht="51.75" x14ac:dyDescent="0.25">
      <c r="A16" s="36">
        <v>1342870108</v>
      </c>
      <c r="B16" s="36" t="s">
        <v>766</v>
      </c>
      <c r="C16" s="36" t="s">
        <v>767</v>
      </c>
      <c r="D16" s="36" t="s">
        <v>354</v>
      </c>
      <c r="E16" s="36" t="s">
        <v>151</v>
      </c>
      <c r="F16" s="36" t="s">
        <v>440</v>
      </c>
      <c r="G16" s="36">
        <v>1721</v>
      </c>
      <c r="H16" s="36" t="s">
        <v>368</v>
      </c>
      <c r="I16" s="36" t="s">
        <v>230</v>
      </c>
      <c r="J16" s="36" t="s">
        <v>375</v>
      </c>
      <c r="K16" s="36" t="s">
        <v>655</v>
      </c>
      <c r="L16" s="37">
        <v>45263</v>
      </c>
      <c r="M16" s="36" t="s">
        <v>212</v>
      </c>
      <c r="N16" s="38" t="s">
        <v>4</v>
      </c>
    </row>
    <row r="17" spans="1:14" ht="51.75" x14ac:dyDescent="0.25">
      <c r="A17" s="36">
        <v>1563539788</v>
      </c>
      <c r="B17" s="36" t="s">
        <v>768</v>
      </c>
      <c r="C17" s="36" t="s">
        <v>769</v>
      </c>
      <c r="D17" s="36" t="s">
        <v>354</v>
      </c>
      <c r="E17" s="36" t="s">
        <v>151</v>
      </c>
      <c r="F17" s="36" t="s">
        <v>440</v>
      </c>
      <c r="G17" s="36">
        <v>1721</v>
      </c>
      <c r="H17" s="36" t="s">
        <v>368</v>
      </c>
      <c r="I17" s="36" t="s">
        <v>230</v>
      </c>
      <c r="J17" s="36" t="s">
        <v>375</v>
      </c>
      <c r="K17" s="36" t="s">
        <v>655</v>
      </c>
      <c r="L17" s="37">
        <v>45200</v>
      </c>
      <c r="M17" s="36" t="s">
        <v>212</v>
      </c>
      <c r="N17" s="38" t="s">
        <v>4</v>
      </c>
    </row>
    <row r="18" spans="1:14" ht="51.75" x14ac:dyDescent="0.25">
      <c r="A18" s="36">
        <v>1243619874</v>
      </c>
      <c r="B18" s="36" t="s">
        <v>770</v>
      </c>
      <c r="C18" s="36" t="s">
        <v>771</v>
      </c>
      <c r="D18" s="36" t="s">
        <v>354</v>
      </c>
      <c r="E18" s="36" t="s">
        <v>147</v>
      </c>
      <c r="F18" s="36" t="s">
        <v>440</v>
      </c>
      <c r="G18" s="36">
        <v>1721</v>
      </c>
      <c r="H18" s="36" t="s">
        <v>368</v>
      </c>
      <c r="I18" s="36" t="s">
        <v>230</v>
      </c>
      <c r="J18" s="36" t="s">
        <v>375</v>
      </c>
      <c r="K18" s="36" t="s">
        <v>655</v>
      </c>
      <c r="L18" s="37">
        <v>45156</v>
      </c>
      <c r="M18" s="36" t="s">
        <v>212</v>
      </c>
      <c r="N18" s="38" t="s">
        <v>4</v>
      </c>
    </row>
    <row r="19" spans="1:14" ht="39" x14ac:dyDescent="0.25">
      <c r="A19" s="36">
        <v>1204889319</v>
      </c>
      <c r="B19" s="36" t="s">
        <v>772</v>
      </c>
      <c r="C19" s="36" t="s">
        <v>773</v>
      </c>
      <c r="D19" s="36" t="s">
        <v>354</v>
      </c>
      <c r="E19" s="36" t="s">
        <v>170</v>
      </c>
      <c r="F19" s="36" t="s">
        <v>440</v>
      </c>
      <c r="G19" s="36">
        <v>1702</v>
      </c>
      <c r="H19" s="36" t="s">
        <v>414</v>
      </c>
      <c r="I19" s="36" t="s">
        <v>225</v>
      </c>
      <c r="J19" s="36" t="s">
        <v>360</v>
      </c>
      <c r="K19" s="36" t="s">
        <v>655</v>
      </c>
      <c r="L19" s="37">
        <v>45103</v>
      </c>
      <c r="M19" s="36" t="s">
        <v>212</v>
      </c>
      <c r="N19" s="38" t="s">
        <v>4</v>
      </c>
    </row>
    <row r="20" spans="1:14" ht="51.75" x14ac:dyDescent="0.25">
      <c r="A20" s="36">
        <v>1598039312</v>
      </c>
      <c r="B20" s="36" t="s">
        <v>774</v>
      </c>
      <c r="C20" s="36" t="s">
        <v>775</v>
      </c>
      <c r="D20" s="36" t="s">
        <v>354</v>
      </c>
      <c r="E20" s="36" t="s">
        <v>161</v>
      </c>
      <c r="F20" s="36" t="s">
        <v>440</v>
      </c>
      <c r="G20" s="36">
        <v>1721</v>
      </c>
      <c r="H20" s="36" t="s">
        <v>368</v>
      </c>
      <c r="I20" s="36" t="s">
        <v>225</v>
      </c>
      <c r="J20" s="36" t="s">
        <v>375</v>
      </c>
      <c r="K20" s="36" t="s">
        <v>655</v>
      </c>
      <c r="L20" s="37">
        <v>45174</v>
      </c>
      <c r="M20" s="36" t="s">
        <v>212</v>
      </c>
      <c r="N20" s="38" t="s">
        <v>4</v>
      </c>
    </row>
    <row r="21" spans="1:14" ht="51.75" x14ac:dyDescent="0.25">
      <c r="A21" s="36">
        <v>1057200841</v>
      </c>
      <c r="B21" s="36" t="s">
        <v>776</v>
      </c>
      <c r="C21" s="36" t="s">
        <v>777</v>
      </c>
      <c r="D21" s="36" t="s">
        <v>354</v>
      </c>
      <c r="E21" s="36" t="s">
        <v>158</v>
      </c>
      <c r="F21" s="36" t="s">
        <v>440</v>
      </c>
      <c r="G21" s="36">
        <v>1721</v>
      </c>
      <c r="H21" s="36" t="s">
        <v>368</v>
      </c>
      <c r="I21" s="36" t="s">
        <v>225</v>
      </c>
      <c r="J21" s="36" t="s">
        <v>375</v>
      </c>
      <c r="K21" s="36" t="s">
        <v>655</v>
      </c>
      <c r="L21" s="37">
        <v>45223</v>
      </c>
      <c r="M21" s="36" t="s">
        <v>212</v>
      </c>
      <c r="N21" s="38" t="s">
        <v>4</v>
      </c>
    </row>
    <row r="22" spans="1:14" ht="51.75" x14ac:dyDescent="0.25">
      <c r="A22" s="36">
        <v>1605838371</v>
      </c>
      <c r="B22" s="36" t="s">
        <v>778</v>
      </c>
      <c r="C22" s="36" t="s">
        <v>779</v>
      </c>
      <c r="D22" s="36" t="s">
        <v>354</v>
      </c>
      <c r="E22" s="36" t="s">
        <v>158</v>
      </c>
      <c r="F22" s="36" t="s">
        <v>440</v>
      </c>
      <c r="G22" s="36">
        <v>1721</v>
      </c>
      <c r="H22" s="36" t="s">
        <v>368</v>
      </c>
      <c r="I22" s="36" t="s">
        <v>225</v>
      </c>
      <c r="J22" s="36" t="s">
        <v>375</v>
      </c>
      <c r="K22" s="36" t="s">
        <v>655</v>
      </c>
      <c r="L22" s="37">
        <v>45260</v>
      </c>
      <c r="M22" s="36" t="s">
        <v>212</v>
      </c>
      <c r="N22" s="38" t="s">
        <v>4</v>
      </c>
    </row>
    <row r="23" spans="1:14" ht="51.75" x14ac:dyDescent="0.25">
      <c r="A23" s="36">
        <v>1583777566</v>
      </c>
      <c r="B23" s="36" t="s">
        <v>780</v>
      </c>
      <c r="C23" s="36" t="s">
        <v>781</v>
      </c>
      <c r="D23" s="36" t="s">
        <v>354</v>
      </c>
      <c r="E23" s="36" t="s">
        <v>155</v>
      </c>
      <c r="F23" s="36" t="s">
        <v>440</v>
      </c>
      <c r="G23" s="36">
        <v>1721</v>
      </c>
      <c r="H23" s="36" t="s">
        <v>368</v>
      </c>
      <c r="I23" s="36" t="s">
        <v>225</v>
      </c>
      <c r="J23" s="36" t="s">
        <v>375</v>
      </c>
      <c r="K23" s="36" t="s">
        <v>655</v>
      </c>
      <c r="L23" s="37">
        <v>45044</v>
      </c>
      <c r="M23" s="36" t="s">
        <v>212</v>
      </c>
      <c r="N23" s="38" t="s">
        <v>4</v>
      </c>
    </row>
    <row r="24" spans="1:14" ht="51.75" x14ac:dyDescent="0.25">
      <c r="A24" s="36">
        <v>1309210629</v>
      </c>
      <c r="B24" s="36" t="s">
        <v>782</v>
      </c>
      <c r="C24" s="36" t="s">
        <v>783</v>
      </c>
      <c r="D24" s="36" t="s">
        <v>354</v>
      </c>
      <c r="E24" s="36" t="s">
        <v>155</v>
      </c>
      <c r="F24" s="36" t="s">
        <v>440</v>
      </c>
      <c r="G24" s="36">
        <v>1721</v>
      </c>
      <c r="H24" s="36" t="s">
        <v>368</v>
      </c>
      <c r="I24" s="36" t="s">
        <v>225</v>
      </c>
      <c r="J24" s="36" t="s">
        <v>375</v>
      </c>
      <c r="K24" s="36" t="s">
        <v>655</v>
      </c>
      <c r="L24" s="37">
        <v>45002</v>
      </c>
      <c r="M24" s="36" t="s">
        <v>212</v>
      </c>
      <c r="N24" s="38" t="s">
        <v>4</v>
      </c>
    </row>
    <row r="25" spans="1:14" ht="51.75" x14ac:dyDescent="0.25">
      <c r="A25" s="36">
        <v>1068605275</v>
      </c>
      <c r="B25" s="36" t="s">
        <v>784</v>
      </c>
      <c r="C25" s="36" t="s">
        <v>785</v>
      </c>
      <c r="D25" s="36" t="s">
        <v>354</v>
      </c>
      <c r="E25" s="36" t="s">
        <v>155</v>
      </c>
      <c r="F25" s="36" t="s">
        <v>440</v>
      </c>
      <c r="G25" s="36">
        <v>1700</v>
      </c>
      <c r="H25" s="36" t="s">
        <v>368</v>
      </c>
      <c r="I25" s="36" t="s">
        <v>225</v>
      </c>
      <c r="J25" s="36" t="s">
        <v>375</v>
      </c>
      <c r="K25" s="36" t="s">
        <v>655</v>
      </c>
      <c r="L25" s="37">
        <v>45140</v>
      </c>
      <c r="M25" s="36" t="s">
        <v>212</v>
      </c>
      <c r="N25" s="38" t="s">
        <v>4</v>
      </c>
    </row>
    <row r="26" spans="1:14" ht="51.75" x14ac:dyDescent="0.25">
      <c r="A26" s="32">
        <v>1504022008</v>
      </c>
      <c r="B26" s="32" t="s">
        <v>786</v>
      </c>
      <c r="C26" s="32" t="s">
        <v>787</v>
      </c>
      <c r="D26" s="32" t="s">
        <v>354</v>
      </c>
      <c r="E26" s="32" t="s">
        <v>151</v>
      </c>
      <c r="F26" s="32" t="s">
        <v>440</v>
      </c>
      <c r="G26" s="32">
        <v>1721</v>
      </c>
      <c r="H26" s="32" t="s">
        <v>368</v>
      </c>
      <c r="I26" s="32" t="s">
        <v>225</v>
      </c>
      <c r="J26" s="32" t="s">
        <v>375</v>
      </c>
      <c r="K26" s="32" t="s">
        <v>655</v>
      </c>
      <c r="L26" s="33">
        <v>44991</v>
      </c>
      <c r="M26" s="32" t="s">
        <v>212</v>
      </c>
      <c r="N26" s="35" t="s">
        <v>4</v>
      </c>
    </row>
    <row r="27" spans="1:14" ht="51.75" x14ac:dyDescent="0.25">
      <c r="A27" s="36">
        <v>1306349386</v>
      </c>
      <c r="B27" s="36" t="s">
        <v>788</v>
      </c>
      <c r="C27" s="36" t="s">
        <v>789</v>
      </c>
      <c r="D27" s="36" t="s">
        <v>354</v>
      </c>
      <c r="E27" s="36" t="s">
        <v>151</v>
      </c>
      <c r="F27" s="36" t="s">
        <v>440</v>
      </c>
      <c r="G27" s="36">
        <v>1721</v>
      </c>
      <c r="H27" s="36" t="s">
        <v>368</v>
      </c>
      <c r="I27" s="36" t="s">
        <v>225</v>
      </c>
      <c r="J27" s="36" t="s">
        <v>375</v>
      </c>
      <c r="K27" s="36" t="s">
        <v>655</v>
      </c>
      <c r="L27" s="37">
        <v>44322</v>
      </c>
      <c r="M27" s="36" t="s">
        <v>212</v>
      </c>
      <c r="N27" s="38" t="s">
        <v>4</v>
      </c>
    </row>
  </sheetData>
  <mergeCells count="2">
    <mergeCell ref="K1:N1"/>
    <mergeCell ref="A1:J1"/>
  </mergeCells>
  <dataValidations count="1">
    <dataValidation type="whole" errorStyle="warning" allowBlank="1" showInputMessage="1" showErrorMessage="1" errorTitle="Don't Touch" error="Raw MCTIMS query outputs." sqref="A1:J1" xr:uid="{EAECBF8A-E6A3-40A4-A047-16BF69E02C58}">
      <formula1>500</formula1>
      <formula2>501</formula2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2241E7EA2A4BB2A61C2AB9F0DF94" ma:contentTypeVersion="18" ma:contentTypeDescription="Create a new document." ma:contentTypeScope="" ma:versionID="d9e3f6e4444d061f200984be34f30f12">
  <xsd:schema xmlns:xsd="http://www.w3.org/2001/XMLSchema" xmlns:xs="http://www.w3.org/2001/XMLSchema" xmlns:p="http://schemas.microsoft.com/office/2006/metadata/properties" xmlns:ns1="http://schemas.microsoft.com/sharepoint/v3" xmlns:ns2="355a32a7-7525-4804-a80b-e03a3c92b833" xmlns:ns3="ff69894f-adc5-4c70-aac2-1480f523dbf9" targetNamespace="http://schemas.microsoft.com/office/2006/metadata/properties" ma:root="true" ma:fieldsID="619f8c50d38700a7a2ce1a4176a01514" ns1:_="" ns2:_="" ns3:_="">
    <xsd:import namespace="http://schemas.microsoft.com/sharepoint/v3"/>
    <xsd:import namespace="355a32a7-7525-4804-a80b-e03a3c92b833"/>
    <xsd:import namespace="ff69894f-adc5-4c70-aac2-1480f523d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a32a7-7525-4804-a80b-e03a3c92b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7be36e-9551-4638-a550-39ad874449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894f-adc5-4c70-aac2-1480f523dbf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2cd7af0-1429-480c-8868-9b185414e0da}" ma:internalName="TaxCatchAll" ma:showField="CatchAllData" ma:web="ff69894f-adc5-4c70-aac2-1480f523db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5a32a7-7525-4804-a80b-e03a3c92b833">
      <Terms xmlns="http://schemas.microsoft.com/office/infopath/2007/PartnerControls"/>
    </lcf76f155ced4ddcb4097134ff3c332f>
    <TaxCatchAll xmlns="ff69894f-adc5-4c70-aac2-1480f523dbf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333056-355B-421F-A0E7-753017934BD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500B22-6AED-4EC9-8F80-838D60F50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48BE0-1C5E-49D4-9F33-474C18EBE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5a32a7-7525-4804-a80b-e03a3c92b833"/>
    <ds:schemaRef ds:uri="ff69894f-adc5-4c70-aac2-1480f523d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6D7CE33-D859-4CC5-A204-DBA65EEAD0C4}">
  <ds:schemaRefs>
    <ds:schemaRef ds:uri="http://purl.org/dc/dcmitype/"/>
    <ds:schemaRef ds:uri="http://purl.org/dc/elements/1.1/"/>
    <ds:schemaRef ds:uri="ff69894f-adc5-4c70-aac2-1480f523dbf9"/>
    <ds:schemaRef ds:uri="http://schemas.openxmlformats.org/package/2006/metadata/core-properties"/>
    <ds:schemaRef ds:uri="http://purl.org/dc/terms/"/>
    <ds:schemaRef ds:uri="http://schemas.microsoft.com/sharepoint/v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55a32a7-7525-4804-a80b-e03a3c92b8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HItlist</vt:lpstr>
      <vt:lpstr>MCTIMS Unit</vt:lpstr>
      <vt:lpstr>FY23 S3 Close Out</vt:lpstr>
      <vt:lpstr>PFT and HtWt</vt:lpstr>
      <vt:lpstr>CFT and HW</vt:lpstr>
      <vt:lpstr>CY MCTIMS Pull</vt:lpstr>
      <vt:lpstr>FY MCTIMS Pull</vt:lpstr>
      <vt:lpstr>Misc MCTIMS Pull</vt:lpstr>
      <vt:lpstr>CFT MCTIMS Pull</vt:lpstr>
      <vt:lpstr>PFT MCTIMS Pull</vt:lpstr>
      <vt:lpstr>Driver's Awareness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Barton 1stLt Garrett T</dc:creator>
  <cp:keywords/>
  <dc:description/>
  <cp:lastModifiedBy>Barton Capt Garrett T</cp:lastModifiedBy>
  <cp:revision/>
  <dcterms:created xsi:type="dcterms:W3CDTF">2023-08-10T18:41:59Z</dcterms:created>
  <dcterms:modified xsi:type="dcterms:W3CDTF">2024-04-16T14:37:19Z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0x01010012DD2241E7EA2A4BB2A61C2AB9F0DF94</vt:lpwstr>
  </property>
  <property fmtid="{D5CDD505-2E9C-101B-9397-08002B2CF9AE}" pid="3" name="MediaServiceImageTags">
    <vt:lpwstr/>
  </property>
</Properties>
</file>