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58a04fd06befbe1/Desktop/Finances Post Grad/Moe Knees/"/>
    </mc:Choice>
  </mc:AlternateContent>
  <xr:revisionPtr revIDLastSave="188" documentId="8_{E04456C4-804F-4BEE-A7D1-FCB7C21250D0}" xr6:coauthVersionLast="47" xr6:coauthVersionMax="47" xr10:uidLastSave="{3D2361BA-4710-4449-A28E-FB08240173FE}"/>
  <bookViews>
    <workbookView xWindow="-120" yWindow="-120" windowWidth="29040" windowHeight="15720" activeTab="4" xr2:uid="{8D92E8FB-292D-4FA4-A7E8-0C379677E376}"/>
  </bookViews>
  <sheets>
    <sheet name="Instructions" sheetId="6" r:id="rId1"/>
    <sheet name="FY 2020s" sheetId="5" r:id="rId2"/>
    <sheet name="Sums From Statements" sheetId="1" r:id="rId3"/>
    <sheet name="Processing Statement" sheetId="3" r:id="rId4"/>
    <sheet name="Imported Billing Statemen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0" i="5" l="1"/>
  <c r="AA4" i="5"/>
  <c r="W11" i="5"/>
  <c r="X11" i="5" s="1"/>
  <c r="W12" i="5"/>
  <c r="X12" i="5" s="1"/>
  <c r="W13" i="5"/>
  <c r="W14" i="5"/>
  <c r="AA15" i="5"/>
  <c r="U15" i="5"/>
  <c r="S15" i="5"/>
  <c r="O15" i="5"/>
  <c r="AA14" i="5"/>
  <c r="U14" i="5"/>
  <c r="V14" i="5" s="1"/>
  <c r="S14" i="5"/>
  <c r="T14" i="5"/>
  <c r="O14" i="5"/>
  <c r="AA13" i="5"/>
  <c r="U13" i="5"/>
  <c r="S13" i="5"/>
  <c r="I13" i="5"/>
  <c r="H13" i="5"/>
  <c r="G13" i="5"/>
  <c r="F13" i="5"/>
  <c r="E13" i="5"/>
  <c r="D13" i="5"/>
  <c r="C13" i="5"/>
  <c r="AA12" i="5"/>
  <c r="U12" i="5"/>
  <c r="S12" i="5"/>
  <c r="I12" i="5"/>
  <c r="H12" i="5"/>
  <c r="G12" i="5"/>
  <c r="F12" i="5"/>
  <c r="E12" i="5"/>
  <c r="D12" i="5"/>
  <c r="C12" i="5"/>
  <c r="AA11" i="5"/>
  <c r="U11" i="5"/>
  <c r="V11" i="5" s="1"/>
  <c r="S11" i="5"/>
  <c r="I11" i="5"/>
  <c r="H11" i="5"/>
  <c r="G11" i="5"/>
  <c r="F11" i="5"/>
  <c r="E11" i="5"/>
  <c r="C11" i="5"/>
  <c r="AA10" i="5"/>
  <c r="U10" i="5"/>
  <c r="S10" i="5"/>
  <c r="T11" i="5"/>
  <c r="O10" i="5"/>
  <c r="AA9" i="5"/>
  <c r="U9" i="5"/>
  <c r="V9" i="5" s="1"/>
  <c r="S9" i="5"/>
  <c r="I9" i="5"/>
  <c r="H9" i="5"/>
  <c r="G9" i="5"/>
  <c r="F9" i="5"/>
  <c r="E9" i="5"/>
  <c r="D9" i="5"/>
  <c r="C9" i="5"/>
  <c r="AA8" i="5"/>
  <c r="U8" i="5"/>
  <c r="S8" i="5"/>
  <c r="O8" i="5"/>
  <c r="AA7" i="5"/>
  <c r="U7" i="5"/>
  <c r="S7" i="5"/>
  <c r="I7" i="5"/>
  <c r="H7" i="5"/>
  <c r="G7" i="5"/>
  <c r="F7" i="5"/>
  <c r="E7" i="5"/>
  <c r="D7" i="5"/>
  <c r="C7" i="5"/>
  <c r="AA6" i="5"/>
  <c r="U6" i="5"/>
  <c r="V6" i="5" s="1"/>
  <c r="S6" i="5"/>
  <c r="I6" i="5"/>
  <c r="H6" i="5"/>
  <c r="G6" i="5"/>
  <c r="F6" i="5"/>
  <c r="E6" i="5"/>
  <c r="D6" i="5"/>
  <c r="C6" i="5"/>
  <c r="T4" i="5" s="1"/>
  <c r="AA5" i="5"/>
  <c r="U5" i="5"/>
  <c r="S5" i="5"/>
  <c r="N16" i="5"/>
  <c r="M16" i="5"/>
  <c r="L16" i="5"/>
  <c r="K16" i="5"/>
  <c r="J16" i="5"/>
  <c r="U4" i="5"/>
  <c r="V4" i="5" s="1"/>
  <c r="S4" i="5"/>
  <c r="AB4" i="5" s="1"/>
  <c r="AA34" i="5"/>
  <c r="W34" i="5"/>
  <c r="U34" i="5"/>
  <c r="S34" i="5"/>
  <c r="R34" i="5"/>
  <c r="O34" i="5"/>
  <c r="AA33" i="5"/>
  <c r="W33" i="5"/>
  <c r="U33" i="5"/>
  <c r="S33" i="5"/>
  <c r="R33" i="5"/>
  <c r="O33" i="5"/>
  <c r="AA32" i="5"/>
  <c r="W32" i="5"/>
  <c r="U32" i="5"/>
  <c r="S32" i="5"/>
  <c r="R32" i="5"/>
  <c r="I32" i="5"/>
  <c r="H32" i="5"/>
  <c r="G32" i="5"/>
  <c r="F32" i="5"/>
  <c r="E32" i="5"/>
  <c r="D32" i="5"/>
  <c r="C32" i="5"/>
  <c r="AA31" i="5"/>
  <c r="W31" i="5"/>
  <c r="U31" i="5"/>
  <c r="S31" i="5"/>
  <c r="R31" i="5"/>
  <c r="I31" i="5"/>
  <c r="H31" i="5"/>
  <c r="G31" i="5"/>
  <c r="F31" i="5"/>
  <c r="E31" i="5"/>
  <c r="D31" i="5"/>
  <c r="C31" i="5"/>
  <c r="AA30" i="5"/>
  <c r="W30" i="5"/>
  <c r="X30" i="5" s="1"/>
  <c r="U30" i="5"/>
  <c r="S30" i="5"/>
  <c r="R30" i="5"/>
  <c r="I30" i="5"/>
  <c r="H30" i="5"/>
  <c r="G30" i="5"/>
  <c r="F30" i="5"/>
  <c r="E30" i="5"/>
  <c r="C30" i="5"/>
  <c r="AA29" i="5"/>
  <c r="U29" i="5"/>
  <c r="S29" i="5"/>
  <c r="R29" i="5"/>
  <c r="O29" i="5"/>
  <c r="AA28" i="5"/>
  <c r="U28" i="5"/>
  <c r="S28" i="5"/>
  <c r="R28" i="5"/>
  <c r="I28" i="5"/>
  <c r="H28" i="5"/>
  <c r="G28" i="5"/>
  <c r="F28" i="5"/>
  <c r="E28" i="5"/>
  <c r="D28" i="5"/>
  <c r="C28" i="5"/>
  <c r="AA27" i="5"/>
  <c r="U27" i="5"/>
  <c r="S27" i="5"/>
  <c r="R27" i="5"/>
  <c r="O27" i="5"/>
  <c r="AA26" i="5"/>
  <c r="U26" i="5"/>
  <c r="V26" i="5" s="1"/>
  <c r="S26" i="5"/>
  <c r="R26" i="5"/>
  <c r="I26" i="5"/>
  <c r="H26" i="5"/>
  <c r="G26" i="5"/>
  <c r="F26" i="5"/>
  <c r="E26" i="5"/>
  <c r="D26" i="5"/>
  <c r="C26" i="5"/>
  <c r="AA25" i="5"/>
  <c r="U25" i="5"/>
  <c r="S25" i="5"/>
  <c r="R25" i="5"/>
  <c r="I25" i="5"/>
  <c r="H25" i="5"/>
  <c r="G25" i="5"/>
  <c r="F25" i="5"/>
  <c r="E25" i="5"/>
  <c r="D25" i="5"/>
  <c r="C25" i="5"/>
  <c r="AA24" i="5"/>
  <c r="U24" i="5"/>
  <c r="S24" i="5"/>
  <c r="R24" i="5"/>
  <c r="N24" i="5"/>
  <c r="N35" i="5" s="1"/>
  <c r="M24" i="5"/>
  <c r="M35" i="5" s="1"/>
  <c r="L24" i="5"/>
  <c r="L35" i="5" s="1"/>
  <c r="K24" i="5"/>
  <c r="K35" i="5" s="1"/>
  <c r="J24" i="5"/>
  <c r="J35" i="5" s="1"/>
  <c r="I24" i="5"/>
  <c r="H24" i="5"/>
  <c r="G24" i="5"/>
  <c r="F24" i="5"/>
  <c r="E24" i="5"/>
  <c r="D24" i="5"/>
  <c r="C24" i="5"/>
  <c r="AA23" i="5"/>
  <c r="U23" i="5"/>
  <c r="S23" i="5"/>
  <c r="R23" i="5"/>
  <c r="W15" i="5"/>
  <c r="X15" i="5" s="1"/>
  <c r="T5" i="5" l="1"/>
  <c r="AD4" i="5"/>
  <c r="AD9" i="5"/>
  <c r="AB13" i="5"/>
  <c r="AC13" i="5" s="1"/>
  <c r="E16" i="5"/>
  <c r="Y14" i="5"/>
  <c r="Z14" i="5" s="1"/>
  <c r="W4" i="5"/>
  <c r="AB30" i="5"/>
  <c r="AC30" i="5" s="1"/>
  <c r="X31" i="5"/>
  <c r="AB32" i="5"/>
  <c r="AC32" i="5" s="1"/>
  <c r="AD6" i="5"/>
  <c r="AD10" i="5"/>
  <c r="Y4" i="5"/>
  <c r="W5" i="5"/>
  <c r="S35" i="5"/>
  <c r="AD34" i="5"/>
  <c r="AD5" i="5"/>
  <c r="W27" i="5"/>
  <c r="X27" i="5" s="1"/>
  <c r="AB5" i="5"/>
  <c r="O12" i="5"/>
  <c r="W7" i="5"/>
  <c r="X7" i="5" s="1"/>
  <c r="AB11" i="5"/>
  <c r="AC11" i="5" s="1"/>
  <c r="AD8" i="5"/>
  <c r="W6" i="5"/>
  <c r="X6" i="5" s="1"/>
  <c r="AB9" i="5"/>
  <c r="AC9" i="5" s="1"/>
  <c r="AD7" i="5"/>
  <c r="G16" i="5"/>
  <c r="T6" i="5"/>
  <c r="V15" i="5"/>
  <c r="V13" i="5"/>
  <c r="I16" i="5"/>
  <c r="V5" i="5"/>
  <c r="O7" i="5"/>
  <c r="V8" i="5"/>
  <c r="X13" i="5"/>
  <c r="X14" i="5"/>
  <c r="O13" i="5"/>
  <c r="AC6" i="5"/>
  <c r="T8" i="5"/>
  <c r="T31" i="5"/>
  <c r="Y31" i="5" s="1"/>
  <c r="Z31" i="5" s="1"/>
  <c r="R16" i="5"/>
  <c r="C16" i="5"/>
  <c r="D16" i="5"/>
  <c r="V10" i="5"/>
  <c r="AB14" i="5"/>
  <c r="AC14" i="5" s="1"/>
  <c r="AB15" i="5"/>
  <c r="AC15" i="5" s="1"/>
  <c r="O9" i="5"/>
  <c r="T13" i="5"/>
  <c r="Y13" i="5" s="1"/>
  <c r="Z13" i="5" s="1"/>
  <c r="O6" i="5"/>
  <c r="Y11" i="5"/>
  <c r="Z11" i="5" s="1"/>
  <c r="AB31" i="5"/>
  <c r="AC31" i="5" s="1"/>
  <c r="O4" i="5"/>
  <c r="S16" i="5"/>
  <c r="AB8" i="5"/>
  <c r="AC8" i="5" s="1"/>
  <c r="AB10" i="5"/>
  <c r="AC10" i="5" s="1"/>
  <c r="AA16" i="5"/>
  <c r="X5" i="5"/>
  <c r="U16" i="5"/>
  <c r="AB7" i="5"/>
  <c r="O11" i="5"/>
  <c r="X4" i="5"/>
  <c r="T10" i="5"/>
  <c r="F16" i="5"/>
  <c r="T7" i="5"/>
  <c r="V7" i="5"/>
  <c r="T12" i="5"/>
  <c r="Y12" i="5" s="1"/>
  <c r="Z12" i="5" s="1"/>
  <c r="AB12" i="5"/>
  <c r="AC12" i="5" s="1"/>
  <c r="O5" i="5"/>
  <c r="AB6" i="5"/>
  <c r="T9" i="5"/>
  <c r="T15" i="5"/>
  <c r="Y15" i="5" s="1"/>
  <c r="Z15" i="5" s="1"/>
  <c r="H16" i="5"/>
  <c r="V12" i="5"/>
  <c r="O32" i="5"/>
  <c r="W26" i="5"/>
  <c r="X26" i="5" s="1"/>
  <c r="AD27" i="5"/>
  <c r="V27" i="5"/>
  <c r="X34" i="5"/>
  <c r="V24" i="5"/>
  <c r="W28" i="5"/>
  <c r="X28" i="5" s="1"/>
  <c r="AD26" i="5"/>
  <c r="T32" i="5"/>
  <c r="Y32" i="5" s="1"/>
  <c r="Z32" i="5" s="1"/>
  <c r="W24" i="5"/>
  <c r="X24" i="5" s="1"/>
  <c r="V25" i="5"/>
  <c r="V29" i="5"/>
  <c r="V30" i="5"/>
  <c r="T29" i="5"/>
  <c r="AD23" i="5"/>
  <c r="AD24" i="5"/>
  <c r="O26" i="5"/>
  <c r="AD30" i="5"/>
  <c r="V34" i="5"/>
  <c r="T33" i="5"/>
  <c r="Y33" i="5" s="1"/>
  <c r="Z33" i="5" s="1"/>
  <c r="O23" i="5"/>
  <c r="U35" i="5"/>
  <c r="AD28" i="5"/>
  <c r="AB29" i="5"/>
  <c r="AC29" i="5" s="1"/>
  <c r="X32" i="5"/>
  <c r="X33" i="5"/>
  <c r="I35" i="5"/>
  <c r="E35" i="5"/>
  <c r="AB26" i="5"/>
  <c r="AD25" i="5"/>
  <c r="O31" i="5"/>
  <c r="V31" i="5"/>
  <c r="AB33" i="5"/>
  <c r="AC33" i="5" s="1"/>
  <c r="AB34" i="5"/>
  <c r="AC34" i="5" s="1"/>
  <c r="T26" i="5"/>
  <c r="V32" i="5"/>
  <c r="F35" i="5"/>
  <c r="O24" i="5"/>
  <c r="G35" i="5"/>
  <c r="O28" i="5"/>
  <c r="V28" i="5"/>
  <c r="AD33" i="5"/>
  <c r="O30" i="5"/>
  <c r="V33" i="5"/>
  <c r="AD32" i="5"/>
  <c r="O25" i="5"/>
  <c r="T25" i="5"/>
  <c r="T28" i="5"/>
  <c r="AB28" i="5"/>
  <c r="AC28" i="5" s="1"/>
  <c r="AD29" i="5"/>
  <c r="H35" i="5"/>
  <c r="AA35" i="5"/>
  <c r="AB23" i="5"/>
  <c r="W29" i="5"/>
  <c r="X29" i="5" s="1"/>
  <c r="T30" i="5"/>
  <c r="Y30" i="5" s="1"/>
  <c r="Z30" i="5" s="1"/>
  <c r="R35" i="5"/>
  <c r="AB25" i="5"/>
  <c r="T34" i="5"/>
  <c r="Y34" i="5" s="1"/>
  <c r="Z34" i="5" s="1"/>
  <c r="T23" i="5"/>
  <c r="AD31" i="5"/>
  <c r="V23" i="5"/>
  <c r="T24" i="5"/>
  <c r="AB24" i="5"/>
  <c r="W25" i="5"/>
  <c r="X25" i="5" s="1"/>
  <c r="T27" i="5"/>
  <c r="Y27" i="5" s="1"/>
  <c r="Z27" i="5" s="1"/>
  <c r="AB27" i="5"/>
  <c r="AC27" i="5" s="1"/>
  <c r="C35" i="5"/>
  <c r="D35" i="5"/>
  <c r="W23" i="5"/>
  <c r="H11" i="3"/>
  <c r="H43" i="3"/>
  <c r="C4" i="3"/>
  <c r="I4" i="3" s="1" a="1"/>
  <c r="I4" i="3" s="1"/>
  <c r="D4" i="3"/>
  <c r="E4" i="3"/>
  <c r="F4" i="3"/>
  <c r="G4" i="3"/>
  <c r="H4" i="3" s="1"/>
  <c r="C5" i="3"/>
  <c r="I5" i="3" s="1" a="1"/>
  <c r="I5" i="3" s="1"/>
  <c r="D5" i="3"/>
  <c r="E5" i="3"/>
  <c r="F5" i="3"/>
  <c r="G5" i="3"/>
  <c r="H5" i="3" s="1"/>
  <c r="C6" i="3"/>
  <c r="I6" i="3" s="1" a="1"/>
  <c r="I6" i="3" s="1"/>
  <c r="D6" i="3"/>
  <c r="E6" i="3"/>
  <c r="F6" i="3"/>
  <c r="G6" i="3"/>
  <c r="C7" i="3"/>
  <c r="I7" i="3" s="1" a="1"/>
  <c r="I7" i="3" s="1"/>
  <c r="D7" i="3"/>
  <c r="E7" i="3"/>
  <c r="F7" i="3"/>
  <c r="G7" i="3"/>
  <c r="H7" i="3" s="1"/>
  <c r="C8" i="3"/>
  <c r="I8" i="3" s="1" a="1"/>
  <c r="I8" i="3" s="1"/>
  <c r="D8" i="3"/>
  <c r="E8" i="3"/>
  <c r="F8" i="3"/>
  <c r="G8" i="3"/>
  <c r="H8" i="3" s="1"/>
  <c r="C9" i="3"/>
  <c r="I9" i="3" s="1" a="1"/>
  <c r="I9" i="3" s="1"/>
  <c r="D9" i="3"/>
  <c r="E9" i="3"/>
  <c r="F9" i="3"/>
  <c r="G9" i="3"/>
  <c r="C10" i="3"/>
  <c r="I10" i="3" s="1" a="1"/>
  <c r="I10" i="3" s="1"/>
  <c r="D10" i="3"/>
  <c r="E10" i="3"/>
  <c r="F10" i="3"/>
  <c r="G10" i="3"/>
  <c r="C11" i="3"/>
  <c r="I11" i="3" s="1" a="1"/>
  <c r="I11" i="3" s="1"/>
  <c r="D11" i="3"/>
  <c r="E11" i="3"/>
  <c r="F11" i="3"/>
  <c r="G11" i="3"/>
  <c r="C12" i="3"/>
  <c r="I12" i="3" s="1" a="1"/>
  <c r="I12" i="3" s="1"/>
  <c r="D12" i="3"/>
  <c r="E12" i="3"/>
  <c r="F12" i="3"/>
  <c r="G12" i="3"/>
  <c r="H12" i="3" s="1"/>
  <c r="C13" i="3"/>
  <c r="I13" i="3" s="1" a="1"/>
  <c r="I13" i="3" s="1"/>
  <c r="D13" i="3"/>
  <c r="E13" i="3"/>
  <c r="F13" i="3"/>
  <c r="G13" i="3"/>
  <c r="H13" i="3" s="1"/>
  <c r="C14" i="3"/>
  <c r="I14" i="3" s="1" a="1"/>
  <c r="I14" i="3" s="1"/>
  <c r="D14" i="3"/>
  <c r="E14" i="3"/>
  <c r="F14" i="3"/>
  <c r="G14" i="3"/>
  <c r="C15" i="3"/>
  <c r="I15" i="3" s="1" a="1"/>
  <c r="I15" i="3" s="1"/>
  <c r="D15" i="3"/>
  <c r="E15" i="3"/>
  <c r="F15" i="3"/>
  <c r="G15" i="3"/>
  <c r="H15" i="3" s="1"/>
  <c r="C16" i="3"/>
  <c r="I16" i="3" s="1" a="1"/>
  <c r="I16" i="3" s="1"/>
  <c r="D16" i="3"/>
  <c r="E16" i="3"/>
  <c r="F16" i="3"/>
  <c r="G16" i="3"/>
  <c r="H16" i="3" s="1"/>
  <c r="C17" i="3"/>
  <c r="I17" i="3" s="1" a="1"/>
  <c r="I17" i="3" s="1"/>
  <c r="D17" i="3"/>
  <c r="E17" i="3"/>
  <c r="F17" i="3"/>
  <c r="G17" i="3"/>
  <c r="C18" i="3"/>
  <c r="I18" i="3" s="1" a="1"/>
  <c r="I18" i="3" s="1"/>
  <c r="D18" i="3"/>
  <c r="E18" i="3"/>
  <c r="F18" i="3"/>
  <c r="G18" i="3"/>
  <c r="C19" i="3"/>
  <c r="I19" i="3" s="1" a="1"/>
  <c r="I19" i="3" s="1"/>
  <c r="D19" i="3"/>
  <c r="E19" i="3"/>
  <c r="F19" i="3"/>
  <c r="G19" i="3"/>
  <c r="H19" i="3" s="1"/>
  <c r="C20" i="3"/>
  <c r="I20" i="3" s="1" a="1"/>
  <c r="I20" i="3" s="1"/>
  <c r="D20" i="3"/>
  <c r="E20" i="3"/>
  <c r="F20" i="3"/>
  <c r="G20" i="3"/>
  <c r="H20" i="3" s="1"/>
  <c r="C21" i="3"/>
  <c r="I21" i="3" s="1" a="1"/>
  <c r="I21" i="3" s="1"/>
  <c r="D21" i="3"/>
  <c r="E21" i="3"/>
  <c r="F21" i="3"/>
  <c r="G21" i="3"/>
  <c r="H21" i="3" s="1"/>
  <c r="C22" i="3"/>
  <c r="I22" i="3" s="1" a="1"/>
  <c r="I22" i="3" s="1"/>
  <c r="D22" i="3"/>
  <c r="E22" i="3"/>
  <c r="F22" i="3"/>
  <c r="G22" i="3"/>
  <c r="C23" i="3"/>
  <c r="I23" i="3" s="1" a="1"/>
  <c r="I23" i="3" s="1"/>
  <c r="D23" i="3"/>
  <c r="E23" i="3"/>
  <c r="F23" i="3"/>
  <c r="G23" i="3"/>
  <c r="H23" i="3" s="1"/>
  <c r="C24" i="3"/>
  <c r="I24" i="3" s="1" a="1"/>
  <c r="I24" i="3" s="1"/>
  <c r="D24" i="3"/>
  <c r="E24" i="3"/>
  <c r="F24" i="3"/>
  <c r="G24" i="3"/>
  <c r="H24" i="3" s="1"/>
  <c r="C25" i="3"/>
  <c r="I25" i="3" s="1" a="1"/>
  <c r="I25" i="3" s="1"/>
  <c r="D25" i="3"/>
  <c r="E25" i="3"/>
  <c r="F25" i="3"/>
  <c r="G25" i="3"/>
  <c r="C26" i="3"/>
  <c r="I26" i="3" s="1" a="1"/>
  <c r="I26" i="3" s="1"/>
  <c r="D26" i="3"/>
  <c r="E26" i="3"/>
  <c r="F26" i="3"/>
  <c r="G26" i="3"/>
  <c r="C27" i="3"/>
  <c r="I27" i="3" s="1" a="1"/>
  <c r="I27" i="3" s="1"/>
  <c r="D27" i="3"/>
  <c r="E27" i="3"/>
  <c r="F27" i="3"/>
  <c r="G27" i="3"/>
  <c r="H27" i="3" s="1"/>
  <c r="C28" i="3"/>
  <c r="I28" i="3" s="1" a="1"/>
  <c r="I28" i="3" s="1"/>
  <c r="D28" i="3"/>
  <c r="E28" i="3"/>
  <c r="F28" i="3"/>
  <c r="G28" i="3"/>
  <c r="H28" i="3" s="1"/>
  <c r="C29" i="3"/>
  <c r="I29" i="3" s="1" a="1"/>
  <c r="I29" i="3" s="1"/>
  <c r="D29" i="3"/>
  <c r="E29" i="3"/>
  <c r="F29" i="3"/>
  <c r="G29" i="3"/>
  <c r="H29" i="3" s="1"/>
  <c r="C30" i="3"/>
  <c r="I30" i="3" s="1" a="1"/>
  <c r="I30" i="3" s="1"/>
  <c r="D30" i="3"/>
  <c r="E30" i="3"/>
  <c r="F30" i="3"/>
  <c r="G30" i="3"/>
  <c r="C31" i="3"/>
  <c r="I31" i="3" s="1" a="1"/>
  <c r="I31" i="3" s="1"/>
  <c r="D31" i="3"/>
  <c r="E31" i="3"/>
  <c r="F31" i="3"/>
  <c r="G31" i="3"/>
  <c r="H31" i="3" s="1"/>
  <c r="C32" i="3"/>
  <c r="I32" i="3" s="1" a="1"/>
  <c r="I32" i="3" s="1"/>
  <c r="D32" i="3"/>
  <c r="E32" i="3"/>
  <c r="F32" i="3"/>
  <c r="G32" i="3"/>
  <c r="H32" i="3" s="1"/>
  <c r="C33" i="3"/>
  <c r="I33" i="3" s="1" a="1"/>
  <c r="I33" i="3" s="1"/>
  <c r="D33" i="3"/>
  <c r="E33" i="3"/>
  <c r="F33" i="3"/>
  <c r="G33" i="3"/>
  <c r="C34" i="3"/>
  <c r="I34" i="3" s="1" a="1"/>
  <c r="I34" i="3" s="1"/>
  <c r="D34" i="3"/>
  <c r="E34" i="3"/>
  <c r="F34" i="3"/>
  <c r="G34" i="3"/>
  <c r="C35" i="3"/>
  <c r="I35" i="3" s="1" a="1"/>
  <c r="I35" i="3" s="1"/>
  <c r="D35" i="3"/>
  <c r="E35" i="3"/>
  <c r="F35" i="3"/>
  <c r="G35" i="3"/>
  <c r="H35" i="3" s="1"/>
  <c r="C36" i="3"/>
  <c r="I36" i="3" s="1" a="1"/>
  <c r="I36" i="3" s="1"/>
  <c r="D36" i="3"/>
  <c r="E36" i="3"/>
  <c r="F36" i="3"/>
  <c r="G36" i="3"/>
  <c r="H36" i="3" s="1"/>
  <c r="C37" i="3"/>
  <c r="I37" i="3" s="1" a="1"/>
  <c r="I37" i="3" s="1"/>
  <c r="D37" i="3"/>
  <c r="E37" i="3"/>
  <c r="F37" i="3"/>
  <c r="G37" i="3"/>
  <c r="H37" i="3" s="1"/>
  <c r="C38" i="3"/>
  <c r="I38" i="3" s="1" a="1"/>
  <c r="I38" i="3" s="1"/>
  <c r="D38" i="3"/>
  <c r="E38" i="3"/>
  <c r="F38" i="3"/>
  <c r="G38" i="3"/>
  <c r="C39" i="3"/>
  <c r="I39" i="3" s="1" a="1"/>
  <c r="I39" i="3" s="1"/>
  <c r="D39" i="3"/>
  <c r="E39" i="3"/>
  <c r="F39" i="3"/>
  <c r="G39" i="3"/>
  <c r="H39" i="3" s="1"/>
  <c r="C40" i="3"/>
  <c r="I40" i="3" s="1" a="1"/>
  <c r="I40" i="3" s="1"/>
  <c r="D40" i="3"/>
  <c r="E40" i="3"/>
  <c r="F40" i="3"/>
  <c r="G40" i="3"/>
  <c r="H40" i="3" s="1"/>
  <c r="C41" i="3"/>
  <c r="I41" i="3" s="1" a="1"/>
  <c r="I41" i="3" s="1"/>
  <c r="D41" i="3"/>
  <c r="E41" i="3"/>
  <c r="F41" i="3"/>
  <c r="G41" i="3"/>
  <c r="C42" i="3"/>
  <c r="I42" i="3" s="1" a="1"/>
  <c r="I42" i="3" s="1"/>
  <c r="D42" i="3"/>
  <c r="E42" i="3"/>
  <c r="F42" i="3"/>
  <c r="G42" i="3"/>
  <c r="C43" i="3"/>
  <c r="I43" i="3" s="1" a="1"/>
  <c r="I43" i="3" s="1"/>
  <c r="D43" i="3"/>
  <c r="E43" i="3"/>
  <c r="F43" i="3"/>
  <c r="G43" i="3"/>
  <c r="C44" i="3"/>
  <c r="I44" i="3" s="1" a="1"/>
  <c r="I44" i="3" s="1"/>
  <c r="D44" i="3"/>
  <c r="E44" i="3"/>
  <c r="F44" i="3"/>
  <c r="G44" i="3"/>
  <c r="H44" i="3" s="1"/>
  <c r="C45" i="3"/>
  <c r="I45" i="3" s="1" a="1"/>
  <c r="I45" i="3" s="1"/>
  <c r="D45" i="3"/>
  <c r="E45" i="3"/>
  <c r="F45" i="3"/>
  <c r="G45" i="3"/>
  <c r="H45" i="3" s="1"/>
  <c r="C46" i="3"/>
  <c r="I46" i="3" s="1" a="1"/>
  <c r="I46" i="3" s="1"/>
  <c r="D46" i="3"/>
  <c r="E46" i="3"/>
  <c r="F46" i="3"/>
  <c r="G46" i="3"/>
  <c r="C47" i="3"/>
  <c r="I47" i="3" s="1" a="1"/>
  <c r="I47" i="3" s="1"/>
  <c r="D47" i="3"/>
  <c r="E47" i="3"/>
  <c r="F47" i="3"/>
  <c r="G47" i="3"/>
  <c r="H47" i="3" s="1"/>
  <c r="C48" i="3"/>
  <c r="I48" i="3" s="1" a="1"/>
  <c r="I48" i="3" s="1"/>
  <c r="D48" i="3"/>
  <c r="E48" i="3"/>
  <c r="F48" i="3"/>
  <c r="G48" i="3"/>
  <c r="H48" i="3" s="1"/>
  <c r="C49" i="3"/>
  <c r="I49" i="3" s="1" a="1"/>
  <c r="I49" i="3" s="1"/>
  <c r="D49" i="3"/>
  <c r="E49" i="3"/>
  <c r="F49" i="3"/>
  <c r="G49" i="3"/>
  <c r="C50" i="3"/>
  <c r="I50" i="3" s="1" a="1"/>
  <c r="I50" i="3" s="1"/>
  <c r="D50" i="3"/>
  <c r="E50" i="3"/>
  <c r="F50" i="3"/>
  <c r="G50" i="3"/>
  <c r="C51" i="3"/>
  <c r="I51" i="3" s="1" a="1"/>
  <c r="I51" i="3" s="1"/>
  <c r="D51" i="3"/>
  <c r="E51" i="3"/>
  <c r="F51" i="3"/>
  <c r="G51" i="3"/>
  <c r="H51" i="3" s="1"/>
  <c r="C52" i="3"/>
  <c r="I52" i="3" s="1" a="1"/>
  <c r="I52" i="3" s="1"/>
  <c r="D52" i="3"/>
  <c r="E52" i="3"/>
  <c r="F52" i="3"/>
  <c r="G52" i="3"/>
  <c r="H52" i="3" s="1"/>
  <c r="C53" i="3"/>
  <c r="I53" i="3" s="1" a="1"/>
  <c r="I53" i="3" s="1"/>
  <c r="D53" i="3"/>
  <c r="E53" i="3"/>
  <c r="F53" i="3"/>
  <c r="G53" i="3"/>
  <c r="H53" i="3" s="1"/>
  <c r="C54" i="3"/>
  <c r="I54" i="3" s="1" a="1"/>
  <c r="I54" i="3" s="1"/>
  <c r="D54" i="3"/>
  <c r="E54" i="3"/>
  <c r="F54" i="3"/>
  <c r="G54" i="3"/>
  <c r="C55" i="3"/>
  <c r="I55" i="3" s="1" a="1"/>
  <c r="I55" i="3" s="1"/>
  <c r="D55" i="3"/>
  <c r="E55" i="3"/>
  <c r="F55" i="3"/>
  <c r="G55" i="3"/>
  <c r="H55" i="3" s="1"/>
  <c r="C56" i="3"/>
  <c r="I56" i="3" s="1" a="1"/>
  <c r="I56" i="3" s="1"/>
  <c r="D56" i="3"/>
  <c r="E56" i="3"/>
  <c r="F56" i="3"/>
  <c r="G56" i="3"/>
  <c r="H56" i="3" s="1"/>
  <c r="D3" i="3"/>
  <c r="E3" i="3"/>
  <c r="F3" i="3"/>
  <c r="G3" i="3"/>
  <c r="C3" i="3"/>
  <c r="I3" i="3" s="1" a="1"/>
  <c r="I3" i="3" s="1"/>
  <c r="H3" i="3" l="1"/>
  <c r="H50" i="3"/>
  <c r="H42" i="3"/>
  <c r="H34" i="3"/>
  <c r="H26" i="3"/>
  <c r="H18" i="3"/>
  <c r="H10" i="3"/>
  <c r="H54" i="3"/>
  <c r="H46" i="3"/>
  <c r="H38" i="3"/>
  <c r="H30" i="3"/>
  <c r="H22" i="3"/>
  <c r="H14" i="3"/>
  <c r="H6" i="3"/>
  <c r="H49" i="3"/>
  <c r="H41" i="3"/>
  <c r="H33" i="3"/>
  <c r="H25" i="3"/>
  <c r="H17" i="3"/>
  <c r="H9" i="3"/>
  <c r="C7" i="1" s="1"/>
  <c r="Y6" i="5"/>
  <c r="Z6" i="5" s="1"/>
  <c r="V16" i="5"/>
  <c r="Y7" i="5"/>
  <c r="Z7" i="5" s="1"/>
  <c r="Y24" i="5"/>
  <c r="Z24" i="5" s="1"/>
  <c r="Y26" i="5"/>
  <c r="Z26" i="5" s="1"/>
  <c r="AD14" i="5"/>
  <c r="AD15" i="5"/>
  <c r="W8" i="5"/>
  <c r="X8" i="5" s="1"/>
  <c r="W9" i="5"/>
  <c r="X9" i="5" s="1"/>
  <c r="AD12" i="5"/>
  <c r="W10" i="5"/>
  <c r="X10" i="5" s="1"/>
  <c r="AD11" i="5"/>
  <c r="AD13" i="5"/>
  <c r="AC7" i="5"/>
  <c r="AB16" i="5"/>
  <c r="AD16" i="5" s="1"/>
  <c r="AC4" i="5"/>
  <c r="AC5" i="5"/>
  <c r="Y5" i="5"/>
  <c r="Z5" i="5" s="1"/>
  <c r="T16" i="5"/>
  <c r="Y28" i="5"/>
  <c r="Z28" i="5" s="1"/>
  <c r="V35" i="5"/>
  <c r="Y29" i="5"/>
  <c r="Z29" i="5" s="1"/>
  <c r="X23" i="5"/>
  <c r="W35" i="5"/>
  <c r="X35" i="5" s="1"/>
  <c r="AC26" i="5"/>
  <c r="AC24" i="5"/>
  <c r="AC25" i="5"/>
  <c r="AC23" i="5"/>
  <c r="AB35" i="5"/>
  <c r="Y25" i="5"/>
  <c r="Z25" i="5" s="1"/>
  <c r="Y23" i="5"/>
  <c r="T35" i="5"/>
  <c r="C6" i="1"/>
  <c r="C14" i="1"/>
  <c r="C9" i="1"/>
  <c r="C11" i="1"/>
  <c r="C4" i="1"/>
  <c r="C10" i="1" l="1"/>
  <c r="C13" i="1"/>
  <c r="C12" i="1"/>
  <c r="C5" i="1"/>
  <c r="C8" i="1"/>
  <c r="C15" i="1"/>
  <c r="Y10" i="5"/>
  <c r="Z10" i="5" s="1"/>
  <c r="Y9" i="5"/>
  <c r="Z9" i="5" s="1"/>
  <c r="Y8" i="5"/>
  <c r="Z8" i="5" s="1"/>
  <c r="W16" i="5"/>
  <c r="X16" i="5" s="1"/>
  <c r="AC16" i="5"/>
  <c r="Z4" i="5"/>
  <c r="AD35" i="5"/>
  <c r="AC35" i="5"/>
  <c r="Y35" i="5"/>
  <c r="Z35" i="5" s="1"/>
  <c r="Z23" i="5"/>
  <c r="Y16" i="5" l="1"/>
  <c r="Z1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<sst xmlns="http://schemas.openxmlformats.org/spreadsheetml/2006/main" count="384" uniqueCount="158">
  <si>
    <t>Groceries</t>
  </si>
  <si>
    <t>Housing</t>
  </si>
  <si>
    <t>Hair cuts</t>
  </si>
  <si>
    <t>Utilities</t>
  </si>
  <si>
    <t>Auto Ins</t>
  </si>
  <si>
    <t>Auto Gas</t>
  </si>
  <si>
    <t>Dues</t>
  </si>
  <si>
    <t>Alcohol</t>
  </si>
  <si>
    <t>Meals</t>
  </si>
  <si>
    <t>Other</t>
  </si>
  <si>
    <t>Edu/Book</t>
  </si>
  <si>
    <t>Stocks</t>
  </si>
  <si>
    <t>Category</t>
  </si>
  <si>
    <t>Trans. date</t>
  </si>
  <si>
    <t>Post date</t>
  </si>
  <si>
    <t>Description</t>
  </si>
  <si>
    <t>Amount</t>
  </si>
  <si>
    <t>UBER TRIP 866-576-1039 CAAPPLE PAY ENDING IN 6024</t>
  </si>
  <si>
    <t>Travel/ Entertainment</t>
  </si>
  <si>
    <t>APPLE.COM/BILL 866-712-7753 CAAPPLE PAY ENDING IN 6348MQ981TMHL7A0</t>
  </si>
  <si>
    <t>Merchandise</t>
  </si>
  <si>
    <t>SPECTRUM 855-707-7328 MORC1000583881</t>
  </si>
  <si>
    <t>Services</t>
  </si>
  <si>
    <t>MDC*ONSLOW WATER AND SEW JACKSONVILLE NC</t>
  </si>
  <si>
    <t>WALMART STORE 07179 SWANSBORO NC</t>
  </si>
  <si>
    <t>DELTA AIR LINES 18002211212 CA</t>
  </si>
  <si>
    <t>MONSTERS PIZZA HUBERT NC</t>
  </si>
  <si>
    <t>Restaurants</t>
  </si>
  <si>
    <t>BEACH BUMS N TOPSAIL BEANC</t>
  </si>
  <si>
    <t>OTTO PARKING SERVICES 919-271-2296 NC</t>
  </si>
  <si>
    <t>STARBUCKS 800-782-7282 800-782-7282 WAAPPLE PAY ENDING IN 60243TUAGFAPD7KBQYRS</t>
  </si>
  <si>
    <t>CAROLINA PARKING WILMINGTON NC</t>
  </si>
  <si>
    <t>MDC*JONES ONSLOW EMC JACKSONVILLE NC</t>
  </si>
  <si>
    <t>RESTAURANT 13040209101 CAMP LEJEUNE NC</t>
  </si>
  <si>
    <t>CAMP LEJEUNE BARBER MA 9292652995 NYAPPLE PAY ENDING IN 6024</t>
  </si>
  <si>
    <t>HELLOFRESH 347-200-0291 NY</t>
  </si>
  <si>
    <t>Supermarkets</t>
  </si>
  <si>
    <t>PAY AT PUMP13020086101 CAMP LEJEUNE NC</t>
  </si>
  <si>
    <t>Gasoline</t>
  </si>
  <si>
    <t>SQ *A TASTE OF PHILLY NEW BERN NC0002305843019939971386</t>
  </si>
  <si>
    <t>BURGER KING #4357 JACKSONVILLE NC</t>
  </si>
  <si>
    <t>DIRECTPAY FULL BALANCESEE DETAILS OF YOUR NEXT DIRECTPAY BELOW</t>
  </si>
  <si>
    <t>Payments and Credits</t>
  </si>
  <si>
    <t>SP MACK WELDON 6466935872 NY</t>
  </si>
  <si>
    <t>JUMBO GOLDEN CHINA SWANSBORO NC</t>
  </si>
  <si>
    <t>EXXONMOBIL SNEADS FERRY NC</t>
  </si>
  <si>
    <t>WHIZZ MART #3 HUBERT NC</t>
  </si>
  <si>
    <t>HELLOFRESH 646-846-3663 NYMR02880742289431362496</t>
  </si>
  <si>
    <t>SQ *WEST INDIAN KITCHE JACKSONVILLE NC0002305843019841949363</t>
  </si>
  <si>
    <t>AMZN MKTP US*Y97NU8G03 AMZN.COM/BILLWA3MBHSNN70LM</t>
  </si>
  <si>
    <t>SP VAER WATCH CO. 8186354601 CA</t>
  </si>
  <si>
    <t>LOWE'S OF CAPE CARTERET, CAPE CARTERETNC</t>
  </si>
  <si>
    <t>Home Improvement</t>
  </si>
  <si>
    <t>COASTAL WING &amp; SPIRITS SNEADS FERRY NC</t>
  </si>
  <si>
    <t>FOOD LION #0401 SNEADS FERRY NC02599R</t>
  </si>
  <si>
    <t>HOOLIGANS JACKSONVILLE NC</t>
  </si>
  <si>
    <t>SPEAKEASY CO. 6196120920 CA</t>
  </si>
  <si>
    <t>MICROSOFT ULTIMATE 1 M REDMOND WA</t>
  </si>
  <si>
    <t>NETFLIX.COM NETFLIX.COM CANETFLIX.COM</t>
  </si>
  <si>
    <t>SPOTIFY P2C67FEBCB 8777781161 NY</t>
  </si>
  <si>
    <t>SQ *JORDANIAN CUISINE JACKSONVILLE NC0002305843019828549884</t>
  </si>
  <si>
    <t>Discover</t>
  </si>
  <si>
    <t>My Category</t>
  </si>
  <si>
    <t>Item</t>
  </si>
  <si>
    <t>Discover Category</t>
  </si>
  <si>
    <t>UBER</t>
  </si>
  <si>
    <t>MDC</t>
  </si>
  <si>
    <t>SPECTRUM</t>
  </si>
  <si>
    <t>ABC</t>
  </si>
  <si>
    <t>HELLOFRESH</t>
  </si>
  <si>
    <t>Total</t>
  </si>
  <si>
    <t>MICROSOFT</t>
  </si>
  <si>
    <t>NETFLIX</t>
  </si>
  <si>
    <t>SPOTIFY</t>
  </si>
  <si>
    <t>July</t>
  </si>
  <si>
    <t>Month</t>
  </si>
  <si>
    <t>Month:</t>
  </si>
  <si>
    <t>WALMART</t>
  </si>
  <si>
    <t>CAMP</t>
  </si>
  <si>
    <t>=XLOOKUP([@[Discover Category]],CatConvTable[Discover],CatConvTable[My Category], XLOOKUP(TEXTBEFORE([@Description]," "),DescConvTable[Discover],DescConvTable[My Category], XLOOKUP(IF(COUNTIF([@Description],"*MDC*")=1,"MDC",""),DescConvTable[Discover],DescConvTable[My Category],"")))</t>
  </si>
  <si>
    <t>January</t>
  </si>
  <si>
    <t>February</t>
  </si>
  <si>
    <t>March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</si>
  <si>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</si>
  <si>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</si>
  <si>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</si>
  <si>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</si>
  <si>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</si>
  <si>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</si>
  <si>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</si>
  <si>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</si>
  <si>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Backup Formula</t>
  </si>
  <si>
    <t>FY 2024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</si>
  <si>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</si>
  <si>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</si>
  <si>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</si>
  <si>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</si>
  <si>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</si>
  <si>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</si>
  <si>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</si>
  <si>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</si>
  <si>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</si>
  <si>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</si>
  <si>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</si>
  <si>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Payment</t>
  </si>
  <si>
    <t>Pay</t>
  </si>
  <si>
    <t>BAH + BAS</t>
  </si>
  <si>
    <t>Disposable</t>
  </si>
  <si>
    <t>Invested ($ | %)</t>
  </si>
  <si>
    <t>Discretionary ($ | %)</t>
  </si>
  <si>
    <t>Savings ($ | %)</t>
  </si>
  <si>
    <t>Base Pay</t>
  </si>
  <si>
    <t>Taxes ($ | %)</t>
  </si>
  <si>
    <t>Expenses (%)</t>
  </si>
  <si>
    <t>D</t>
  </si>
  <si>
    <t>S</t>
  </si>
  <si>
    <t>Auto-Pay Bills</t>
  </si>
  <si>
    <t>I</t>
  </si>
  <si>
    <t>Bill</t>
  </si>
  <si>
    <t>Tag</t>
  </si>
  <si>
    <t>Source</t>
  </si>
  <si>
    <t>Status</t>
  </si>
  <si>
    <t>Cycle Date</t>
  </si>
  <si>
    <t>ShopPay</t>
  </si>
  <si>
    <t>Entertainment</t>
  </si>
  <si>
    <t>--</t>
  </si>
  <si>
    <t>/\</t>
  </si>
  <si>
    <t>Spectrum</t>
  </si>
  <si>
    <t>Utility</t>
  </si>
  <si>
    <t>Active</t>
  </si>
  <si>
    <t>.|.</t>
  </si>
  <si>
    <t>Electric</t>
  </si>
  <si>
    <t>Water</t>
  </si>
  <si>
    <t>Auto Insur</t>
  </si>
  <si>
    <t>USAA</t>
  </si>
  <si>
    <t>HOA</t>
  </si>
  <si>
    <t>Navy Fed</t>
  </si>
  <si>
    <t>Mortgage</t>
  </si>
  <si>
    <t>Home Insur</t>
  </si>
  <si>
    <t>Spotify</t>
  </si>
  <si>
    <t>Xbox Ultimate</t>
  </si>
  <si>
    <t>Netflix</t>
  </si>
  <si>
    <t>Disney+</t>
  </si>
  <si>
    <t>Cancelled</t>
  </si>
  <si>
    <t>Apple</t>
  </si>
  <si>
    <t>Amazon</t>
  </si>
  <si>
    <t>Doulingo</t>
  </si>
  <si>
    <t>HBO Max</t>
  </si>
  <si>
    <t>FY 2023</t>
  </si>
  <si>
    <t>Investment Table -&gt;</t>
  </si>
  <si>
    <t>Latest</t>
  </si>
  <si>
    <t>Custom Mapped Descriptions</t>
  </si>
  <si>
    <t>Custom Mapped Categories</t>
  </si>
  <si>
    <t>The "FY 2020s" worksheet is for recording monthly expenses and tracking income, savings, and investing.</t>
  </si>
  <si>
    <t xml:space="preserve">You can import or copy/paste your credit card, bank statement, etc. into the "Imported…" worksheet. </t>
  </si>
  <si>
    <t>It'll get cleaned up and present the totals in the "Sums…" worksheet" for you to copy/paste into the FY worksheet.</t>
  </si>
  <si>
    <t>The Investment Table on the FY 2020s worksheet is what I use to note which fund to invest into each month.</t>
  </si>
  <si>
    <t>Make sure to adjust the month selector on the "Sums…" worksheet when you input new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</si>
</sst>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1" xfId="0" applyFont="1" applyBorder="1"/>
    <xf numFmtId="14" fontId="0" fillId="0" borderId="1" xfId="0" applyNumberFormat="1" applyBorder="1"/>
    <xf numFmtId="0" fontId="0" fillId="0" borderId="1" xfId="0" applyBorder="1"/>
    <xf numFmtId="4" fontId="0" fillId="0" borderId="1" xfId="0" applyNumberFormat="1" applyBorder="1"/>
    <xf numFmtId="14" fontId="0" fillId="0" borderId="0" xfId="0" applyNumberFormat="1"/>
    <xf numFmtId="44" fontId="0" fillId="0" borderId="0" xfId="1" applyFont="1"/>
    <xf numFmtId="0" fontId="0" fillId="0" borderId="0" xfId="0" quotePrefix="1"/>
    <xf numFmtId="0" fontId="2" fillId="2" borderId="2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" fontId="0" fillId="5" borderId="7" xfId="0" applyNumberFormat="1" applyFill="1" applyBorder="1" applyAlignment="1">
      <alignment horizontal="center"/>
    </xf>
    <xf numFmtId="1" fontId="0" fillId="5" borderId="8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" fontId="0" fillId="5" borderId="0" xfId="0" applyNumberFormat="1" applyFill="1" applyAlignment="1">
      <alignment horizontal="center"/>
    </xf>
    <xf numFmtId="16" fontId="0" fillId="0" borderId="0" xfId="0" applyNumberFormat="1"/>
    <xf numFmtId="0" fontId="0" fillId="8" borderId="10" xfId="0" applyFill="1" applyBorder="1"/>
    <xf numFmtId="44" fontId="0" fillId="8" borderId="0" xfId="1" applyFont="1" applyFill="1"/>
    <xf numFmtId="44" fontId="0" fillId="8" borderId="10" xfId="1" applyFont="1" applyFill="1" applyBorder="1"/>
    <xf numFmtId="44" fontId="0" fillId="8" borderId="0" xfId="1" applyFont="1" applyFill="1" applyBorder="1"/>
    <xf numFmtId="44" fontId="0" fillId="8" borderId="11" xfId="1" applyFont="1" applyFill="1" applyBorder="1"/>
    <xf numFmtId="10" fontId="0" fillId="8" borderId="0" xfId="2" applyNumberFormat="1" applyFont="1" applyFill="1" applyBorder="1"/>
    <xf numFmtId="10" fontId="0" fillId="8" borderId="8" xfId="2" applyNumberFormat="1" applyFont="1" applyFill="1" applyBorder="1"/>
    <xf numFmtId="10" fontId="0" fillId="8" borderId="11" xfId="2" applyNumberFormat="1" applyFont="1" applyFill="1" applyBorder="1"/>
    <xf numFmtId="1" fontId="0" fillId="4" borderId="12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13" xfId="0" applyNumberFormat="1" applyFill="1" applyBorder="1" applyAlignment="1">
      <alignment horizontal="center"/>
    </xf>
    <xf numFmtId="0" fontId="0" fillId="0" borderId="10" xfId="0" applyBorder="1"/>
    <xf numFmtId="44" fontId="0" fillId="0" borderId="0" xfId="1" applyFont="1" applyFill="1"/>
    <xf numFmtId="44" fontId="0" fillId="0" borderId="10" xfId="1" applyFont="1" applyFill="1" applyBorder="1"/>
    <xf numFmtId="44" fontId="0" fillId="0" borderId="0" xfId="1" applyFont="1" applyFill="1" applyBorder="1"/>
    <xf numFmtId="10" fontId="0" fillId="0" borderId="0" xfId="2" applyNumberFormat="1" applyFont="1" applyFill="1" applyBorder="1"/>
    <xf numFmtId="10" fontId="0" fillId="0" borderId="10" xfId="2" applyNumberFormat="1" applyFont="1" applyFill="1" applyBorder="1"/>
    <xf numFmtId="10" fontId="0" fillId="8" borderId="10" xfId="2" applyNumberFormat="1" applyFont="1" applyFill="1" applyBorder="1"/>
    <xf numFmtId="44" fontId="0" fillId="0" borderId="0" xfId="1" applyFont="1" applyBorder="1"/>
    <xf numFmtId="44" fontId="0" fillId="0" borderId="10" xfId="1" applyFont="1" applyBorder="1"/>
    <xf numFmtId="10" fontId="0" fillId="0" borderId="0" xfId="2" applyNumberFormat="1" applyFont="1" applyBorder="1"/>
    <xf numFmtId="10" fontId="0" fillId="8" borderId="0" xfId="2" applyNumberFormat="1" applyFont="1" applyFill="1"/>
    <xf numFmtId="1" fontId="6" fillId="4" borderId="0" xfId="0" applyNumberFormat="1" applyFont="1" applyFill="1" applyAlignment="1">
      <alignment horizontal="center"/>
    </xf>
    <xf numFmtId="1" fontId="6" fillId="4" borderId="12" xfId="0" applyNumberFormat="1" applyFont="1" applyFill="1" applyBorder="1" applyAlignment="1">
      <alignment horizontal="center"/>
    </xf>
    <xf numFmtId="1" fontId="6" fillId="4" borderId="13" xfId="0" applyNumberFormat="1" applyFont="1" applyFill="1" applyBorder="1" applyAlignment="1">
      <alignment horizontal="center"/>
    </xf>
    <xf numFmtId="10" fontId="0" fillId="0" borderId="0" xfId="2" applyNumberFormat="1" applyFont="1"/>
    <xf numFmtId="10" fontId="0" fillId="0" borderId="10" xfId="2" applyNumberFormat="1" applyFont="1" applyBorder="1"/>
    <xf numFmtId="1" fontId="0" fillId="5" borderId="12" xfId="0" applyNumberFormat="1" applyFill="1" applyBorder="1" applyAlignment="1">
      <alignment horizontal="center"/>
    </xf>
    <xf numFmtId="1" fontId="0" fillId="5" borderId="13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13" xfId="0" applyNumberFormat="1" applyFill="1" applyBorder="1" applyAlignment="1">
      <alignment horizontal="center"/>
    </xf>
    <xf numFmtId="1" fontId="0" fillId="3" borderId="14" xfId="0" applyNumberFormat="1" applyFill="1" applyBorder="1" applyAlignment="1">
      <alignment horizontal="center"/>
    </xf>
    <xf numFmtId="1" fontId="0" fillId="3" borderId="15" xfId="0" applyNumberFormat="1" applyFill="1" applyBorder="1" applyAlignment="1">
      <alignment horizontal="center"/>
    </xf>
    <xf numFmtId="1" fontId="0" fillId="3" borderId="16" xfId="0" applyNumberFormat="1" applyFill="1" applyBorder="1" applyAlignment="1">
      <alignment horizontal="center"/>
    </xf>
    <xf numFmtId="10" fontId="0" fillId="0" borderId="17" xfId="2" applyNumberFormat="1" applyFont="1" applyBorder="1"/>
    <xf numFmtId="1" fontId="0" fillId="0" borderId="0" xfId="0" applyNumberFormat="1" applyAlignment="1">
      <alignment horizontal="center"/>
    </xf>
    <xf numFmtId="0" fontId="0" fillId="0" borderId="5" xfId="0" applyBorder="1"/>
    <xf numFmtId="44" fontId="0" fillId="0" borderId="4" xfId="1" applyFont="1" applyBorder="1"/>
    <xf numFmtId="44" fontId="0" fillId="3" borderId="4" xfId="1" applyFont="1" applyFill="1" applyBorder="1"/>
    <xf numFmtId="10" fontId="0" fillId="3" borderId="4" xfId="2" applyNumberFormat="1" applyFont="1" applyFill="1" applyBorder="1"/>
    <xf numFmtId="44" fontId="0" fillId="5" borderId="4" xfId="1" applyFont="1" applyFill="1" applyBorder="1"/>
    <xf numFmtId="10" fontId="0" fillId="5" borderId="4" xfId="2" applyNumberFormat="1" applyFont="1" applyFill="1" applyBorder="1"/>
    <xf numFmtId="44" fontId="0" fillId="7" borderId="4" xfId="1" applyFont="1" applyFill="1" applyBorder="1"/>
    <xf numFmtId="10" fontId="0" fillId="7" borderId="4" xfId="2" applyNumberFormat="1" applyFont="1" applyFill="1" applyBorder="1"/>
    <xf numFmtId="44" fontId="0" fillId="6" borderId="4" xfId="1" applyFont="1" applyFill="1" applyBorder="1"/>
    <xf numFmtId="10" fontId="0" fillId="6" borderId="4" xfId="2" applyNumberFormat="1" applyFont="1" applyFill="1" applyBorder="1"/>
    <xf numFmtId="10" fontId="0" fillId="4" borderId="6" xfId="2" applyNumberFormat="1" applyFont="1" applyFill="1" applyBorder="1"/>
    <xf numFmtId="0" fontId="0" fillId="0" borderId="7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5" fillId="0" borderId="0" xfId="3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0">
    <dxf>
      <numFmt numFmtId="0" formatCode="General"/>
    </dxf>
    <dxf>
      <numFmt numFmtId="0" formatCode="General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C6A055-D250-4ADC-B92F-25CD6D0369A5}" name="AutoPayingBills" displayName="AutoPayingBills" ref="Q39:U55" totalsRowShown="0">
  <autoFilter ref="Q39:U55" xr:uid="{34C6A055-D250-4ADC-B92F-25CD6D0369A5}"/>
  <sortState xmlns:xlrd2="http://schemas.microsoft.com/office/spreadsheetml/2017/richdata2" ref="Q40:U55">
    <sortCondition ref="T157:T174"/>
  </sortState>
  <tableColumns count="5">
    <tableColumn id="1" xr3:uid="{BCD2307E-80DB-42F9-8580-75D8307D1510}" name="Bill" dataDxfId="9"/>
    <tableColumn id="6" xr3:uid="{B20E4356-E26E-400F-B0D5-F58339FE9DF1}" name="Tag" dataDxfId="8"/>
    <tableColumn id="2" xr3:uid="{AF7FB9D2-B978-48BF-B612-F9EC6D63B862}" name="Source"/>
    <tableColumn id="4" xr3:uid="{D04561B4-A6BE-41AC-9128-B74BD079D8A2}" name="Status" dataDxfId="7"/>
    <tableColumn id="3" xr3:uid="{D32AE93A-789B-4FD3-9AA5-ED5BA14BDAAE}" name="Cycle Date" dataDxfId="6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C636E6-6A10-4A35-967C-C4D268BD2869}" name="DescConvTable" displayName="DescConvTable" ref="E3:F14" totalsRowShown="0">
  <autoFilter ref="E3:F14" xr:uid="{E5C636E6-6A10-4A35-967C-C4D268BD2869}"/>
  <tableColumns count="2">
    <tableColumn id="1" xr3:uid="{745CC046-14F1-4733-972C-052439B08A9D}" name="Discover"/>
    <tableColumn id="2" xr3:uid="{B5CB016D-D612-4FE1-8AA8-10BB53EFF9EC}" name="My Category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8FA2CB-97C0-491B-B8C5-4FDE4E0A88F6}" name="Table3" displayName="Table3" ref="B3:C15" totalsRowShown="0">
  <autoFilter ref="B3:C15" xr:uid="{888FA2CB-97C0-491B-B8C5-4FDE4E0A88F6}"/>
  <tableColumns count="2">
    <tableColumn id="1" xr3:uid="{5C13D42C-5720-4208-A581-95505E2CC905}" name="Category"/>
    <tableColumn id="2" xr3:uid="{335C8630-4D81-4F7B-BB6B-4FE0DF59D451}" name="Total" dataDxfId="5">
      <calculatedColumnFormula>SUMIFS(BillTable[Amount],BillTable[Month],$C$1,BillTable[My Category],Table3[[#This Row],[Category]])</calculatedColumnFormula>
    </tableColumn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523657-C55B-4048-AD0B-B5A53C62EDAA}" name="CatConvTable" displayName="CatConvTable" ref="H3:I6" totalsRowShown="0" headerRowDxfId="4" headerRowBorderDxfId="3" tableBorderDxfId="2">
  <autoFilter ref="H3:I6" xr:uid="{E1523657-C55B-4048-AD0B-B5A53C62EDAA}"/>
  <tableColumns count="2">
    <tableColumn id="1" xr3:uid="{E9747296-3F55-40CF-8EC7-075AD38DA28E}" name="Discover"/>
    <tableColumn id="2" xr3:uid="{EE9B1D98-54DF-4A8E-9144-853CE12A2B5E}" name="My Category"/>
  </tableColumns>
  <tableStyleInfo name="TableStyleMedium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DC057-F87D-4D54-A0F8-7CCAEC657330}" name="BillTable" displayName="BillTable" ref="B2:I56" totalsRowShown="0">
  <autoFilter ref="B2:I56" xr:uid="{432DC057-F87D-4D54-A0F8-7CCAEC657330}"/>
  <tableColumns count="8">
    <tableColumn id="1" xr3:uid="{49F5D311-93B4-4F6D-A458-0C5188C2E4DB}" name="Item"/>
    <tableColumn id="2" xr3:uid="{93D78A6C-D12A-49BB-81AC-75F25C55F009}" name="Trans. date">
      <calculatedColumnFormula>'Imported Billing Statement'!B3</calculatedColumnFormula>
    </tableColumn>
    <tableColumn id="3" xr3:uid="{0866AE41-2F0D-4AB8-8BE5-423296461D74}" name="Post date">
      <calculatedColumnFormula>'Imported Billing Statement'!C3</calculatedColumnFormula>
    </tableColumn>
    <tableColumn id="4" xr3:uid="{2A95820C-1850-4229-8C0E-17C117CDAEAA}" name="Description">
      <calculatedColumnFormula>'Imported Billing Statement'!D3</calculatedColumnFormula>
    </tableColumn>
    <tableColumn id="5" xr3:uid="{28DEEE7C-DDF3-4EE8-A751-D6F80A6DF6E5}" name="Amount" dataCellStyle="Currency">
      <calculatedColumnFormula>'Imported Billing Statement'!E3</calculatedColumnFormula>
    </tableColumn>
    <tableColumn id="6" xr3:uid="{317FAADC-1C03-4995-B8C4-52B6FB7E9815}" name="Discover Category">
      <calculatedColumnFormula>'Imported Billing Statement'!F3</calculatedColumnFormula>
    </tableColumn>
    <tableColumn id="7" xr3:uid="{04D26530-8621-4AFD-B5CD-FE1936C82ACC}" name="My Category" dataDxfId="1">
      <calculatedColumnFormula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calculatedColumnFormula>
    </tableColumn>
    <tableColumn id="9" xr3:uid="{3E21E50C-5127-4CCE-8AA9-B27861079089}" name="Month" dataDxfId="0">
      <calculatedColumnFormula array="1">_xlfn.SWITCH(MONTH(BillTable[[#This Row],[Trans. date]]),1,"January",2,"February",3,"March",4,"April",5,"May",6,"June",7,"July",8,"August",9,"September",10,"October",11,"November",12,"December")</calculatedColumn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2BBE-0175-4C2C-879A-87FF13C21CB1}">
  <sheetPr>
    <tabColor theme="7" tint="0.59999389629810485"/>
  </sheetPr>
  <dimension ref="B2:B9"/>
  <sheetViews>
    <sheetView workbookViewId="0">
      <selection activeCell="E12" sqref="E12"/>
    </sheetView>
  </sheetViews>
  <sheetFormatPr defaultRowHeight="15" x14ac:dyDescent="0.25"/>
  <sheetData>
    <row r="2" spans="2:2" x14ac:dyDescent="0.25">
      <c r="B2" t="s">
        <v>153</v>
      </c>
    </row>
    <row r="3" spans="2:2" x14ac:dyDescent="0.25">
      <c r="B3" t="s">
        <v>154</v>
      </c>
    </row>
    <row r="4" spans="2:2" x14ac:dyDescent="0.25">
      <c r="B4" t="s">
        <v>155</v>
      </c>
    </row>
    <row r="7" spans="2:2" x14ac:dyDescent="0.25">
      <c r="B7" t="s">
        <v>156</v>
      </c>
    </row>
    <row r="9" spans="2:2" x14ac:dyDescent="0.25">
      <c r="B9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94D7-27BB-476D-B9F6-92C9B516316C}">
  <dimension ref="A2:AD55"/>
  <sheetViews>
    <sheetView topLeftCell="A9" workbookViewId="0">
      <selection activeCell="P37" sqref="P37"/>
    </sheetView>
  </sheetViews>
  <sheetFormatPr defaultRowHeight="15" x14ac:dyDescent="0.25"/>
  <cols>
    <col min="2" max="2" width="9.85546875" customWidth="1"/>
    <col min="3" max="3" width="5.7109375" bestFit="1" customWidth="1"/>
    <col min="4" max="7" width="5" bestFit="1" customWidth="1"/>
    <col min="8" max="8" width="6" bestFit="1" customWidth="1"/>
    <col min="9" max="14" width="5" bestFit="1" customWidth="1"/>
    <col min="15" max="15" width="6" bestFit="1" customWidth="1"/>
    <col min="17" max="17" width="13.28515625" bestFit="1" customWidth="1"/>
    <col min="18" max="18" width="13.42578125" bestFit="1" customWidth="1"/>
    <col min="19" max="20" width="11.5703125" bestFit="1" customWidth="1"/>
    <col min="21" max="21" width="13.140625" bestFit="1" customWidth="1"/>
    <col min="22" max="22" width="7.140625" bestFit="1" customWidth="1"/>
    <col min="23" max="23" width="12.42578125" bestFit="1" customWidth="1"/>
    <col min="24" max="24" width="7.85546875" bestFit="1" customWidth="1"/>
    <col min="25" max="25" width="11.5703125" bestFit="1" customWidth="1"/>
    <col min="26" max="26" width="8.140625" bestFit="1" customWidth="1"/>
    <col min="27" max="28" width="11.5703125" bestFit="1" customWidth="1"/>
    <col min="29" max="29" width="7.140625" bestFit="1" customWidth="1"/>
    <col min="30" max="30" width="12.5703125" bestFit="1" customWidth="1"/>
  </cols>
  <sheetData>
    <row r="2" spans="2:30" ht="15.75" thickBot="1" x14ac:dyDescent="0.3">
      <c r="B2" t="s">
        <v>148</v>
      </c>
      <c r="C2" s="9"/>
      <c r="D2" s="9"/>
      <c r="E2" s="9"/>
      <c r="F2" s="10"/>
      <c r="G2" s="10"/>
      <c r="H2" s="10"/>
      <c r="I2" s="11"/>
      <c r="J2" s="11"/>
      <c r="K2" s="11"/>
      <c r="L2" s="12"/>
      <c r="M2" s="12"/>
      <c r="N2" s="12"/>
    </row>
    <row r="3" spans="2:30" ht="15.75" thickBot="1" x14ac:dyDescent="0.3">
      <c r="C3" s="13" t="s">
        <v>93</v>
      </c>
      <c r="D3" s="14" t="s">
        <v>94</v>
      </c>
      <c r="E3" s="13" t="s">
        <v>95</v>
      </c>
      <c r="F3" s="14" t="s">
        <v>96</v>
      </c>
      <c r="G3" s="13" t="s">
        <v>84</v>
      </c>
      <c r="H3" s="14" t="s">
        <v>97</v>
      </c>
      <c r="I3" s="13" t="s">
        <v>98</v>
      </c>
      <c r="J3" s="14" t="s">
        <v>99</v>
      </c>
      <c r="K3" s="14" t="s">
        <v>100</v>
      </c>
      <c r="L3" s="14" t="s">
        <v>101</v>
      </c>
      <c r="M3" s="14" t="s">
        <v>102</v>
      </c>
      <c r="N3" s="14" t="s">
        <v>103</v>
      </c>
      <c r="O3" s="14"/>
      <c r="Q3" s="15" t="s">
        <v>104</v>
      </c>
      <c r="R3" s="15" t="s">
        <v>105</v>
      </c>
      <c r="S3" s="16" t="s">
        <v>106</v>
      </c>
      <c r="T3" s="15" t="s">
        <v>107</v>
      </c>
      <c r="U3" s="89" t="s">
        <v>108</v>
      </c>
      <c r="V3" s="90"/>
      <c r="W3" s="91" t="s">
        <v>109</v>
      </c>
      <c r="X3" s="92"/>
      <c r="Y3" s="93" t="s">
        <v>110</v>
      </c>
      <c r="Z3" s="94"/>
      <c r="AA3" s="17" t="s">
        <v>111</v>
      </c>
      <c r="AB3" s="95" t="s">
        <v>112</v>
      </c>
      <c r="AC3" s="96"/>
      <c r="AD3" s="18" t="s">
        <v>113</v>
      </c>
    </row>
    <row r="4" spans="2:30" x14ac:dyDescent="0.25">
      <c r="B4" t="s">
        <v>0</v>
      </c>
      <c r="C4" s="19">
        <v>300</v>
      </c>
      <c r="D4" s="20">
        <v>300</v>
      </c>
      <c r="E4" s="20">
        <v>300</v>
      </c>
      <c r="F4" s="19">
        <v>300</v>
      </c>
      <c r="G4" s="20">
        <v>300</v>
      </c>
      <c r="H4" s="21">
        <v>300</v>
      </c>
      <c r="I4" s="20">
        <v>300</v>
      </c>
      <c r="J4" s="20">
        <v>300</v>
      </c>
      <c r="K4" s="20">
        <v>300</v>
      </c>
      <c r="L4" s="19">
        <v>300</v>
      </c>
      <c r="M4" s="20">
        <v>300</v>
      </c>
      <c r="N4" s="21">
        <v>300</v>
      </c>
      <c r="O4" s="22">
        <f>SUM(C4:N4)</f>
        <v>3600</v>
      </c>
      <c r="P4" s="23"/>
      <c r="Q4" s="24" t="s">
        <v>80</v>
      </c>
      <c r="R4" s="25">
        <v>4000</v>
      </c>
      <c r="S4" s="26">
        <f>1536+311.68</f>
        <v>1847.68</v>
      </c>
      <c r="T4" s="27">
        <f>R4-(SUM(C4:C10))</f>
        <v>2597.4700000000003</v>
      </c>
      <c r="U4" s="28">
        <f>SUM(C15:C15)</f>
        <v>1000</v>
      </c>
      <c r="V4" s="29">
        <f>(U4/R4)</f>
        <v>0.25</v>
      </c>
      <c r="W4" s="28">
        <f>SUM(C11:C13)</f>
        <v>-2061.6799999999998</v>
      </c>
      <c r="X4" s="30">
        <f t="shared" ref="X4:X15" si="0">W4/R4</f>
        <v>-0.51541999999999999</v>
      </c>
      <c r="Y4" s="28">
        <f>T4-(U4+W4)</f>
        <v>3659.15</v>
      </c>
      <c r="Z4" s="30">
        <f t="shared" ref="Z4:Z16" si="1">Y4/R4</f>
        <v>0.91478749999999998</v>
      </c>
      <c r="AA4" s="28">
        <f>6780.3</f>
        <v>6780.3</v>
      </c>
      <c r="AB4" s="27">
        <f>AA4-(R4-S4)</f>
        <v>4627.9800000000005</v>
      </c>
      <c r="AC4" s="31">
        <f>(AB4/AA4)</f>
        <v>0.6825627184637848</v>
      </c>
      <c r="AD4" s="31">
        <f>(SUM(C4:C10)/R4)</f>
        <v>0.35063250000000001</v>
      </c>
    </row>
    <row r="5" spans="2:30" x14ac:dyDescent="0.25">
      <c r="B5" t="s">
        <v>1</v>
      </c>
      <c r="C5" s="32">
        <v>700</v>
      </c>
      <c r="D5" s="33">
        <v>700</v>
      </c>
      <c r="E5" s="33">
        <v>700</v>
      </c>
      <c r="F5" s="32">
        <v>700</v>
      </c>
      <c r="G5" s="33">
        <v>700</v>
      </c>
      <c r="H5" s="34">
        <v>700</v>
      </c>
      <c r="I5" s="33">
        <v>700</v>
      </c>
      <c r="J5" s="33">
        <v>700</v>
      </c>
      <c r="K5" s="33">
        <v>700</v>
      </c>
      <c r="L5" s="32">
        <v>700</v>
      </c>
      <c r="M5" s="33">
        <v>700</v>
      </c>
      <c r="N5" s="34">
        <v>700</v>
      </c>
      <c r="O5" s="22">
        <f t="shared" ref="O5:O6" si="2">SUM(C5:N5)</f>
        <v>8400</v>
      </c>
      <c r="Q5" s="35" t="s">
        <v>81</v>
      </c>
      <c r="R5" s="36">
        <v>4000</v>
      </c>
      <c r="S5" s="37">
        <f>1536+311.68</f>
        <v>1847.68</v>
      </c>
      <c r="T5" s="38">
        <f>R5-(SUM(D5:D10))</f>
        <v>2815.6</v>
      </c>
      <c r="U5" s="37">
        <f>SUM(D15:D15)</f>
        <v>1000</v>
      </c>
      <c r="V5" s="39">
        <f t="shared" ref="V5:V15" si="3">U5/R5</f>
        <v>0.25</v>
      </c>
      <c r="W5" s="37">
        <f>SUM(D11:D13)</f>
        <v>1013.9010000000001</v>
      </c>
      <c r="X5" s="39">
        <f t="shared" si="0"/>
        <v>0.25347525000000004</v>
      </c>
      <c r="Y5" s="37">
        <f>T5-(U5+W5)</f>
        <v>801.69899999999984</v>
      </c>
      <c r="Z5" s="39">
        <f t="shared" si="1"/>
        <v>0.20042474999999996</v>
      </c>
      <c r="AA5" s="37">
        <f>6780.3</f>
        <v>6780.3</v>
      </c>
      <c r="AB5" s="38">
        <f>AA4-(R4-S4)</f>
        <v>4627.9800000000005</v>
      </c>
      <c r="AC5" s="40">
        <f>(AB4/(AA4))</f>
        <v>0.6825627184637848</v>
      </c>
      <c r="AD5" s="40">
        <f>(SUM(D4:D10)/R5)</f>
        <v>0.37110000000000004</v>
      </c>
    </row>
    <row r="6" spans="2:30" x14ac:dyDescent="0.25">
      <c r="B6" t="s">
        <v>2</v>
      </c>
      <c r="C6" s="32">
        <f>17+17</f>
        <v>34</v>
      </c>
      <c r="D6" s="33">
        <f>17+17+18</f>
        <v>52</v>
      </c>
      <c r="E6" s="33">
        <f>17+17</f>
        <v>34</v>
      </c>
      <c r="F6" s="32">
        <f>17+17+17</f>
        <v>51</v>
      </c>
      <c r="G6" s="33">
        <f>17+17+17</f>
        <v>51</v>
      </c>
      <c r="H6" s="34">
        <f>17+17</f>
        <v>34</v>
      </c>
      <c r="I6" s="33">
        <f>17+17+17</f>
        <v>51</v>
      </c>
      <c r="J6" s="33"/>
      <c r="K6" s="33"/>
      <c r="L6" s="32"/>
      <c r="M6" s="33"/>
      <c r="N6" s="34"/>
      <c r="O6" s="22">
        <f t="shared" si="2"/>
        <v>307</v>
      </c>
      <c r="Q6" s="24" t="s">
        <v>82</v>
      </c>
      <c r="R6" s="25">
        <v>4000</v>
      </c>
      <c r="S6" s="26">
        <f t="shared" ref="S6:S11" si="4">1536+311.68</f>
        <v>1847.68</v>
      </c>
      <c r="T6" s="27">
        <f>R6-(SUM(E5:E10))</f>
        <v>2825.12</v>
      </c>
      <c r="U6" s="26">
        <f>SUM(E15:E15)</f>
        <v>1000</v>
      </c>
      <c r="V6" s="29">
        <f t="shared" si="3"/>
        <v>0.25</v>
      </c>
      <c r="W6" s="26">
        <f t="shared" ref="W6:W14" si="5">SUM(D12:D14)</f>
        <v>2037.241</v>
      </c>
      <c r="X6" s="29">
        <f t="shared" si="0"/>
        <v>0.50931024999999996</v>
      </c>
      <c r="Y6" s="26">
        <f>T6-(U6+W6)</f>
        <v>-212.12100000000009</v>
      </c>
      <c r="Z6" s="29">
        <f t="shared" si="1"/>
        <v>-5.3030250000000022E-2</v>
      </c>
      <c r="AA6" s="26">
        <f t="shared" ref="AA6:AA11" si="6">6780.3</f>
        <v>6780.3</v>
      </c>
      <c r="AB6" s="27">
        <f>AA4-(R4-S4)</f>
        <v>4627.9800000000005</v>
      </c>
      <c r="AC6" s="41">
        <f>(AB4/(AA4))</f>
        <v>0.6825627184637848</v>
      </c>
      <c r="AD6" s="41">
        <f t="shared" ref="AD6:AD15" si="7">(SUM(D5:D11)/R6)</f>
        <v>0.29610000000000003</v>
      </c>
    </row>
    <row r="7" spans="2:30" x14ac:dyDescent="0.25">
      <c r="B7" t="s">
        <v>3</v>
      </c>
      <c r="C7" s="32">
        <f>69.77+0.99+84.99+11.76+18.18+24.6</f>
        <v>210.29</v>
      </c>
      <c r="D7" s="33">
        <f>91.91+86.99+0.99+7.55+11.76+24.6+18.18</f>
        <v>241.98</v>
      </c>
      <c r="E7" s="33">
        <f>96.75+86.99+0.99+26.46+11.76+24.6+18.18</f>
        <v>265.73</v>
      </c>
      <c r="F7" s="32">
        <f>81.03+22.87+0.99+86.99+11.76+24.6+18.18</f>
        <v>246.42</v>
      </c>
      <c r="G7" s="33">
        <f>68.38+0.99+86.99+21.27+11.76+24.6+18.18</f>
        <v>232.17</v>
      </c>
      <c r="H7" s="34">
        <f>62.52+21.27+86.99+0.99+11.76+24.6+18.18</f>
        <v>226.31</v>
      </c>
      <c r="I7" s="33">
        <f>84.28+86.99+22.07+0.99+24.6+18.18+12.83</f>
        <v>249.94</v>
      </c>
      <c r="J7" s="33"/>
      <c r="K7" s="33"/>
      <c r="L7" s="32"/>
      <c r="M7" s="33"/>
      <c r="N7" s="34"/>
      <c r="O7" s="22">
        <f t="shared" ref="O7:O13" si="8">SUM(C7:N7)</f>
        <v>1672.84</v>
      </c>
      <c r="Q7" s="35" t="s">
        <v>83</v>
      </c>
      <c r="R7" s="36">
        <v>4000</v>
      </c>
      <c r="S7" s="37">
        <f t="shared" si="4"/>
        <v>1847.68</v>
      </c>
      <c r="T7" s="42">
        <f>R7-(SUM(F5:F10))</f>
        <v>2792.87</v>
      </c>
      <c r="U7" s="43">
        <f>SUM(F15:F15)</f>
        <v>1000</v>
      </c>
      <c r="V7" s="44">
        <f t="shared" si="3"/>
        <v>0.25</v>
      </c>
      <c r="W7" s="37">
        <f t="shared" si="5"/>
        <v>2766.9700000000003</v>
      </c>
      <c r="X7" s="39">
        <f t="shared" si="0"/>
        <v>0.69174250000000004</v>
      </c>
      <c r="Y7" s="37">
        <f t="shared" ref="Y7" si="9">T7-(U7+W7)</f>
        <v>-974.10000000000036</v>
      </c>
      <c r="Z7" s="39">
        <f t="shared" si="1"/>
        <v>-0.2435250000000001</v>
      </c>
      <c r="AA7" s="37">
        <f t="shared" si="6"/>
        <v>6780.3</v>
      </c>
      <c r="AB7" s="38">
        <f>AA4-(R4-S4)</f>
        <v>4627.9800000000005</v>
      </c>
      <c r="AC7" s="40">
        <f>(AB4/(AA4))</f>
        <v>0.6825627184637848</v>
      </c>
      <c r="AD7" s="40">
        <f t="shared" si="7"/>
        <v>0.18866775000000002</v>
      </c>
    </row>
    <row r="8" spans="2:30" x14ac:dyDescent="0.25">
      <c r="B8" t="s">
        <v>4</v>
      </c>
      <c r="C8" s="32">
        <v>64.040000000000006</v>
      </c>
      <c r="D8" s="33">
        <v>64.040000000000006</v>
      </c>
      <c r="E8" s="33">
        <v>64.040000000000006</v>
      </c>
      <c r="F8" s="32">
        <v>64.040000000000006</v>
      </c>
      <c r="G8" s="33">
        <v>64.040000000000006</v>
      </c>
      <c r="H8" s="34">
        <v>64.040000000000006</v>
      </c>
      <c r="I8" s="33">
        <v>64.040000000000006</v>
      </c>
      <c r="J8" s="33">
        <v>64.040000000000006</v>
      </c>
      <c r="K8" s="33">
        <v>64.040000000000006</v>
      </c>
      <c r="L8" s="32">
        <v>64.040000000000006</v>
      </c>
      <c r="M8" s="33">
        <v>64.040000000000006</v>
      </c>
      <c r="N8" s="34">
        <v>64.040000000000006</v>
      </c>
      <c r="O8" s="22">
        <f t="shared" si="8"/>
        <v>768.4799999999999</v>
      </c>
      <c r="Q8" s="24" t="s">
        <v>84</v>
      </c>
      <c r="R8" s="25">
        <v>4000</v>
      </c>
      <c r="S8" s="26">
        <f t="shared" si="4"/>
        <v>1847.68</v>
      </c>
      <c r="T8" s="25">
        <f>R8-(SUM(G5:G10))</f>
        <v>2874.3199999999997</v>
      </c>
      <c r="U8" s="26">
        <f>SUM(G15)</f>
        <v>1000</v>
      </c>
      <c r="V8" s="45">
        <f t="shared" si="3"/>
        <v>0.25</v>
      </c>
      <c r="W8" s="26">
        <f t="shared" si="5"/>
        <v>4521.6410000000005</v>
      </c>
      <c r="X8" s="45">
        <f t="shared" si="0"/>
        <v>1.1304102500000002</v>
      </c>
      <c r="Y8" s="26">
        <f>T8-(U8+W8)</f>
        <v>-2647.3210000000008</v>
      </c>
      <c r="Z8" s="45">
        <f t="shared" si="1"/>
        <v>-0.66183025000000018</v>
      </c>
      <c r="AA8" s="26">
        <f t="shared" si="6"/>
        <v>6780.3</v>
      </c>
      <c r="AB8" s="25">
        <f>AA8-(R8-S8)</f>
        <v>4627.9800000000005</v>
      </c>
      <c r="AC8" s="41">
        <f>(AB8/(AA8))</f>
        <v>0.6825627184637848</v>
      </c>
      <c r="AD8" s="41">
        <f t="shared" si="7"/>
        <v>0.36157525000000001</v>
      </c>
    </row>
    <row r="9" spans="2:30" x14ac:dyDescent="0.25">
      <c r="B9" t="s">
        <v>5</v>
      </c>
      <c r="C9" s="32">
        <f>23.68+27.02+23.5</f>
        <v>74.2</v>
      </c>
      <c r="D9" s="33">
        <f>26.18+24.9+25.02+4.58+25.7</f>
        <v>106.38</v>
      </c>
      <c r="E9" s="33">
        <f>29.21+29.64+4.55+27.71</f>
        <v>91.11</v>
      </c>
      <c r="F9" s="32">
        <f>27.28+26.65+17.69+23.11+30.94</f>
        <v>125.67</v>
      </c>
      <c r="G9" s="33">
        <f>30.79+27.68</f>
        <v>58.47</v>
      </c>
      <c r="H9" s="34">
        <f>26.94+19.25+28.14+20.05+25.9</f>
        <v>120.28</v>
      </c>
      <c r="I9" s="33">
        <f>27.5+2.99+30.57+29.45+27.2</f>
        <v>117.71000000000001</v>
      </c>
      <c r="J9" s="33"/>
      <c r="K9" s="46"/>
      <c r="L9" s="47"/>
      <c r="M9" s="46"/>
      <c r="N9" s="48"/>
      <c r="O9" s="22">
        <f t="shared" si="8"/>
        <v>693.82</v>
      </c>
      <c r="Q9" s="35" t="s">
        <v>85</v>
      </c>
      <c r="R9" s="36">
        <v>4000</v>
      </c>
      <c r="S9" s="37">
        <f t="shared" si="4"/>
        <v>1847.68</v>
      </c>
      <c r="T9" s="6">
        <f>R9-(SUM(H5:H10))</f>
        <v>2835.37</v>
      </c>
      <c r="U9" s="43">
        <f>SUM(H15)</f>
        <v>1000</v>
      </c>
      <c r="V9" s="49">
        <f t="shared" si="3"/>
        <v>0.25</v>
      </c>
      <c r="W9" s="37">
        <f t="shared" si="5"/>
        <v>3498.3010000000004</v>
      </c>
      <c r="X9" s="49">
        <f t="shared" si="0"/>
        <v>0.87457525000000014</v>
      </c>
      <c r="Y9" s="43">
        <f>T9-(U9+W9)</f>
        <v>-1662.9310000000005</v>
      </c>
      <c r="Z9" s="49">
        <f t="shared" si="1"/>
        <v>-0.41573275000000015</v>
      </c>
      <c r="AA9" s="37">
        <f t="shared" si="6"/>
        <v>6780.3</v>
      </c>
      <c r="AB9" s="36">
        <f>AA9-(R9-S9)</f>
        <v>4627.9800000000005</v>
      </c>
      <c r="AC9" s="40">
        <f t="shared" ref="AC9:AC15" si="10">(AB9/(AA9))</f>
        <v>0.6825627184637848</v>
      </c>
      <c r="AD9" s="40">
        <f t="shared" si="7"/>
        <v>0.55691524999999997</v>
      </c>
    </row>
    <row r="10" spans="2:30" x14ac:dyDescent="0.25">
      <c r="B10" t="s">
        <v>6</v>
      </c>
      <c r="C10" s="32">
        <v>20</v>
      </c>
      <c r="D10" s="33">
        <v>20</v>
      </c>
      <c r="E10" s="33">
        <v>20</v>
      </c>
      <c r="F10" s="32">
        <v>20</v>
      </c>
      <c r="G10" s="33">
        <v>20</v>
      </c>
      <c r="H10" s="34">
        <v>20</v>
      </c>
      <c r="I10" s="33">
        <v>20</v>
      </c>
      <c r="J10" s="33">
        <v>20</v>
      </c>
      <c r="K10" s="33">
        <v>20</v>
      </c>
      <c r="L10" s="32">
        <v>0</v>
      </c>
      <c r="M10" s="33">
        <v>0</v>
      </c>
      <c r="N10" s="34">
        <v>0</v>
      </c>
      <c r="O10" s="22">
        <f t="shared" si="8"/>
        <v>180</v>
      </c>
      <c r="Q10" s="24" t="s">
        <v>74</v>
      </c>
      <c r="R10" s="25">
        <v>4000</v>
      </c>
      <c r="S10" s="26">
        <f t="shared" si="4"/>
        <v>1847.68</v>
      </c>
      <c r="T10" s="25">
        <f>R10-(SUM(I5:I10))</f>
        <v>2797.31</v>
      </c>
      <c r="U10" s="26">
        <f>SUM(I15)</f>
        <v>1000</v>
      </c>
      <c r="V10" s="45">
        <f t="shared" si="3"/>
        <v>0.25</v>
      </c>
      <c r="W10" s="26">
        <f t="shared" si="5"/>
        <v>2498.3010000000004</v>
      </c>
      <c r="X10" s="45">
        <f t="shared" si="0"/>
        <v>0.62457525000000014</v>
      </c>
      <c r="Y10" s="26">
        <f t="shared" ref="Y10:Y15" si="11">T10-(U10+W10)</f>
        <v>-700.99100000000044</v>
      </c>
      <c r="Z10" s="45">
        <f t="shared" si="1"/>
        <v>-0.17524775000000012</v>
      </c>
      <c r="AA10" s="26">
        <f t="shared" si="6"/>
        <v>6780.3</v>
      </c>
      <c r="AB10" s="25">
        <f t="shared" ref="AB10:AB15" si="12">AA10-(R10-S10)</f>
        <v>4627.9800000000005</v>
      </c>
      <c r="AC10" s="41">
        <f t="shared" si="10"/>
        <v>0.6825627184637848</v>
      </c>
      <c r="AD10" s="41">
        <f t="shared" si="7"/>
        <v>0.79090525</v>
      </c>
    </row>
    <row r="11" spans="2:30" x14ac:dyDescent="0.25">
      <c r="B11" t="s">
        <v>7</v>
      </c>
      <c r="C11" s="51">
        <f>85+32.28</f>
        <v>117.28</v>
      </c>
      <c r="D11" s="22"/>
      <c r="E11" s="22">
        <f>44.83+60.96+31.84+19.57</f>
        <v>157.19999999999999</v>
      </c>
      <c r="F11" s="51">
        <f>14+37.87</f>
        <v>51.87</v>
      </c>
      <c r="G11" s="22">
        <f>159.86+30+19.25</f>
        <v>209.11</v>
      </c>
      <c r="H11" s="52">
        <f>13.44</f>
        <v>13.44</v>
      </c>
      <c r="I11" s="22">
        <f>8.33+8.33</f>
        <v>16.66</v>
      </c>
      <c r="J11" s="22"/>
      <c r="K11" s="22"/>
      <c r="L11" s="51"/>
      <c r="M11" s="22"/>
      <c r="N11" s="52"/>
      <c r="O11" s="22">
        <f t="shared" si="8"/>
        <v>565.56000000000006</v>
      </c>
      <c r="Q11" s="35" t="s">
        <v>86</v>
      </c>
      <c r="R11" s="36">
        <v>4000</v>
      </c>
      <c r="S11" s="37">
        <f t="shared" si="4"/>
        <v>1847.68</v>
      </c>
      <c r="T11" s="6">
        <f>R10-(SUM(J5:J10))</f>
        <v>3215.96</v>
      </c>
      <c r="U11" s="43">
        <f>SUM(J15)</f>
        <v>1000</v>
      </c>
      <c r="V11" s="49">
        <f t="shared" si="3"/>
        <v>0.25</v>
      </c>
      <c r="W11" s="37">
        <f t="shared" si="5"/>
        <v>0</v>
      </c>
      <c r="X11" s="49">
        <f t="shared" si="0"/>
        <v>0</v>
      </c>
      <c r="Y11" s="43">
        <f t="shared" si="11"/>
        <v>2215.96</v>
      </c>
      <c r="Z11" s="49">
        <f t="shared" si="1"/>
        <v>0.55398999999999998</v>
      </c>
      <c r="AA11" s="37">
        <f t="shared" si="6"/>
        <v>6780.3</v>
      </c>
      <c r="AB11" s="36">
        <f t="shared" si="12"/>
        <v>4627.9800000000005</v>
      </c>
      <c r="AC11" s="40">
        <f t="shared" si="10"/>
        <v>0.6825627184637848</v>
      </c>
      <c r="AD11" s="40">
        <f t="shared" si="7"/>
        <v>1.3888855</v>
      </c>
    </row>
    <row r="12" spans="2:30" x14ac:dyDescent="0.25">
      <c r="B12" t="s">
        <v>8</v>
      </c>
      <c r="C12" s="51">
        <f>11+31.98+11.52+16.04+44.55+4.35</f>
        <v>119.43999999999998</v>
      </c>
      <c r="D12" s="22">
        <f>23.2+68.6+15.7+23.9+12+45.5+14.63+19.351+24.7+22.69</f>
        <v>270.27100000000002</v>
      </c>
      <c r="E12" s="22">
        <f>22.2+38.06+19.37+11.12+45.88+22.73+11.54+27.11+11</f>
        <v>209.01</v>
      </c>
      <c r="F12" s="51">
        <f>17.84+99.75+8.37+13+43.69+10.94+9.54+11.88+12.08+10.97+17.27+9.43+14.3+6.4+9.43+6.36+36+60+15.6+8.25+9.49+31.89</f>
        <v>462.48</v>
      </c>
      <c r="G12" s="22">
        <f>10.22+18.5+20.59+28.28+28.2+28.24+20.14+48.55+65.52+22.25</f>
        <v>290.49</v>
      </c>
      <c r="H12" s="52">
        <f>16.19+15.43+14.2+20.53+20.91+68.67+15.41+19.81+13.61+10.34+14.59+25+24.38+21.73+19.2+11.44+10.37+57.73</f>
        <v>399.54</v>
      </c>
      <c r="I12" s="22">
        <f>14.5+13.7+9.07+6.39+26.15+13.39+12.78+19.29+13.51+12+8.65</f>
        <v>149.43</v>
      </c>
      <c r="J12" s="22"/>
      <c r="K12" s="22"/>
      <c r="L12" s="51"/>
      <c r="M12" s="22"/>
      <c r="N12" s="52"/>
      <c r="O12" s="22">
        <f t="shared" si="8"/>
        <v>1900.6610000000001</v>
      </c>
      <c r="Q12" s="24" t="s">
        <v>87</v>
      </c>
      <c r="R12" s="25">
        <v>4000</v>
      </c>
      <c r="S12" s="26">
        <f>1536+311.68</f>
        <v>1847.68</v>
      </c>
      <c r="T12" s="25">
        <f>R11-(SUM(K5:K10))</f>
        <v>3215.96</v>
      </c>
      <c r="U12" s="26">
        <f>SUM(K15)</f>
        <v>1000</v>
      </c>
      <c r="V12" s="45">
        <f t="shared" si="3"/>
        <v>0.25</v>
      </c>
      <c r="W12" s="26">
        <f t="shared" si="5"/>
        <v>0</v>
      </c>
      <c r="X12" s="45">
        <f t="shared" si="0"/>
        <v>0</v>
      </c>
      <c r="Y12" s="26">
        <f t="shared" si="11"/>
        <v>2215.96</v>
      </c>
      <c r="Z12" s="45">
        <f t="shared" si="1"/>
        <v>0.55398999999999998</v>
      </c>
      <c r="AA12" s="26">
        <f>6780.3</f>
        <v>6780.3</v>
      </c>
      <c r="AB12" s="25">
        <f t="shared" si="12"/>
        <v>4627.9800000000005</v>
      </c>
      <c r="AC12" s="41">
        <f t="shared" si="10"/>
        <v>0.6825627184637848</v>
      </c>
      <c r="AD12" s="41">
        <f t="shared" si="7"/>
        <v>1.3838855000000001</v>
      </c>
    </row>
    <row r="13" spans="2:30" x14ac:dyDescent="0.25">
      <c r="B13" t="s">
        <v>9</v>
      </c>
      <c r="C13" s="51">
        <f>-2424+73.3+27.3+25</f>
        <v>-2298.3999999999996</v>
      </c>
      <c r="D13" s="22">
        <f>42.55+5.33+14.98+159.53+436.54+80.5+4.2</f>
        <v>743.63000000000011</v>
      </c>
      <c r="E13" s="22">
        <f>-92.01+174.8+25.52+72+55.88+264.29+173.88+178+16+104.86</f>
        <v>973.22</v>
      </c>
      <c r="F13" s="51">
        <f>68.21+67.41+48.14+67.4+25+178.08+520.2+39.86+508.81+34.22+179.55+16+36+62.32+38.47+36+95.54+34.99+200+28.84+63.36+67+43.9+0.44+78.4+0.78</f>
        <v>2538.9200000000005</v>
      </c>
      <c r="G13" s="22">
        <f>16+17.91+18.5+123.05+72.75+41.7+5.25+22+517.88+10.69+35.29</f>
        <v>881.02</v>
      </c>
      <c r="H13" s="52">
        <f>8+102.72+4+10.69+4+25+20+573.96+9.16+5.04+3+20.6+15.84+3+182.5+22.41+20.5+16.47+24.72+21.51+23+27+220+192.54+38.99+10.69+77.97</f>
        <v>1683.3100000000002</v>
      </c>
      <c r="I13" s="22">
        <f>12+8+27.98+12+13.99+12+8+67.65+94.37+8+10.69+8+108.69+29.21+49.99</f>
        <v>470.57</v>
      </c>
      <c r="J13" s="22"/>
      <c r="K13" s="22"/>
      <c r="L13" s="51"/>
      <c r="M13" s="22"/>
      <c r="N13" s="52"/>
      <c r="O13" s="22">
        <f t="shared" si="8"/>
        <v>4992.2700000000013</v>
      </c>
      <c r="Q13" s="35" t="s">
        <v>88</v>
      </c>
      <c r="R13" s="36">
        <v>4000</v>
      </c>
      <c r="S13" s="43">
        <f>1536+311.68</f>
        <v>1847.68</v>
      </c>
      <c r="T13" s="6">
        <f>R13-(SUM(L5:L10))</f>
        <v>3235.96</v>
      </c>
      <c r="U13" s="43">
        <f>SUM(L15)</f>
        <v>1000</v>
      </c>
      <c r="V13" s="49">
        <f t="shared" si="3"/>
        <v>0.25</v>
      </c>
      <c r="W13" s="37">
        <f t="shared" si="5"/>
        <v>0</v>
      </c>
      <c r="X13" s="49">
        <f t="shared" si="0"/>
        <v>0</v>
      </c>
      <c r="Y13" s="43">
        <f t="shared" si="11"/>
        <v>2235.96</v>
      </c>
      <c r="Z13" s="49">
        <f t="shared" si="1"/>
        <v>0.55898999999999999</v>
      </c>
      <c r="AA13" s="43">
        <f>6780.3</f>
        <v>6780.3</v>
      </c>
      <c r="AB13" s="36">
        <f t="shared" si="12"/>
        <v>4627.9800000000005</v>
      </c>
      <c r="AC13" s="40">
        <f t="shared" si="10"/>
        <v>0.6825627184637848</v>
      </c>
      <c r="AD13" s="40">
        <f t="shared" si="7"/>
        <v>1.3838855000000001</v>
      </c>
    </row>
    <row r="14" spans="2:30" x14ac:dyDescent="0.25">
      <c r="B14" t="s">
        <v>10</v>
      </c>
      <c r="C14" s="53">
        <v>1023.34</v>
      </c>
      <c r="D14" s="54">
        <v>1023.34</v>
      </c>
      <c r="E14" s="54">
        <v>1023.34</v>
      </c>
      <c r="F14" s="53">
        <v>68</v>
      </c>
      <c r="G14" s="54">
        <v>1023.34</v>
      </c>
      <c r="H14" s="55">
        <v>1023.34</v>
      </c>
      <c r="I14" s="54">
        <v>1023.34</v>
      </c>
      <c r="J14" s="54">
        <v>1023.34</v>
      </c>
      <c r="K14" s="54">
        <v>1023.34</v>
      </c>
      <c r="L14" s="53">
        <v>1023.34</v>
      </c>
      <c r="M14" s="54">
        <v>1023.34</v>
      </c>
      <c r="N14" s="55">
        <v>1023.34</v>
      </c>
      <c r="O14" s="22">
        <f>SUM(C14:N14)</f>
        <v>11324.74</v>
      </c>
      <c r="Q14" s="24" t="s">
        <v>89</v>
      </c>
      <c r="R14" s="25">
        <v>4000</v>
      </c>
      <c r="S14" s="26">
        <f>1536+311.68</f>
        <v>1847.68</v>
      </c>
      <c r="T14" s="25">
        <f>R14-(SUM(M5:M10))</f>
        <v>3235.96</v>
      </c>
      <c r="U14" s="26">
        <f>SUM(M15)</f>
        <v>1000</v>
      </c>
      <c r="V14" s="45">
        <f t="shared" si="3"/>
        <v>0.25</v>
      </c>
      <c r="W14" s="26">
        <f t="shared" si="5"/>
        <v>0</v>
      </c>
      <c r="X14" s="45">
        <f t="shared" si="0"/>
        <v>0</v>
      </c>
      <c r="Y14" s="26">
        <f t="shared" si="11"/>
        <v>2235.96</v>
      </c>
      <c r="Z14" s="45">
        <f t="shared" si="1"/>
        <v>0.55898999999999999</v>
      </c>
      <c r="AA14" s="26">
        <f>6780.3</f>
        <v>6780.3</v>
      </c>
      <c r="AB14" s="25">
        <f t="shared" si="12"/>
        <v>4627.9800000000005</v>
      </c>
      <c r="AC14" s="41">
        <f t="shared" si="10"/>
        <v>0.6825627184637848</v>
      </c>
      <c r="AD14" s="41">
        <f t="shared" si="7"/>
        <v>1.3163177500000001</v>
      </c>
    </row>
    <row r="15" spans="2:30" ht="15.75" thickBot="1" x14ac:dyDescent="0.3">
      <c r="B15" t="s">
        <v>11</v>
      </c>
      <c r="C15" s="56">
        <v>1000</v>
      </c>
      <c r="D15" s="57">
        <v>1000</v>
      </c>
      <c r="E15" s="57">
        <v>1000</v>
      </c>
      <c r="F15" s="56">
        <v>1000</v>
      </c>
      <c r="G15" s="57">
        <v>1000</v>
      </c>
      <c r="H15" s="58">
        <v>1000</v>
      </c>
      <c r="I15" s="57">
        <v>1000</v>
      </c>
      <c r="J15" s="57">
        <v>1000</v>
      </c>
      <c r="K15" s="57">
        <v>1000</v>
      </c>
      <c r="L15" s="56">
        <v>1000</v>
      </c>
      <c r="M15" s="57">
        <v>1000</v>
      </c>
      <c r="N15" s="58">
        <v>1000</v>
      </c>
      <c r="O15" s="22">
        <f>SUM(C15:N15)</f>
        <v>12000</v>
      </c>
      <c r="Q15" s="35" t="s">
        <v>90</v>
      </c>
      <c r="R15" s="36">
        <v>4000</v>
      </c>
      <c r="S15" s="43">
        <f>1536+311.68</f>
        <v>1847.68</v>
      </c>
      <c r="T15" s="6">
        <f>R15-(SUM(N5:N10))</f>
        <v>3235.96</v>
      </c>
      <c r="U15" s="43">
        <f>SUM(N15)</f>
        <v>1000</v>
      </c>
      <c r="V15" s="49">
        <f t="shared" si="3"/>
        <v>0.25</v>
      </c>
      <c r="W15" s="37">
        <f>SUM(D21:D23)</f>
        <v>300</v>
      </c>
      <c r="X15" s="49">
        <f t="shared" si="0"/>
        <v>7.4999999999999997E-2</v>
      </c>
      <c r="Y15" s="43">
        <f t="shared" si="11"/>
        <v>1935.96</v>
      </c>
      <c r="Z15" s="49">
        <f t="shared" si="1"/>
        <v>0.48399000000000003</v>
      </c>
      <c r="AA15" s="43">
        <f>6780.3</f>
        <v>6780.3</v>
      </c>
      <c r="AB15" s="36">
        <f t="shared" si="12"/>
        <v>4627.9800000000005</v>
      </c>
      <c r="AC15" s="40">
        <f t="shared" si="10"/>
        <v>0.6825627184637848</v>
      </c>
      <c r="AD15" s="40">
        <f t="shared" si="7"/>
        <v>1.1304102500000002</v>
      </c>
    </row>
    <row r="16" spans="2:30" ht="15.75" thickBot="1" x14ac:dyDescent="0.3">
      <c r="B16" t="s">
        <v>70</v>
      </c>
      <c r="C16" s="60">
        <f>SUM(C4:C15)-SUM(C14:C15)</f>
        <v>-659.14999999999964</v>
      </c>
      <c r="D16" s="60">
        <f t="shared" ref="D16:E16" si="13">SUM(D4:D15)-SUM(D14:D15)</f>
        <v>2498.3010000000004</v>
      </c>
      <c r="E16" s="60">
        <f t="shared" si="13"/>
        <v>2814.3099999999995</v>
      </c>
      <c r="F16" s="60">
        <f>SUM(F4:F15)-SUM(F14:F15)</f>
        <v>4560.4000000000005</v>
      </c>
      <c r="G16" s="60">
        <f t="shared" ref="G16:N16" si="14">SUM(G4:G15)-SUM(G14:G15)</f>
        <v>2806.3</v>
      </c>
      <c r="H16" s="60">
        <f t="shared" si="14"/>
        <v>3560.92</v>
      </c>
      <c r="I16" s="60">
        <f t="shared" si="14"/>
        <v>2139.3500000000004</v>
      </c>
      <c r="J16" s="60">
        <f t="shared" si="14"/>
        <v>1084.04</v>
      </c>
      <c r="K16" s="60">
        <f t="shared" si="14"/>
        <v>1084.04</v>
      </c>
      <c r="L16" s="60">
        <f t="shared" si="14"/>
        <v>1064.04</v>
      </c>
      <c r="M16" s="60">
        <f t="shared" si="14"/>
        <v>1064.04</v>
      </c>
      <c r="N16" s="60">
        <f t="shared" si="14"/>
        <v>1064.04</v>
      </c>
      <c r="O16" s="60"/>
      <c r="Q16" s="61"/>
      <c r="R16" s="62">
        <f>SUM(R4:R15)</f>
        <v>48000</v>
      </c>
      <c r="S16" s="62">
        <f t="shared" ref="S16:U16" si="15">SUM(S4:S15)</f>
        <v>22172.16</v>
      </c>
      <c r="T16" s="62">
        <f t="shared" si="15"/>
        <v>35677.859999999993</v>
      </c>
      <c r="U16" s="63">
        <f t="shared" si="15"/>
        <v>12000</v>
      </c>
      <c r="V16" s="64">
        <f>U16/R16</f>
        <v>0.25</v>
      </c>
      <c r="W16" s="65">
        <f>SUM(W4:W15)</f>
        <v>14574.674999999999</v>
      </c>
      <c r="X16" s="66">
        <f>W16/R16</f>
        <v>0.3036390625</v>
      </c>
      <c r="Y16" s="67">
        <f t="shared" ref="Y16" si="16">SUM(Y4:Y15)</f>
        <v>9103.1849999999977</v>
      </c>
      <c r="Z16" s="68">
        <f t="shared" si="1"/>
        <v>0.18964968749999994</v>
      </c>
      <c r="AA16" s="69">
        <f t="shared" ref="AA16:AB16" si="17">SUM(AA4:AA15)</f>
        <v>81363.60000000002</v>
      </c>
      <c r="AB16" s="69">
        <f t="shared" si="17"/>
        <v>55535.760000000017</v>
      </c>
      <c r="AC16" s="70">
        <f>(AB16/AA16)</f>
        <v>0.6825627184637848</v>
      </c>
      <c r="AD16" s="71">
        <f>AB16/R16</f>
        <v>1.1569950000000004</v>
      </c>
    </row>
    <row r="17" spans="2:30" x14ac:dyDescent="0.25">
      <c r="R17" s="42"/>
      <c r="S17" s="42"/>
      <c r="T17" s="42"/>
      <c r="U17" s="42"/>
      <c r="W17" s="42"/>
      <c r="Y17" s="42"/>
      <c r="AA17" s="42"/>
      <c r="AB17" s="42"/>
    </row>
    <row r="21" spans="2:30" ht="15.75" thickBot="1" x14ac:dyDescent="0.3">
      <c r="B21" t="s">
        <v>92</v>
      </c>
      <c r="C21" s="9"/>
      <c r="D21" s="9"/>
      <c r="E21" s="9"/>
      <c r="F21" s="10"/>
      <c r="G21" s="10"/>
      <c r="H21" s="10"/>
      <c r="I21" s="11"/>
      <c r="J21" s="11"/>
      <c r="K21" s="11"/>
      <c r="L21" s="12"/>
      <c r="M21" s="12"/>
      <c r="N21" s="12"/>
    </row>
    <row r="22" spans="2:30" ht="15.75" thickBot="1" x14ac:dyDescent="0.3">
      <c r="C22" s="13" t="s">
        <v>93</v>
      </c>
      <c r="D22" s="14" t="s">
        <v>94</v>
      </c>
      <c r="E22" s="13" t="s">
        <v>95</v>
      </c>
      <c r="F22" s="14" t="s">
        <v>96</v>
      </c>
      <c r="G22" s="13" t="s">
        <v>84</v>
      </c>
      <c r="H22" s="14" t="s">
        <v>97</v>
      </c>
      <c r="I22" s="13" t="s">
        <v>98</v>
      </c>
      <c r="J22" s="14" t="s">
        <v>99</v>
      </c>
      <c r="K22" s="14" t="s">
        <v>100</v>
      </c>
      <c r="L22" s="14" t="s">
        <v>101</v>
      </c>
      <c r="M22" s="14" t="s">
        <v>102</v>
      </c>
      <c r="N22" s="14" t="s">
        <v>103</v>
      </c>
      <c r="O22" s="14"/>
      <c r="Q22" s="15" t="s">
        <v>104</v>
      </c>
      <c r="R22" s="15" t="s">
        <v>105</v>
      </c>
      <c r="S22" s="16" t="s">
        <v>106</v>
      </c>
      <c r="T22" s="15" t="s">
        <v>107</v>
      </c>
      <c r="U22" s="89" t="s">
        <v>108</v>
      </c>
      <c r="V22" s="90"/>
      <c r="W22" s="91" t="s">
        <v>109</v>
      </c>
      <c r="X22" s="92"/>
      <c r="Y22" s="93" t="s">
        <v>110</v>
      </c>
      <c r="Z22" s="94"/>
      <c r="AA22" s="17" t="s">
        <v>111</v>
      </c>
      <c r="AB22" s="95" t="s">
        <v>112</v>
      </c>
      <c r="AC22" s="96"/>
      <c r="AD22" s="18" t="s">
        <v>113</v>
      </c>
    </row>
    <row r="23" spans="2:30" x14ac:dyDescent="0.25">
      <c r="B23" t="s">
        <v>0</v>
      </c>
      <c r="C23" s="19">
        <v>300</v>
      </c>
      <c r="D23" s="20">
        <v>300</v>
      </c>
      <c r="E23" s="20">
        <v>300</v>
      </c>
      <c r="F23" s="19">
        <v>300</v>
      </c>
      <c r="G23" s="20">
        <v>300</v>
      </c>
      <c r="H23" s="21">
        <v>300</v>
      </c>
      <c r="I23" s="20">
        <v>300</v>
      </c>
      <c r="J23" s="20"/>
      <c r="K23" s="20"/>
      <c r="L23" s="19"/>
      <c r="M23" s="20"/>
      <c r="N23" s="21"/>
      <c r="O23" s="22">
        <f>SUM(C23:N23)</f>
        <v>2100</v>
      </c>
      <c r="P23" s="23"/>
      <c r="Q23" s="24" t="s">
        <v>80</v>
      </c>
      <c r="R23" s="25">
        <f>3459.98+3459.97</f>
        <v>6919.95</v>
      </c>
      <c r="S23" s="26">
        <f>1536+311.68</f>
        <v>1847.68</v>
      </c>
      <c r="T23" s="27">
        <f>R23-(SUM(C24:C29))</f>
        <v>5860.35</v>
      </c>
      <c r="U23" s="28">
        <f>SUM(C34:C34)</f>
        <v>1000</v>
      </c>
      <c r="V23" s="29">
        <f>(U23/R23)</f>
        <v>0.14450971466556839</v>
      </c>
      <c r="W23" s="28">
        <f>SUM(C23,C30:C32)</f>
        <v>-1761.6799999999998</v>
      </c>
      <c r="X23" s="30">
        <f t="shared" ref="X23:X34" si="18">W23/R23</f>
        <v>-0.25457987413203853</v>
      </c>
      <c r="Y23" s="28">
        <f>T23-(U23+W23)</f>
        <v>6622.0300000000007</v>
      </c>
      <c r="Z23" s="30">
        <f t="shared" ref="Z23:Z35" si="19">Y23/R23</f>
        <v>0.95694766580683399</v>
      </c>
      <c r="AA23" s="28">
        <f>6780.3</f>
        <v>6780.3</v>
      </c>
      <c r="AB23" s="27">
        <f>AA23-(R23-S23)</f>
        <v>1708.0300000000007</v>
      </c>
      <c r="AC23" s="31">
        <f>(AB23/AA23)</f>
        <v>0.25191068241818215</v>
      </c>
      <c r="AD23" s="31">
        <f>(SUM(C24:C29)/R23)</f>
        <v>0.15312249365963626</v>
      </c>
    </row>
    <row r="24" spans="2:30" x14ac:dyDescent="0.25">
      <c r="B24" t="s">
        <v>1</v>
      </c>
      <c r="C24" s="32">
        <f t="shared" ref="C24:N24" si="20">605.08+51.99</f>
        <v>657.07</v>
      </c>
      <c r="D24" s="33">
        <f>605.08+51.99+854.1</f>
        <v>1511.17</v>
      </c>
      <c r="E24" s="33">
        <f t="shared" si="20"/>
        <v>657.07</v>
      </c>
      <c r="F24" s="32">
        <f t="shared" si="20"/>
        <v>657.07</v>
      </c>
      <c r="G24" s="33">
        <f t="shared" si="20"/>
        <v>657.07</v>
      </c>
      <c r="H24" s="34">
        <f t="shared" si="20"/>
        <v>657.07</v>
      </c>
      <c r="I24" s="33">
        <f>605.08+51.99</f>
        <v>657.07</v>
      </c>
      <c r="J24" s="33">
        <f t="shared" si="20"/>
        <v>657.07</v>
      </c>
      <c r="K24" s="33">
        <f t="shared" si="20"/>
        <v>657.07</v>
      </c>
      <c r="L24" s="32">
        <f t="shared" si="20"/>
        <v>657.07</v>
      </c>
      <c r="M24" s="33">
        <f t="shared" si="20"/>
        <v>657.07</v>
      </c>
      <c r="N24" s="34">
        <f t="shared" si="20"/>
        <v>657.07</v>
      </c>
      <c r="O24" s="22">
        <f t="shared" ref="O24:O25" si="21">SUM(C24:N24)</f>
        <v>8738.9399999999987</v>
      </c>
      <c r="Q24" s="35" t="s">
        <v>81</v>
      </c>
      <c r="R24" s="36">
        <f>3459.98+3459.97</f>
        <v>6919.95</v>
      </c>
      <c r="S24" s="37">
        <f>1536+311.68</f>
        <v>1847.68</v>
      </c>
      <c r="T24" s="38">
        <f>R24-(SUM(D24:D29))</f>
        <v>4924.3799999999992</v>
      </c>
      <c r="U24" s="37">
        <f>SUM(D34:D34)</f>
        <v>1000</v>
      </c>
      <c r="V24" s="39">
        <f t="shared" ref="V24:V34" si="22">U24/R24</f>
        <v>0.14450971466556839</v>
      </c>
      <c r="W24" s="37">
        <f>SUM(D23,D30:D32)</f>
        <v>1313.9010000000001</v>
      </c>
      <c r="X24" s="39">
        <f t="shared" si="18"/>
        <v>0.189871458608805</v>
      </c>
      <c r="Y24" s="37">
        <f>T24-(U24+W24)</f>
        <v>2610.4789999999994</v>
      </c>
      <c r="Z24" s="39">
        <f t="shared" si="19"/>
        <v>0.37723957543045822</v>
      </c>
      <c r="AA24" s="37">
        <f>6780.3</f>
        <v>6780.3</v>
      </c>
      <c r="AB24" s="38">
        <f>AA23-(R23-S23)</f>
        <v>1708.0300000000007</v>
      </c>
      <c r="AC24" s="40">
        <f>(AB23/(AA23))</f>
        <v>0.25191068241818215</v>
      </c>
      <c r="AD24" s="40">
        <f>(SUM(D24:D29)/R24)</f>
        <v>0.28837925129516834</v>
      </c>
    </row>
    <row r="25" spans="2:30" x14ac:dyDescent="0.25">
      <c r="B25" t="s">
        <v>2</v>
      </c>
      <c r="C25" s="32">
        <f>17+17</f>
        <v>34</v>
      </c>
      <c r="D25" s="33">
        <f>17+17+18</f>
        <v>52</v>
      </c>
      <c r="E25" s="33">
        <f>17+17</f>
        <v>34</v>
      </c>
      <c r="F25" s="32">
        <f>17+17+17</f>
        <v>51</v>
      </c>
      <c r="G25" s="33">
        <f>17+17+17</f>
        <v>51</v>
      </c>
      <c r="H25" s="34">
        <f>17+17</f>
        <v>34</v>
      </c>
      <c r="I25" s="33">
        <f>17+17+17</f>
        <v>51</v>
      </c>
      <c r="J25" s="33"/>
      <c r="K25" s="33"/>
      <c r="L25" s="32"/>
      <c r="M25" s="33"/>
      <c r="N25" s="34"/>
      <c r="O25" s="22">
        <f t="shared" si="21"/>
        <v>307</v>
      </c>
      <c r="Q25" s="24" t="s">
        <v>82</v>
      </c>
      <c r="R25" s="25">
        <f t="shared" ref="R25:R31" si="23">3459.98+3459.97</f>
        <v>6919.95</v>
      </c>
      <c r="S25" s="26">
        <f t="shared" ref="S25:S30" si="24">1536+311.68</f>
        <v>1847.68</v>
      </c>
      <c r="T25" s="27">
        <f>R25-(SUM(E24:E29))</f>
        <v>5788</v>
      </c>
      <c r="U25" s="26">
        <f>SUM(E34:E34)</f>
        <v>1000</v>
      </c>
      <c r="V25" s="29">
        <f t="shared" si="22"/>
        <v>0.14450971466556839</v>
      </c>
      <c r="W25" s="26">
        <f>SUM(E23,E30:E32)</f>
        <v>1639.43</v>
      </c>
      <c r="X25" s="29">
        <f t="shared" si="18"/>
        <v>0.23691356151417281</v>
      </c>
      <c r="Y25" s="26">
        <f>T25-(U25+W25)</f>
        <v>3148.5699999999997</v>
      </c>
      <c r="Z25" s="29">
        <f t="shared" si="19"/>
        <v>0.45499895230456866</v>
      </c>
      <c r="AA25" s="26">
        <f t="shared" ref="AA25:AA30" si="25">6780.3</f>
        <v>6780.3</v>
      </c>
      <c r="AB25" s="27">
        <f>AA23-(R23-S23)</f>
        <v>1708.0300000000007</v>
      </c>
      <c r="AC25" s="41">
        <f>(AB23/(AA23))</f>
        <v>0.25191068241818215</v>
      </c>
      <c r="AD25" s="41">
        <f>(SUM(E24:E29)/R25)</f>
        <v>0.16357777151569014</v>
      </c>
    </row>
    <row r="26" spans="2:30" x14ac:dyDescent="0.25">
      <c r="B26" t="s">
        <v>3</v>
      </c>
      <c r="C26" s="32">
        <f>69.77+0.99+84.99+11.76+18.18+24.6</f>
        <v>210.29</v>
      </c>
      <c r="D26" s="33">
        <f>91.91+86.99+0.99+7.55+11.76+24.6+18.18</f>
        <v>241.98</v>
      </c>
      <c r="E26" s="33">
        <f>96.75+86.99+0.99+26.46+11.76+24.6+18.18</f>
        <v>265.73</v>
      </c>
      <c r="F26" s="32">
        <f>81.03+22.87+0.99+86.99+11.76+24.6+18.18</f>
        <v>246.42</v>
      </c>
      <c r="G26" s="33">
        <f>68.38+0.99+86.99+21.27+11.76+24.6+18.18</f>
        <v>232.17</v>
      </c>
      <c r="H26" s="34">
        <f>62.52+21.27+86.99+0.99+11.76+24.6+18.18</f>
        <v>226.31</v>
      </c>
      <c r="I26" s="33">
        <f>84.28+86.99+22.07+0.99+24.6+18.18+12.83</f>
        <v>249.94</v>
      </c>
      <c r="J26" s="33"/>
      <c r="K26" s="33"/>
      <c r="L26" s="32"/>
      <c r="M26" s="33"/>
      <c r="N26" s="34"/>
      <c r="O26" s="22">
        <f t="shared" ref="O26:O32" si="26">SUM(C26:N26)</f>
        <v>1672.84</v>
      </c>
      <c r="Q26" s="35" t="s">
        <v>83</v>
      </c>
      <c r="R26" s="36">
        <f t="shared" si="23"/>
        <v>6919.95</v>
      </c>
      <c r="S26" s="37">
        <f t="shared" si="24"/>
        <v>1847.68</v>
      </c>
      <c r="T26" s="42">
        <f>R26-(SUM(F24:F29))</f>
        <v>5755.75</v>
      </c>
      <c r="U26" s="43">
        <f>SUM(F34:F34)</f>
        <v>1000</v>
      </c>
      <c r="V26" s="44">
        <f t="shared" si="22"/>
        <v>0.14450971466556839</v>
      </c>
      <c r="W26" s="43">
        <f>SUM(F23,F30:F32)</f>
        <v>3353.2700000000004</v>
      </c>
      <c r="X26" s="39">
        <f t="shared" si="18"/>
        <v>0.48458009089661058</v>
      </c>
      <c r="Y26" s="37">
        <f t="shared" ref="Y26" si="27">T26-(U26+W26)</f>
        <v>1402.4799999999996</v>
      </c>
      <c r="Z26" s="39">
        <f t="shared" si="19"/>
        <v>0.2026719846241663</v>
      </c>
      <c r="AA26" s="37">
        <f t="shared" si="25"/>
        <v>6780.3</v>
      </c>
      <c r="AB26" s="38">
        <f>AA23-(R23-S23)</f>
        <v>1708.0300000000007</v>
      </c>
      <c r="AC26" s="40">
        <f>(AB23/(AA23))</f>
        <v>0.25191068241818215</v>
      </c>
      <c r="AD26" s="40">
        <f>(SUM(E24:E29)/R26)</f>
        <v>0.16357777151569014</v>
      </c>
    </row>
    <row r="27" spans="2:30" x14ac:dyDescent="0.25">
      <c r="B27" t="s">
        <v>4</v>
      </c>
      <c r="C27" s="32">
        <v>64.040000000000006</v>
      </c>
      <c r="D27" s="33">
        <v>64.040000000000006</v>
      </c>
      <c r="E27" s="33">
        <v>64.040000000000006</v>
      </c>
      <c r="F27" s="32">
        <v>64.040000000000006</v>
      </c>
      <c r="G27" s="33">
        <v>64.040000000000006</v>
      </c>
      <c r="H27" s="34">
        <v>64.040000000000006</v>
      </c>
      <c r="I27" s="33">
        <v>64.040000000000006</v>
      </c>
      <c r="J27" s="33">
        <v>64.040000000000006</v>
      </c>
      <c r="K27" s="33">
        <v>64.040000000000006</v>
      </c>
      <c r="L27" s="32">
        <v>64.040000000000006</v>
      </c>
      <c r="M27" s="33">
        <v>64.040000000000006</v>
      </c>
      <c r="N27" s="34">
        <v>64.040000000000006</v>
      </c>
      <c r="O27" s="22">
        <f t="shared" si="26"/>
        <v>768.4799999999999</v>
      </c>
      <c r="Q27" s="24" t="s">
        <v>84</v>
      </c>
      <c r="R27" s="25">
        <f t="shared" si="23"/>
        <v>6919.95</v>
      </c>
      <c r="S27" s="26">
        <f t="shared" si="24"/>
        <v>1847.68</v>
      </c>
      <c r="T27" s="25">
        <f>R27-(SUM(G24:G29))</f>
        <v>5837.2</v>
      </c>
      <c r="U27" s="26">
        <f>SUM(G34)</f>
        <v>1000</v>
      </c>
      <c r="V27" s="45">
        <f t="shared" si="22"/>
        <v>0.14450971466556839</v>
      </c>
      <c r="W27" s="26">
        <f>SUM(G23,G30:G32)</f>
        <v>1680.62</v>
      </c>
      <c r="X27" s="45">
        <f t="shared" si="18"/>
        <v>0.24286591666124754</v>
      </c>
      <c r="Y27" s="26">
        <f>T27-(U27+W27)</f>
        <v>3156.58</v>
      </c>
      <c r="Z27" s="45">
        <f t="shared" si="19"/>
        <v>0.45615647511903989</v>
      </c>
      <c r="AA27" s="26">
        <f t="shared" si="25"/>
        <v>6780.3</v>
      </c>
      <c r="AB27" s="25">
        <f>AA27-(R27-S27)</f>
        <v>1708.0300000000007</v>
      </c>
      <c r="AC27" s="41">
        <f>(AB27/(AA27))</f>
        <v>0.25191068241818215</v>
      </c>
      <c r="AD27" s="41">
        <f>(SUM(G24:G29)/R27)</f>
        <v>0.15646789355414417</v>
      </c>
    </row>
    <row r="28" spans="2:30" x14ac:dyDescent="0.25">
      <c r="B28" t="s">
        <v>5</v>
      </c>
      <c r="C28" s="32">
        <f>23.68+27.02+23.5</f>
        <v>74.2</v>
      </c>
      <c r="D28" s="33">
        <f>26.18+24.9+25.02+4.58+25.7</f>
        <v>106.38</v>
      </c>
      <c r="E28" s="33">
        <f>29.21+29.64+4.55+27.71</f>
        <v>91.11</v>
      </c>
      <c r="F28" s="32">
        <f>27.28+26.65+17.69+23.11+30.94</f>
        <v>125.67</v>
      </c>
      <c r="G28" s="33">
        <f>30.79+27.68</f>
        <v>58.47</v>
      </c>
      <c r="H28" s="34">
        <f>26.94+19.25+28.14+20.05+25.9</f>
        <v>120.28</v>
      </c>
      <c r="I28" s="33">
        <f>27.5+2.99+30.57+29.45+27.2</f>
        <v>117.71000000000001</v>
      </c>
      <c r="J28" s="33"/>
      <c r="K28" s="46"/>
      <c r="L28" s="47"/>
      <c r="M28" s="46"/>
      <c r="N28" s="48"/>
      <c r="O28" s="22">
        <f t="shared" si="26"/>
        <v>693.82</v>
      </c>
      <c r="Q28" s="35" t="s">
        <v>85</v>
      </c>
      <c r="R28" s="36">
        <f t="shared" si="23"/>
        <v>6919.95</v>
      </c>
      <c r="S28" s="37">
        <f t="shared" si="24"/>
        <v>1847.68</v>
      </c>
      <c r="T28" s="6">
        <f>R28-(SUM(H24:H29))</f>
        <v>5798.25</v>
      </c>
      <c r="U28" s="43">
        <f>SUM(H34)</f>
        <v>1000</v>
      </c>
      <c r="V28" s="49">
        <f t="shared" si="22"/>
        <v>0.14450971466556839</v>
      </c>
      <c r="W28" s="43">
        <f>SUM(H23,H30:H32)</f>
        <v>2396.29</v>
      </c>
      <c r="X28" s="49">
        <f t="shared" si="18"/>
        <v>0.34628718415595489</v>
      </c>
      <c r="Y28" s="43">
        <f>T28-(U28+W28)</f>
        <v>2401.96</v>
      </c>
      <c r="Z28" s="49">
        <f t="shared" si="19"/>
        <v>0.34710655423810866</v>
      </c>
      <c r="AA28" s="37">
        <f t="shared" si="25"/>
        <v>6780.3</v>
      </c>
      <c r="AB28" s="36">
        <f>AA28-(R28-S28)</f>
        <v>1708.0300000000007</v>
      </c>
      <c r="AC28" s="40">
        <f t="shared" ref="AC28:AC34" si="28">(AB28/(AA28))</f>
        <v>0.25191068241818215</v>
      </c>
      <c r="AD28" s="50">
        <f>(SUM(H24:H29)/R28)</f>
        <v>0.16209654694036807</v>
      </c>
    </row>
    <row r="29" spans="2:30" x14ac:dyDescent="0.25">
      <c r="B29" t="s">
        <v>6</v>
      </c>
      <c r="C29" s="32">
        <v>20</v>
      </c>
      <c r="D29" s="33">
        <v>20</v>
      </c>
      <c r="E29" s="33">
        <v>20</v>
      </c>
      <c r="F29" s="32">
        <v>20</v>
      </c>
      <c r="G29" s="33">
        <v>20</v>
      </c>
      <c r="H29" s="34">
        <v>20</v>
      </c>
      <c r="I29" s="33">
        <v>20</v>
      </c>
      <c r="J29" s="33">
        <v>20</v>
      </c>
      <c r="K29" s="33">
        <v>20</v>
      </c>
      <c r="L29" s="32">
        <v>0</v>
      </c>
      <c r="M29" s="33">
        <v>0</v>
      </c>
      <c r="N29" s="34">
        <v>0</v>
      </c>
      <c r="O29" s="22">
        <f t="shared" si="26"/>
        <v>180</v>
      </c>
      <c r="Q29" s="24" t="s">
        <v>74</v>
      </c>
      <c r="R29" s="25">
        <f t="shared" si="23"/>
        <v>6919.95</v>
      </c>
      <c r="S29" s="26">
        <f t="shared" si="24"/>
        <v>1847.68</v>
      </c>
      <c r="T29" s="25">
        <f>R29-(SUM(I24:I29))</f>
        <v>5760.19</v>
      </c>
      <c r="U29" s="26">
        <f>SUM(I34)</f>
        <v>1000</v>
      </c>
      <c r="V29" s="45">
        <f t="shared" si="22"/>
        <v>0.14450971466556839</v>
      </c>
      <c r="W29" s="26">
        <f>SUM(I23,I30:I32)</f>
        <v>936.66000000000008</v>
      </c>
      <c r="X29" s="45">
        <f t="shared" si="18"/>
        <v>0.13535646933865131</v>
      </c>
      <c r="Y29" s="26">
        <f t="shared" ref="Y29:Y34" si="29">T29-(U29+W29)</f>
        <v>3823.5299999999997</v>
      </c>
      <c r="Z29" s="45">
        <f t="shared" si="19"/>
        <v>0.55253722931524074</v>
      </c>
      <c r="AA29" s="26">
        <f t="shared" si="25"/>
        <v>6780.3</v>
      </c>
      <c r="AB29" s="25">
        <f t="shared" ref="AB29:AB34" si="30">AA29-(R29-S29)</f>
        <v>1708.0300000000007</v>
      </c>
      <c r="AC29" s="41">
        <f t="shared" si="28"/>
        <v>0.25191068241818215</v>
      </c>
      <c r="AD29" s="41">
        <f>(SUM(I24:I29)/R29)</f>
        <v>0.16759658668053959</v>
      </c>
    </row>
    <row r="30" spans="2:30" x14ac:dyDescent="0.25">
      <c r="B30" t="s">
        <v>7</v>
      </c>
      <c r="C30" s="51">
        <f>85+32.28</f>
        <v>117.28</v>
      </c>
      <c r="D30" s="22"/>
      <c r="E30" s="22">
        <f>44.83+60.96+31.84+19.57</f>
        <v>157.19999999999999</v>
      </c>
      <c r="F30" s="51">
        <f>14+37.87</f>
        <v>51.87</v>
      </c>
      <c r="G30" s="22">
        <f>159.86+30+19.25</f>
        <v>209.11</v>
      </c>
      <c r="H30" s="52">
        <f>13.44</f>
        <v>13.44</v>
      </c>
      <c r="I30" s="22">
        <f>8.33+8.33</f>
        <v>16.66</v>
      </c>
      <c r="J30" s="22"/>
      <c r="K30" s="22"/>
      <c r="L30" s="51"/>
      <c r="M30" s="22"/>
      <c r="N30" s="52"/>
      <c r="O30" s="22">
        <f t="shared" si="26"/>
        <v>565.56000000000006</v>
      </c>
      <c r="Q30" s="35" t="s">
        <v>86</v>
      </c>
      <c r="R30" s="36">
        <f t="shared" si="23"/>
        <v>6919.95</v>
      </c>
      <c r="S30" s="37">
        <f t="shared" si="24"/>
        <v>1847.68</v>
      </c>
      <c r="T30" s="6">
        <f>R29-(SUM(J24:J29))</f>
        <v>6178.84</v>
      </c>
      <c r="U30" s="43">
        <f>SUM(J34)</f>
        <v>0</v>
      </c>
      <c r="V30" s="49">
        <f t="shared" si="22"/>
        <v>0</v>
      </c>
      <c r="W30" s="43">
        <f>SUM(J23,J30:J32)</f>
        <v>0</v>
      </c>
      <c r="X30" s="49">
        <f t="shared" si="18"/>
        <v>0</v>
      </c>
      <c r="Y30" s="43">
        <f t="shared" si="29"/>
        <v>6178.84</v>
      </c>
      <c r="Z30" s="49">
        <f t="shared" si="19"/>
        <v>0.89290240536420062</v>
      </c>
      <c r="AA30" s="37">
        <f t="shared" si="25"/>
        <v>6780.3</v>
      </c>
      <c r="AB30" s="36">
        <f t="shared" si="30"/>
        <v>1708.0300000000007</v>
      </c>
      <c r="AC30" s="40">
        <f t="shared" si="28"/>
        <v>0.25191068241818215</v>
      </c>
      <c r="AD30" s="50">
        <f>(SUM(J24:J29)/R30)</f>
        <v>0.10709759463579939</v>
      </c>
    </row>
    <row r="31" spans="2:30" x14ac:dyDescent="0.25">
      <c r="B31" t="s">
        <v>8</v>
      </c>
      <c r="C31" s="51">
        <f>11+31.98+11.52+16.04+44.55+4.35</f>
        <v>119.43999999999998</v>
      </c>
      <c r="D31" s="22">
        <f>23.2+68.6+15.7+23.9+12+45.5+14.63+19.351+24.7+22.69</f>
        <v>270.27100000000002</v>
      </c>
      <c r="E31" s="22">
        <f>22.2+38.06+19.37+11.12+45.88+22.73+11.54+27.11+11</f>
        <v>209.01</v>
      </c>
      <c r="F31" s="51">
        <f>17.84+99.75+8.37+13+43.69+10.94+9.54+11.88+12.08+10.97+17.27+9.43+14.3+6.4+9.43+6.36+36+60+15.6+8.25+9.49+31.89</f>
        <v>462.48</v>
      </c>
      <c r="G31" s="22">
        <f>10.22+18.5+20.59+28.28+28.2+28.24+20.14+48.55+65.52+22.25</f>
        <v>290.49</v>
      </c>
      <c r="H31" s="52">
        <f>16.19+15.43+14.2+20.53+20.91+68.67+15.41+19.81+13.61+10.34+14.59+25+24.38+21.73+19.2+11.44+10.37+57.73</f>
        <v>399.54</v>
      </c>
      <c r="I31" s="22">
        <f>14.5+13.7+9.07+6.39+26.15+13.39+12.78+19.29+13.51+12+8.65</f>
        <v>149.43</v>
      </c>
      <c r="J31" s="22"/>
      <c r="K31" s="22"/>
      <c r="L31" s="51"/>
      <c r="M31" s="22"/>
      <c r="N31" s="52"/>
      <c r="O31" s="22">
        <f t="shared" si="26"/>
        <v>1900.6610000000001</v>
      </c>
      <c r="Q31" s="24" t="s">
        <v>87</v>
      </c>
      <c r="R31" s="25">
        <f t="shared" si="23"/>
        <v>6919.95</v>
      </c>
      <c r="S31" s="26">
        <f>1536+311.68</f>
        <v>1847.68</v>
      </c>
      <c r="T31" s="25">
        <f>R30-(SUM(K24:K29))</f>
        <v>6178.84</v>
      </c>
      <c r="U31" s="26">
        <f>SUM(K34)</f>
        <v>0</v>
      </c>
      <c r="V31" s="45">
        <f t="shared" si="22"/>
        <v>0</v>
      </c>
      <c r="W31" s="26">
        <f>SUM(K23,K30:K32)</f>
        <v>0</v>
      </c>
      <c r="X31" s="45">
        <f t="shared" si="18"/>
        <v>0</v>
      </c>
      <c r="Y31" s="26">
        <f t="shared" si="29"/>
        <v>6178.84</v>
      </c>
      <c r="Z31" s="45">
        <f t="shared" si="19"/>
        <v>0.89290240536420062</v>
      </c>
      <c r="AA31" s="26">
        <f>6780.3</f>
        <v>6780.3</v>
      </c>
      <c r="AB31" s="25">
        <f t="shared" si="30"/>
        <v>1708.0300000000007</v>
      </c>
      <c r="AC31" s="41">
        <f t="shared" si="28"/>
        <v>0.25191068241818215</v>
      </c>
      <c r="AD31" s="41">
        <f>(SUM(K24:K29)/R31)</f>
        <v>0.10709759463579939</v>
      </c>
    </row>
    <row r="32" spans="2:30" x14ac:dyDescent="0.25">
      <c r="B32" t="s">
        <v>9</v>
      </c>
      <c r="C32" s="51">
        <f>-2424+73.3+27.3+25</f>
        <v>-2298.3999999999996</v>
      </c>
      <c r="D32" s="22">
        <f>42.55+5.33+14.98+159.53+436.54+80.5+4.2</f>
        <v>743.63000000000011</v>
      </c>
      <c r="E32" s="22">
        <f>-92.01+174.8+25.52+72+55.88+264.29+173.88+178+16+104.86</f>
        <v>973.22</v>
      </c>
      <c r="F32" s="51">
        <f>68.21+67.41+48.14+67.4+25+178.08+520.2+39.86+508.81+34.22+179.55+16+36+62.32+38.47+36+95.54+34.99+200+28.84+63.36+67+43.9+0.44+78.4+0.78</f>
        <v>2538.9200000000005</v>
      </c>
      <c r="G32" s="22">
        <f>16+17.91+18.5+123.05+72.75+41.7+5.25+22+517.88+10.69+35.29</f>
        <v>881.02</v>
      </c>
      <c r="H32" s="52">
        <f>8+102.72+4+10.69+4+25+20+573.96+9.16+5.04+3+20.6+15.84+3+182.5+22.41+20.5+16.47+24.72+21.51+23+27+220+192.54+38.99+10.69+77.97</f>
        <v>1683.3100000000002</v>
      </c>
      <c r="I32" s="22">
        <f>12+8+27.98+12+13.99+12+8+67.65+94.37+8+10.69+8+108.69+29.21+49.99</f>
        <v>470.57</v>
      </c>
      <c r="J32" s="22"/>
      <c r="K32" s="22"/>
      <c r="L32" s="51"/>
      <c r="M32" s="22"/>
      <c r="N32" s="52"/>
      <c r="O32" s="22">
        <f t="shared" si="26"/>
        <v>4992.2700000000013</v>
      </c>
      <c r="Q32" s="35" t="s">
        <v>88</v>
      </c>
      <c r="R32" s="36">
        <f>3459.98+3459.97</f>
        <v>6919.95</v>
      </c>
      <c r="S32" s="43">
        <f>1536+311.68</f>
        <v>1847.68</v>
      </c>
      <c r="T32" s="6">
        <f>R32-(SUM(L24:L29))</f>
        <v>6198.84</v>
      </c>
      <c r="U32" s="43">
        <f>SUM(L34)</f>
        <v>0</v>
      </c>
      <c r="V32" s="49">
        <f t="shared" si="22"/>
        <v>0</v>
      </c>
      <c r="W32" s="43">
        <f>SUM(L23,L30:L32)</f>
        <v>0</v>
      </c>
      <c r="X32" s="49">
        <f t="shared" si="18"/>
        <v>0</v>
      </c>
      <c r="Y32" s="43">
        <f t="shared" si="29"/>
        <v>6198.84</v>
      </c>
      <c r="Z32" s="49">
        <f t="shared" si="19"/>
        <v>0.89579259965751201</v>
      </c>
      <c r="AA32" s="43">
        <f>6780.3</f>
        <v>6780.3</v>
      </c>
      <c r="AB32" s="36">
        <f t="shared" si="30"/>
        <v>1708.0300000000007</v>
      </c>
      <c r="AC32" s="40">
        <f t="shared" si="28"/>
        <v>0.25191068241818215</v>
      </c>
      <c r="AD32" s="50">
        <f>(SUM(L24:L29)/R32)</f>
        <v>0.10420740034248803</v>
      </c>
    </row>
    <row r="33" spans="1:30" x14ac:dyDescent="0.25">
      <c r="B33" t="s">
        <v>10</v>
      </c>
      <c r="C33" s="53">
        <v>1023.34</v>
      </c>
      <c r="D33" s="54">
        <v>1023.34</v>
      </c>
      <c r="E33" s="54">
        <v>1023.34</v>
      </c>
      <c r="F33" s="53">
        <v>68</v>
      </c>
      <c r="G33" s="54">
        <v>1023.34</v>
      </c>
      <c r="H33" s="55">
        <v>1023.34</v>
      </c>
      <c r="I33" s="54">
        <v>1023.34</v>
      </c>
      <c r="J33" s="54">
        <v>1023.34</v>
      </c>
      <c r="K33" s="54">
        <v>1023.34</v>
      </c>
      <c r="L33" s="53">
        <v>1023.34</v>
      </c>
      <c r="M33" s="54">
        <v>1023.34</v>
      </c>
      <c r="N33" s="55">
        <v>1023.34</v>
      </c>
      <c r="O33" s="22">
        <f>SUM(C33:N33)</f>
        <v>11324.74</v>
      </c>
      <c r="Q33" s="24" t="s">
        <v>89</v>
      </c>
      <c r="R33" s="25">
        <f>3459.98+3459.97</f>
        <v>6919.95</v>
      </c>
      <c r="S33" s="26">
        <f>1536+311.68</f>
        <v>1847.68</v>
      </c>
      <c r="T33" s="25">
        <f>R33-(SUM(M24:M29))</f>
        <v>6198.84</v>
      </c>
      <c r="U33" s="26">
        <f>SUM(M34)</f>
        <v>0</v>
      </c>
      <c r="V33" s="45">
        <f t="shared" si="22"/>
        <v>0</v>
      </c>
      <c r="W33" s="26">
        <f>SUM(M23,M30:M32)</f>
        <v>0</v>
      </c>
      <c r="X33" s="45">
        <f t="shared" si="18"/>
        <v>0</v>
      </c>
      <c r="Y33" s="26">
        <f t="shared" si="29"/>
        <v>6198.84</v>
      </c>
      <c r="Z33" s="45">
        <f t="shared" si="19"/>
        <v>0.89579259965751201</v>
      </c>
      <c r="AA33" s="26">
        <f>6780.3</f>
        <v>6780.3</v>
      </c>
      <c r="AB33" s="25">
        <f t="shared" si="30"/>
        <v>1708.0300000000007</v>
      </c>
      <c r="AC33" s="41">
        <f t="shared" si="28"/>
        <v>0.25191068241818215</v>
      </c>
      <c r="AD33" s="41">
        <f>(SUM(M24:M29)/R33)</f>
        <v>0.10420740034248803</v>
      </c>
    </row>
    <row r="34" spans="1:30" ht="15.75" thickBot="1" x14ac:dyDescent="0.3">
      <c r="B34" t="s">
        <v>11</v>
      </c>
      <c r="C34" s="56">
        <v>1000</v>
      </c>
      <c r="D34" s="57">
        <v>1000</v>
      </c>
      <c r="E34" s="57">
        <v>1000</v>
      </c>
      <c r="F34" s="56">
        <v>1000</v>
      </c>
      <c r="G34" s="57">
        <v>1000</v>
      </c>
      <c r="H34" s="58">
        <v>1000</v>
      </c>
      <c r="I34" s="57">
        <v>1000</v>
      </c>
      <c r="J34" s="57"/>
      <c r="K34" s="57"/>
      <c r="L34" s="56"/>
      <c r="M34" s="57"/>
      <c r="N34" s="58"/>
      <c r="O34" s="22">
        <f>SUM(C34:N34)</f>
        <v>7000</v>
      </c>
      <c r="Q34" s="35" t="s">
        <v>90</v>
      </c>
      <c r="R34" s="36">
        <f>3459.98+3459.97</f>
        <v>6919.95</v>
      </c>
      <c r="S34" s="43">
        <f>1536+311.68</f>
        <v>1847.68</v>
      </c>
      <c r="T34" s="6">
        <f>R34-(SUM(N24:N29))</f>
        <v>6198.84</v>
      </c>
      <c r="U34" s="43">
        <f>SUM(N34)</f>
        <v>0</v>
      </c>
      <c r="V34" s="49">
        <f t="shared" si="22"/>
        <v>0</v>
      </c>
      <c r="W34" s="43">
        <f>SUM(N23,N30:N32)</f>
        <v>0</v>
      </c>
      <c r="X34" s="49">
        <f t="shared" si="18"/>
        <v>0</v>
      </c>
      <c r="Y34" s="43">
        <f t="shared" si="29"/>
        <v>6198.84</v>
      </c>
      <c r="Z34" s="49">
        <f t="shared" si="19"/>
        <v>0.89579259965751201</v>
      </c>
      <c r="AA34" s="43">
        <f>6780.3</f>
        <v>6780.3</v>
      </c>
      <c r="AB34" s="36">
        <f t="shared" si="30"/>
        <v>1708.0300000000007</v>
      </c>
      <c r="AC34" s="40">
        <f t="shared" si="28"/>
        <v>0.25191068241818215</v>
      </c>
      <c r="AD34" s="59">
        <f>(SUM(N24:N29)/R34)</f>
        <v>0.10420740034248803</v>
      </c>
    </row>
    <row r="35" spans="1:30" ht="15.75" thickBot="1" x14ac:dyDescent="0.3">
      <c r="B35" t="s">
        <v>70</v>
      </c>
      <c r="C35" s="60">
        <f>SUM(C23:C34)-SUM(C33:C34)</f>
        <v>-702.07999999999947</v>
      </c>
      <c r="D35" s="60">
        <f t="shared" ref="D35:E35" si="31">SUM(D23:D34)-SUM(D33:D34)</f>
        <v>3309.4710000000005</v>
      </c>
      <c r="E35" s="60">
        <f t="shared" si="31"/>
        <v>2771.38</v>
      </c>
      <c r="F35" s="60">
        <f>SUM(F23:F34)-SUM(F33:F34)</f>
        <v>4517.47</v>
      </c>
      <c r="G35" s="60">
        <f t="shared" ref="G35:N35" si="32">SUM(G23:G34)-SUM(G33:G34)</f>
        <v>2763.37</v>
      </c>
      <c r="H35" s="60">
        <f t="shared" si="32"/>
        <v>3517.99</v>
      </c>
      <c r="I35" s="60">
        <f t="shared" si="32"/>
        <v>2096.42</v>
      </c>
      <c r="J35" s="60">
        <f t="shared" si="32"/>
        <v>741.11</v>
      </c>
      <c r="K35" s="60">
        <f t="shared" si="32"/>
        <v>741.11</v>
      </c>
      <c r="L35" s="60">
        <f t="shared" si="32"/>
        <v>721.11</v>
      </c>
      <c r="M35" s="60">
        <f t="shared" si="32"/>
        <v>721.11</v>
      </c>
      <c r="N35" s="60">
        <f t="shared" si="32"/>
        <v>721.11</v>
      </c>
      <c r="O35" s="60"/>
      <c r="Q35" s="61"/>
      <c r="R35" s="62">
        <f>SUM(R23:R34)</f>
        <v>83039.39999999998</v>
      </c>
      <c r="S35" s="62">
        <f t="shared" ref="S35:U35" si="33">SUM(S23:S34)</f>
        <v>22172.16</v>
      </c>
      <c r="T35" s="62">
        <f t="shared" si="33"/>
        <v>70678.319999999992</v>
      </c>
      <c r="U35" s="63">
        <f t="shared" si="33"/>
        <v>7000</v>
      </c>
      <c r="V35" s="64">
        <f>U35/R35</f>
        <v>8.4297333554914922E-2</v>
      </c>
      <c r="W35" s="65">
        <f>SUM(W23:W34)</f>
        <v>9558.491</v>
      </c>
      <c r="X35" s="66">
        <f>W35/R35</f>
        <v>0.11510790058695032</v>
      </c>
      <c r="Y35" s="67">
        <f t="shared" ref="Y35" si="34">SUM(Y23:Y34)</f>
        <v>54119.828999999983</v>
      </c>
      <c r="Z35" s="68">
        <f t="shared" si="19"/>
        <v>0.65173675387827945</v>
      </c>
      <c r="AA35" s="69">
        <f t="shared" ref="AA35:AB35" si="35">SUM(AA23:AA34)</f>
        <v>81363.60000000002</v>
      </c>
      <c r="AB35" s="69">
        <f t="shared" si="35"/>
        <v>20496.360000000008</v>
      </c>
      <c r="AC35" s="70">
        <f>(AB35/AA35)</f>
        <v>0.2519106824181821</v>
      </c>
      <c r="AD35" s="71">
        <f>AB35/R35</f>
        <v>0.24682692794023095</v>
      </c>
    </row>
    <row r="36" spans="1:30" ht="15.75" thickBot="1" x14ac:dyDescent="0.3">
      <c r="R36" s="42"/>
      <c r="S36" s="42"/>
      <c r="T36" s="42"/>
      <c r="U36" s="42"/>
      <c r="W36" s="42"/>
      <c r="Y36" s="42"/>
      <c r="AA36" s="42"/>
      <c r="AB36" s="42"/>
    </row>
    <row r="37" spans="1:30" x14ac:dyDescent="0.25">
      <c r="A37" t="s">
        <v>149</v>
      </c>
      <c r="C37" s="72" t="s">
        <v>114</v>
      </c>
      <c r="D37" s="73" t="s">
        <v>114</v>
      </c>
      <c r="E37" s="73" t="s">
        <v>114</v>
      </c>
      <c r="F37" s="73" t="s">
        <v>114</v>
      </c>
      <c r="G37" s="73" t="s">
        <v>114</v>
      </c>
      <c r="H37" s="73" t="s">
        <v>114</v>
      </c>
      <c r="I37" s="73" t="s">
        <v>114</v>
      </c>
      <c r="J37" s="73" t="s">
        <v>114</v>
      </c>
      <c r="K37" s="73" t="s">
        <v>114</v>
      </c>
      <c r="L37" s="73" t="s">
        <v>114</v>
      </c>
      <c r="M37" s="73" t="s">
        <v>114</v>
      </c>
      <c r="N37" s="74" t="s">
        <v>114</v>
      </c>
    </row>
    <row r="38" spans="1:30" x14ac:dyDescent="0.25">
      <c r="C38" s="75" t="s">
        <v>115</v>
      </c>
      <c r="D38" s="13" t="s">
        <v>115</v>
      </c>
      <c r="E38" s="13" t="s">
        <v>115</v>
      </c>
      <c r="F38" s="13" t="s">
        <v>115</v>
      </c>
      <c r="G38" s="13" t="s">
        <v>115</v>
      </c>
      <c r="H38" s="13" t="s">
        <v>115</v>
      </c>
      <c r="I38" s="13" t="s">
        <v>115</v>
      </c>
      <c r="J38" s="13" t="s">
        <v>115</v>
      </c>
      <c r="K38" s="13" t="s">
        <v>115</v>
      </c>
      <c r="L38" s="13" t="s">
        <v>115</v>
      </c>
      <c r="M38" s="13" t="s">
        <v>115</v>
      </c>
      <c r="N38" s="76" t="s">
        <v>115</v>
      </c>
      <c r="Q38" t="s">
        <v>116</v>
      </c>
    </row>
    <row r="39" spans="1:30" ht="15.75" thickBot="1" x14ac:dyDescent="0.3">
      <c r="C39" s="77" t="s">
        <v>117</v>
      </c>
      <c r="D39" s="78" t="s">
        <v>117</v>
      </c>
      <c r="E39" s="78" t="s">
        <v>117</v>
      </c>
      <c r="F39" s="78" t="s">
        <v>117</v>
      </c>
      <c r="G39" s="78" t="s">
        <v>117</v>
      </c>
      <c r="H39" s="78" t="s">
        <v>117</v>
      </c>
      <c r="I39" s="78" t="s">
        <v>117</v>
      </c>
      <c r="J39" s="78" t="s">
        <v>117</v>
      </c>
      <c r="K39" s="78" t="s">
        <v>117</v>
      </c>
      <c r="L39" s="78" t="s">
        <v>117</v>
      </c>
      <c r="M39" s="78" t="s">
        <v>117</v>
      </c>
      <c r="N39" s="79" t="s">
        <v>117</v>
      </c>
      <c r="Q39" t="s">
        <v>118</v>
      </c>
      <c r="R39" t="s">
        <v>119</v>
      </c>
      <c r="S39" t="s">
        <v>120</v>
      </c>
      <c r="T39" t="s">
        <v>121</v>
      </c>
      <c r="U39" t="s">
        <v>122</v>
      </c>
    </row>
    <row r="40" spans="1:30" x14ac:dyDescent="0.25">
      <c r="B40" s="80"/>
      <c r="C40" s="13">
        <v>1</v>
      </c>
      <c r="D40" s="13">
        <v>1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/>
      <c r="K40" s="13"/>
      <c r="L40" s="81"/>
      <c r="M40" s="81"/>
      <c r="N40" s="81"/>
      <c r="O40" s="82">
        <f>SUM(C40:N40)</f>
        <v>7</v>
      </c>
      <c r="Q40" s="83" t="s">
        <v>123</v>
      </c>
      <c r="R40" s="83" t="s">
        <v>124</v>
      </c>
      <c r="S40" t="s">
        <v>61</v>
      </c>
      <c r="T40" s="84" t="s">
        <v>125</v>
      </c>
      <c r="U40" s="84" t="s">
        <v>125</v>
      </c>
    </row>
    <row r="41" spans="1:30" x14ac:dyDescent="0.25">
      <c r="I41" s="85" t="s">
        <v>126</v>
      </c>
      <c r="Q41" s="83" t="s">
        <v>127</v>
      </c>
      <c r="R41" s="83" t="s">
        <v>128</v>
      </c>
      <c r="S41" t="s">
        <v>61</v>
      </c>
      <c r="T41" s="86" t="s">
        <v>129</v>
      </c>
      <c r="U41" s="13">
        <v>21</v>
      </c>
    </row>
    <row r="42" spans="1:30" x14ac:dyDescent="0.25">
      <c r="I42" s="85" t="s">
        <v>130</v>
      </c>
      <c r="Q42" s="83" t="s">
        <v>131</v>
      </c>
      <c r="R42" s="83" t="s">
        <v>128</v>
      </c>
      <c r="S42" t="s">
        <v>61</v>
      </c>
      <c r="T42" s="86" t="s">
        <v>129</v>
      </c>
      <c r="U42" s="13">
        <v>14</v>
      </c>
    </row>
    <row r="43" spans="1:30" x14ac:dyDescent="0.25">
      <c r="I43" t="s">
        <v>150</v>
      </c>
      <c r="Q43" s="83" t="s">
        <v>132</v>
      </c>
      <c r="R43" s="83" t="s">
        <v>128</v>
      </c>
      <c r="S43" t="s">
        <v>61</v>
      </c>
      <c r="T43" s="86" t="s">
        <v>129</v>
      </c>
      <c r="U43" s="13">
        <v>21</v>
      </c>
    </row>
    <row r="44" spans="1:30" x14ac:dyDescent="0.25">
      <c r="Q44" s="83" t="s">
        <v>133</v>
      </c>
      <c r="R44" s="83" t="s">
        <v>128</v>
      </c>
      <c r="S44" t="s">
        <v>134</v>
      </c>
      <c r="T44" s="13" t="s">
        <v>129</v>
      </c>
      <c r="U44" s="13">
        <v>0</v>
      </c>
    </row>
    <row r="45" spans="1:30" x14ac:dyDescent="0.25">
      <c r="Q45" s="83" t="s">
        <v>135</v>
      </c>
      <c r="R45" s="83" t="s">
        <v>1</v>
      </c>
      <c r="S45" t="s">
        <v>136</v>
      </c>
      <c r="T45" s="13" t="s">
        <v>129</v>
      </c>
      <c r="U45" s="13">
        <v>3</v>
      </c>
    </row>
    <row r="46" spans="1:30" x14ac:dyDescent="0.25">
      <c r="Q46" s="83" t="s">
        <v>137</v>
      </c>
      <c r="R46" s="83" t="s">
        <v>1</v>
      </c>
      <c r="S46" t="s">
        <v>136</v>
      </c>
      <c r="T46" s="13" t="s">
        <v>129</v>
      </c>
      <c r="U46" s="13">
        <v>2</v>
      </c>
    </row>
    <row r="47" spans="1:30" x14ac:dyDescent="0.25">
      <c r="Q47" s="83" t="s">
        <v>138</v>
      </c>
      <c r="R47" s="83" t="s">
        <v>1</v>
      </c>
      <c r="S47" t="s">
        <v>134</v>
      </c>
      <c r="T47" s="13" t="s">
        <v>129</v>
      </c>
      <c r="U47" s="13">
        <v>0</v>
      </c>
    </row>
    <row r="48" spans="1:30" x14ac:dyDescent="0.25">
      <c r="Q48" s="83" t="s">
        <v>139</v>
      </c>
      <c r="R48" s="83" t="s">
        <v>124</v>
      </c>
      <c r="S48" t="s">
        <v>61</v>
      </c>
      <c r="T48" s="86" t="s">
        <v>129</v>
      </c>
      <c r="U48" s="13">
        <v>22</v>
      </c>
    </row>
    <row r="49" spans="17:21" x14ac:dyDescent="0.25">
      <c r="Q49" s="83" t="s">
        <v>140</v>
      </c>
      <c r="R49" s="83" t="s">
        <v>124</v>
      </c>
      <c r="S49" t="s">
        <v>61</v>
      </c>
      <c r="T49" s="86" t="s">
        <v>129</v>
      </c>
      <c r="U49" s="13">
        <v>22</v>
      </c>
    </row>
    <row r="50" spans="17:21" x14ac:dyDescent="0.25">
      <c r="Q50" s="83" t="s">
        <v>141</v>
      </c>
      <c r="R50" s="83" t="s">
        <v>124</v>
      </c>
      <c r="S50" t="s">
        <v>61</v>
      </c>
      <c r="T50" s="13" t="s">
        <v>129</v>
      </c>
      <c r="U50" s="13">
        <v>25</v>
      </c>
    </row>
    <row r="51" spans="17:21" x14ac:dyDescent="0.25">
      <c r="Q51" s="83" t="s">
        <v>142</v>
      </c>
      <c r="R51" s="83" t="s">
        <v>124</v>
      </c>
      <c r="S51" t="s">
        <v>61</v>
      </c>
      <c r="T51" s="86" t="s">
        <v>143</v>
      </c>
      <c r="U51" s="13">
        <v>16</v>
      </c>
    </row>
    <row r="52" spans="17:21" x14ac:dyDescent="0.25">
      <c r="Q52" s="83" t="s">
        <v>144</v>
      </c>
      <c r="R52" s="83" t="s">
        <v>124</v>
      </c>
      <c r="S52" t="s">
        <v>61</v>
      </c>
      <c r="T52" s="86" t="s">
        <v>143</v>
      </c>
      <c r="U52" s="13">
        <v>0</v>
      </c>
    </row>
    <row r="53" spans="17:21" x14ac:dyDescent="0.25">
      <c r="Q53" s="83" t="s">
        <v>145</v>
      </c>
      <c r="R53" s="83" t="s">
        <v>124</v>
      </c>
      <c r="S53" t="s">
        <v>61</v>
      </c>
      <c r="T53" s="13" t="s">
        <v>143</v>
      </c>
      <c r="U53" s="13">
        <v>23</v>
      </c>
    </row>
    <row r="54" spans="17:21" x14ac:dyDescent="0.25">
      <c r="Q54" s="83" t="s">
        <v>146</v>
      </c>
      <c r="R54" s="83" t="s">
        <v>124</v>
      </c>
      <c r="S54" t="s">
        <v>61</v>
      </c>
      <c r="T54" s="13" t="s">
        <v>143</v>
      </c>
      <c r="U54" s="84" t="s">
        <v>125</v>
      </c>
    </row>
    <row r="55" spans="17:21" x14ac:dyDescent="0.25">
      <c r="Q55" s="83" t="s">
        <v>147</v>
      </c>
      <c r="R55" s="83" t="s">
        <v>124</v>
      </c>
      <c r="S55" t="s">
        <v>61</v>
      </c>
      <c r="T55" s="13" t="s">
        <v>143</v>
      </c>
      <c r="U55" s="13">
        <v>28</v>
      </c>
    </row>
  </sheetData>
  <mergeCells count="8">
    <mergeCell ref="U22:V22"/>
    <mergeCell ref="W22:X22"/>
    <mergeCell ref="Y22:Z22"/>
    <mergeCell ref="AB22:AC22"/>
    <mergeCell ref="U3:V3"/>
    <mergeCell ref="W3:X3"/>
    <mergeCell ref="Y3:Z3"/>
    <mergeCell ref="AB3:AC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2945-646C-4DB2-AB56-84F25CB5239F}">
  <dimension ref="B1:I15"/>
  <sheetViews>
    <sheetView workbookViewId="0">
      <selection activeCell="C20" sqref="C20"/>
    </sheetView>
  </sheetViews>
  <sheetFormatPr defaultRowHeight="15" x14ac:dyDescent="0.25"/>
  <cols>
    <col min="2" max="2" width="13.28515625" bestFit="1" customWidth="1"/>
    <col min="3" max="3" width="14.42578125" bestFit="1" customWidth="1"/>
    <col min="5" max="5" width="11.85546875" bestFit="1" customWidth="1"/>
    <col min="6" max="6" width="14.42578125" bestFit="1" customWidth="1"/>
    <col min="8" max="8" width="13.28515625" bestFit="1" customWidth="1"/>
    <col min="9" max="9" width="14.42578125" bestFit="1" customWidth="1"/>
  </cols>
  <sheetData>
    <row r="1" spans="2:9" ht="15.75" thickBot="1" x14ac:dyDescent="0.3">
      <c r="B1" s="87" t="s">
        <v>76</v>
      </c>
      <c r="C1" s="88" t="s">
        <v>85</v>
      </c>
    </row>
    <row r="2" spans="2:9" x14ac:dyDescent="0.25">
      <c r="E2" t="s">
        <v>151</v>
      </c>
      <c r="H2" t="s">
        <v>152</v>
      </c>
    </row>
    <row r="3" spans="2:9" ht="15.75" thickBot="1" x14ac:dyDescent="0.3">
      <c r="B3" t="s">
        <v>12</v>
      </c>
      <c r="C3" t="s">
        <v>70</v>
      </c>
      <c r="E3" t="s">
        <v>61</v>
      </c>
      <c r="F3" t="s">
        <v>62</v>
      </c>
      <c r="H3" s="8" t="s">
        <v>61</v>
      </c>
      <c r="I3" s="8" t="s">
        <v>62</v>
      </c>
    </row>
    <row r="4" spans="2:9" x14ac:dyDescent="0.25">
      <c r="B4" t="s">
        <v>0</v>
      </c>
      <c r="C4">
        <f>SUMIFS(BillTable[Amount],BillTable[Month],$C$1,BillTable[My Category],Table3[[#This Row],[Category]])</f>
        <v>432.96000000000004</v>
      </c>
      <c r="E4" t="s">
        <v>65</v>
      </c>
      <c r="F4" t="s">
        <v>9</v>
      </c>
      <c r="H4" t="s">
        <v>36</v>
      </c>
      <c r="I4" t="s">
        <v>0</v>
      </c>
    </row>
    <row r="5" spans="2:9" x14ac:dyDescent="0.25">
      <c r="B5" t="s">
        <v>1</v>
      </c>
      <c r="C5">
        <f>SUMIFS(BillTable[Amount],BillTable[Month],$C$1,BillTable[My Category],Table3[[#This Row],[Category]])</f>
        <v>0</v>
      </c>
      <c r="E5" t="s">
        <v>78</v>
      </c>
      <c r="F5" t="s">
        <v>2</v>
      </c>
      <c r="H5" t="s">
        <v>38</v>
      </c>
      <c r="I5" t="s">
        <v>5</v>
      </c>
    </row>
    <row r="6" spans="2:9" x14ac:dyDescent="0.25">
      <c r="B6" t="s">
        <v>2</v>
      </c>
      <c r="C6">
        <f>SUMIFS(BillTable[Amount],BillTable[Month],$C$1,BillTable[My Category],Table3[[#This Row],[Category]])</f>
        <v>17</v>
      </c>
      <c r="E6" t="s">
        <v>66</v>
      </c>
      <c r="F6" t="s">
        <v>3</v>
      </c>
      <c r="H6" t="s">
        <v>27</v>
      </c>
      <c r="I6" t="s">
        <v>8</v>
      </c>
    </row>
    <row r="7" spans="2:9" x14ac:dyDescent="0.25">
      <c r="B7" t="s">
        <v>3</v>
      </c>
      <c r="C7">
        <f>SUMIFS(BillTable[Amount],BillTable[Month],$C$1,BillTable[My Category],Table3[[#This Row],[Category]])</f>
        <v>170.78</v>
      </c>
      <c r="E7" t="s">
        <v>67</v>
      </c>
      <c r="F7" t="s">
        <v>3</v>
      </c>
    </row>
    <row r="8" spans="2:9" x14ac:dyDescent="0.25">
      <c r="B8" t="s">
        <v>4</v>
      </c>
      <c r="C8">
        <f>SUMIFS(BillTable[Amount],BillTable[Month],$C$1,BillTable[My Category],Table3[[#This Row],[Category]])</f>
        <v>0</v>
      </c>
      <c r="E8" t="s">
        <v>68</v>
      </c>
      <c r="F8" t="s">
        <v>7</v>
      </c>
    </row>
    <row r="9" spans="2:9" x14ac:dyDescent="0.25">
      <c r="B9" t="s">
        <v>5</v>
      </c>
      <c r="C9">
        <f>SUMIFS(BillTable[Amount],BillTable[Month],$C$1,BillTable[My Category],Table3[[#This Row],[Category]])</f>
        <v>74.33</v>
      </c>
      <c r="E9" t="s">
        <v>69</v>
      </c>
      <c r="F9" t="s">
        <v>0</v>
      </c>
    </row>
    <row r="10" spans="2:9" x14ac:dyDescent="0.25">
      <c r="B10" t="s">
        <v>6</v>
      </c>
      <c r="C10">
        <f>SUMIFS(BillTable[Amount],BillTable[Month],$C$1,BillTable[My Category],Table3[[#This Row],[Category]])</f>
        <v>0</v>
      </c>
      <c r="E10" t="s">
        <v>71</v>
      </c>
      <c r="F10" t="s">
        <v>3</v>
      </c>
    </row>
    <row r="11" spans="2:9" x14ac:dyDescent="0.25">
      <c r="B11" t="s">
        <v>7</v>
      </c>
      <c r="C11">
        <f>SUMIFS(BillTable[Amount],BillTable[Month],$C$1,BillTable[My Category],Table3[[#This Row],[Category]])</f>
        <v>0</v>
      </c>
      <c r="E11" t="s">
        <v>72</v>
      </c>
      <c r="F11" t="s">
        <v>3</v>
      </c>
    </row>
    <row r="12" spans="2:9" x14ac:dyDescent="0.25">
      <c r="B12" t="s">
        <v>8</v>
      </c>
      <c r="C12">
        <f>SUMIFS(BillTable[Amount],BillTable[Month],$C$1,BillTable[My Category],Table3[[#This Row],[Category]])</f>
        <v>122.94999999999999</v>
      </c>
      <c r="E12" t="s">
        <v>73</v>
      </c>
      <c r="F12" t="s">
        <v>3</v>
      </c>
    </row>
    <row r="13" spans="2:9" x14ac:dyDescent="0.25">
      <c r="B13" t="s">
        <v>9</v>
      </c>
      <c r="C13">
        <f>SUMIFS(BillTable[Amount],BillTable[Month],$C$1,BillTable[My Category],Table3[[#This Row],[Category]])</f>
        <v>47.48</v>
      </c>
      <c r="E13" t="s">
        <v>77</v>
      </c>
      <c r="F13" t="s">
        <v>0</v>
      </c>
    </row>
    <row r="14" spans="2:9" x14ac:dyDescent="0.25">
      <c r="B14" t="s">
        <v>10</v>
      </c>
      <c r="C14">
        <f>SUMIFS(BillTable[Amount],BillTable[Month],$C$1,BillTable[My Category],Table3[[#This Row],[Category]])</f>
        <v>0</v>
      </c>
    </row>
    <row r="15" spans="2:9" x14ac:dyDescent="0.25">
      <c r="B15" t="s">
        <v>11</v>
      </c>
      <c r="C15">
        <f>SUMIFS(BillTable[Amount],BillTable[Month],$C$1,BillTable[My Category],Table3[[#This Row],[Category]])</f>
        <v>0</v>
      </c>
    </row>
  </sheetData>
  <phoneticPr fontId="4" type="noConversion"/>
  <dataValidations count="1">
    <dataValidation type="list" allowBlank="1" showInputMessage="1" showErrorMessage="1" sqref="C1" xr:uid="{9E357F23-5487-44FF-B8AE-32C8F6C171E5}">
      <formula1>"January, February, March, April, May, June, July, August, September, October, November, December"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06F1-316D-4450-9ED7-B82192B474D7}">
  <dimension ref="B2:L56"/>
  <sheetViews>
    <sheetView workbookViewId="0">
      <selection activeCell="E41" sqref="E41"/>
    </sheetView>
  </sheetViews>
  <sheetFormatPr defaultRowHeight="15" x14ac:dyDescent="0.25"/>
  <cols>
    <col min="2" max="2" width="7.42578125" bestFit="1" customWidth="1"/>
    <col min="3" max="3" width="13.140625" bestFit="1" customWidth="1"/>
    <col min="4" max="4" width="11.7109375" bestFit="1" customWidth="1"/>
    <col min="5" max="5" width="81.85546875" bestFit="1" customWidth="1"/>
    <col min="6" max="6" width="11.28515625" bestFit="1" customWidth="1"/>
    <col min="7" max="7" width="20.28515625" bestFit="1" customWidth="1"/>
    <col min="8" max="8" width="14.42578125" bestFit="1" customWidth="1"/>
    <col min="10" max="10" width="13.42578125" bestFit="1" customWidth="1"/>
    <col min="11" max="11" width="13.5703125" customWidth="1"/>
  </cols>
  <sheetData>
    <row r="2" spans="2:12" x14ac:dyDescent="0.25">
      <c r="B2" t="s">
        <v>63</v>
      </c>
      <c r="C2" t="s">
        <v>13</v>
      </c>
      <c r="D2" t="s">
        <v>14</v>
      </c>
      <c r="E2" t="s">
        <v>15</v>
      </c>
      <c r="F2" t="s">
        <v>16</v>
      </c>
      <c r="G2" t="s">
        <v>64</v>
      </c>
      <c r="H2" t="s">
        <v>62</v>
      </c>
      <c r="I2" t="s">
        <v>75</v>
      </c>
      <c r="L2" t="s">
        <v>91</v>
      </c>
    </row>
    <row r="3" spans="2:12" x14ac:dyDescent="0.25">
      <c r="B3">
        <v>1</v>
      </c>
      <c r="C3" s="5">
        <f>'Imported Billing Statement'!B3</f>
        <v>45463</v>
      </c>
      <c r="D3" s="5">
        <f>'Imported Billing Statement'!C3</f>
        <v>45463</v>
      </c>
      <c r="E3" s="5" t="str">
        <f>'Imported Billing Statement'!D3</f>
        <v>UBER TRIP 866-576-1039 CAAPPLE PAY ENDING IN 6024</v>
      </c>
      <c r="F3" s="6">
        <f>'Imported Billing Statement'!E3</f>
        <v>3</v>
      </c>
      <c r="G3" s="5" t="str">
        <f>'Imported Billing Statement'!F3</f>
        <v>Travel/ Entertainment</v>
      </c>
      <c r="H3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Other</v>
      </c>
      <c r="I3" t="str" cm="1">
        <f t="array" ref="I3">_xlfn.SWITCH(MONTH(BillTable[[#This Row],[Trans. date]]),1,"January",2,"February",3,"March",4,"April",5,"May",6,"June",7,"July",8,"August",9,"September",10,"October",11,"November",12,"December")</f>
        <v>June</v>
      </c>
      <c r="L3" s="7" t="s">
        <v>79</v>
      </c>
    </row>
    <row r="4" spans="2:12" x14ac:dyDescent="0.25">
      <c r="B4">
        <v>2</v>
      </c>
      <c r="C4" s="5">
        <f>'Imported Billing Statement'!B4</f>
        <v>45463</v>
      </c>
      <c r="D4" s="5">
        <f>'Imported Billing Statement'!C4</f>
        <v>45463</v>
      </c>
      <c r="E4" s="5" t="str">
        <f>'Imported Billing Statement'!D4</f>
        <v>UBER TRIP 866-576-1039 CAAPPLE PAY ENDING IN 6024</v>
      </c>
      <c r="F4" s="6">
        <f>'Imported Billing Statement'!E4</f>
        <v>15.84</v>
      </c>
      <c r="G4" s="5" t="str">
        <f>'Imported Billing Statement'!F4</f>
        <v>Travel/ Entertainment</v>
      </c>
      <c r="H4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Other</v>
      </c>
      <c r="I4" t="str" cm="1">
        <f t="array" ref="I4">_xlfn.SWITCH(MONTH(BillTable[[#This Row],[Trans. date]]),1,"January",2,"February",3,"March",4,"April",5,"May",6,"June",7,"July",8,"August",9,"September",10,"October",11,"November",12,"December")</f>
        <v>June</v>
      </c>
    </row>
    <row r="5" spans="2:12" x14ac:dyDescent="0.25">
      <c r="B5">
        <v>3</v>
      </c>
      <c r="C5" s="5">
        <f>'Imported Billing Statement'!B5</f>
        <v>45463</v>
      </c>
      <c r="D5" s="5">
        <f>'Imported Billing Statement'!C5</f>
        <v>45463</v>
      </c>
      <c r="E5" s="5" t="str">
        <f>'Imported Billing Statement'!D5</f>
        <v>UBER TRIP 866-576-1039 CAAPPLE PAY ENDING IN 6024</v>
      </c>
      <c r="F5" s="6">
        <f>'Imported Billing Statement'!E5</f>
        <v>20.6</v>
      </c>
      <c r="G5" s="5" t="str">
        <f>'Imported Billing Statement'!F5</f>
        <v>Travel/ Entertainment</v>
      </c>
      <c r="H5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Other</v>
      </c>
      <c r="I5" t="str" cm="1">
        <f t="array" ref="I5">_xlfn.SWITCH(MONTH(BillTable[[#This Row],[Trans. date]]),1,"January",2,"February",3,"March",4,"April",5,"May",6,"June",7,"July",8,"August",9,"September",10,"October",11,"November",12,"December")</f>
        <v>June</v>
      </c>
    </row>
    <row r="6" spans="2:12" x14ac:dyDescent="0.25">
      <c r="B6">
        <v>4</v>
      </c>
      <c r="C6" s="5">
        <f>'Imported Billing Statement'!B6</f>
        <v>45462</v>
      </c>
      <c r="D6" s="5">
        <f>'Imported Billing Statement'!C6</f>
        <v>45462</v>
      </c>
      <c r="E6" s="5" t="str">
        <f>'Imported Billing Statement'!D6</f>
        <v>APPLE.COM/BILL 866-712-7753 CAAPPLE PAY ENDING IN 6348MQ981TMHL7A0</v>
      </c>
      <c r="F6" s="6">
        <f>'Imported Billing Statement'!E6</f>
        <v>0.99</v>
      </c>
      <c r="G6" s="5" t="str">
        <f>'Imported Billing Statement'!F6</f>
        <v>Merchandise</v>
      </c>
      <c r="H6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6" t="str" cm="1">
        <f t="array" ref="I6">_xlfn.SWITCH(MONTH(BillTable[[#This Row],[Trans. date]]),1,"January",2,"February",3,"March",4,"April",5,"May",6,"June",7,"July",8,"August",9,"September",10,"October",11,"November",12,"December")</f>
        <v>June</v>
      </c>
    </row>
    <row r="7" spans="2:12" x14ac:dyDescent="0.25">
      <c r="B7">
        <v>5</v>
      </c>
      <c r="C7" s="5">
        <f>'Imported Billing Statement'!B7</f>
        <v>45462</v>
      </c>
      <c r="D7" s="5">
        <f>'Imported Billing Statement'!C7</f>
        <v>45462</v>
      </c>
      <c r="E7" s="5" t="str">
        <f>'Imported Billing Statement'!D7</f>
        <v>SPECTRUM 855-707-7328 MORC1000583881</v>
      </c>
      <c r="F7" s="6">
        <f>'Imported Billing Statement'!E7</f>
        <v>86.99</v>
      </c>
      <c r="G7" s="5" t="str">
        <f>'Imported Billing Statement'!F7</f>
        <v>Services</v>
      </c>
      <c r="H7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Utilities</v>
      </c>
      <c r="I7" t="str" cm="1">
        <f t="array" ref="I7">_xlfn.SWITCH(MONTH(BillTable[[#This Row],[Trans. date]]),1,"January",2,"February",3,"March",4,"April",5,"May",6,"June",7,"July",8,"August",9,"September",10,"October",11,"November",12,"December")</f>
        <v>June</v>
      </c>
    </row>
    <row r="8" spans="2:12" x14ac:dyDescent="0.25">
      <c r="B8">
        <v>6</v>
      </c>
      <c r="C8" s="5">
        <f>'Imported Billing Statement'!B8</f>
        <v>45462</v>
      </c>
      <c r="D8" s="5">
        <f>'Imported Billing Statement'!C8</f>
        <v>45462</v>
      </c>
      <c r="E8" s="5" t="str">
        <f>'Imported Billing Statement'!D8</f>
        <v>UBER TRIP 866-576-1039 CAAPPLE PAY ENDING IN 6024</v>
      </c>
      <c r="F8" s="6">
        <f>'Imported Billing Statement'!E8</f>
        <v>3</v>
      </c>
      <c r="G8" s="5" t="str">
        <f>'Imported Billing Statement'!F8</f>
        <v>Travel/ Entertainment</v>
      </c>
      <c r="H8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Other</v>
      </c>
      <c r="I8" t="str" cm="1">
        <f t="array" ref="I8">_xlfn.SWITCH(MONTH(BillTable[[#This Row],[Trans. date]]),1,"January",2,"February",3,"March",4,"April",5,"May",6,"June",7,"July",8,"August",9,"September",10,"October",11,"November",12,"December")</f>
        <v>June</v>
      </c>
    </row>
    <row r="9" spans="2:12" x14ac:dyDescent="0.25">
      <c r="B9">
        <v>7</v>
      </c>
      <c r="C9" s="5">
        <f>'Imported Billing Statement'!B9</f>
        <v>45462</v>
      </c>
      <c r="D9" s="5">
        <f>'Imported Billing Statement'!C9</f>
        <v>45462</v>
      </c>
      <c r="E9" s="5" t="str">
        <f>'Imported Billing Statement'!D9</f>
        <v>UBER TRIP 866-576-1039 CAAPPLE PAY ENDING IN 6024</v>
      </c>
      <c r="F9" s="6">
        <f>'Imported Billing Statement'!E9</f>
        <v>5.04</v>
      </c>
      <c r="G9" s="5" t="str">
        <f>'Imported Billing Statement'!F9</f>
        <v>Travel/ Entertainment</v>
      </c>
      <c r="H9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Other</v>
      </c>
      <c r="I9" t="str" cm="1">
        <f t="array" ref="I9">_xlfn.SWITCH(MONTH(BillTable[[#This Row],[Trans. date]]),1,"January",2,"February",3,"March",4,"April",5,"May",6,"June",7,"July",8,"August",9,"September",10,"October",11,"November",12,"December")</f>
        <v>June</v>
      </c>
    </row>
    <row r="10" spans="2:12" x14ac:dyDescent="0.25">
      <c r="B10">
        <v>8</v>
      </c>
      <c r="C10" s="5">
        <f>'Imported Billing Statement'!B10</f>
        <v>45461</v>
      </c>
      <c r="D10" s="5">
        <f>'Imported Billing Statement'!C10</f>
        <v>45461</v>
      </c>
      <c r="E10" s="5" t="str">
        <f>'Imported Billing Statement'!D10</f>
        <v>MDC*ONSLOW WATER AND SEW JACKSONVILLE NC</v>
      </c>
      <c r="F10" s="6">
        <f>'Imported Billing Statement'!E10</f>
        <v>21.27</v>
      </c>
      <c r="G10" s="5" t="str">
        <f>'Imported Billing Statement'!F10</f>
        <v>Services</v>
      </c>
      <c r="H10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Utilities</v>
      </c>
      <c r="I10" t="str" cm="1">
        <f t="array" ref="I10">_xlfn.SWITCH(MONTH(BillTable[[#This Row],[Trans. date]]),1,"January",2,"February",3,"March",4,"April",5,"May",6,"June",7,"July",8,"August",9,"September",10,"October",11,"November",12,"December")</f>
        <v>June</v>
      </c>
    </row>
    <row r="11" spans="2:12" x14ac:dyDescent="0.25">
      <c r="B11">
        <v>9</v>
      </c>
      <c r="C11" s="5">
        <f>'Imported Billing Statement'!B11</f>
        <v>45461</v>
      </c>
      <c r="D11" s="5">
        <f>'Imported Billing Statement'!C11</f>
        <v>45461</v>
      </c>
      <c r="E11" s="5" t="str">
        <f>'Imported Billing Statement'!D11</f>
        <v>WALMART STORE 07179 SWANSBORO NC</v>
      </c>
      <c r="F11" s="6">
        <f>'Imported Billing Statement'!E11</f>
        <v>9.16</v>
      </c>
      <c r="G11" s="5" t="str">
        <f>'Imported Billing Statement'!F11</f>
        <v>Merchandise</v>
      </c>
      <c r="H11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11" t="str" cm="1">
        <f t="array" ref="I11">_xlfn.SWITCH(MONTH(BillTable[[#This Row],[Trans. date]]),1,"January",2,"February",3,"March",4,"April",5,"May",6,"June",7,"July",8,"August",9,"September",10,"October",11,"November",12,"December")</f>
        <v>June</v>
      </c>
    </row>
    <row r="12" spans="2:12" x14ac:dyDescent="0.25">
      <c r="B12">
        <v>10</v>
      </c>
      <c r="C12" s="5">
        <f>'Imported Billing Statement'!B12</f>
        <v>45459</v>
      </c>
      <c r="D12" s="5">
        <f>'Imported Billing Statement'!C12</f>
        <v>45459</v>
      </c>
      <c r="E12" s="5" t="str">
        <f>'Imported Billing Statement'!D12</f>
        <v>DELTA AIR LINES 18002211212 CA</v>
      </c>
      <c r="F12" s="6">
        <f>'Imported Billing Statement'!E12</f>
        <v>537.96</v>
      </c>
      <c r="G12" s="5" t="str">
        <f>'Imported Billing Statement'!F12</f>
        <v>Travel/ Entertainment</v>
      </c>
      <c r="H12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12" t="str" cm="1">
        <f t="array" ref="I12">_xlfn.SWITCH(MONTH(BillTable[[#This Row],[Trans. date]]),1,"January",2,"February",3,"March",4,"April",5,"May",6,"June",7,"July",8,"August",9,"September",10,"October",11,"November",12,"December")</f>
        <v>June</v>
      </c>
    </row>
    <row r="13" spans="2:12" x14ac:dyDescent="0.25">
      <c r="B13">
        <v>11</v>
      </c>
      <c r="C13" s="5">
        <f>'Imported Billing Statement'!B13</f>
        <v>45459</v>
      </c>
      <c r="D13" s="5">
        <f>'Imported Billing Statement'!C13</f>
        <v>45459</v>
      </c>
      <c r="E13" s="5" t="str">
        <f>'Imported Billing Statement'!D13</f>
        <v>MONSTERS PIZZA HUBERT NC</v>
      </c>
      <c r="F13" s="6">
        <f>'Imported Billing Statement'!E13</f>
        <v>20.91</v>
      </c>
      <c r="G13" s="5" t="str">
        <f>'Imported Billing Statement'!F13</f>
        <v>Restaurants</v>
      </c>
      <c r="H13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13" t="str" cm="1">
        <f t="array" ref="I13">_xlfn.SWITCH(MONTH(BillTable[[#This Row],[Trans. date]]),1,"January",2,"February",3,"March",4,"April",5,"May",6,"June",7,"July",8,"August",9,"September",10,"October",11,"November",12,"December")</f>
        <v>June</v>
      </c>
    </row>
    <row r="14" spans="2:12" x14ac:dyDescent="0.25">
      <c r="B14">
        <v>12</v>
      </c>
      <c r="C14" s="5">
        <f>'Imported Billing Statement'!B14</f>
        <v>45458</v>
      </c>
      <c r="D14" s="5">
        <f>'Imported Billing Statement'!C14</f>
        <v>45458</v>
      </c>
      <c r="E14" s="5" t="str">
        <f>'Imported Billing Statement'!D14</f>
        <v>BEACH BUMS N TOPSAIL BEANC</v>
      </c>
      <c r="F14" s="6">
        <f>'Imported Billing Statement'!E14</f>
        <v>20.53</v>
      </c>
      <c r="G14" s="5" t="str">
        <f>'Imported Billing Statement'!F14</f>
        <v>Restaurants</v>
      </c>
      <c r="H14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14" t="str" cm="1">
        <f t="array" ref="I14">_xlfn.SWITCH(MONTH(BillTable[[#This Row],[Trans. date]]),1,"January",2,"February",3,"March",4,"April",5,"May",6,"June",7,"July",8,"August",9,"September",10,"October",11,"November",12,"December")</f>
        <v>June</v>
      </c>
    </row>
    <row r="15" spans="2:12" x14ac:dyDescent="0.25">
      <c r="B15">
        <v>13</v>
      </c>
      <c r="C15" s="5">
        <f>'Imported Billing Statement'!B15</f>
        <v>45458</v>
      </c>
      <c r="D15" s="5">
        <f>'Imported Billing Statement'!C15</f>
        <v>45458</v>
      </c>
      <c r="E15" s="5" t="str">
        <f>'Imported Billing Statement'!D15</f>
        <v>OTTO PARKING SERVICES 919-271-2296 NC</v>
      </c>
      <c r="F15" s="6">
        <f>'Imported Billing Statement'!E15</f>
        <v>20</v>
      </c>
      <c r="G15" s="5" t="str">
        <f>'Imported Billing Statement'!F15</f>
        <v>Services</v>
      </c>
      <c r="H15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15" t="str" cm="1">
        <f t="array" ref="I15">_xlfn.SWITCH(MONTH(BillTable[[#This Row],[Trans. date]]),1,"January",2,"February",3,"March",4,"April",5,"May",6,"June",7,"July",8,"August",9,"September",10,"October",11,"November",12,"December")</f>
        <v>June</v>
      </c>
    </row>
    <row r="16" spans="2:12" x14ac:dyDescent="0.25">
      <c r="B16">
        <v>14</v>
      </c>
      <c r="C16" s="5">
        <f>'Imported Billing Statement'!B16</f>
        <v>45458</v>
      </c>
      <c r="D16" s="5">
        <f>'Imported Billing Statement'!C16</f>
        <v>45458</v>
      </c>
      <c r="E16" s="5" t="str">
        <f>'Imported Billing Statement'!D16</f>
        <v>STARBUCKS 800-782-7282 800-782-7282 WAAPPLE PAY ENDING IN 60243TUAGFAPD7KBQYRS</v>
      </c>
      <c r="F16" s="6">
        <f>'Imported Billing Statement'!E16</f>
        <v>25</v>
      </c>
      <c r="G16" s="5" t="str">
        <f>'Imported Billing Statement'!F16</f>
        <v>Restaurants</v>
      </c>
      <c r="H16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16" t="str" cm="1">
        <f t="array" ref="I16">_xlfn.SWITCH(MONTH(BillTable[[#This Row],[Trans. date]]),1,"January",2,"February",3,"March",4,"April",5,"May",6,"June",7,"July",8,"August",9,"September",10,"October",11,"November",12,"December")</f>
        <v>June</v>
      </c>
    </row>
    <row r="17" spans="2:9" x14ac:dyDescent="0.25">
      <c r="B17">
        <v>15</v>
      </c>
      <c r="C17" s="5">
        <f>'Imported Billing Statement'!B17</f>
        <v>45458</v>
      </c>
      <c r="D17" s="5">
        <f>'Imported Billing Statement'!C17</f>
        <v>45458</v>
      </c>
      <c r="E17" s="5" t="str">
        <f>'Imported Billing Statement'!D17</f>
        <v>WALMART STORE 07179 SWANSBORO NC</v>
      </c>
      <c r="F17" s="6">
        <f>'Imported Billing Statement'!E17</f>
        <v>77</v>
      </c>
      <c r="G17" s="5" t="str">
        <f>'Imported Billing Statement'!F17</f>
        <v>Merchandise</v>
      </c>
      <c r="H17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17" t="str" cm="1">
        <f t="array" ref="I17">_xlfn.SWITCH(MONTH(BillTable[[#This Row],[Trans. date]]),1,"January",2,"February",3,"March",4,"April",5,"May",6,"June",7,"July",8,"August",9,"September",10,"October",11,"November",12,"December")</f>
        <v>June</v>
      </c>
    </row>
    <row r="18" spans="2:9" x14ac:dyDescent="0.25">
      <c r="B18">
        <v>16</v>
      </c>
      <c r="C18" s="5">
        <f>'Imported Billing Statement'!B18</f>
        <v>45457</v>
      </c>
      <c r="D18" s="5">
        <f>'Imported Billing Statement'!C18</f>
        <v>45457</v>
      </c>
      <c r="E18" s="5" t="str">
        <f>'Imported Billing Statement'!D18</f>
        <v>CAROLINA PARKING WILMINGTON NC</v>
      </c>
      <c r="F18" s="6">
        <f>'Imported Billing Statement'!E18</f>
        <v>4</v>
      </c>
      <c r="G18" s="5" t="str">
        <f>'Imported Billing Statement'!F18</f>
        <v>Services</v>
      </c>
      <c r="H18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18" t="str" cm="1">
        <f t="array" ref="I18">_xlfn.SWITCH(MONTH(BillTable[[#This Row],[Trans. date]]),1,"January",2,"February",3,"March",4,"April",5,"May",6,"June",7,"July",8,"August",9,"September",10,"October",11,"November",12,"December")</f>
        <v>June</v>
      </c>
    </row>
    <row r="19" spans="2:9" x14ac:dyDescent="0.25">
      <c r="B19">
        <v>17</v>
      </c>
      <c r="C19" s="5">
        <f>'Imported Billing Statement'!B19</f>
        <v>45457</v>
      </c>
      <c r="D19" s="5">
        <f>'Imported Billing Statement'!C19</f>
        <v>45457</v>
      </c>
      <c r="E19" s="5" t="str">
        <f>'Imported Billing Statement'!D19</f>
        <v>MDC*JONES ONSLOW EMC JACKSONVILLE NC</v>
      </c>
      <c r="F19" s="6">
        <f>'Imported Billing Statement'!E19</f>
        <v>62.52</v>
      </c>
      <c r="G19" s="5" t="str">
        <f>'Imported Billing Statement'!F19</f>
        <v>Services</v>
      </c>
      <c r="H19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Utilities</v>
      </c>
      <c r="I19" t="str" cm="1">
        <f t="array" ref="I19">_xlfn.SWITCH(MONTH(BillTable[[#This Row],[Trans. date]]),1,"January",2,"February",3,"March",4,"April",5,"May",6,"June",7,"July",8,"August",9,"September",10,"October",11,"November",12,"December")</f>
        <v>June</v>
      </c>
    </row>
    <row r="20" spans="2:9" x14ac:dyDescent="0.25">
      <c r="B20">
        <v>18</v>
      </c>
      <c r="C20" s="5">
        <f>'Imported Billing Statement'!B20</f>
        <v>45457</v>
      </c>
      <c r="D20" s="5">
        <f>'Imported Billing Statement'!C20</f>
        <v>45457</v>
      </c>
      <c r="E20" s="5" t="str">
        <f>'Imported Billing Statement'!D20</f>
        <v>RESTAURANT 13040209101 CAMP LEJEUNE NC</v>
      </c>
      <c r="F20" s="6">
        <f>'Imported Billing Statement'!E20</f>
        <v>14.2</v>
      </c>
      <c r="G20" s="5" t="str">
        <f>'Imported Billing Statement'!F20</f>
        <v>Restaurants</v>
      </c>
      <c r="H20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20" t="str" cm="1">
        <f t="array" ref="I20">_xlfn.SWITCH(MONTH(BillTable[[#This Row],[Trans. date]]),1,"January",2,"February",3,"March",4,"April",5,"May",6,"June",7,"July",8,"August",9,"September",10,"October",11,"November",12,"December")</f>
        <v>June</v>
      </c>
    </row>
    <row r="21" spans="2:9" x14ac:dyDescent="0.25">
      <c r="B21">
        <v>19</v>
      </c>
      <c r="C21" s="5">
        <f>'Imported Billing Statement'!B21</f>
        <v>45456</v>
      </c>
      <c r="D21" s="5">
        <f>'Imported Billing Statement'!C21</f>
        <v>45456</v>
      </c>
      <c r="E21" s="5" t="str">
        <f>'Imported Billing Statement'!D21</f>
        <v>CAMP LEJEUNE BARBER MA 9292652995 NYAPPLE PAY ENDING IN 6024</v>
      </c>
      <c r="F21" s="6">
        <f>'Imported Billing Statement'!E21</f>
        <v>17</v>
      </c>
      <c r="G21" s="5" t="str">
        <f>'Imported Billing Statement'!F21</f>
        <v>Services</v>
      </c>
      <c r="H21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Hair cuts</v>
      </c>
      <c r="I21" t="str" cm="1">
        <f t="array" ref="I21">_xlfn.SWITCH(MONTH(BillTable[[#This Row],[Trans. date]]),1,"January",2,"February",3,"March",4,"April",5,"May",6,"June",7,"July",8,"August",9,"September",10,"October",11,"November",12,"December")</f>
        <v>June</v>
      </c>
    </row>
    <row r="22" spans="2:9" x14ac:dyDescent="0.25">
      <c r="B22">
        <v>20</v>
      </c>
      <c r="C22" s="5">
        <f>'Imported Billing Statement'!B22</f>
        <v>45456</v>
      </c>
      <c r="D22" s="5">
        <f>'Imported Billing Statement'!C22</f>
        <v>45456</v>
      </c>
      <c r="E22" s="5" t="str">
        <f>'Imported Billing Statement'!D22</f>
        <v>HELLOFRESH 347-200-0291 NY</v>
      </c>
      <c r="F22" s="6">
        <f>'Imported Billing Statement'!E22</f>
        <v>72.349999999999994</v>
      </c>
      <c r="G22" s="5" t="str">
        <f>'Imported Billing Statement'!F22</f>
        <v>Supermarkets</v>
      </c>
      <c r="H22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22" t="str" cm="1">
        <f t="array" ref="I22">_xlfn.SWITCH(MONTH(BillTable[[#This Row],[Trans. date]]),1,"January",2,"February",3,"March",4,"April",5,"May",6,"June",7,"July",8,"August",9,"September",10,"October",11,"November",12,"December")</f>
        <v>June</v>
      </c>
    </row>
    <row r="23" spans="2:9" x14ac:dyDescent="0.25">
      <c r="B23">
        <v>21</v>
      </c>
      <c r="C23" s="5">
        <f>'Imported Billing Statement'!B23</f>
        <v>45456</v>
      </c>
      <c r="D23" s="5">
        <f>'Imported Billing Statement'!C23</f>
        <v>45456</v>
      </c>
      <c r="E23" s="5" t="str">
        <f>'Imported Billing Statement'!D23</f>
        <v>PAY AT PUMP13020086101 CAMP LEJEUNE NC</v>
      </c>
      <c r="F23" s="6">
        <f>'Imported Billing Statement'!E23</f>
        <v>28.14</v>
      </c>
      <c r="G23" s="5" t="str">
        <f>'Imported Billing Statement'!F23</f>
        <v>Gasoline</v>
      </c>
      <c r="H23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Auto Gas</v>
      </c>
      <c r="I23" t="str" cm="1">
        <f t="array" ref="I23">_xlfn.SWITCH(MONTH(BillTable[[#This Row],[Trans. date]]),1,"January",2,"February",3,"March",4,"April",5,"May",6,"June",7,"July",8,"August",9,"September",10,"October",11,"November",12,"December")</f>
        <v>June</v>
      </c>
    </row>
    <row r="24" spans="2:9" x14ac:dyDescent="0.25">
      <c r="B24">
        <v>22</v>
      </c>
      <c r="C24" s="5">
        <f>'Imported Billing Statement'!B24</f>
        <v>45456</v>
      </c>
      <c r="D24" s="5">
        <f>'Imported Billing Statement'!C24</f>
        <v>45456</v>
      </c>
      <c r="E24" s="5" t="str">
        <f>'Imported Billing Statement'!D24</f>
        <v>SQ *A TASTE OF PHILLY NEW BERN NC0002305843019939971386</v>
      </c>
      <c r="F24" s="6">
        <f>'Imported Billing Statement'!E24</f>
        <v>15.43</v>
      </c>
      <c r="G24" s="5" t="str">
        <f>'Imported Billing Statement'!F24</f>
        <v>Restaurants</v>
      </c>
      <c r="H24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24" t="str" cm="1">
        <f t="array" ref="I24">_xlfn.SWITCH(MONTH(BillTable[[#This Row],[Trans. date]]),1,"January",2,"February",3,"March",4,"April",5,"May",6,"June",7,"July",8,"August",9,"September",10,"October",11,"November",12,"December")</f>
        <v>June</v>
      </c>
    </row>
    <row r="25" spans="2:9" x14ac:dyDescent="0.25">
      <c r="B25">
        <v>23</v>
      </c>
      <c r="C25" s="5">
        <f>'Imported Billing Statement'!B25</f>
        <v>45454</v>
      </c>
      <c r="D25" s="5">
        <f>'Imported Billing Statement'!C25</f>
        <v>45454</v>
      </c>
      <c r="E25" s="5" t="str">
        <f>'Imported Billing Statement'!D25</f>
        <v>BURGER KING #4357 JACKSONVILLE NC</v>
      </c>
      <c r="F25" s="6">
        <f>'Imported Billing Statement'!E25</f>
        <v>10.69</v>
      </c>
      <c r="G25" s="5" t="str">
        <f>'Imported Billing Statement'!F25</f>
        <v>Restaurants</v>
      </c>
      <c r="H25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25" t="str" cm="1">
        <f t="array" ref="I25">_xlfn.SWITCH(MONTH(BillTable[[#This Row],[Trans. date]]),1,"January",2,"February",3,"March",4,"April",5,"May",6,"June",7,"July",8,"August",9,"September",10,"October",11,"November",12,"December")</f>
        <v>June</v>
      </c>
    </row>
    <row r="26" spans="2:9" x14ac:dyDescent="0.25">
      <c r="B26">
        <v>24</v>
      </c>
      <c r="C26" s="5">
        <f>'Imported Billing Statement'!B26</f>
        <v>45453</v>
      </c>
      <c r="D26" s="5">
        <f>'Imported Billing Statement'!C26</f>
        <v>45453</v>
      </c>
      <c r="E26" s="5" t="str">
        <f>'Imported Billing Statement'!D26</f>
        <v>DIRECTPAY FULL BALANCESEE DETAILS OF YOUR NEXT DIRECTPAY BELOW</v>
      </c>
      <c r="F26" s="6">
        <f>'Imported Billing Statement'!E26</f>
        <v>-2369.2199999999998</v>
      </c>
      <c r="G26" s="5" t="str">
        <f>'Imported Billing Statement'!F26</f>
        <v>Payments and Credits</v>
      </c>
      <c r="H26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26" t="str" cm="1">
        <f t="array" ref="I26">_xlfn.SWITCH(MONTH(BillTable[[#This Row],[Trans. date]]),1,"January",2,"February",3,"March",4,"April",5,"May",6,"June",7,"July",8,"August",9,"September",10,"October",11,"November",12,"December")</f>
        <v>June</v>
      </c>
    </row>
    <row r="27" spans="2:9" x14ac:dyDescent="0.25">
      <c r="B27">
        <v>25</v>
      </c>
      <c r="C27" s="5">
        <f>'Imported Billing Statement'!B27</f>
        <v>45452</v>
      </c>
      <c r="D27" s="5">
        <f>'Imported Billing Statement'!C27</f>
        <v>45452</v>
      </c>
      <c r="E27" s="5" t="str">
        <f>'Imported Billing Statement'!D27</f>
        <v>CAROLINA PARKING WILMINGTON NC</v>
      </c>
      <c r="F27" s="6">
        <f>'Imported Billing Statement'!E27</f>
        <v>4</v>
      </c>
      <c r="G27" s="5" t="str">
        <f>'Imported Billing Statement'!F27</f>
        <v>Services</v>
      </c>
      <c r="H27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27" t="str" cm="1">
        <f t="array" ref="I27">_xlfn.SWITCH(MONTH(BillTable[[#This Row],[Trans. date]]),1,"January",2,"February",3,"March",4,"April",5,"May",6,"June",7,"July",8,"August",9,"September",10,"October",11,"November",12,"December")</f>
        <v>June</v>
      </c>
    </row>
    <row r="28" spans="2:9" x14ac:dyDescent="0.25">
      <c r="B28">
        <v>26</v>
      </c>
      <c r="C28" s="5">
        <f>'Imported Billing Statement'!B28</f>
        <v>45452</v>
      </c>
      <c r="D28" s="5">
        <f>'Imported Billing Statement'!C28</f>
        <v>45452</v>
      </c>
      <c r="E28" s="5" t="str">
        <f>'Imported Billing Statement'!D28</f>
        <v>SP MACK WELDON 6466935872 NY</v>
      </c>
      <c r="F28" s="6">
        <f>'Imported Billing Statement'!E28</f>
        <v>102.72</v>
      </c>
      <c r="G28" s="5" t="str">
        <f>'Imported Billing Statement'!F28</f>
        <v>Merchandise</v>
      </c>
      <c r="H28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28" t="str" cm="1">
        <f t="array" ref="I28">_xlfn.SWITCH(MONTH(BillTable[[#This Row],[Trans. date]]),1,"January",2,"February",3,"March",4,"April",5,"May",6,"June",7,"July",8,"August",9,"September",10,"October",11,"November",12,"December")</f>
        <v>June</v>
      </c>
    </row>
    <row r="29" spans="2:9" x14ac:dyDescent="0.25">
      <c r="B29">
        <v>27</v>
      </c>
      <c r="C29" s="5">
        <f>'Imported Billing Statement'!B29</f>
        <v>45452</v>
      </c>
      <c r="D29" s="5">
        <f>'Imported Billing Statement'!C29</f>
        <v>45452</v>
      </c>
      <c r="E29" s="5" t="str">
        <f>'Imported Billing Statement'!D29</f>
        <v>WALMART STORE 07179 SWANSBORO NC</v>
      </c>
      <c r="F29" s="6">
        <f>'Imported Billing Statement'!E29</f>
        <v>9.8800000000000008</v>
      </c>
      <c r="G29" s="5" t="str">
        <f>'Imported Billing Statement'!F29</f>
        <v>Merchandise</v>
      </c>
      <c r="H29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29" t="str" cm="1">
        <f t="array" ref="I29">_xlfn.SWITCH(MONTH(BillTable[[#This Row],[Trans. date]]),1,"January",2,"February",3,"March",4,"April",5,"May",6,"June",7,"July",8,"August",9,"September",10,"October",11,"November",12,"December")</f>
        <v>June</v>
      </c>
    </row>
    <row r="30" spans="2:9" x14ac:dyDescent="0.25">
      <c r="B30">
        <v>28</v>
      </c>
      <c r="C30" s="5">
        <f>'Imported Billing Statement'!B30</f>
        <v>45451</v>
      </c>
      <c r="D30" s="5">
        <f>'Imported Billing Statement'!C30</f>
        <v>45451</v>
      </c>
      <c r="E30" s="5" t="str">
        <f>'Imported Billing Statement'!D30</f>
        <v>CAROLINA PARKING WILMINGTON NC</v>
      </c>
      <c r="F30" s="6">
        <f>'Imported Billing Statement'!E30</f>
        <v>8</v>
      </c>
      <c r="G30" s="5" t="str">
        <f>'Imported Billing Statement'!F30</f>
        <v>Services</v>
      </c>
      <c r="H30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30" t="str" cm="1">
        <f t="array" ref="I30">_xlfn.SWITCH(MONTH(BillTable[[#This Row],[Trans. date]]),1,"January",2,"February",3,"March",4,"April",5,"May",6,"June",7,"July",8,"August",9,"September",10,"October",11,"November",12,"December")</f>
        <v>June</v>
      </c>
    </row>
    <row r="31" spans="2:9" x14ac:dyDescent="0.25">
      <c r="B31">
        <v>29</v>
      </c>
      <c r="C31" s="5">
        <f>'Imported Billing Statement'!B31</f>
        <v>45451</v>
      </c>
      <c r="D31" s="5">
        <f>'Imported Billing Statement'!C31</f>
        <v>45451</v>
      </c>
      <c r="E31" s="5" t="str">
        <f>'Imported Billing Statement'!D31</f>
        <v>JUMBO GOLDEN CHINA SWANSBORO NC</v>
      </c>
      <c r="F31" s="6">
        <f>'Imported Billing Statement'!E31</f>
        <v>16.190000000000001</v>
      </c>
      <c r="G31" s="5" t="str">
        <f>'Imported Billing Statement'!F31</f>
        <v>Restaurants</v>
      </c>
      <c r="H31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31" t="str" cm="1">
        <f t="array" ref="I31">_xlfn.SWITCH(MONTH(BillTable[[#This Row],[Trans. date]]),1,"January",2,"February",3,"March",4,"April",5,"May",6,"June",7,"July",8,"August",9,"September",10,"October",11,"November",12,"December")</f>
        <v>June</v>
      </c>
    </row>
    <row r="32" spans="2:9" x14ac:dyDescent="0.25">
      <c r="B32">
        <v>30</v>
      </c>
      <c r="C32" s="5">
        <f>'Imported Billing Statement'!B32</f>
        <v>45450</v>
      </c>
      <c r="D32" s="5">
        <f>'Imported Billing Statement'!C32</f>
        <v>45450</v>
      </c>
      <c r="E32" s="5" t="str">
        <f>'Imported Billing Statement'!D32</f>
        <v>EXXONMOBIL SNEADS FERRY NC</v>
      </c>
      <c r="F32" s="6">
        <f>'Imported Billing Statement'!E32</f>
        <v>19.25</v>
      </c>
      <c r="G32" s="5" t="str">
        <f>'Imported Billing Statement'!F32</f>
        <v>Gasoline</v>
      </c>
      <c r="H32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Auto Gas</v>
      </c>
      <c r="I32" t="str" cm="1">
        <f t="array" ref="I32">_xlfn.SWITCH(MONTH(BillTable[[#This Row],[Trans. date]]),1,"January",2,"February",3,"March",4,"April",5,"May",6,"June",7,"July",8,"August",9,"September",10,"October",11,"November",12,"December")</f>
        <v>June</v>
      </c>
    </row>
    <row r="33" spans="2:9" x14ac:dyDescent="0.25">
      <c r="B33">
        <v>31</v>
      </c>
      <c r="C33" s="5">
        <f>'Imported Billing Statement'!B33</f>
        <v>45450</v>
      </c>
      <c r="D33" s="5">
        <f>'Imported Billing Statement'!C33</f>
        <v>45450</v>
      </c>
      <c r="E33" s="5" t="str">
        <f>'Imported Billing Statement'!D33</f>
        <v>WALMART STORE 07179 SWANSBORO NC</v>
      </c>
      <c r="F33" s="6">
        <f>'Imported Billing Statement'!E33</f>
        <v>106.59</v>
      </c>
      <c r="G33" s="5" t="str">
        <f>'Imported Billing Statement'!F33</f>
        <v>Merchandise</v>
      </c>
      <c r="H33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33" t="str" cm="1">
        <f t="array" ref="I33">_xlfn.SWITCH(MONTH(BillTable[[#This Row],[Trans. date]]),1,"January",2,"February",3,"March",4,"April",5,"May",6,"June",7,"July",8,"August",9,"September",10,"October",11,"November",12,"December")</f>
        <v>June</v>
      </c>
    </row>
    <row r="34" spans="2:9" x14ac:dyDescent="0.25">
      <c r="B34">
        <v>32</v>
      </c>
      <c r="C34" s="5">
        <f>'Imported Billing Statement'!B34</f>
        <v>45449</v>
      </c>
      <c r="D34" s="5">
        <f>'Imported Billing Statement'!C34</f>
        <v>45449</v>
      </c>
      <c r="E34" s="5" t="str">
        <f>'Imported Billing Statement'!D34</f>
        <v>HELLOFRESH 347-200-0291 NY</v>
      </c>
      <c r="F34" s="6">
        <f>'Imported Billing Statement'!E34</f>
        <v>72.349999999999994</v>
      </c>
      <c r="G34" s="5" t="str">
        <f>'Imported Billing Statement'!F34</f>
        <v>Supermarkets</v>
      </c>
      <c r="H34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34" t="str" cm="1">
        <f t="array" ref="I34">_xlfn.SWITCH(MONTH(BillTable[[#This Row],[Trans. date]]),1,"January",2,"February",3,"March",4,"April",5,"May",6,"June",7,"July",8,"August",9,"September",10,"October",11,"November",12,"December")</f>
        <v>June</v>
      </c>
    </row>
    <row r="35" spans="2:9" x14ac:dyDescent="0.25">
      <c r="B35">
        <v>33</v>
      </c>
      <c r="C35" s="5">
        <f>'Imported Billing Statement'!B35</f>
        <v>45449</v>
      </c>
      <c r="D35" s="5">
        <f>'Imported Billing Statement'!C35</f>
        <v>45449</v>
      </c>
      <c r="E35" s="5" t="str">
        <f>'Imported Billing Statement'!D35</f>
        <v>WHIZZ MART #3 HUBERT NC</v>
      </c>
      <c r="F35" s="6">
        <f>'Imported Billing Statement'!E35</f>
        <v>26.94</v>
      </c>
      <c r="G35" s="5" t="str">
        <f>'Imported Billing Statement'!F35</f>
        <v>Gasoline</v>
      </c>
      <c r="H35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Auto Gas</v>
      </c>
      <c r="I35" t="str" cm="1">
        <f t="array" ref="I35">_xlfn.SWITCH(MONTH(BillTable[[#This Row],[Trans. date]]),1,"January",2,"February",3,"March",4,"April",5,"May",6,"June",7,"July",8,"August",9,"September",10,"October",11,"November",12,"December")</f>
        <v>June</v>
      </c>
    </row>
    <row r="36" spans="2:9" x14ac:dyDescent="0.25">
      <c r="B36">
        <v>34</v>
      </c>
      <c r="C36" s="5">
        <f>'Imported Billing Statement'!B36</f>
        <v>45445</v>
      </c>
      <c r="D36" s="5">
        <f>'Imported Billing Statement'!C36</f>
        <v>45445</v>
      </c>
      <c r="E36" s="5" t="str">
        <f>'Imported Billing Statement'!D36</f>
        <v>WALMART STORE 07179 SWANSBORO NC</v>
      </c>
      <c r="F36" s="6">
        <f>'Imported Billing Statement'!E36</f>
        <v>85.63</v>
      </c>
      <c r="G36" s="5" t="str">
        <f>'Imported Billing Statement'!F36</f>
        <v>Merchandise</v>
      </c>
      <c r="H36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36" t="str" cm="1">
        <f t="array" ref="I36">_xlfn.SWITCH(MONTH(BillTable[[#This Row],[Trans. date]]),1,"January",2,"February",3,"March",4,"April",5,"May",6,"June",7,"July",8,"August",9,"September",10,"October",11,"November",12,"December")</f>
        <v>June</v>
      </c>
    </row>
    <row r="37" spans="2:9" x14ac:dyDescent="0.25">
      <c r="B37">
        <v>35</v>
      </c>
      <c r="C37" s="5">
        <f>'Imported Billing Statement'!B37</f>
        <v>45443</v>
      </c>
      <c r="D37" s="5">
        <f>'Imported Billing Statement'!C37</f>
        <v>45443</v>
      </c>
      <c r="E37" s="5" t="str">
        <f>'Imported Billing Statement'!D37</f>
        <v>CAMP LEJEUNE BARBER MA 9292652995 NYAPPLE PAY ENDING IN 6024</v>
      </c>
      <c r="F37" s="6">
        <f>'Imported Billing Statement'!E37</f>
        <v>17</v>
      </c>
      <c r="G37" s="5" t="str">
        <f>'Imported Billing Statement'!F37</f>
        <v>Services</v>
      </c>
      <c r="H37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Hair cuts</v>
      </c>
      <c r="I37" t="str" cm="1">
        <f t="array" ref="I37">_xlfn.SWITCH(MONTH(BillTable[[#This Row],[Trans. date]]),1,"January",2,"February",3,"March",4,"April",5,"May",6,"June",7,"July",8,"August",9,"September",10,"October",11,"November",12,"December")</f>
        <v>May</v>
      </c>
    </row>
    <row r="38" spans="2:9" x14ac:dyDescent="0.25">
      <c r="B38">
        <v>36</v>
      </c>
      <c r="C38" s="5">
        <f>'Imported Billing Statement'!B38</f>
        <v>45442</v>
      </c>
      <c r="D38" s="5">
        <f>'Imported Billing Statement'!C38</f>
        <v>45442</v>
      </c>
      <c r="E38" s="5" t="str">
        <f>'Imported Billing Statement'!D38</f>
        <v>HELLOFRESH 646-846-3663 NYMR02880742289431362496</v>
      </c>
      <c r="F38" s="6">
        <f>'Imported Billing Statement'!E38</f>
        <v>72.349999999999994</v>
      </c>
      <c r="G38" s="5" t="str">
        <f>'Imported Billing Statement'!F38</f>
        <v>Supermarkets</v>
      </c>
      <c r="H38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38" t="str" cm="1">
        <f t="array" ref="I38">_xlfn.SWITCH(MONTH(BillTable[[#This Row],[Trans. date]]),1,"January",2,"February",3,"March",4,"April",5,"May",6,"June",7,"July",8,"August",9,"September",10,"October",11,"November",12,"December")</f>
        <v>May</v>
      </c>
    </row>
    <row r="39" spans="2:9" x14ac:dyDescent="0.25">
      <c r="B39">
        <v>37</v>
      </c>
      <c r="C39" s="5">
        <f>'Imported Billing Statement'!B39</f>
        <v>45442</v>
      </c>
      <c r="D39" s="5">
        <f>'Imported Billing Statement'!C39</f>
        <v>45442</v>
      </c>
      <c r="E39" s="5" t="str">
        <f>'Imported Billing Statement'!D39</f>
        <v>SQ *WEST INDIAN KITCHE JACKSONVILLE NC0002305843019841949363</v>
      </c>
      <c r="F39" s="6">
        <f>'Imported Billing Statement'!E39</f>
        <v>22.25</v>
      </c>
      <c r="G39" s="5" t="str">
        <f>'Imported Billing Statement'!F39</f>
        <v>Restaurants</v>
      </c>
      <c r="H39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39" t="str" cm="1">
        <f t="array" ref="I39">_xlfn.SWITCH(MONTH(BillTable[[#This Row],[Trans. date]]),1,"January",2,"February",3,"March",4,"April",5,"May",6,"June",7,"July",8,"August",9,"September",10,"October",11,"November",12,"December")</f>
        <v>May</v>
      </c>
    </row>
    <row r="40" spans="2:9" x14ac:dyDescent="0.25">
      <c r="B40">
        <v>38</v>
      </c>
      <c r="C40" s="5">
        <f>'Imported Billing Statement'!B40</f>
        <v>45441</v>
      </c>
      <c r="D40" s="5">
        <f>'Imported Billing Statement'!C40</f>
        <v>45441</v>
      </c>
      <c r="E40" s="5" t="str">
        <f>'Imported Billing Statement'!D40</f>
        <v>AMZN MKTP US*Y97NU8G03 AMZN.COM/BILLWA3MBHSNN70LM</v>
      </c>
      <c r="F40" s="6">
        <f>'Imported Billing Statement'!E40</f>
        <v>35.29</v>
      </c>
      <c r="G40" s="5" t="str">
        <f>'Imported Billing Statement'!F40</f>
        <v>Merchandise</v>
      </c>
      <c r="H40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40" t="str" cm="1">
        <f t="array" ref="I40">_xlfn.SWITCH(MONTH(BillTable[[#This Row],[Trans. date]]),1,"January",2,"February",3,"March",4,"April",5,"May",6,"June",7,"July",8,"August",9,"September",10,"October",11,"November",12,"December")</f>
        <v>May</v>
      </c>
    </row>
    <row r="41" spans="2:9" x14ac:dyDescent="0.25">
      <c r="B41">
        <v>40</v>
      </c>
      <c r="C41" s="5">
        <f>'Imported Billing Statement'!B41</f>
        <v>45439</v>
      </c>
      <c r="D41" s="5">
        <f>'Imported Billing Statement'!C41</f>
        <v>45439</v>
      </c>
      <c r="E41" s="5" t="str">
        <f>'Imported Billing Statement'!D41</f>
        <v>SP VAER WATCH CO. 8186354601 CA</v>
      </c>
      <c r="F41" s="6">
        <f>'Imported Billing Statement'!E41</f>
        <v>517.88</v>
      </c>
      <c r="G41" s="5" t="str">
        <f>'Imported Billing Statement'!F41</f>
        <v>Merchandise</v>
      </c>
      <c r="H41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41" t="str" cm="1">
        <f t="array" ref="I41">_xlfn.SWITCH(MONTH(BillTable[[#This Row],[Trans. date]]),1,"January",2,"February",3,"March",4,"April",5,"May",6,"June",7,"July",8,"August",9,"September",10,"October",11,"November",12,"December")</f>
        <v>May</v>
      </c>
    </row>
    <row r="42" spans="2:9" x14ac:dyDescent="0.25">
      <c r="B42">
        <v>41</v>
      </c>
      <c r="C42" s="5">
        <f>'Imported Billing Statement'!B42</f>
        <v>45439</v>
      </c>
      <c r="D42" s="5">
        <f>'Imported Billing Statement'!C42</f>
        <v>45439</v>
      </c>
      <c r="E42" s="5" t="str">
        <f>'Imported Billing Statement'!D42</f>
        <v>WHIZZ MART #3 HUBERT NC</v>
      </c>
      <c r="F42" s="6">
        <f>'Imported Billing Statement'!E42</f>
        <v>27.68</v>
      </c>
      <c r="G42" s="5" t="str">
        <f>'Imported Billing Statement'!F42</f>
        <v>Gasoline</v>
      </c>
      <c r="H42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Auto Gas</v>
      </c>
      <c r="I42" t="str" cm="1">
        <f t="array" ref="I42">_xlfn.SWITCH(MONTH(BillTable[[#This Row],[Trans. date]]),1,"January",2,"February",3,"March",4,"April",5,"May",6,"June",7,"July",8,"August",9,"September",10,"October",11,"November",12,"December")</f>
        <v>May</v>
      </c>
    </row>
    <row r="43" spans="2:9" x14ac:dyDescent="0.25">
      <c r="B43">
        <v>42</v>
      </c>
      <c r="C43" s="5">
        <f>'Imported Billing Statement'!B43</f>
        <v>45438</v>
      </c>
      <c r="D43" s="5">
        <f>'Imported Billing Statement'!C43</f>
        <v>45438</v>
      </c>
      <c r="E43" s="5" t="str">
        <f>'Imported Billing Statement'!D43</f>
        <v>LOWE'S OF CAPE CARTERET, CAPE CARTERETNC</v>
      </c>
      <c r="F43" s="6">
        <f>'Imported Billing Statement'!E43</f>
        <v>22</v>
      </c>
      <c r="G43" s="5" t="str">
        <f>'Imported Billing Statement'!F43</f>
        <v>Home Improvement</v>
      </c>
      <c r="H43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43" t="str" cm="1">
        <f t="array" ref="I43">_xlfn.SWITCH(MONTH(BillTable[[#This Row],[Trans. date]]),1,"January",2,"February",3,"March",4,"April",5,"May",6,"June",7,"July",8,"August",9,"September",10,"October",11,"November",12,"December")</f>
        <v>May</v>
      </c>
    </row>
    <row r="44" spans="2:9" x14ac:dyDescent="0.25">
      <c r="B44">
        <v>43</v>
      </c>
      <c r="C44" s="5">
        <f>'Imported Billing Statement'!B44</f>
        <v>45438</v>
      </c>
      <c r="D44" s="5">
        <f>'Imported Billing Statement'!C44</f>
        <v>45438</v>
      </c>
      <c r="E44" s="5" t="str">
        <f>'Imported Billing Statement'!D44</f>
        <v>WALMART STORE 07179 SWANSBORO NC</v>
      </c>
      <c r="F44" s="6">
        <f>'Imported Billing Statement'!E44</f>
        <v>107.69</v>
      </c>
      <c r="G44" s="5" t="str">
        <f>'Imported Billing Statement'!F44</f>
        <v>Merchandise</v>
      </c>
      <c r="H44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44" t="str" cm="1">
        <f t="array" ref="I44">_xlfn.SWITCH(MONTH(BillTable[[#This Row],[Trans. date]]),1,"January",2,"February",3,"March",4,"April",5,"May",6,"June",7,"July",8,"August",9,"September",10,"October",11,"November",12,"December")</f>
        <v>May</v>
      </c>
    </row>
    <row r="45" spans="2:9" x14ac:dyDescent="0.25">
      <c r="B45">
        <v>44</v>
      </c>
      <c r="C45" s="5">
        <f>'Imported Billing Statement'!B45</f>
        <v>45437</v>
      </c>
      <c r="D45" s="5">
        <f>'Imported Billing Statement'!C45</f>
        <v>45437</v>
      </c>
      <c r="E45" s="5" t="str">
        <f>'Imported Billing Statement'!D45</f>
        <v>COASTAL WING &amp; SPIRITS SNEADS FERRY NC</v>
      </c>
      <c r="F45" s="6">
        <f>'Imported Billing Statement'!E45</f>
        <v>65.52</v>
      </c>
      <c r="G45" s="5" t="str">
        <f>'Imported Billing Statement'!F45</f>
        <v>Restaurants</v>
      </c>
      <c r="H45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45" t="str" cm="1">
        <f t="array" ref="I45">_xlfn.SWITCH(MONTH(BillTable[[#This Row],[Trans. date]]),1,"January",2,"February",3,"March",4,"April",5,"May",6,"June",7,"July",8,"August",9,"September",10,"October",11,"November",12,"December")</f>
        <v>May</v>
      </c>
    </row>
    <row r="46" spans="2:9" x14ac:dyDescent="0.25">
      <c r="B46">
        <v>45</v>
      </c>
      <c r="C46" s="5">
        <f>'Imported Billing Statement'!B46</f>
        <v>45437</v>
      </c>
      <c r="D46" s="5">
        <f>'Imported Billing Statement'!C46</f>
        <v>45437</v>
      </c>
      <c r="E46" s="5" t="str">
        <f>'Imported Billing Statement'!D46</f>
        <v>FOOD LION #0401 SNEADS FERRY NC02599R</v>
      </c>
      <c r="F46" s="6">
        <f>'Imported Billing Statement'!E46</f>
        <v>19.25</v>
      </c>
      <c r="G46" s="5" t="str">
        <f>'Imported Billing Statement'!F46</f>
        <v>Supermarkets</v>
      </c>
      <c r="H46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46" t="str" cm="1">
        <f t="array" ref="I46">_xlfn.SWITCH(MONTH(BillTable[[#This Row],[Trans. date]]),1,"January",2,"February",3,"March",4,"April",5,"May",6,"June",7,"July",8,"August",9,"September",10,"October",11,"November",12,"December")</f>
        <v>May</v>
      </c>
    </row>
    <row r="47" spans="2:9" x14ac:dyDescent="0.25">
      <c r="B47">
        <v>46</v>
      </c>
      <c r="C47" s="5">
        <f>'Imported Billing Statement'!B47</f>
        <v>45437</v>
      </c>
      <c r="D47" s="5">
        <f>'Imported Billing Statement'!C47</f>
        <v>45437</v>
      </c>
      <c r="E47" s="5" t="str">
        <f>'Imported Billing Statement'!D47</f>
        <v>RESTAURANT 13040209101 CAMP LEJEUNE NC</v>
      </c>
      <c r="F47" s="6">
        <f>'Imported Billing Statement'!E47</f>
        <v>5.25</v>
      </c>
      <c r="G47" s="5" t="str">
        <f>'Imported Billing Statement'!F47</f>
        <v>Restaurants</v>
      </c>
      <c r="H47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47" t="str" cm="1">
        <f t="array" ref="I47">_xlfn.SWITCH(MONTH(BillTable[[#This Row],[Trans. date]]),1,"January",2,"February",3,"March",4,"April",5,"May",6,"June",7,"July",8,"August",9,"September",10,"October",11,"November",12,"December")</f>
        <v>May</v>
      </c>
    </row>
    <row r="48" spans="2:9" x14ac:dyDescent="0.25">
      <c r="B48">
        <v>47</v>
      </c>
      <c r="C48" s="5">
        <f>'Imported Billing Statement'!B48</f>
        <v>45436</v>
      </c>
      <c r="D48" s="5">
        <f>'Imported Billing Statement'!C48</f>
        <v>45436</v>
      </c>
      <c r="E48" s="5" t="str">
        <f>'Imported Billing Statement'!D48</f>
        <v>CAMP LEJEUNE BARBER MA 9292652995 NYAPPLE PAY ENDING IN 6024</v>
      </c>
      <c r="F48" s="6">
        <f>'Imported Billing Statement'!E48</f>
        <v>17</v>
      </c>
      <c r="G48" s="5" t="str">
        <f>'Imported Billing Statement'!F48</f>
        <v>Services</v>
      </c>
      <c r="H48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Hair cuts</v>
      </c>
      <c r="I48" t="str" cm="1">
        <f t="array" ref="I48">_xlfn.SWITCH(MONTH(BillTable[[#This Row],[Trans. date]]),1,"January",2,"February",3,"March",4,"April",5,"May",6,"June",7,"July",8,"August",9,"September",10,"October",11,"November",12,"December")</f>
        <v>May</v>
      </c>
    </row>
    <row r="49" spans="2:9" x14ac:dyDescent="0.25">
      <c r="B49">
        <v>48</v>
      </c>
      <c r="C49" s="5">
        <f>'Imported Billing Statement'!B49</f>
        <v>45436</v>
      </c>
      <c r="D49" s="5">
        <f>'Imported Billing Statement'!C49</f>
        <v>45436</v>
      </c>
      <c r="E49" s="5" t="str">
        <f>'Imported Billing Statement'!D49</f>
        <v>HOOLIGANS JACKSONVILLE NC</v>
      </c>
      <c r="F49" s="6">
        <f>'Imported Billing Statement'!E49</f>
        <v>30</v>
      </c>
      <c r="G49" s="5" t="str">
        <f>'Imported Billing Statement'!F49</f>
        <v>Restaurants</v>
      </c>
      <c r="H49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49" t="str" cm="1">
        <f t="array" ref="I49">_xlfn.SWITCH(MONTH(BillTable[[#This Row],[Trans. date]]),1,"January",2,"February",3,"March",4,"April",5,"May",6,"June",7,"July",8,"August",9,"September",10,"October",11,"November",12,"December")</f>
        <v>May</v>
      </c>
    </row>
    <row r="50" spans="2:9" x14ac:dyDescent="0.25">
      <c r="B50">
        <v>49</v>
      </c>
      <c r="C50" s="5">
        <f>'Imported Billing Statement'!B50</f>
        <v>45436</v>
      </c>
      <c r="D50" s="5">
        <f>'Imported Billing Statement'!C50</f>
        <v>45436</v>
      </c>
      <c r="E50" s="5" t="str">
        <f>'Imported Billing Statement'!D50</f>
        <v>SPEAKEASY CO. 6196120920 CA</v>
      </c>
      <c r="F50" s="6">
        <f>'Imported Billing Statement'!E50</f>
        <v>159.86000000000001</v>
      </c>
      <c r="G50" s="5" t="str">
        <f>'Imported Billing Statement'!F50</f>
        <v>Services</v>
      </c>
      <c r="H50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50" t="str" cm="1">
        <f t="array" ref="I50">_xlfn.SWITCH(MONTH(BillTable[[#This Row],[Trans. date]]),1,"January",2,"February",3,"March",4,"April",5,"May",6,"June",7,"July",8,"August",9,"September",10,"October",11,"November",12,"December")</f>
        <v>May</v>
      </c>
    </row>
    <row r="51" spans="2:9" x14ac:dyDescent="0.25">
      <c r="B51">
        <v>50</v>
      </c>
      <c r="C51" s="5">
        <f>'Imported Billing Statement'!B51</f>
        <v>45435</v>
      </c>
      <c r="D51" s="5">
        <f>'Imported Billing Statement'!C51</f>
        <v>45435</v>
      </c>
      <c r="E51" s="5" t="str">
        <f>'Imported Billing Statement'!D51</f>
        <v>MICROSOFT ULTIMATE 1 M REDMOND WA</v>
      </c>
      <c r="F51" s="6">
        <f>'Imported Billing Statement'!E51</f>
        <v>18.18</v>
      </c>
      <c r="G51" s="5" t="str">
        <f>'Imported Billing Statement'!F51</f>
        <v>Services</v>
      </c>
      <c r="H51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Utilities</v>
      </c>
      <c r="I51" t="str" cm="1">
        <f t="array" ref="I51">_xlfn.SWITCH(MONTH(BillTable[[#This Row],[Trans. date]]),1,"January",2,"February",3,"March",4,"April",5,"May",6,"June",7,"July",8,"August",9,"September",10,"October",11,"November",12,"December")</f>
        <v>May</v>
      </c>
    </row>
    <row r="52" spans="2:9" x14ac:dyDescent="0.25">
      <c r="B52">
        <v>51</v>
      </c>
      <c r="C52" s="5">
        <f>'Imported Billing Statement'!B52</f>
        <v>45435</v>
      </c>
      <c r="D52" s="5">
        <f>'Imported Billing Statement'!C52</f>
        <v>45435</v>
      </c>
      <c r="E52" s="5" t="str">
        <f>'Imported Billing Statement'!D52</f>
        <v>NETFLIX.COM NETFLIX.COM CANETFLIX.COM</v>
      </c>
      <c r="F52" s="6">
        <f>'Imported Billing Statement'!E52</f>
        <v>24.6</v>
      </c>
      <c r="G52" s="5" t="str">
        <f>'Imported Billing Statement'!F52</f>
        <v>Services</v>
      </c>
      <c r="H52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/>
      </c>
      <c r="I52" t="str" cm="1">
        <f t="array" ref="I52">_xlfn.SWITCH(MONTH(BillTable[[#This Row],[Trans. date]]),1,"January",2,"February",3,"March",4,"April",5,"May",6,"June",7,"July",8,"August",9,"September",10,"October",11,"November",12,"December")</f>
        <v>May</v>
      </c>
    </row>
    <row r="53" spans="2:9" x14ac:dyDescent="0.25">
      <c r="B53">
        <v>52</v>
      </c>
      <c r="C53" s="5">
        <f>'Imported Billing Statement'!B53</f>
        <v>45434</v>
      </c>
      <c r="D53" s="5">
        <f>'Imported Billing Statement'!C53</f>
        <v>45434</v>
      </c>
      <c r="E53" s="5" t="str">
        <f>'Imported Billing Statement'!D53</f>
        <v>SPOTIFY P2C67FEBCB 8777781161 NY</v>
      </c>
      <c r="F53" s="6">
        <f>'Imported Billing Statement'!E53</f>
        <v>11.76</v>
      </c>
      <c r="G53" s="5" t="str">
        <f>'Imported Billing Statement'!F53</f>
        <v>Merchandise</v>
      </c>
      <c r="H53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Utilities</v>
      </c>
      <c r="I53" t="str" cm="1">
        <f t="array" ref="I53">_xlfn.SWITCH(MONTH(BillTable[[#This Row],[Trans. date]]),1,"January",2,"February",3,"March",4,"April",5,"May",6,"June",7,"July",8,"August",9,"September",10,"October",11,"November",12,"December")</f>
        <v>May</v>
      </c>
    </row>
    <row r="54" spans="2:9" x14ac:dyDescent="0.25">
      <c r="B54">
        <v>53</v>
      </c>
      <c r="C54" s="5">
        <f>'Imported Billing Statement'!B54</f>
        <v>45433</v>
      </c>
      <c r="D54" s="5">
        <f>'Imported Billing Statement'!C54</f>
        <v>45433</v>
      </c>
      <c r="E54" s="5" t="str">
        <f>'Imported Billing Statement'!D54</f>
        <v>HELLOFRESH 347-200-0291 NY</v>
      </c>
      <c r="F54" s="6">
        <f>'Imported Billing Statement'!E54</f>
        <v>72.349999999999994</v>
      </c>
      <c r="G54" s="5" t="str">
        <f>'Imported Billing Statement'!F54</f>
        <v>Supermarkets</v>
      </c>
      <c r="H54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Groceries</v>
      </c>
      <c r="I54" t="str" cm="1">
        <f t="array" ref="I54">_xlfn.SWITCH(MONTH(BillTable[[#This Row],[Trans. date]]),1,"January",2,"February",3,"March",4,"April",5,"May",6,"June",7,"July",8,"August",9,"September",10,"October",11,"November",12,"December")</f>
        <v>May</v>
      </c>
    </row>
    <row r="55" spans="2:9" x14ac:dyDescent="0.25">
      <c r="B55">
        <v>54</v>
      </c>
      <c r="C55" s="5">
        <f>'Imported Billing Statement'!B55</f>
        <v>45433</v>
      </c>
      <c r="D55" s="5">
        <f>'Imported Billing Statement'!C55</f>
        <v>45433</v>
      </c>
      <c r="E55" s="5" t="str">
        <f>'Imported Billing Statement'!D55</f>
        <v>SQ *JORDANIAN CUISINE JACKSONVILLE NC0002305843019828549884</v>
      </c>
      <c r="F55" s="6">
        <f>'Imported Billing Statement'!E55</f>
        <v>48.55</v>
      </c>
      <c r="G55" s="5" t="str">
        <f>'Imported Billing Statement'!F55</f>
        <v>Restaurants</v>
      </c>
      <c r="H55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Meals</v>
      </c>
      <c r="I55" t="str" cm="1">
        <f t="array" ref="I55">_xlfn.SWITCH(MONTH(BillTable[[#This Row],[Trans. date]]),1,"January",2,"February",3,"March",4,"April",5,"May",6,"June",7,"July",8,"August",9,"September",10,"October",11,"November",12,"December")</f>
        <v>May</v>
      </c>
    </row>
    <row r="56" spans="2:9" x14ac:dyDescent="0.25">
      <c r="B56">
        <v>55</v>
      </c>
      <c r="C56" s="5">
        <f>'Imported Billing Statement'!B56</f>
        <v>45432</v>
      </c>
      <c r="D56" s="5">
        <f>'Imported Billing Statement'!C56</f>
        <v>45433</v>
      </c>
      <c r="E56" s="5" t="str">
        <f>'Imported Billing Statement'!D56</f>
        <v>MDC*ONSLOW WATER AND SEW JACKSONVILLE NC</v>
      </c>
      <c r="F56" s="6">
        <f>'Imported Billing Statement'!E56</f>
        <v>21.27</v>
      </c>
      <c r="G56" s="5" t="str">
        <f>'Imported Billing Statement'!F56</f>
        <v>Services</v>
      </c>
      <c r="H56" t="str">
        <f>_xlfn.XLOOKUP(BillTable[[#This Row],[Discover Category]],CatConvTable[Discover],CatConvTable[My Category], _xlfn.XLOOKUP(_xlfn.TEXTBEFORE(BillTable[[#This Row],[Description]]," "),DescConvTable[Discover],DescConvTable[My Category], _xlfn.XLOOKUP(IF(COUNTIF(BillTable[[#This Row],[Description]],"*MDC*")=1,"MDC",""),DescConvTable[Discover],DescConvTable[My Category],"")))</f>
        <v>Utilities</v>
      </c>
      <c r="I56" t="str" cm="1">
        <f t="array" ref="I56">_xlfn.SWITCH(MONTH(BillTable[[#This Row],[Trans. date]]),1,"January",2,"February",3,"March",4,"April",5,"May",6,"June",7,"July",8,"August",9,"September",10,"October",11,"November",12,"December")</f>
        <v>May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information" allowBlank="1" showInputMessage="1" showErrorMessage="1" xr:uid="{4C365F36-EB47-4662-B1DF-E759BA8ACA81}">
          <x14:formula1>
            <xm:f>'Sums From Statements'!$B$4:$B$15</xm:f>
          </x14:formula1>
          <xm:sqref>H3:H56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FDA4-1FD1-4E8F-ADFB-865AE115219F}">
  <dimension ref="B2:F56"/>
  <sheetViews>
    <sheetView tabSelected="1" workbookViewId="0">
      <selection activeCell="A41" sqref="A41:XFD41"/>
    </sheetView>
  </sheetViews>
  <sheetFormatPr defaultRowHeight="15" x14ac:dyDescent="0.25"/>
  <cols>
    <col min="2" max="2" width="10.85546875" bestFit="1" customWidth="1"/>
    <col min="3" max="3" width="9.42578125" bestFit="1" customWidth="1"/>
    <col min="4" max="4" width="81.85546875" bestFit="1" customWidth="1"/>
    <col min="5" max="5" width="8.85546875" bestFit="1" customWidth="1"/>
    <col min="6" max="6" width="20.28515625" bestFit="1" customWidth="1"/>
  </cols>
  <sheetData>
    <row r="2" spans="2:6" x14ac:dyDescent="0.25">
      <c r="B2" s="1" t="s">
        <v>13</v>
      </c>
      <c r="C2" s="1" t="s">
        <v>14</v>
      </c>
      <c r="D2" s="1" t="s">
        <v>15</v>
      </c>
      <c r="E2" s="1" t="s">
        <v>16</v>
      </c>
      <c r="F2" s="1" t="s">
        <v>12</v>
      </c>
    </row>
    <row r="3" spans="2:6" x14ac:dyDescent="0.25">
      <c r="B3" s="2">
        <v>45463</v>
      </c>
      <c r="C3" s="2">
        <v>45463</v>
      </c>
      <c r="D3" s="3" t="s">
        <v>17</v>
      </c>
      <c r="E3" s="3">
        <v>3</v>
      </c>
      <c r="F3" s="3" t="s">
        <v>18</v>
      </c>
    </row>
    <row r="4" spans="2:6" x14ac:dyDescent="0.25">
      <c r="B4" s="2">
        <v>45463</v>
      </c>
      <c r="C4" s="2">
        <v>45463</v>
      </c>
      <c r="D4" s="3" t="s">
        <v>17</v>
      </c>
      <c r="E4" s="3">
        <v>15.84</v>
      </c>
      <c r="F4" s="3" t="s">
        <v>18</v>
      </c>
    </row>
    <row r="5" spans="2:6" x14ac:dyDescent="0.25">
      <c r="B5" s="2">
        <v>45463</v>
      </c>
      <c r="C5" s="2">
        <v>45463</v>
      </c>
      <c r="D5" s="3" t="s">
        <v>17</v>
      </c>
      <c r="E5" s="3">
        <v>20.6</v>
      </c>
      <c r="F5" s="3" t="s">
        <v>18</v>
      </c>
    </row>
    <row r="6" spans="2:6" x14ac:dyDescent="0.25">
      <c r="B6" s="2">
        <v>45462</v>
      </c>
      <c r="C6" s="2">
        <v>45462</v>
      </c>
      <c r="D6" s="3" t="s">
        <v>19</v>
      </c>
      <c r="E6" s="3">
        <v>0.99</v>
      </c>
      <c r="F6" s="3" t="s">
        <v>20</v>
      </c>
    </row>
    <row r="7" spans="2:6" x14ac:dyDescent="0.25">
      <c r="B7" s="2">
        <v>45462</v>
      </c>
      <c r="C7" s="2">
        <v>45462</v>
      </c>
      <c r="D7" s="3" t="s">
        <v>21</v>
      </c>
      <c r="E7" s="3">
        <v>86.99</v>
      </c>
      <c r="F7" s="3" t="s">
        <v>22</v>
      </c>
    </row>
    <row r="8" spans="2:6" x14ac:dyDescent="0.25">
      <c r="B8" s="2">
        <v>45462</v>
      </c>
      <c r="C8" s="2">
        <v>45462</v>
      </c>
      <c r="D8" s="3" t="s">
        <v>17</v>
      </c>
      <c r="E8" s="3">
        <v>3</v>
      </c>
      <c r="F8" s="3" t="s">
        <v>18</v>
      </c>
    </row>
    <row r="9" spans="2:6" x14ac:dyDescent="0.25">
      <c r="B9" s="2">
        <v>45462</v>
      </c>
      <c r="C9" s="2">
        <v>45462</v>
      </c>
      <c r="D9" s="3" t="s">
        <v>17</v>
      </c>
      <c r="E9" s="3">
        <v>5.04</v>
      </c>
      <c r="F9" s="3" t="s">
        <v>18</v>
      </c>
    </row>
    <row r="10" spans="2:6" x14ac:dyDescent="0.25">
      <c r="B10" s="2">
        <v>45461</v>
      </c>
      <c r="C10" s="2">
        <v>45461</v>
      </c>
      <c r="D10" s="3" t="s">
        <v>23</v>
      </c>
      <c r="E10" s="3">
        <v>21.27</v>
      </c>
      <c r="F10" s="3" t="s">
        <v>22</v>
      </c>
    </row>
    <row r="11" spans="2:6" x14ac:dyDescent="0.25">
      <c r="B11" s="2">
        <v>45461</v>
      </c>
      <c r="C11" s="2">
        <v>45461</v>
      </c>
      <c r="D11" s="3" t="s">
        <v>24</v>
      </c>
      <c r="E11" s="3">
        <v>9.16</v>
      </c>
      <c r="F11" s="3" t="s">
        <v>20</v>
      </c>
    </row>
    <row r="12" spans="2:6" x14ac:dyDescent="0.25">
      <c r="B12" s="2">
        <v>45459</v>
      </c>
      <c r="C12" s="2">
        <v>45459</v>
      </c>
      <c r="D12" s="3" t="s">
        <v>25</v>
      </c>
      <c r="E12" s="3">
        <v>537.96</v>
      </c>
      <c r="F12" s="3" t="s">
        <v>18</v>
      </c>
    </row>
    <row r="13" spans="2:6" x14ac:dyDescent="0.25">
      <c r="B13" s="2">
        <v>45459</v>
      </c>
      <c r="C13" s="2">
        <v>45459</v>
      </c>
      <c r="D13" s="3" t="s">
        <v>26</v>
      </c>
      <c r="E13" s="3">
        <v>20.91</v>
      </c>
      <c r="F13" s="3" t="s">
        <v>27</v>
      </c>
    </row>
    <row r="14" spans="2:6" x14ac:dyDescent="0.25">
      <c r="B14" s="2">
        <v>45458</v>
      </c>
      <c r="C14" s="2">
        <v>45458</v>
      </c>
      <c r="D14" s="3" t="s">
        <v>28</v>
      </c>
      <c r="E14" s="3">
        <v>20.53</v>
      </c>
      <c r="F14" s="3" t="s">
        <v>27</v>
      </c>
    </row>
    <row r="15" spans="2:6" x14ac:dyDescent="0.25">
      <c r="B15" s="2">
        <v>45458</v>
      </c>
      <c r="C15" s="2">
        <v>45458</v>
      </c>
      <c r="D15" s="3" t="s">
        <v>29</v>
      </c>
      <c r="E15" s="3">
        <v>20</v>
      </c>
      <c r="F15" s="3" t="s">
        <v>22</v>
      </c>
    </row>
    <row r="16" spans="2:6" x14ac:dyDescent="0.25">
      <c r="B16" s="2">
        <v>45458</v>
      </c>
      <c r="C16" s="2">
        <v>45458</v>
      </c>
      <c r="D16" s="3" t="s">
        <v>30</v>
      </c>
      <c r="E16" s="3">
        <v>25</v>
      </c>
      <c r="F16" s="3" t="s">
        <v>27</v>
      </c>
    </row>
    <row r="17" spans="2:6" x14ac:dyDescent="0.25">
      <c r="B17" s="2">
        <v>45458</v>
      </c>
      <c r="C17" s="2">
        <v>45458</v>
      </c>
      <c r="D17" s="3" t="s">
        <v>24</v>
      </c>
      <c r="E17" s="3">
        <v>77</v>
      </c>
      <c r="F17" s="3" t="s">
        <v>20</v>
      </c>
    </row>
    <row r="18" spans="2:6" x14ac:dyDescent="0.25">
      <c r="B18" s="2">
        <v>45457</v>
      </c>
      <c r="C18" s="2">
        <v>45457</v>
      </c>
      <c r="D18" s="3" t="s">
        <v>31</v>
      </c>
      <c r="E18" s="3">
        <v>4</v>
      </c>
      <c r="F18" s="3" t="s">
        <v>22</v>
      </c>
    </row>
    <row r="19" spans="2:6" x14ac:dyDescent="0.25">
      <c r="B19" s="2">
        <v>45457</v>
      </c>
      <c r="C19" s="2">
        <v>45457</v>
      </c>
      <c r="D19" s="3" t="s">
        <v>32</v>
      </c>
      <c r="E19" s="3">
        <v>62.52</v>
      </c>
      <c r="F19" s="3" t="s">
        <v>22</v>
      </c>
    </row>
    <row r="20" spans="2:6" x14ac:dyDescent="0.25">
      <c r="B20" s="2">
        <v>45457</v>
      </c>
      <c r="C20" s="2">
        <v>45457</v>
      </c>
      <c r="D20" s="3" t="s">
        <v>33</v>
      </c>
      <c r="E20" s="3">
        <v>14.2</v>
      </c>
      <c r="F20" s="3" t="s">
        <v>27</v>
      </c>
    </row>
    <row r="21" spans="2:6" x14ac:dyDescent="0.25">
      <c r="B21" s="2">
        <v>45456</v>
      </c>
      <c r="C21" s="2">
        <v>45456</v>
      </c>
      <c r="D21" s="3" t="s">
        <v>34</v>
      </c>
      <c r="E21" s="3">
        <v>17</v>
      </c>
      <c r="F21" s="3" t="s">
        <v>22</v>
      </c>
    </row>
    <row r="22" spans="2:6" x14ac:dyDescent="0.25">
      <c r="B22" s="2">
        <v>45456</v>
      </c>
      <c r="C22" s="2">
        <v>45456</v>
      </c>
      <c r="D22" s="3" t="s">
        <v>35</v>
      </c>
      <c r="E22" s="3">
        <v>72.349999999999994</v>
      </c>
      <c r="F22" s="3" t="s">
        <v>36</v>
      </c>
    </row>
    <row r="23" spans="2:6" x14ac:dyDescent="0.25">
      <c r="B23" s="2">
        <v>45456</v>
      </c>
      <c r="C23" s="2">
        <v>45456</v>
      </c>
      <c r="D23" s="3" t="s">
        <v>37</v>
      </c>
      <c r="E23" s="3">
        <v>28.14</v>
      </c>
      <c r="F23" s="3" t="s">
        <v>38</v>
      </c>
    </row>
    <row r="24" spans="2:6" x14ac:dyDescent="0.25">
      <c r="B24" s="2">
        <v>45456</v>
      </c>
      <c r="C24" s="2">
        <v>45456</v>
      </c>
      <c r="D24" s="3" t="s">
        <v>39</v>
      </c>
      <c r="E24" s="3">
        <v>15.43</v>
      </c>
      <c r="F24" s="3" t="s">
        <v>27</v>
      </c>
    </row>
    <row r="25" spans="2:6" x14ac:dyDescent="0.25">
      <c r="B25" s="2">
        <v>45454</v>
      </c>
      <c r="C25" s="2">
        <v>45454</v>
      </c>
      <c r="D25" s="3" t="s">
        <v>40</v>
      </c>
      <c r="E25" s="3">
        <v>10.69</v>
      </c>
      <c r="F25" s="3" t="s">
        <v>27</v>
      </c>
    </row>
    <row r="26" spans="2:6" x14ac:dyDescent="0.25">
      <c r="B26" s="2">
        <v>45453</v>
      </c>
      <c r="C26" s="2">
        <v>45453</v>
      </c>
      <c r="D26" s="3" t="s">
        <v>41</v>
      </c>
      <c r="E26" s="4">
        <v>-2369.2199999999998</v>
      </c>
      <c r="F26" s="3" t="s">
        <v>42</v>
      </c>
    </row>
    <row r="27" spans="2:6" x14ac:dyDescent="0.25">
      <c r="B27" s="2">
        <v>45452</v>
      </c>
      <c r="C27" s="2">
        <v>45452</v>
      </c>
      <c r="D27" s="3" t="s">
        <v>31</v>
      </c>
      <c r="E27" s="3">
        <v>4</v>
      </c>
      <c r="F27" s="3" t="s">
        <v>22</v>
      </c>
    </row>
    <row r="28" spans="2:6" x14ac:dyDescent="0.25">
      <c r="B28" s="2">
        <v>45452</v>
      </c>
      <c r="C28" s="2">
        <v>45452</v>
      </c>
      <c r="D28" s="3" t="s">
        <v>43</v>
      </c>
      <c r="E28" s="3">
        <v>102.72</v>
      </c>
      <c r="F28" s="3" t="s">
        <v>20</v>
      </c>
    </row>
    <row r="29" spans="2:6" x14ac:dyDescent="0.25">
      <c r="B29" s="2">
        <v>45452</v>
      </c>
      <c r="C29" s="2">
        <v>45452</v>
      </c>
      <c r="D29" s="3" t="s">
        <v>24</v>
      </c>
      <c r="E29" s="3">
        <v>9.8800000000000008</v>
      </c>
      <c r="F29" s="3" t="s">
        <v>20</v>
      </c>
    </row>
    <row r="30" spans="2:6" x14ac:dyDescent="0.25">
      <c r="B30" s="2">
        <v>45451</v>
      </c>
      <c r="C30" s="2">
        <v>45451</v>
      </c>
      <c r="D30" s="3" t="s">
        <v>31</v>
      </c>
      <c r="E30" s="3">
        <v>8</v>
      </c>
      <c r="F30" s="3" t="s">
        <v>22</v>
      </c>
    </row>
    <row r="31" spans="2:6" x14ac:dyDescent="0.25">
      <c r="B31" s="2">
        <v>45451</v>
      </c>
      <c r="C31" s="2">
        <v>45451</v>
      </c>
      <c r="D31" s="3" t="s">
        <v>44</v>
      </c>
      <c r="E31" s="3">
        <v>16.190000000000001</v>
      </c>
      <c r="F31" s="3" t="s">
        <v>27</v>
      </c>
    </row>
    <row r="32" spans="2:6" x14ac:dyDescent="0.25">
      <c r="B32" s="2">
        <v>45450</v>
      </c>
      <c r="C32" s="2">
        <v>45450</v>
      </c>
      <c r="D32" s="3" t="s">
        <v>45</v>
      </c>
      <c r="E32" s="3">
        <v>19.25</v>
      </c>
      <c r="F32" s="3" t="s">
        <v>38</v>
      </c>
    </row>
    <row r="33" spans="2:6" x14ac:dyDescent="0.25">
      <c r="B33" s="2">
        <v>45450</v>
      </c>
      <c r="C33" s="2">
        <v>45450</v>
      </c>
      <c r="D33" s="3" t="s">
        <v>24</v>
      </c>
      <c r="E33" s="3">
        <v>106.59</v>
      </c>
      <c r="F33" s="3" t="s">
        <v>20</v>
      </c>
    </row>
    <row r="34" spans="2:6" x14ac:dyDescent="0.25">
      <c r="B34" s="2">
        <v>45449</v>
      </c>
      <c r="C34" s="2">
        <v>45449</v>
      </c>
      <c r="D34" s="3" t="s">
        <v>35</v>
      </c>
      <c r="E34" s="3">
        <v>72.349999999999994</v>
      </c>
      <c r="F34" s="3" t="s">
        <v>36</v>
      </c>
    </row>
    <row r="35" spans="2:6" x14ac:dyDescent="0.25">
      <c r="B35" s="2">
        <v>45449</v>
      </c>
      <c r="C35" s="2">
        <v>45449</v>
      </c>
      <c r="D35" s="3" t="s">
        <v>46</v>
      </c>
      <c r="E35" s="3">
        <v>26.94</v>
      </c>
      <c r="F35" s="3" t="s">
        <v>38</v>
      </c>
    </row>
    <row r="36" spans="2:6" x14ac:dyDescent="0.25">
      <c r="B36" s="2">
        <v>45445</v>
      </c>
      <c r="C36" s="2">
        <v>45445</v>
      </c>
      <c r="D36" s="3" t="s">
        <v>24</v>
      </c>
      <c r="E36" s="3">
        <v>85.63</v>
      </c>
      <c r="F36" s="3" t="s">
        <v>20</v>
      </c>
    </row>
    <row r="37" spans="2:6" x14ac:dyDescent="0.25">
      <c r="B37" s="2">
        <v>45443</v>
      </c>
      <c r="C37" s="2">
        <v>45443</v>
      </c>
      <c r="D37" s="3" t="s">
        <v>34</v>
      </c>
      <c r="E37" s="3">
        <v>17</v>
      </c>
      <c r="F37" s="3" t="s">
        <v>22</v>
      </c>
    </row>
    <row r="38" spans="2:6" x14ac:dyDescent="0.25">
      <c r="B38" s="2">
        <v>45442</v>
      </c>
      <c r="C38" s="2">
        <v>45442</v>
      </c>
      <c r="D38" s="3" t="s">
        <v>47</v>
      </c>
      <c r="E38" s="3">
        <v>72.349999999999994</v>
      </c>
      <c r="F38" s="3" t="s">
        <v>36</v>
      </c>
    </row>
    <row r="39" spans="2:6" x14ac:dyDescent="0.25">
      <c r="B39" s="2">
        <v>45442</v>
      </c>
      <c r="C39" s="2">
        <v>45442</v>
      </c>
      <c r="D39" s="3" t="s">
        <v>48</v>
      </c>
      <c r="E39" s="3">
        <v>22.25</v>
      </c>
      <c r="F39" s="3" t="s">
        <v>27</v>
      </c>
    </row>
    <row r="40" spans="2:6" x14ac:dyDescent="0.25">
      <c r="B40" s="2">
        <v>45441</v>
      </c>
      <c r="C40" s="2">
        <v>45441</v>
      </c>
      <c r="D40" s="3" t="s">
        <v>49</v>
      </c>
      <c r="E40" s="3">
        <v>35.29</v>
      </c>
      <c r="F40" s="3" t="s">
        <v>20</v>
      </c>
    </row>
    <row r="41" spans="2:6" x14ac:dyDescent="0.25">
      <c r="B41" s="2">
        <v>45439</v>
      </c>
      <c r="C41" s="2">
        <v>45439</v>
      </c>
      <c r="D41" s="3" t="s">
        <v>50</v>
      </c>
      <c r="E41" s="3">
        <v>517.88</v>
      </c>
      <c r="F41" s="3" t="s">
        <v>20</v>
      </c>
    </row>
    <row r="42" spans="2:6" x14ac:dyDescent="0.25">
      <c r="B42" s="2">
        <v>45439</v>
      </c>
      <c r="C42" s="2">
        <v>45439</v>
      </c>
      <c r="D42" s="3" t="s">
        <v>46</v>
      </c>
      <c r="E42" s="3">
        <v>27.68</v>
      </c>
      <c r="F42" s="3" t="s">
        <v>38</v>
      </c>
    </row>
    <row r="43" spans="2:6" x14ac:dyDescent="0.25">
      <c r="B43" s="2">
        <v>45438</v>
      </c>
      <c r="C43" s="2">
        <v>45438</v>
      </c>
      <c r="D43" s="3" t="s">
        <v>51</v>
      </c>
      <c r="E43" s="3">
        <v>22</v>
      </c>
      <c r="F43" s="3" t="s">
        <v>52</v>
      </c>
    </row>
    <row r="44" spans="2:6" x14ac:dyDescent="0.25">
      <c r="B44" s="2">
        <v>45438</v>
      </c>
      <c r="C44" s="2">
        <v>45438</v>
      </c>
      <c r="D44" s="3" t="s">
        <v>24</v>
      </c>
      <c r="E44" s="3">
        <v>107.69</v>
      </c>
      <c r="F44" s="3" t="s">
        <v>20</v>
      </c>
    </row>
    <row r="45" spans="2:6" x14ac:dyDescent="0.25">
      <c r="B45" s="2">
        <v>45437</v>
      </c>
      <c r="C45" s="2">
        <v>45437</v>
      </c>
      <c r="D45" s="3" t="s">
        <v>53</v>
      </c>
      <c r="E45" s="3">
        <v>65.52</v>
      </c>
      <c r="F45" s="3" t="s">
        <v>27</v>
      </c>
    </row>
    <row r="46" spans="2:6" x14ac:dyDescent="0.25">
      <c r="B46" s="2">
        <v>45437</v>
      </c>
      <c r="C46" s="2">
        <v>45437</v>
      </c>
      <c r="D46" s="3" t="s">
        <v>54</v>
      </c>
      <c r="E46" s="3">
        <v>19.25</v>
      </c>
      <c r="F46" s="3" t="s">
        <v>36</v>
      </c>
    </row>
    <row r="47" spans="2:6" x14ac:dyDescent="0.25">
      <c r="B47" s="2">
        <v>45437</v>
      </c>
      <c r="C47" s="2">
        <v>45437</v>
      </c>
      <c r="D47" s="3" t="s">
        <v>33</v>
      </c>
      <c r="E47" s="3">
        <v>5.25</v>
      </c>
      <c r="F47" s="3" t="s">
        <v>27</v>
      </c>
    </row>
    <row r="48" spans="2:6" x14ac:dyDescent="0.25">
      <c r="B48" s="2">
        <v>45436</v>
      </c>
      <c r="C48" s="2">
        <v>45436</v>
      </c>
      <c r="D48" s="3" t="s">
        <v>34</v>
      </c>
      <c r="E48" s="3">
        <v>17</v>
      </c>
      <c r="F48" s="3" t="s">
        <v>22</v>
      </c>
    </row>
    <row r="49" spans="2:6" x14ac:dyDescent="0.25">
      <c r="B49" s="2">
        <v>45436</v>
      </c>
      <c r="C49" s="2">
        <v>45436</v>
      </c>
      <c r="D49" s="3" t="s">
        <v>55</v>
      </c>
      <c r="E49" s="3">
        <v>30</v>
      </c>
      <c r="F49" s="3" t="s">
        <v>27</v>
      </c>
    </row>
    <row r="50" spans="2:6" x14ac:dyDescent="0.25">
      <c r="B50" s="2">
        <v>45436</v>
      </c>
      <c r="C50" s="2">
        <v>45436</v>
      </c>
      <c r="D50" s="3" t="s">
        <v>56</v>
      </c>
      <c r="E50" s="3">
        <v>159.86000000000001</v>
      </c>
      <c r="F50" s="3" t="s">
        <v>22</v>
      </c>
    </row>
    <row r="51" spans="2:6" x14ac:dyDescent="0.25">
      <c r="B51" s="2">
        <v>45435</v>
      </c>
      <c r="C51" s="2">
        <v>45435</v>
      </c>
      <c r="D51" s="3" t="s">
        <v>57</v>
      </c>
      <c r="E51" s="3">
        <v>18.18</v>
      </c>
      <c r="F51" s="3" t="s">
        <v>22</v>
      </c>
    </row>
    <row r="52" spans="2:6" x14ac:dyDescent="0.25">
      <c r="B52" s="2">
        <v>45435</v>
      </c>
      <c r="C52" s="2">
        <v>45435</v>
      </c>
      <c r="D52" s="3" t="s">
        <v>58</v>
      </c>
      <c r="E52" s="3">
        <v>24.6</v>
      </c>
      <c r="F52" s="3" t="s">
        <v>22</v>
      </c>
    </row>
    <row r="53" spans="2:6" x14ac:dyDescent="0.25">
      <c r="B53" s="2">
        <v>45434</v>
      </c>
      <c r="C53" s="2">
        <v>45434</v>
      </c>
      <c r="D53" s="3" t="s">
        <v>59</v>
      </c>
      <c r="E53" s="3">
        <v>11.76</v>
      </c>
      <c r="F53" s="3" t="s">
        <v>20</v>
      </c>
    </row>
    <row r="54" spans="2:6" x14ac:dyDescent="0.25">
      <c r="B54" s="2">
        <v>45433</v>
      </c>
      <c r="C54" s="2">
        <v>45433</v>
      </c>
      <c r="D54" s="3" t="s">
        <v>35</v>
      </c>
      <c r="E54" s="3">
        <v>72.349999999999994</v>
      </c>
      <c r="F54" s="3" t="s">
        <v>36</v>
      </c>
    </row>
    <row r="55" spans="2:6" x14ac:dyDescent="0.25">
      <c r="B55" s="2">
        <v>45433</v>
      </c>
      <c r="C55" s="2">
        <v>45433</v>
      </c>
      <c r="D55" s="3" t="s">
        <v>60</v>
      </c>
      <c r="E55" s="3">
        <v>48.55</v>
      </c>
      <c r="F55" s="3" t="s">
        <v>27</v>
      </c>
    </row>
    <row r="56" spans="2:6" x14ac:dyDescent="0.25">
      <c r="B56" s="2">
        <v>45432</v>
      </c>
      <c r="C56" s="2">
        <v>45433</v>
      </c>
      <c r="D56" s="3" t="s">
        <v>23</v>
      </c>
      <c r="E56" s="3">
        <v>21.27</v>
      </c>
      <c r="F5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FY 2020s</vt:lpstr>
      <vt:lpstr>Sums From Statements</vt:lpstr>
      <vt:lpstr>Processing Statement</vt:lpstr>
      <vt:lpstr>Imported Billing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Barton</dc:creator>
  <cp:lastModifiedBy>Garrett Barton</cp:lastModifiedBy>
  <dcterms:created xsi:type="dcterms:W3CDTF">2024-08-10T21:05:23Z</dcterms:created>
  <dcterms:modified xsi:type="dcterms:W3CDTF">2024-08-11T19:11:17Z</dcterms:modified>
</cp:coreProperties>
</file>