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Exp Project\"/>
    </mc:Choice>
  </mc:AlternateContent>
  <xr:revisionPtr revIDLastSave="0" documentId="13_ncr:1_{BB8A229A-3EA6-477F-9D91-9F2055AF23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/>
  <c r="L33" i="1" s="1"/>
  <c r="L19" i="1"/>
  <c r="L21" i="1" s="1"/>
  <c r="H69" i="1"/>
  <c r="D69" i="1" s="1"/>
  <c r="H70" i="1"/>
  <c r="D70" i="1" s="1"/>
  <c r="H71" i="1"/>
  <c r="D71" i="1" s="1"/>
  <c r="H72" i="1"/>
  <c r="D72" i="1" s="1"/>
  <c r="H73" i="1"/>
  <c r="D73" i="1" s="1"/>
  <c r="H68" i="1"/>
  <c r="I68" i="1" s="1"/>
  <c r="L72" i="1"/>
  <c r="E73" i="1"/>
  <c r="E72" i="1"/>
  <c r="E71" i="1"/>
  <c r="E70" i="1"/>
  <c r="E69" i="1"/>
  <c r="E68" i="1"/>
  <c r="E67" i="1"/>
  <c r="H61" i="1"/>
  <c r="I61" i="1" s="1"/>
  <c r="H60" i="1"/>
  <c r="I60" i="1" s="1"/>
  <c r="L61" i="1"/>
  <c r="L62" i="1" s="1"/>
  <c r="E61" i="1"/>
  <c r="E60" i="1"/>
  <c r="E59" i="1"/>
  <c r="I52" i="1"/>
  <c r="I53" i="1"/>
  <c r="I54" i="1"/>
  <c r="I49" i="1"/>
  <c r="H50" i="1"/>
  <c r="D50" i="1" s="1"/>
  <c r="H51" i="1"/>
  <c r="D51" i="1" s="1"/>
  <c r="H52" i="1"/>
  <c r="D52" i="1" s="1"/>
  <c r="H53" i="1"/>
  <c r="D53" i="1" s="1"/>
  <c r="H54" i="1"/>
  <c r="D54" i="1" s="1"/>
  <c r="H49" i="1"/>
  <c r="D49" i="1" s="1"/>
  <c r="H41" i="1"/>
  <c r="D41" i="1" s="1"/>
  <c r="E49" i="1"/>
  <c r="E50" i="1"/>
  <c r="E52" i="1"/>
  <c r="E53" i="1"/>
  <c r="E54" i="1"/>
  <c r="L53" i="1"/>
  <c r="E51" i="1"/>
  <c r="E48" i="1"/>
  <c r="H42" i="1"/>
  <c r="D42" i="1" s="1"/>
  <c r="H40" i="1"/>
  <c r="D40" i="1" s="1"/>
  <c r="L41" i="1"/>
  <c r="L42" i="1" s="1"/>
  <c r="E40" i="1"/>
  <c r="E41" i="1"/>
  <c r="E42" i="1"/>
  <c r="E39" i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F27" i="1"/>
  <c r="E27" i="1" s="1"/>
  <c r="D34" i="1"/>
  <c r="H34" i="1" s="1"/>
  <c r="I34" i="1" s="1"/>
  <c r="D33" i="1"/>
  <c r="H33" i="1" s="1"/>
  <c r="I33" i="1" s="1"/>
  <c r="D32" i="1"/>
  <c r="H32" i="1" s="1"/>
  <c r="I32" i="1" s="1"/>
  <c r="D31" i="1"/>
  <c r="H31" i="1" s="1"/>
  <c r="I31" i="1" s="1"/>
  <c r="D30" i="1"/>
  <c r="H30" i="1" s="1"/>
  <c r="I30" i="1" s="1"/>
  <c r="D29" i="1"/>
  <c r="H29" i="1" s="1"/>
  <c r="I29" i="1" s="1"/>
  <c r="E22" i="1"/>
  <c r="F22" i="1" s="1"/>
  <c r="E21" i="1"/>
  <c r="F21" i="1" s="1"/>
  <c r="E20" i="1"/>
  <c r="F20" i="1" s="1"/>
  <c r="E19" i="1"/>
  <c r="F19" i="1" s="1"/>
  <c r="E18" i="1"/>
  <c r="F18" i="1" s="1"/>
  <c r="F16" i="1"/>
  <c r="E16" i="1" s="1"/>
  <c r="D22" i="1"/>
  <c r="H22" i="1" s="1"/>
  <c r="I22" i="1" s="1"/>
  <c r="D21" i="1"/>
  <c r="H21" i="1" s="1"/>
  <c r="I21" i="1" s="1"/>
  <c r="D20" i="1"/>
  <c r="H20" i="1" s="1"/>
  <c r="I20" i="1" s="1"/>
  <c r="D19" i="1"/>
  <c r="H19" i="1" s="1"/>
  <c r="I19" i="1" s="1"/>
  <c r="D18" i="1"/>
  <c r="H18" i="1" s="1"/>
  <c r="I18" i="1" s="1"/>
  <c r="F4" i="1"/>
  <c r="E4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D7" i="1"/>
  <c r="H7" i="1" s="1"/>
  <c r="I7" i="1" s="1"/>
  <c r="D8" i="1"/>
  <c r="H8" i="1" s="1"/>
  <c r="I8" i="1" s="1"/>
  <c r="D9" i="1"/>
  <c r="H9" i="1" s="1"/>
  <c r="I9" i="1" s="1"/>
  <c r="D10" i="1"/>
  <c r="H10" i="1" s="1"/>
  <c r="I10" i="1" s="1"/>
  <c r="D11" i="1"/>
  <c r="H11" i="1" s="1"/>
  <c r="I11" i="1" s="1"/>
  <c r="D6" i="1"/>
  <c r="H6" i="1" s="1"/>
  <c r="I6" i="1" s="1"/>
  <c r="L7" i="1"/>
  <c r="L8" i="1" s="1"/>
  <c r="I4" i="1" s="1"/>
  <c r="I50" i="1" l="1"/>
  <c r="I71" i="1"/>
  <c r="I72" i="1"/>
  <c r="I70" i="1"/>
  <c r="I51" i="1"/>
  <c r="I69" i="1"/>
  <c r="I73" i="1"/>
  <c r="I40" i="1"/>
  <c r="D68" i="1"/>
  <c r="I42" i="1"/>
  <c r="L32" i="1"/>
  <c r="L20" i="1"/>
  <c r="D61" i="1"/>
  <c r="D60" i="1"/>
  <c r="I41" i="1"/>
  <c r="L9" i="1"/>
  <c r="H4" i="1" s="1"/>
</calcChain>
</file>

<file path=xl/sharedStrings.xml><?xml version="1.0" encoding="utf-8"?>
<sst xmlns="http://schemas.openxmlformats.org/spreadsheetml/2006/main" count="143" uniqueCount="26">
  <si>
    <t>t (sec)</t>
  </si>
  <si>
    <t>t (min)</t>
  </si>
  <si>
    <t>h_cone</t>
  </si>
  <si>
    <t>dia</t>
  </si>
  <si>
    <t>units</t>
  </si>
  <si>
    <t>cm</t>
  </si>
  <si>
    <t>rad</t>
  </si>
  <si>
    <t>vol_cy</t>
  </si>
  <si>
    <t>cm^3</t>
  </si>
  <si>
    <t>vol_cn</t>
  </si>
  <si>
    <t>vol_conv</t>
  </si>
  <si>
    <t>vol_left</t>
  </si>
  <si>
    <t>h_cy</t>
  </si>
  <si>
    <t>xa</t>
  </si>
  <si>
    <t>h_left</t>
  </si>
  <si>
    <t>cone</t>
  </si>
  <si>
    <t>Exp 1</t>
  </si>
  <si>
    <t>Exp 2</t>
  </si>
  <si>
    <t>Exp 3</t>
  </si>
  <si>
    <t>cylinder</t>
  </si>
  <si>
    <t>Exp 4</t>
  </si>
  <si>
    <t>Exp 5</t>
  </si>
  <si>
    <t>Candle's cover was made of cardboard, which caught fire after these readings.</t>
  </si>
  <si>
    <t>Cup formed on the top got melted from one side, causing flickring &amp; uneven melting.</t>
  </si>
  <si>
    <t>Exp 6</t>
  </si>
  <si>
    <t>Exp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</si>
</sst>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 textRotation="90"/>
    </xf>
    <xf numFmtId="0" fontId="0" fillId="0" borderId="0" xfId="0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Conversion vs time (E1)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048776632028909E-3"/>
                  <c:y val="0.336532575794793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1'!$F$6:$F$11</c:f>
              <c:numCache>
                <c:formatCode>0.000</c:formatCode>
                <c:ptCount val="6"/>
                <c:pt idx="0">
                  <c:v>14.233333333333333</c:v>
                </c:pt>
                <c:pt idx="1">
                  <c:v>24.233333333333334</c:v>
                </c:pt>
                <c:pt idx="2">
                  <c:v>34.233333333333334</c:v>
                </c:pt>
                <c:pt idx="3">
                  <c:v>44.233333333333334</c:v>
                </c:pt>
                <c:pt idx="4">
                  <c:v>54.233333333333334</c:v>
                </c:pt>
                <c:pt idx="5">
                  <c:v>64.233333333333334</c:v>
                </c:pt>
              </c:numCache>
            </c:numRef>
          </c:xVal>
          <c:yVal>
            <c:numRef>
              <c:f>'Exp 1'!$D$6:$D$11</c:f>
              <c:numCache>
                <c:formatCode>0.000</c:formatCode>
                <c:ptCount val="6"/>
                <c:pt idx="0">
                  <c:v>0.13636363636363635</c:v>
                </c:pt>
                <c:pt idx="1">
                  <c:v>0.26363636363636367</c:v>
                </c:pt>
                <c:pt idx="2">
                  <c:v>0.40909090909090906</c:v>
                </c:pt>
                <c:pt idx="3">
                  <c:v>0.50909090909090904</c:v>
                </c:pt>
                <c:pt idx="4">
                  <c:v>0.62727272727272732</c:v>
                </c:pt>
                <c:pt idx="5">
                  <c:v>0.88181818181818183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7A-4D36-ABCC-1DCF43E111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35729504"/>
        <c:axId val="735730464"/>
      </c:scatterChart>
      <c:valAx>
        <c:axId val="73572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30464"/>
        <c:crosses val="autoZero"/>
        <c:crossBetween val="midCat"/>
      </c:valAx>
      <c:valAx>
        <c:axId val="7357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Conversion (Xa)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Conversion vs time (E2)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447634339481026E-2"/>
                  <c:y val="0.31821495236222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1'!$F$18:$F$22</c:f>
              <c:numCache>
                <c:formatCode>0.000</c:formatCode>
                <c:ptCount val="5"/>
                <c:pt idx="0">
                  <c:v>14.316666666666666</c:v>
                </c:pt>
                <c:pt idx="1">
                  <c:v>24.316666666666666</c:v>
                </c:pt>
                <c:pt idx="2">
                  <c:v>34.31666666666667</c:v>
                </c:pt>
                <c:pt idx="3">
                  <c:v>44.31666666666667</c:v>
                </c:pt>
                <c:pt idx="4">
                  <c:v>51.133333333333333</c:v>
                </c:pt>
              </c:numCache>
            </c:numRef>
          </c:xVal>
          <c:yVal>
            <c:numRef>
              <c:f>'Exp 1'!$D$18:$D$22</c:f>
              <c:numCache>
                <c:formatCode>0.000</c:formatCode>
                <c:ptCount val="5"/>
                <c:pt idx="0">
                  <c:v>0.11818181818181828</c:v>
                </c:pt>
                <c:pt idx="1">
                  <c:v>0.28181818181818175</c:v>
                </c:pt>
                <c:pt idx="2">
                  <c:v>0.57272727272727275</c:v>
                </c:pt>
                <c:pt idx="3">
                  <c:v>0.74545454545454548</c:v>
                </c:pt>
                <c:pt idx="4">
                  <c:v>0.99090909090909096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5A-471C-AF49-1499C811BC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61148143"/>
        <c:axId val="1461991263"/>
      </c:scatterChart>
      <c:valAx>
        <c:axId val="146114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91263"/>
        <c:crosses val="autoZero"/>
        <c:crossBetween val="midCat"/>
      </c:valAx>
      <c:valAx>
        <c:axId val="146199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Conversion (Xa)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4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Conversion vs time (E3)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970792209078669E-2"/>
                  <c:y val="0.31150164618722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1'!$F$29:$F$34</c:f>
              <c:numCache>
                <c:formatCode>0.000</c:formatCode>
                <c:ptCount val="6"/>
                <c:pt idx="0">
                  <c:v>14.483333333333333</c:v>
                </c:pt>
                <c:pt idx="1">
                  <c:v>24.483333333333334</c:v>
                </c:pt>
                <c:pt idx="2">
                  <c:v>34.483333333333334</c:v>
                </c:pt>
                <c:pt idx="3">
                  <c:v>44.483333333333334</c:v>
                </c:pt>
                <c:pt idx="4">
                  <c:v>54.483333333333334</c:v>
                </c:pt>
                <c:pt idx="5">
                  <c:v>61.05</c:v>
                </c:pt>
              </c:numCache>
            </c:numRef>
          </c:xVal>
          <c:yVal>
            <c:numRef>
              <c:f>'Exp 1'!$D$29:$D$34</c:f>
              <c:numCache>
                <c:formatCode>0.000</c:formatCode>
                <c:ptCount val="6"/>
                <c:pt idx="0">
                  <c:v>0.12727272727272732</c:v>
                </c:pt>
                <c:pt idx="1">
                  <c:v>0.26363636363636367</c:v>
                </c:pt>
                <c:pt idx="2">
                  <c:v>0.49090909090909096</c:v>
                </c:pt>
                <c:pt idx="3">
                  <c:v>0.67272727272727273</c:v>
                </c:pt>
                <c:pt idx="4">
                  <c:v>0.86363636363636365</c:v>
                </c:pt>
                <c:pt idx="5">
                  <c:v>0.97272727272727277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08-4793-8A9D-95254947E17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22166960"/>
        <c:axId val="1922168400"/>
      </c:scatterChart>
      <c:valAx>
        <c:axId val="192216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68400"/>
        <c:crosses val="autoZero"/>
        <c:crossBetween val="midCat"/>
      </c:valAx>
      <c:valAx>
        <c:axId val="192216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Conversion (Xa)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6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/>
              <a:t>Conversion vs time (E4)</a:t>
            </a:r>
          </a:p>
        </c:rich>
      </c:tx>
      <c:layout>
        <c:manualLayout>
          <c:xMode val="edge"/>
          <c:yMode val="edge"/>
          <c:x val="0.33093606766732192"/>
          <c:y val="4.1995934881683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043183367047805E-2"/>
                  <c:y val="0.31498120006119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1'!$F$39:$F$42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'Exp 1'!$D$39:$D$42</c:f>
              <c:numCache>
                <c:formatCode>0.000</c:formatCode>
                <c:ptCount val="4"/>
                <c:pt idx="0">
                  <c:v>0</c:v>
                </c:pt>
                <c:pt idx="1">
                  <c:v>0.23529411568860903</c:v>
                </c:pt>
                <c:pt idx="2">
                  <c:v>0.62352940657481393</c:v>
                </c:pt>
                <c:pt idx="3">
                  <c:v>0.97647058010772758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E-41C6-8DF8-1BD7740D01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0623311"/>
        <c:axId val="230625711"/>
      </c:scatterChart>
      <c:valAx>
        <c:axId val="23062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 (min)</a:t>
                </a:r>
              </a:p>
            </c:rich>
          </c:tx>
          <c:layout>
            <c:manualLayout>
              <c:xMode val="edge"/>
              <c:yMode val="edge"/>
              <c:x val="0.46994736536222487"/>
              <c:y val="0.900129772215224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5711"/>
        <c:crosses val="autoZero"/>
        <c:crossBetween val="midCat"/>
      </c:valAx>
      <c:valAx>
        <c:axId val="2306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Conversion (Xa)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Conversion vs time (E5)</a:t>
            </a:r>
          </a:p>
        </c:rich>
      </c:tx>
      <c:layout>
        <c:manualLayout>
          <c:xMode val="edge"/>
          <c:yMode val="edge"/>
          <c:x val="0.3308227965280273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198818897637796E-2"/>
                  <c:y val="0.3097685185185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1'!$F$48:$F$54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'Exp 1'!$D$48:$D$54</c:f>
              <c:numCache>
                <c:formatCode>0.000</c:formatCode>
                <c:ptCount val="7"/>
                <c:pt idx="0">
                  <c:v>0</c:v>
                </c:pt>
                <c:pt idx="1">
                  <c:v>0.11428572420379325</c:v>
                </c:pt>
                <c:pt idx="2">
                  <c:v>0.20000001735663828</c:v>
                </c:pt>
                <c:pt idx="3">
                  <c:v>0.25714287945853487</c:v>
                </c:pt>
                <c:pt idx="4">
                  <c:v>0.31428574156043154</c:v>
                </c:pt>
                <c:pt idx="5">
                  <c:v>0.37142860366232811</c:v>
                </c:pt>
                <c:pt idx="6">
                  <c:v>0.42857146576422478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B-43AE-8637-E1490DBB70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47210831"/>
        <c:axId val="247209391"/>
      </c:scatterChart>
      <c:valAx>
        <c:axId val="24721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(min)</a:t>
                </a:r>
              </a:p>
            </c:rich>
          </c:tx>
          <c:layout>
            <c:manualLayout>
              <c:xMode val="edge"/>
              <c:yMode val="edge"/>
              <c:x val="0.468276718086164"/>
              <c:y val="0.89431086743527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09391"/>
        <c:crosses val="autoZero"/>
        <c:crossBetween val="midCat"/>
      </c:valAx>
      <c:valAx>
        <c:axId val="24720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Conversion (Xa)</a:t>
                </a:r>
              </a:p>
            </c:rich>
          </c:tx>
          <c:layout>
            <c:manualLayout>
              <c:xMode val="edge"/>
              <c:yMode val="edge"/>
              <c:x val="2.1981602523730288E-2"/>
              <c:y val="0.32057621492437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1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Conversion vs time (E7)</a:t>
            </a:r>
          </a:p>
        </c:rich>
      </c:tx>
      <c:layout>
        <c:manualLayout>
          <c:xMode val="edge"/>
          <c:yMode val="edge"/>
          <c:x val="0.35234011373578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93000874890639E-2"/>
                  <c:y val="0.325904418197725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1'!$F$67:$F$73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'Exp 1'!$D$67:$D$73</c:f>
              <c:numCache>
                <c:formatCode>0.000</c:formatCode>
                <c:ptCount val="7"/>
                <c:pt idx="0">
                  <c:v>0</c:v>
                </c:pt>
                <c:pt idx="1">
                  <c:v>8.6956522981760667E-2</c:v>
                </c:pt>
                <c:pt idx="2">
                  <c:v>0.13043478447264112</c:v>
                </c:pt>
                <c:pt idx="3">
                  <c:v>0.17391304596352156</c:v>
                </c:pt>
                <c:pt idx="4">
                  <c:v>0.21739130745440188</c:v>
                </c:pt>
                <c:pt idx="5">
                  <c:v>0.26086956894528229</c:v>
                </c:pt>
                <c:pt idx="6">
                  <c:v>0.30434783043616265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E-4D1D-B9EE-326DCAB7B8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0910079"/>
        <c:axId val="150912479"/>
      </c:scatterChart>
      <c:valAx>
        <c:axId val="15091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(min)</a:t>
                </a:r>
              </a:p>
            </c:rich>
          </c:tx>
          <c:layout>
            <c:manualLayout>
              <c:xMode val="edge"/>
              <c:yMode val="edge"/>
              <c:x val="0.4409293525809273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2479"/>
        <c:crosses val="autoZero"/>
        <c:crossBetween val="midCat"/>
      </c:valAx>
      <c:valAx>
        <c:axId val="15091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Conversion (Xa)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1660104986876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Conversion vs time (E6)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222222222222223E-2"/>
                  <c:y val="0.26936132983377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1'!$F$59:$F$61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xVal>
          <c:yVal>
            <c:numRef>
              <c:f>'Exp 1'!$D$59:$D$61</c:f>
              <c:numCache>
                <c:formatCode>0.000</c:formatCode>
                <c:ptCount val="3"/>
                <c:pt idx="0">
                  <c:v>0</c:v>
                </c:pt>
                <c:pt idx="1">
                  <c:v>7.9365086252634207E-2</c:v>
                </c:pt>
                <c:pt idx="2">
                  <c:v>0.13888890094210993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47-47D8-81CD-835E398095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0911999"/>
        <c:axId val="150915839"/>
      </c:scatterChart>
      <c:valAx>
        <c:axId val="15091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(min)</a:t>
                </a:r>
              </a:p>
            </c:rich>
          </c:tx>
          <c:layout>
            <c:manualLayout>
              <c:xMode val="edge"/>
              <c:yMode val="edge"/>
              <c:x val="0.48823695324764238"/>
              <c:y val="0.88988577347339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5839"/>
        <c:crosses val="autoZero"/>
        <c:crossBetween val="midCat"/>
      </c:valAx>
      <c:valAx>
        <c:axId val="15091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Conversion (Xa)</a:t>
                </a:r>
              </a:p>
            </c:rich>
          </c:tx>
          <c:layout>
            <c:manualLayout>
              <c:xMode val="edge"/>
              <c:yMode val="edge"/>
              <c:x val="2.4820216294178844E-2"/>
              <c:y val="0.314901206479534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283090</xdr:colOff>
      <xdr:row>0</xdr:row>
      <xdr:rowOff>181853</xdr:rowOff>
    </xdr:from>
    <xdr:to>
      <xdr:col>20</xdr:col>
      <xdr:colOff>603517</xdr:colOff>
      <xdr:row>15</xdr:row>
      <xdr:rowOff>113034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F3A35-9F27-B913-202B-5CEE0617F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297430</xdr:colOff>
      <xdr:row>16</xdr:row>
      <xdr:rowOff>75122</xdr:rowOff>
    </xdr:from>
    <xdr:to>
      <xdr:col>20</xdr:col>
      <xdr:colOff>592166</xdr:colOff>
      <xdr:row>29</xdr:row>
      <xdr:rowOff>176482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077316-8ABF-5E61-13A8-663EA419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368670</xdr:colOff>
      <xdr:row>17</xdr:row>
      <xdr:rowOff>165091</xdr:rowOff>
    </xdr:from>
    <xdr:to>
      <xdr:col>29</xdr:col>
      <xdr:colOff>70113</xdr:colOff>
      <xdr:row>30</xdr:row>
      <xdr:rowOff>152833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E9949-9EAD-0B6B-335B-A430D4DC5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391071</xdr:colOff>
      <xdr:row>32</xdr:row>
      <xdr:rowOff>43750</xdr:rowOff>
    </xdr:from>
    <xdr:to>
      <xdr:col>21</xdr:col>
      <xdr:colOff>108394</xdr:colOff>
      <xdr:row>47</xdr:row>
      <xdr:rowOff>98442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1729CD-46F6-095A-F39E-1DBA06D31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390525</xdr:colOff>
      <xdr:row>46</xdr:row>
      <xdr:rowOff>44053</xdr:rowOff>
    </xdr:from>
    <xdr:to>
      <xdr:col>29</xdr:col>
      <xdr:colOff>104775</xdr:colOff>
      <xdr:row>60</xdr:row>
      <xdr:rowOff>120253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C87F5C-9C52-1D73-9E53-48032B63E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576262</xdr:colOff>
      <xdr:row>63</xdr:row>
      <xdr:rowOff>109537</xdr:rowOff>
    </xdr:from>
    <xdr:to>
      <xdr:col>21</xdr:col>
      <xdr:colOff>271462</xdr:colOff>
      <xdr:row>77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18E9E-85B6-8A1D-8291-11CDD05D4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411267</xdr:colOff>
      <xdr:row>48</xdr:row>
      <xdr:rowOff>132816</xdr:rowOff>
    </xdr:from>
    <xdr:to>
      <xdr:col>21</xdr:col>
      <xdr:colOff>140650</xdr:colOff>
      <xdr:row>63</xdr:row>
      <xdr:rowOff>71927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550371-523C-1FAA-1ECC-AAFDB3C71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74"/>
  <sheetViews>
    <sheetView tabSelected="1" topLeftCell="A43" zoomScale="89" workbookViewId="0">
      <selection activeCell="B65" sqref="B65:M73"/>
    </sheetView>
  </sheetViews>
  <sheetFormatPr defaultRowHeight="15" x14ac:dyDescent="0.25"/>
  <cols>
    <col min="1" max="16384" width="9.140625" style="1"/>
  </cols>
  <sheetData>
    <row r="2" spans="2:13" x14ac:dyDescent="0.25">
      <c r="B2" s="6" t="s">
        <v>16</v>
      </c>
      <c r="C2" s="6" t="s">
        <v>14</v>
      </c>
      <c r="D2" s="6" t="s">
        <v>13</v>
      </c>
      <c r="E2" s="6" t="s">
        <v>0</v>
      </c>
      <c r="F2" s="6" t="s">
        <v>1</v>
      </c>
      <c r="G2" s="6" t="s">
        <v>1</v>
      </c>
      <c r="H2" s="6" t="s">
        <v>10</v>
      </c>
      <c r="I2" s="6" t="s">
        <v>11</v>
      </c>
    </row>
    <row r="3" spans="2:13" x14ac:dyDescent="0.25">
      <c r="M3" s="2" t="s">
        <v>4</v>
      </c>
    </row>
    <row r="4" spans="2:13" x14ac:dyDescent="0.25">
      <c r="B4" s="6" t="s">
        <v>15</v>
      </c>
      <c r="C4" s="4">
        <v>11</v>
      </c>
      <c r="D4" s="4"/>
      <c r="E4" s="4">
        <f>F4*60</f>
        <v>254</v>
      </c>
      <c r="F4" s="12">
        <f>4+14/60</f>
        <v>4.2333333333333334</v>
      </c>
      <c r="G4" s="5">
        <v>2.9398148148148148E-3</v>
      </c>
      <c r="H4" s="12">
        <f>L9</f>
        <v>0.61941735153278743</v>
      </c>
      <c r="I4" s="12">
        <f>L8</f>
        <v>14.600551857558564</v>
      </c>
      <c r="K4" s="2" t="s">
        <v>12</v>
      </c>
      <c r="L4" s="1">
        <v>11</v>
      </c>
      <c r="M4" s="1" t="s">
        <v>5</v>
      </c>
    </row>
    <row r="5" spans="2:13" x14ac:dyDescent="0.25">
      <c r="F5" s="11"/>
      <c r="G5" s="3"/>
      <c r="H5" s="11"/>
      <c r="I5" s="11"/>
      <c r="K5" s="2" t="s">
        <v>2</v>
      </c>
      <c r="L5" s="1">
        <v>1.4</v>
      </c>
      <c r="M5" s="1" t="s">
        <v>5</v>
      </c>
    </row>
    <row r="6" spans="2:13" x14ac:dyDescent="0.25">
      <c r="B6" s="7" t="s">
        <v>19</v>
      </c>
      <c r="C6" s="1">
        <v>9.5</v>
      </c>
      <c r="D6" s="11">
        <f t="shared" ref="D6:D11" si="0">(1-C6/11)</f>
        <v>0.13636363636363635</v>
      </c>
      <c r="E6" s="1">
        <f>14*60+14</f>
        <v>854</v>
      </c>
      <c r="F6" s="11">
        <f t="shared" ref="F6:F11" si="1">E6/60</f>
        <v>14.233333333333333</v>
      </c>
      <c r="G6" s="3">
        <v>9.8842592592592593E-3</v>
      </c>
      <c r="H6" s="11">
        <f t="shared" ref="H6:H11" si="2">14.60055*D6</f>
        <v>1.9909840909090908</v>
      </c>
      <c r="I6" s="11">
        <f t="shared" ref="I6:I11" si="3">14.60055-H6</f>
        <v>12.609565909090909</v>
      </c>
      <c r="K6" s="2" t="s">
        <v>3</v>
      </c>
      <c r="L6" s="1">
        <v>1.3</v>
      </c>
      <c r="M6" s="1" t="s">
        <v>5</v>
      </c>
    </row>
    <row r="7" spans="2:13" x14ac:dyDescent="0.25">
      <c r="B7" s="7"/>
      <c r="C7" s="1">
        <v>8.1</v>
      </c>
      <c r="D7" s="11">
        <f t="shared" si="0"/>
        <v>0.26363636363636367</v>
      </c>
      <c r="E7" s="1">
        <f>24*60+14</f>
        <v>1454</v>
      </c>
      <c r="F7" s="11">
        <f t="shared" si="1"/>
        <v>24.233333333333334</v>
      </c>
      <c r="G7" s="3">
        <v>1.6828703703703703E-2</v>
      </c>
      <c r="H7" s="11">
        <f t="shared" si="2"/>
        <v>3.8492359090909094</v>
      </c>
      <c r="I7" s="11">
        <f t="shared" si="3"/>
        <v>10.751314090909091</v>
      </c>
      <c r="K7" s="2" t="s">
        <v>6</v>
      </c>
      <c r="L7" s="1">
        <f>1.3/2</f>
        <v>0.65</v>
      </c>
      <c r="M7" s="1" t="s">
        <v>5</v>
      </c>
    </row>
    <row r="8" spans="2:13" x14ac:dyDescent="0.25">
      <c r="B8" s="7"/>
      <c r="C8" s="1">
        <v>6.5</v>
      </c>
      <c r="D8" s="11">
        <f t="shared" si="0"/>
        <v>0.40909090909090906</v>
      </c>
      <c r="E8" s="1">
        <f>34*60+14</f>
        <v>2054</v>
      </c>
      <c r="F8" s="11">
        <f t="shared" si="1"/>
        <v>34.233333333333334</v>
      </c>
      <c r="G8" s="3">
        <v>2.3773148148148199E-2</v>
      </c>
      <c r="H8" s="11">
        <f t="shared" si="2"/>
        <v>5.9729522727272721</v>
      </c>
      <c r="I8" s="11">
        <f t="shared" si="3"/>
        <v>8.6275977272727289</v>
      </c>
      <c r="K8" s="2" t="s">
        <v>7</v>
      </c>
      <c r="L8" s="1">
        <f>PI()*L7*L7*L4</f>
        <v>14.600551857558564</v>
      </c>
      <c r="M8" s="1" t="s">
        <v>8</v>
      </c>
    </row>
    <row r="9" spans="2:13" x14ac:dyDescent="0.25">
      <c r="B9" s="7"/>
      <c r="C9" s="1">
        <v>5.4</v>
      </c>
      <c r="D9" s="11">
        <f t="shared" si="0"/>
        <v>0.50909090909090904</v>
      </c>
      <c r="E9" s="1">
        <f>44*60+14</f>
        <v>2654</v>
      </c>
      <c r="F9" s="11">
        <f t="shared" si="1"/>
        <v>44.233333333333334</v>
      </c>
      <c r="G9" s="3">
        <v>3.0717592592592598E-2</v>
      </c>
      <c r="H9" s="11">
        <f t="shared" si="2"/>
        <v>7.4330072727272718</v>
      </c>
      <c r="I9" s="11">
        <f t="shared" si="3"/>
        <v>7.1675427272727283</v>
      </c>
      <c r="K9" s="2" t="s">
        <v>9</v>
      </c>
      <c r="L9" s="1">
        <f>(1/3)*(PI()*L7*L7*L5)</f>
        <v>0.61941735153278743</v>
      </c>
      <c r="M9" s="1" t="s">
        <v>8</v>
      </c>
    </row>
    <row r="10" spans="2:13" x14ac:dyDescent="0.25">
      <c r="B10" s="7"/>
      <c r="C10" s="1">
        <v>4.0999999999999996</v>
      </c>
      <c r="D10" s="11">
        <f t="shared" si="0"/>
        <v>0.62727272727272732</v>
      </c>
      <c r="E10" s="1">
        <f>54*60+14</f>
        <v>3254</v>
      </c>
      <c r="F10" s="11">
        <f t="shared" si="1"/>
        <v>54.233333333333334</v>
      </c>
      <c r="G10" s="3">
        <v>3.7662037037037098E-2</v>
      </c>
      <c r="H10" s="11">
        <f t="shared" si="2"/>
        <v>9.1585268181818194</v>
      </c>
      <c r="I10" s="11">
        <f t="shared" si="3"/>
        <v>5.4420231818181808</v>
      </c>
    </row>
    <row r="11" spans="2:13" x14ac:dyDescent="0.25">
      <c r="B11" s="7"/>
      <c r="C11" s="1">
        <v>1.3</v>
      </c>
      <c r="D11" s="11">
        <f t="shared" si="0"/>
        <v>0.88181818181818183</v>
      </c>
      <c r="E11" s="1">
        <f>64*60+14</f>
        <v>3854</v>
      </c>
      <c r="F11" s="11">
        <f t="shared" si="1"/>
        <v>64.233333333333334</v>
      </c>
      <c r="G11" s="3">
        <v>4.4606481481481497E-2</v>
      </c>
      <c r="H11" s="11">
        <f t="shared" si="2"/>
        <v>12.875030454545454</v>
      </c>
      <c r="I11" s="11">
        <f t="shared" si="3"/>
        <v>1.7255195454545458</v>
      </c>
    </row>
    <row r="14" spans="2:13" x14ac:dyDescent="0.25">
      <c r="B14" s="6" t="s">
        <v>17</v>
      </c>
      <c r="C14" s="6" t="s">
        <v>14</v>
      </c>
      <c r="D14" s="6" t="s">
        <v>13</v>
      </c>
      <c r="E14" s="6" t="s">
        <v>0</v>
      </c>
      <c r="F14" s="6" t="s">
        <v>1</v>
      </c>
      <c r="G14" s="6" t="s">
        <v>1</v>
      </c>
      <c r="H14" s="6" t="s">
        <v>10</v>
      </c>
      <c r="I14" s="6" t="s">
        <v>11</v>
      </c>
    </row>
    <row r="15" spans="2:13" x14ac:dyDescent="0.25">
      <c r="M15" s="2" t="s">
        <v>4</v>
      </c>
    </row>
    <row r="16" spans="2:13" x14ac:dyDescent="0.25">
      <c r="B16" s="6" t="s">
        <v>15</v>
      </c>
      <c r="C16" s="4">
        <v>11</v>
      </c>
      <c r="D16" s="4"/>
      <c r="E16" s="4">
        <f>F16*60</f>
        <v>259</v>
      </c>
      <c r="F16" s="12">
        <f>4+19/60</f>
        <v>4.3166666666666664</v>
      </c>
      <c r="G16" s="5">
        <v>2.9976851851851853E-3</v>
      </c>
      <c r="H16" s="12">
        <v>0.61941735153278743</v>
      </c>
      <c r="I16" s="12">
        <v>14.600551857558564</v>
      </c>
      <c r="K16" s="2" t="s">
        <v>12</v>
      </c>
      <c r="L16" s="1">
        <v>11</v>
      </c>
      <c r="M16" s="1" t="s">
        <v>5</v>
      </c>
    </row>
    <row r="17" spans="2:13" x14ac:dyDescent="0.25">
      <c r="F17" s="11"/>
      <c r="G17" s="3"/>
      <c r="H17" s="11"/>
      <c r="I17" s="11"/>
      <c r="K17" s="2" t="s">
        <v>2</v>
      </c>
      <c r="L17" s="1">
        <v>1.4</v>
      </c>
      <c r="M17" s="1" t="s">
        <v>5</v>
      </c>
    </row>
    <row r="18" spans="2:13" ht="15" customHeight="1" x14ac:dyDescent="0.25">
      <c r="B18" s="7" t="s">
        <v>19</v>
      </c>
      <c r="C18" s="1">
        <v>9.6999999999999993</v>
      </c>
      <c r="D18" s="11">
        <f t="shared" ref="D18:D22" si="4">(1-C18/11)</f>
        <v>0.11818181818181828</v>
      </c>
      <c r="E18" s="1">
        <f>14*60+19</f>
        <v>859</v>
      </c>
      <c r="F18" s="11">
        <f t="shared" ref="F18:F22" si="5">E18/60</f>
        <v>14.316666666666666</v>
      </c>
      <c r="G18" s="3">
        <v>9.9421296296296289E-3</v>
      </c>
      <c r="H18" s="11">
        <f t="shared" ref="H18:H22" si="6">14.60055*D18</f>
        <v>1.7255195454545469</v>
      </c>
      <c r="I18" s="11">
        <f t="shared" ref="I18:I22" si="7">14.60055-H18</f>
        <v>12.875030454545453</v>
      </c>
      <c r="K18" s="2" t="s">
        <v>3</v>
      </c>
      <c r="L18" s="1">
        <v>1.3</v>
      </c>
      <c r="M18" s="1" t="s">
        <v>5</v>
      </c>
    </row>
    <row r="19" spans="2:13" x14ac:dyDescent="0.25">
      <c r="B19" s="7"/>
      <c r="C19" s="1">
        <v>7.9</v>
      </c>
      <c r="D19" s="11">
        <f t="shared" si="4"/>
        <v>0.28181818181818175</v>
      </c>
      <c r="E19" s="1">
        <f>24*60+19</f>
        <v>1459</v>
      </c>
      <c r="F19" s="11">
        <f t="shared" si="5"/>
        <v>24.316666666666666</v>
      </c>
      <c r="G19" s="3">
        <v>1.6886574074074075E-2</v>
      </c>
      <c r="H19" s="11">
        <f t="shared" si="6"/>
        <v>4.1147004545454537</v>
      </c>
      <c r="I19" s="11">
        <f t="shared" si="7"/>
        <v>10.485849545454546</v>
      </c>
      <c r="K19" s="2" t="s">
        <v>6</v>
      </c>
      <c r="L19" s="1">
        <f>1.3/2</f>
        <v>0.65</v>
      </c>
      <c r="M19" s="1" t="s">
        <v>5</v>
      </c>
    </row>
    <row r="20" spans="2:13" x14ac:dyDescent="0.25">
      <c r="B20" s="7"/>
      <c r="C20" s="1">
        <v>4.7</v>
      </c>
      <c r="D20" s="11">
        <f t="shared" si="4"/>
        <v>0.57272727272727275</v>
      </c>
      <c r="E20" s="1">
        <f>34*60+19</f>
        <v>2059</v>
      </c>
      <c r="F20" s="11">
        <f t="shared" si="5"/>
        <v>34.31666666666667</v>
      </c>
      <c r="G20" s="3">
        <v>2.3831018518518519E-2</v>
      </c>
      <c r="H20" s="11">
        <f t="shared" si="6"/>
        <v>8.3621331818181819</v>
      </c>
      <c r="I20" s="11">
        <f t="shared" si="7"/>
        <v>6.2384168181818183</v>
      </c>
      <c r="K20" s="2" t="s">
        <v>7</v>
      </c>
      <c r="L20" s="1">
        <f>PI()*L19*L19*L16</f>
        <v>14.600551857558564</v>
      </c>
      <c r="M20" s="1" t="s">
        <v>8</v>
      </c>
    </row>
    <row r="21" spans="2:13" x14ac:dyDescent="0.25">
      <c r="B21" s="7"/>
      <c r="C21" s="1">
        <v>2.8</v>
      </c>
      <c r="D21" s="11">
        <f t="shared" si="4"/>
        <v>0.74545454545454548</v>
      </c>
      <c r="E21" s="1">
        <f>44*60+19</f>
        <v>2659</v>
      </c>
      <c r="F21" s="11">
        <f t="shared" si="5"/>
        <v>44.31666666666667</v>
      </c>
      <c r="G21" s="3">
        <v>3.0775462962962963E-2</v>
      </c>
      <c r="H21" s="11">
        <f t="shared" si="6"/>
        <v>10.884046363636363</v>
      </c>
      <c r="I21" s="11">
        <f t="shared" si="7"/>
        <v>3.7165036363636368</v>
      </c>
      <c r="K21" s="2" t="s">
        <v>9</v>
      </c>
      <c r="L21" s="1">
        <f>(1/3)*(PI()*L19*L19*L17)</f>
        <v>0.61941735153278743</v>
      </c>
      <c r="M21" s="1" t="s">
        <v>8</v>
      </c>
    </row>
    <row r="22" spans="2:13" x14ac:dyDescent="0.25">
      <c r="B22" s="7"/>
      <c r="C22" s="1">
        <v>0.1</v>
      </c>
      <c r="D22" s="11">
        <f t="shared" si="4"/>
        <v>0.99090909090909096</v>
      </c>
      <c r="E22" s="1">
        <f>51*60+8</f>
        <v>3068</v>
      </c>
      <c r="F22" s="11">
        <f t="shared" si="5"/>
        <v>51.133333333333333</v>
      </c>
      <c r="G22" s="3">
        <v>3.5509259259259261E-2</v>
      </c>
      <c r="H22" s="11">
        <f t="shared" si="6"/>
        <v>14.467817727272728</v>
      </c>
      <c r="I22" s="11">
        <f t="shared" si="7"/>
        <v>0.13273227272727262</v>
      </c>
    </row>
    <row r="25" spans="2:13" x14ac:dyDescent="0.25">
      <c r="B25" s="6" t="s">
        <v>18</v>
      </c>
      <c r="C25" s="6" t="s">
        <v>14</v>
      </c>
      <c r="D25" s="6" t="s">
        <v>13</v>
      </c>
      <c r="E25" s="6" t="s">
        <v>0</v>
      </c>
      <c r="F25" s="6" t="s">
        <v>1</v>
      </c>
      <c r="G25" s="6" t="s">
        <v>1</v>
      </c>
      <c r="H25" s="6" t="s">
        <v>10</v>
      </c>
      <c r="I25" s="6" t="s">
        <v>11</v>
      </c>
    </row>
    <row r="27" spans="2:13" x14ac:dyDescent="0.25">
      <c r="B27" s="6" t="s">
        <v>15</v>
      </c>
      <c r="C27" s="4">
        <v>11</v>
      </c>
      <c r="D27" s="4"/>
      <c r="E27" s="4">
        <f>F27*60</f>
        <v>269</v>
      </c>
      <c r="F27" s="12">
        <f>4+29/60</f>
        <v>4.4833333333333334</v>
      </c>
      <c r="G27" s="5">
        <v>3.1134259259259257E-3</v>
      </c>
      <c r="H27" s="12">
        <v>0.61941735153278743</v>
      </c>
      <c r="I27" s="12">
        <v>14.600551857558564</v>
      </c>
      <c r="M27" s="2" t="s">
        <v>4</v>
      </c>
    </row>
    <row r="28" spans="2:13" x14ac:dyDescent="0.25">
      <c r="G28" s="3"/>
      <c r="K28" s="2" t="s">
        <v>12</v>
      </c>
      <c r="L28" s="1">
        <v>11</v>
      </c>
      <c r="M28" s="1" t="s">
        <v>5</v>
      </c>
    </row>
    <row r="29" spans="2:13" x14ac:dyDescent="0.25">
      <c r="B29" s="7" t="s">
        <v>19</v>
      </c>
      <c r="C29" s="1">
        <v>9.6</v>
      </c>
      <c r="D29" s="11">
        <f t="shared" ref="D29:D34" si="8">(1-C29/11)</f>
        <v>0.12727272727272732</v>
      </c>
      <c r="E29" s="1">
        <f>14*60+29</f>
        <v>869</v>
      </c>
      <c r="F29" s="11">
        <f t="shared" ref="F29:F34" si="9">E29/60</f>
        <v>14.483333333333333</v>
      </c>
      <c r="G29" s="3">
        <v>1.005787037037037E-2</v>
      </c>
      <c r="H29" s="11">
        <f t="shared" ref="H29:H34" si="10">14.60055*D29</f>
        <v>1.8582518181818188</v>
      </c>
      <c r="I29" s="11">
        <f t="shared" ref="I29:I34" si="11">14.60055-H29</f>
        <v>12.742298181818182</v>
      </c>
      <c r="K29" s="2" t="s">
        <v>2</v>
      </c>
      <c r="L29" s="1">
        <v>1.4</v>
      </c>
      <c r="M29" s="1" t="s">
        <v>5</v>
      </c>
    </row>
    <row r="30" spans="2:13" x14ac:dyDescent="0.25">
      <c r="B30" s="7"/>
      <c r="C30" s="1">
        <v>8.1</v>
      </c>
      <c r="D30" s="11">
        <f t="shared" si="8"/>
        <v>0.26363636363636367</v>
      </c>
      <c r="E30" s="1">
        <f>24*60+29</f>
        <v>1469</v>
      </c>
      <c r="F30" s="11">
        <f t="shared" si="9"/>
        <v>24.483333333333334</v>
      </c>
      <c r="G30" s="3">
        <v>1.7002314814814814E-2</v>
      </c>
      <c r="H30" s="11">
        <f t="shared" si="10"/>
        <v>3.8492359090909094</v>
      </c>
      <c r="I30" s="11">
        <f t="shared" si="11"/>
        <v>10.751314090909091</v>
      </c>
      <c r="K30" s="2" t="s">
        <v>3</v>
      </c>
      <c r="L30" s="1">
        <v>1.3</v>
      </c>
      <c r="M30" s="1" t="s">
        <v>5</v>
      </c>
    </row>
    <row r="31" spans="2:13" x14ac:dyDescent="0.25">
      <c r="B31" s="7"/>
      <c r="C31" s="1">
        <v>5.6</v>
      </c>
      <c r="D31" s="11">
        <f t="shared" si="8"/>
        <v>0.49090909090909096</v>
      </c>
      <c r="E31" s="1">
        <f>34*60+29</f>
        <v>2069</v>
      </c>
      <c r="F31" s="11">
        <f t="shared" si="9"/>
        <v>34.483333333333334</v>
      </c>
      <c r="G31" s="3">
        <v>2.3946759259259258E-2</v>
      </c>
      <c r="H31" s="11">
        <f t="shared" si="10"/>
        <v>7.1675427272727283</v>
      </c>
      <c r="I31" s="11">
        <f t="shared" si="11"/>
        <v>7.4330072727272718</v>
      </c>
      <c r="K31" s="2" t="s">
        <v>6</v>
      </c>
      <c r="L31" s="1">
        <f>1.3/2</f>
        <v>0.65</v>
      </c>
      <c r="M31" s="1" t="s">
        <v>5</v>
      </c>
    </row>
    <row r="32" spans="2:13" x14ac:dyDescent="0.25">
      <c r="B32" s="7"/>
      <c r="C32" s="1">
        <v>3.6</v>
      </c>
      <c r="D32" s="11">
        <f t="shared" si="8"/>
        <v>0.67272727272727273</v>
      </c>
      <c r="E32" s="1">
        <f>44*60+29</f>
        <v>2669</v>
      </c>
      <c r="F32" s="11">
        <f t="shared" si="9"/>
        <v>44.483333333333334</v>
      </c>
      <c r="G32" s="3">
        <v>3.0891203703703702E-2</v>
      </c>
      <c r="H32" s="11">
        <f t="shared" si="10"/>
        <v>9.8221881818181824</v>
      </c>
      <c r="I32" s="11">
        <f t="shared" si="11"/>
        <v>4.7783618181818177</v>
      </c>
      <c r="K32" s="2" t="s">
        <v>7</v>
      </c>
      <c r="L32" s="1">
        <f>PI()*L31*L31*L28</f>
        <v>14.600551857558564</v>
      </c>
      <c r="M32" s="1" t="s">
        <v>8</v>
      </c>
    </row>
    <row r="33" spans="2:13" x14ac:dyDescent="0.25">
      <c r="B33" s="7"/>
      <c r="C33" s="1">
        <v>1.5</v>
      </c>
      <c r="D33" s="11">
        <f t="shared" si="8"/>
        <v>0.86363636363636365</v>
      </c>
      <c r="E33" s="1">
        <f>54*60+29</f>
        <v>3269</v>
      </c>
      <c r="F33" s="11">
        <f t="shared" si="9"/>
        <v>54.483333333333334</v>
      </c>
      <c r="G33" s="3">
        <v>3.7835648148148146E-2</v>
      </c>
      <c r="H33" s="11">
        <f t="shared" si="10"/>
        <v>12.609565909090909</v>
      </c>
      <c r="I33" s="11">
        <f t="shared" si="11"/>
        <v>1.990984090909091</v>
      </c>
      <c r="K33" s="2" t="s">
        <v>9</v>
      </c>
      <c r="L33" s="1">
        <f>(1/3)*(PI()*L31*L31*L29)</f>
        <v>0.61941735153278743</v>
      </c>
      <c r="M33" s="1" t="s">
        <v>8</v>
      </c>
    </row>
    <row r="34" spans="2:13" x14ac:dyDescent="0.25">
      <c r="B34" s="7"/>
      <c r="C34" s="1">
        <v>0.3</v>
      </c>
      <c r="D34" s="11">
        <f t="shared" si="8"/>
        <v>0.97272727272727277</v>
      </c>
      <c r="E34" s="1">
        <f>61*60+3</f>
        <v>3663</v>
      </c>
      <c r="F34" s="11">
        <f t="shared" si="9"/>
        <v>61.05</v>
      </c>
      <c r="G34" s="3">
        <v>4.2395833333333334E-2</v>
      </c>
      <c r="H34" s="11">
        <f t="shared" si="10"/>
        <v>14.202353181818182</v>
      </c>
      <c r="I34" s="11">
        <f t="shared" si="11"/>
        <v>0.39819681818181785</v>
      </c>
    </row>
    <row r="37" spans="2:13" x14ac:dyDescent="0.25">
      <c r="B37" s="6" t="s">
        <v>20</v>
      </c>
      <c r="C37" s="6" t="s">
        <v>14</v>
      </c>
      <c r="D37" s="6" t="s">
        <v>13</v>
      </c>
      <c r="E37" s="6" t="s">
        <v>0</v>
      </c>
      <c r="F37" s="6" t="s">
        <v>1</v>
      </c>
      <c r="G37" s="6" t="s">
        <v>1</v>
      </c>
      <c r="H37" s="6" t="s">
        <v>10</v>
      </c>
      <c r="I37" s="6" t="s">
        <v>11</v>
      </c>
      <c r="M37" s="2" t="s">
        <v>4</v>
      </c>
    </row>
    <row r="38" spans="2:13" x14ac:dyDescent="0.25">
      <c r="B38" s="9"/>
      <c r="K38" s="2" t="s">
        <v>12</v>
      </c>
      <c r="L38" s="1">
        <v>8.5</v>
      </c>
      <c r="M38" s="1" t="s">
        <v>5</v>
      </c>
    </row>
    <row r="39" spans="2:13" ht="15" customHeight="1" x14ac:dyDescent="0.25">
      <c r="B39" s="7" t="s">
        <v>19</v>
      </c>
      <c r="C39" s="1">
        <v>8.5</v>
      </c>
      <c r="D39" s="11">
        <v>0</v>
      </c>
      <c r="E39" s="8">
        <f>F39*60</f>
        <v>0</v>
      </c>
      <c r="F39" s="1">
        <v>0</v>
      </c>
      <c r="G39" s="3">
        <v>0</v>
      </c>
      <c r="H39" s="11">
        <v>0</v>
      </c>
      <c r="I39" s="11">
        <v>15.020739874976199</v>
      </c>
      <c r="K39" s="10"/>
      <c r="L39" s="10"/>
      <c r="M39" s="10"/>
    </row>
    <row r="40" spans="2:13" x14ac:dyDescent="0.25">
      <c r="B40" s="7"/>
      <c r="C40" s="1">
        <v>6.5</v>
      </c>
      <c r="D40" s="11">
        <f>H40/15.02074</f>
        <v>0.23529411568860903</v>
      </c>
      <c r="E40" s="8">
        <f t="shared" ref="E40:E42" si="12">F40*60</f>
        <v>600</v>
      </c>
      <c r="F40" s="1">
        <v>10</v>
      </c>
      <c r="G40" s="3">
        <v>6.9444444444444441E-3</v>
      </c>
      <c r="H40" s="11">
        <f>PI()*0.75*0.75*(8.5-C40)</f>
        <v>3.5342917352885173</v>
      </c>
      <c r="I40" s="11">
        <f>15.0207-H40</f>
        <v>11.486408264711482</v>
      </c>
      <c r="K40" s="2" t="s">
        <v>3</v>
      </c>
      <c r="L40" s="1">
        <v>1.5</v>
      </c>
      <c r="M40" s="1" t="s">
        <v>5</v>
      </c>
    </row>
    <row r="41" spans="2:13" x14ac:dyDescent="0.25">
      <c r="B41" s="7"/>
      <c r="C41" s="1">
        <v>3.2</v>
      </c>
      <c r="D41" s="11">
        <f t="shared" ref="D41:D42" si="13">H41/15.02074</f>
        <v>0.62352940657481393</v>
      </c>
      <c r="E41" s="8">
        <f t="shared" si="12"/>
        <v>1200</v>
      </c>
      <c r="F41" s="1">
        <v>20</v>
      </c>
      <c r="G41" s="3">
        <v>1.38888888888889E-2</v>
      </c>
      <c r="H41" s="11">
        <f t="shared" ref="H41:H42" si="14">PI()*0.75*0.75*(8.5-C41)</f>
        <v>9.3658730985145713</v>
      </c>
      <c r="I41" s="11">
        <f t="shared" ref="I41:I42" si="15">15.0207-H41</f>
        <v>5.6548269014854284</v>
      </c>
      <c r="K41" s="2" t="s">
        <v>6</v>
      </c>
      <c r="L41" s="1">
        <f>1.5/2</f>
        <v>0.75</v>
      </c>
      <c r="M41" s="1" t="s">
        <v>5</v>
      </c>
    </row>
    <row r="42" spans="2:13" x14ac:dyDescent="0.25">
      <c r="B42" s="7"/>
      <c r="C42" s="1">
        <v>0.2</v>
      </c>
      <c r="D42" s="11">
        <f t="shared" si="13"/>
        <v>0.97647058010772758</v>
      </c>
      <c r="E42" s="8">
        <f t="shared" si="12"/>
        <v>1800</v>
      </c>
      <c r="F42" s="1">
        <v>30</v>
      </c>
      <c r="G42" s="3">
        <v>2.0833333333333301E-2</v>
      </c>
      <c r="H42" s="11">
        <f t="shared" si="14"/>
        <v>14.667310701447349</v>
      </c>
      <c r="I42" s="11">
        <f t="shared" si="15"/>
        <v>0.353389298552651</v>
      </c>
      <c r="K42" s="2" t="s">
        <v>7</v>
      </c>
      <c r="L42" s="1">
        <f>PI()*L41*L41*L38</f>
        <v>15.020739874976199</v>
      </c>
      <c r="M42" s="1" t="s">
        <v>8</v>
      </c>
    </row>
    <row r="43" spans="2:13" x14ac:dyDescent="0.25">
      <c r="B43" s="13" t="s">
        <v>23</v>
      </c>
      <c r="C43" s="13"/>
      <c r="D43" s="13"/>
      <c r="E43" s="13"/>
      <c r="F43" s="13"/>
      <c r="G43" s="13"/>
      <c r="H43" s="13"/>
      <c r="I43" s="13"/>
      <c r="K43" s="2"/>
    </row>
    <row r="46" spans="2:13" x14ac:dyDescent="0.25">
      <c r="B46" s="6" t="s">
        <v>21</v>
      </c>
      <c r="C46" s="6" t="s">
        <v>14</v>
      </c>
      <c r="D46" s="6" t="s">
        <v>13</v>
      </c>
      <c r="E46" s="6" t="s">
        <v>0</v>
      </c>
      <c r="F46" s="6" t="s">
        <v>1</v>
      </c>
      <c r="G46" s="6" t="s">
        <v>1</v>
      </c>
      <c r="H46" s="6" t="s">
        <v>10</v>
      </c>
      <c r="I46" s="6" t="s">
        <v>11</v>
      </c>
    </row>
    <row r="47" spans="2:13" x14ac:dyDescent="0.25">
      <c r="B47" s="9"/>
    </row>
    <row r="48" spans="2:13" ht="15" customHeight="1" x14ac:dyDescent="0.25">
      <c r="B48" s="7" t="s">
        <v>19</v>
      </c>
      <c r="C48" s="1">
        <v>3.5</v>
      </c>
      <c r="D48" s="11">
        <v>0</v>
      </c>
      <c r="E48" s="8">
        <f>F48*60</f>
        <v>0</v>
      </c>
      <c r="F48" s="1">
        <v>0</v>
      </c>
      <c r="G48" s="3">
        <v>0</v>
      </c>
      <c r="H48" s="11">
        <v>0</v>
      </c>
      <c r="I48" s="11">
        <v>24.740042147019622</v>
      </c>
      <c r="M48" s="2" t="s">
        <v>4</v>
      </c>
    </row>
    <row r="49" spans="2:19" x14ac:dyDescent="0.25">
      <c r="B49" s="7"/>
      <c r="C49" s="1">
        <v>3.1</v>
      </c>
      <c r="D49" s="11">
        <f>H49/24.74004</f>
        <v>0.11428572420379325</v>
      </c>
      <c r="E49" s="8">
        <f>F49*60</f>
        <v>600</v>
      </c>
      <c r="F49" s="1">
        <v>10</v>
      </c>
      <c r="G49" s="3">
        <v>6.9444444444444441E-3</v>
      </c>
      <c r="H49" s="11">
        <f>PI()*1.5*1.5*(3.5-C49)</f>
        <v>2.8274333882308134</v>
      </c>
      <c r="I49" s="11">
        <f>24.74004-H49</f>
        <v>21.912606611769188</v>
      </c>
      <c r="K49" s="2" t="s">
        <v>12</v>
      </c>
      <c r="L49" s="1">
        <v>3.5</v>
      </c>
      <c r="M49" s="1" t="s">
        <v>5</v>
      </c>
    </row>
    <row r="50" spans="2:19" x14ac:dyDescent="0.25">
      <c r="B50" s="7"/>
      <c r="C50" s="1">
        <v>2.8</v>
      </c>
      <c r="D50" s="11">
        <f t="shared" ref="D50:D55" si="16">H50/24.74004</f>
        <v>0.20000001735663828</v>
      </c>
      <c r="E50" s="8">
        <f>F50*60</f>
        <v>1200</v>
      </c>
      <c r="F50" s="1">
        <v>20</v>
      </c>
      <c r="G50" s="3">
        <v>1.38888888888889E-2</v>
      </c>
      <c r="H50" s="11">
        <f t="shared" ref="H50:H55" si="17">PI()*1.5*1.5*(3.5-C50)</f>
        <v>4.9480084294039255</v>
      </c>
      <c r="I50" s="11">
        <f t="shared" ref="I50:I55" si="18">24.74004-H50</f>
        <v>19.792031570596073</v>
      </c>
      <c r="K50" s="10"/>
      <c r="L50" s="10"/>
      <c r="M50" s="10"/>
    </row>
    <row r="51" spans="2:19" x14ac:dyDescent="0.25">
      <c r="B51" s="7"/>
      <c r="C51" s="1">
        <v>2.6</v>
      </c>
      <c r="D51" s="11">
        <f t="shared" si="16"/>
        <v>0.25714287945853487</v>
      </c>
      <c r="E51" s="8">
        <f t="shared" ref="E51:E55" si="19">F51*60</f>
        <v>1800</v>
      </c>
      <c r="F51" s="1">
        <v>30</v>
      </c>
      <c r="G51" s="3">
        <v>2.0833333333333301E-2</v>
      </c>
      <c r="H51" s="11">
        <f t="shared" si="17"/>
        <v>6.3617251235193306</v>
      </c>
      <c r="I51" s="11">
        <f t="shared" si="18"/>
        <v>18.378314876480669</v>
      </c>
      <c r="K51" s="2" t="s">
        <v>3</v>
      </c>
      <c r="L51" s="1">
        <v>3</v>
      </c>
      <c r="M51" s="1" t="s">
        <v>5</v>
      </c>
    </row>
    <row r="52" spans="2:19" x14ac:dyDescent="0.25">
      <c r="B52" s="7"/>
      <c r="C52" s="1">
        <v>2.4</v>
      </c>
      <c r="D52" s="11">
        <f t="shared" si="16"/>
        <v>0.31428574156043154</v>
      </c>
      <c r="E52" s="8">
        <f t="shared" si="19"/>
        <v>2400</v>
      </c>
      <c r="F52" s="1">
        <v>40</v>
      </c>
      <c r="G52" s="3">
        <v>2.7777777777777801E-2</v>
      </c>
      <c r="H52" s="11">
        <f t="shared" si="17"/>
        <v>7.7754418176347384</v>
      </c>
      <c r="I52" s="11">
        <f t="shared" si="18"/>
        <v>16.964598182365261</v>
      </c>
      <c r="K52" s="2" t="s">
        <v>6</v>
      </c>
      <c r="L52" s="1">
        <v>1.5</v>
      </c>
      <c r="M52" s="1" t="s">
        <v>5</v>
      </c>
    </row>
    <row r="53" spans="2:19" x14ac:dyDescent="0.25">
      <c r="B53" s="7"/>
      <c r="C53" s="1">
        <v>2.2000000000000002</v>
      </c>
      <c r="D53" s="11">
        <f t="shared" si="16"/>
        <v>0.37142860366232811</v>
      </c>
      <c r="E53" s="8">
        <f t="shared" si="19"/>
        <v>3000</v>
      </c>
      <c r="F53" s="1">
        <v>50</v>
      </c>
      <c r="G53" s="3">
        <v>3.4722222222222203E-2</v>
      </c>
      <c r="H53" s="11">
        <f t="shared" si="17"/>
        <v>9.1891585117501435</v>
      </c>
      <c r="I53" s="11">
        <f t="shared" si="18"/>
        <v>15.550881488249857</v>
      </c>
      <c r="K53" s="2" t="s">
        <v>7</v>
      </c>
      <c r="L53" s="1">
        <f>PI()*L52*L52*L49</f>
        <v>24.740042147019622</v>
      </c>
      <c r="M53" s="1" t="s">
        <v>8</v>
      </c>
    </row>
    <row r="54" spans="2:19" x14ac:dyDescent="0.25">
      <c r="B54" s="7"/>
      <c r="C54" s="1">
        <v>2</v>
      </c>
      <c r="D54" s="11">
        <f t="shared" si="16"/>
        <v>0.42857146576422478</v>
      </c>
      <c r="E54" s="8">
        <f t="shared" si="19"/>
        <v>3600</v>
      </c>
      <c r="F54" s="1">
        <v>60</v>
      </c>
      <c r="G54" s="3">
        <v>4.1666666666666699E-2</v>
      </c>
      <c r="H54" s="11">
        <f t="shared" si="17"/>
        <v>10.602875205865551</v>
      </c>
      <c r="I54" s="11">
        <f t="shared" si="18"/>
        <v>14.137164794134449</v>
      </c>
    </row>
    <row r="55" spans="2:19" x14ac:dyDescent="0.25">
      <c r="B55" s="9"/>
      <c r="D55" s="8"/>
      <c r="E55" s="8"/>
      <c r="G55" s="3"/>
      <c r="S55" s="11"/>
    </row>
    <row r="57" spans="2:19" x14ac:dyDescent="0.25">
      <c r="B57" s="6" t="s">
        <v>24</v>
      </c>
      <c r="C57" s="6" t="s">
        <v>14</v>
      </c>
      <c r="D57" s="6" t="s">
        <v>13</v>
      </c>
      <c r="E57" s="6" t="s">
        <v>0</v>
      </c>
      <c r="F57" s="6" t="s">
        <v>1</v>
      </c>
      <c r="G57" s="6" t="s">
        <v>1</v>
      </c>
      <c r="H57" s="6" t="s">
        <v>10</v>
      </c>
      <c r="I57" s="6" t="s">
        <v>11</v>
      </c>
      <c r="M57" s="2" t="s">
        <v>4</v>
      </c>
    </row>
    <row r="58" spans="2:19" x14ac:dyDescent="0.25">
      <c r="B58" s="9"/>
      <c r="K58" s="2" t="s">
        <v>12</v>
      </c>
      <c r="L58" s="1">
        <v>3</v>
      </c>
      <c r="M58" s="1" t="s">
        <v>5</v>
      </c>
    </row>
    <row r="59" spans="2:19" ht="15" customHeight="1" x14ac:dyDescent="0.25">
      <c r="B59" s="7" t="s">
        <v>19</v>
      </c>
      <c r="C59" s="1">
        <v>3</v>
      </c>
      <c r="D59" s="11">
        <v>0</v>
      </c>
      <c r="E59" s="8">
        <f>F59*60</f>
        <v>0</v>
      </c>
      <c r="F59" s="1">
        <v>0</v>
      </c>
      <c r="G59" s="3">
        <v>0</v>
      </c>
      <c r="H59" s="11">
        <v>0</v>
      </c>
      <c r="I59" s="11">
        <v>14.726215563702155</v>
      </c>
      <c r="K59" s="10"/>
      <c r="L59" s="10"/>
      <c r="M59" s="10"/>
    </row>
    <row r="60" spans="2:19" x14ac:dyDescent="0.25">
      <c r="B60" s="7"/>
      <c r="C60" s="1">
        <v>2.6</v>
      </c>
      <c r="D60" s="11">
        <f>H60/24.74004</f>
        <v>7.9365086252634207E-2</v>
      </c>
      <c r="E60" s="8">
        <f>F60*60</f>
        <v>600</v>
      </c>
      <c r="F60" s="1">
        <v>10</v>
      </c>
      <c r="G60" s="3">
        <v>6.9444444444444441E-3</v>
      </c>
      <c r="H60" s="11">
        <f>PI()*1.25*1.25*(3-C60)</f>
        <v>1.9634954084936203</v>
      </c>
      <c r="I60" s="11">
        <f>14.72622-H60</f>
        <v>12.76272459150638</v>
      </c>
      <c r="K60" s="2" t="s">
        <v>3</v>
      </c>
      <c r="L60" s="1">
        <v>2.5</v>
      </c>
      <c r="M60" s="1" t="s">
        <v>5</v>
      </c>
    </row>
    <row r="61" spans="2:19" x14ac:dyDescent="0.25">
      <c r="B61" s="7"/>
      <c r="C61" s="1">
        <v>2.2999999999999998</v>
      </c>
      <c r="D61" s="11">
        <f t="shared" ref="D61:D66" si="20">H61/24.74004</f>
        <v>0.13888890094210993</v>
      </c>
      <c r="E61" s="8">
        <f>F61*60</f>
        <v>1200</v>
      </c>
      <c r="F61" s="1">
        <v>20</v>
      </c>
      <c r="G61" s="3">
        <v>1.38888888888889E-2</v>
      </c>
      <c r="H61" s="11">
        <f>PI()*1.25*1.25*(3-C61)</f>
        <v>3.4361169648638374</v>
      </c>
      <c r="I61" s="11">
        <f>14.72622-H61</f>
        <v>11.290103035136163</v>
      </c>
      <c r="K61" s="2" t="s">
        <v>6</v>
      </c>
      <c r="L61" s="1">
        <f>2.5/2</f>
        <v>1.25</v>
      </c>
      <c r="M61" s="1" t="s">
        <v>5</v>
      </c>
    </row>
    <row r="62" spans="2:19" x14ac:dyDescent="0.25">
      <c r="B62" s="13" t="s">
        <v>22</v>
      </c>
      <c r="C62" s="13"/>
      <c r="D62" s="13"/>
      <c r="E62" s="13"/>
      <c r="F62" s="13"/>
      <c r="G62" s="13"/>
      <c r="H62" s="13"/>
      <c r="I62" s="13"/>
      <c r="K62" s="2" t="s">
        <v>7</v>
      </c>
      <c r="L62" s="1">
        <f>PI()*L61*L61*L58</f>
        <v>14.726215563702155</v>
      </c>
      <c r="M62" s="1" t="s">
        <v>8</v>
      </c>
    </row>
    <row r="63" spans="2:19" x14ac:dyDescent="0.25">
      <c r="B63" s="9"/>
      <c r="D63" s="8"/>
      <c r="E63" s="8"/>
      <c r="G63" s="3"/>
    </row>
    <row r="64" spans="2:19" x14ac:dyDescent="0.25">
      <c r="B64" s="9"/>
      <c r="D64" s="8"/>
      <c r="E64" s="8"/>
      <c r="G64" s="3"/>
    </row>
    <row r="65" spans="2:13" x14ac:dyDescent="0.25">
      <c r="B65" s="6" t="s">
        <v>25</v>
      </c>
      <c r="C65" s="6" t="s">
        <v>14</v>
      </c>
      <c r="D65" s="6" t="s">
        <v>13</v>
      </c>
      <c r="E65" s="6" t="s">
        <v>0</v>
      </c>
      <c r="F65" s="6" t="s">
        <v>1</v>
      </c>
      <c r="G65" s="6" t="s">
        <v>1</v>
      </c>
      <c r="H65" s="6" t="s">
        <v>10</v>
      </c>
      <c r="I65" s="6" t="s">
        <v>11</v>
      </c>
    </row>
    <row r="66" spans="2:13" x14ac:dyDescent="0.25">
      <c r="B66" s="9"/>
    </row>
    <row r="67" spans="2:13" ht="15" customHeight="1" x14ac:dyDescent="0.25">
      <c r="B67" s="7" t="s">
        <v>19</v>
      </c>
      <c r="C67" s="1">
        <v>2.2999999999999998</v>
      </c>
      <c r="D67" s="11">
        <v>0</v>
      </c>
      <c r="E67" s="8">
        <f>F67*60</f>
        <v>0</v>
      </c>
      <c r="F67" s="1">
        <v>0</v>
      </c>
      <c r="G67" s="3">
        <v>0</v>
      </c>
      <c r="H67" s="11">
        <v>0</v>
      </c>
      <c r="I67" s="11">
        <v>7.2256631032565233</v>
      </c>
      <c r="M67" s="2" t="s">
        <v>4</v>
      </c>
    </row>
    <row r="68" spans="2:13" x14ac:dyDescent="0.25">
      <c r="B68" s="7"/>
      <c r="C68" s="1">
        <v>2.1</v>
      </c>
      <c r="D68" s="11">
        <f>H68/7.225663</f>
        <v>8.6956522981760667E-2</v>
      </c>
      <c r="E68" s="8">
        <f>F68*60</f>
        <v>600</v>
      </c>
      <c r="F68" s="1">
        <v>10</v>
      </c>
      <c r="G68" s="3">
        <v>6.9444444444444441E-3</v>
      </c>
      <c r="H68" s="11">
        <f>PI()*1*1*(2.3-C68)</f>
        <v>0.62831853071795774</v>
      </c>
      <c r="I68" s="11">
        <f>7.225663-H68</f>
        <v>6.5973444692820422</v>
      </c>
      <c r="K68" s="2" t="s">
        <v>12</v>
      </c>
      <c r="L68" s="1">
        <v>2.2999999999999998</v>
      </c>
      <c r="M68" s="1" t="s">
        <v>5</v>
      </c>
    </row>
    <row r="69" spans="2:13" x14ac:dyDescent="0.25">
      <c r="B69" s="7"/>
      <c r="C69" s="1">
        <v>2</v>
      </c>
      <c r="D69" s="11">
        <f t="shared" ref="D69:D73" si="21">H69/7.225663</f>
        <v>0.13043478447264112</v>
      </c>
      <c r="E69" s="8">
        <f>F69*60</f>
        <v>1200</v>
      </c>
      <c r="F69" s="1">
        <v>20</v>
      </c>
      <c r="G69" s="3">
        <v>1.38888888888889E-2</v>
      </c>
      <c r="H69" s="11">
        <f t="shared" ref="H69:H73" si="22">PI()*1*1*(2.3-C69)</f>
        <v>0.94247779607693738</v>
      </c>
      <c r="I69" s="11">
        <f t="shared" ref="I69:I73" si="23">7.225663-H69</f>
        <v>6.2831852039230629</v>
      </c>
      <c r="K69" s="10"/>
      <c r="L69" s="10"/>
      <c r="M69" s="10"/>
    </row>
    <row r="70" spans="2:13" x14ac:dyDescent="0.25">
      <c r="B70" s="7"/>
      <c r="C70" s="1">
        <v>1.9</v>
      </c>
      <c r="D70" s="11">
        <f t="shared" si="21"/>
        <v>0.17391304596352156</v>
      </c>
      <c r="E70" s="8">
        <f t="shared" ref="E70:E74" si="24">F70*60</f>
        <v>1800</v>
      </c>
      <c r="F70" s="1">
        <v>30</v>
      </c>
      <c r="G70" s="3">
        <v>2.0833333333333301E-2</v>
      </c>
      <c r="H70" s="11">
        <f t="shared" si="22"/>
        <v>1.256637061435917</v>
      </c>
      <c r="I70" s="11">
        <f t="shared" si="23"/>
        <v>5.9690259385640827</v>
      </c>
      <c r="K70" s="2" t="s">
        <v>3</v>
      </c>
      <c r="L70" s="1">
        <v>2</v>
      </c>
      <c r="M70" s="1" t="s">
        <v>5</v>
      </c>
    </row>
    <row r="71" spans="2:13" x14ac:dyDescent="0.25">
      <c r="B71" s="7"/>
      <c r="C71" s="1">
        <v>1.8</v>
      </c>
      <c r="D71" s="11">
        <f t="shared" si="21"/>
        <v>0.21739130745440188</v>
      </c>
      <c r="E71" s="8">
        <f t="shared" si="24"/>
        <v>2400</v>
      </c>
      <c r="F71" s="1">
        <v>40</v>
      </c>
      <c r="G71" s="3">
        <v>2.7777777777777801E-2</v>
      </c>
      <c r="H71" s="11">
        <f t="shared" si="22"/>
        <v>1.5707963267948959</v>
      </c>
      <c r="I71" s="11">
        <f t="shared" si="23"/>
        <v>5.6548666732051043</v>
      </c>
      <c r="K71" s="2" t="s">
        <v>6</v>
      </c>
      <c r="L71" s="1">
        <v>1</v>
      </c>
      <c r="M71" s="1" t="s">
        <v>5</v>
      </c>
    </row>
    <row r="72" spans="2:13" x14ac:dyDescent="0.25">
      <c r="B72" s="7"/>
      <c r="C72" s="1">
        <v>1.7</v>
      </c>
      <c r="D72" s="11">
        <f t="shared" si="21"/>
        <v>0.26086956894528229</v>
      </c>
      <c r="E72" s="8">
        <f t="shared" si="24"/>
        <v>3000</v>
      </c>
      <c r="F72" s="1">
        <v>50</v>
      </c>
      <c r="G72" s="3">
        <v>3.4722222222222203E-2</v>
      </c>
      <c r="H72" s="11">
        <f t="shared" si="22"/>
        <v>1.8849555921538754</v>
      </c>
      <c r="I72" s="11">
        <f t="shared" si="23"/>
        <v>5.340707407846125</v>
      </c>
      <c r="K72" s="2" t="s">
        <v>7</v>
      </c>
      <c r="L72" s="1">
        <f>PI()*L71*L71*L68</f>
        <v>7.2256631032565233</v>
      </c>
      <c r="M72" s="1" t="s">
        <v>8</v>
      </c>
    </row>
    <row r="73" spans="2:13" x14ac:dyDescent="0.25">
      <c r="B73" s="7"/>
      <c r="C73" s="1">
        <v>1.6</v>
      </c>
      <c r="D73" s="11">
        <f t="shared" si="21"/>
        <v>0.30434783043616265</v>
      </c>
      <c r="E73" s="8">
        <f t="shared" si="24"/>
        <v>3600</v>
      </c>
      <c r="F73" s="1">
        <v>60</v>
      </c>
      <c r="G73" s="3">
        <v>4.1666666666666699E-2</v>
      </c>
      <c r="H73" s="11">
        <f t="shared" si="22"/>
        <v>2.1991148575128543</v>
      </c>
      <c r="I73" s="11">
        <f t="shared" si="23"/>
        <v>5.0265481424871457</v>
      </c>
    </row>
    <row r="74" spans="2:13" x14ac:dyDescent="0.25">
      <c r="B74" s="9"/>
      <c r="D74" s="8"/>
      <c r="E74" s="8"/>
      <c r="G74" s="3"/>
    </row>
  </sheetData>
  <mergeCells count="9">
    <mergeCell ref="B67:B73"/>
    <mergeCell ref="B48:B54"/>
    <mergeCell ref="B18:B22"/>
    <mergeCell ref="B43:I43"/>
    <mergeCell ref="B59:B61"/>
    <mergeCell ref="B62:I62"/>
    <mergeCell ref="B6:B11"/>
    <mergeCell ref="B29:B34"/>
    <mergeCell ref="B39:B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Rohit Sabal</cp:lastModifiedBy>
  <dcterms:created xsi:type="dcterms:W3CDTF">2015-06-05T18:17:20Z</dcterms:created>
  <dcterms:modified xsi:type="dcterms:W3CDTF">2024-11-14T17:12:15Z</dcterms:modified>
</cp:coreProperties>
</file>