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fa19366_bristol_ac_uk/Documents/"/>
    </mc:Choice>
  </mc:AlternateContent>
  <xr:revisionPtr revIDLastSave="846" documentId="8_{4AD7160A-C5D0-41F4-8DA6-4A93F9327EB4}" xr6:coauthVersionLast="47" xr6:coauthVersionMax="47" xr10:uidLastSave="{078DA527-59E4-417C-953E-9F7871869414}"/>
  <bookViews>
    <workbookView xWindow="-110" yWindow="-110" windowWidth="19420" windowHeight="10420" firstSheet="5" activeTab="10" xr2:uid="{5A6C2DE8-42B3-4FE2-9FA2-64CC429B8C67}"/>
  </bookViews>
  <sheets>
    <sheet name="200km" sheetId="1" r:id="rId1"/>
    <sheet name="250km" sheetId="13" r:id="rId2"/>
    <sheet name="300km" sheetId="14" r:id="rId3"/>
    <sheet name="350km" sheetId="15" r:id="rId4"/>
    <sheet name="400km" sheetId="16" r:id="rId5"/>
    <sheet name="450km" sheetId="17" r:id="rId6"/>
    <sheet name="500km" sheetId="18" r:id="rId7"/>
    <sheet name="550km" sheetId="19" r:id="rId8"/>
    <sheet name="600km" sheetId="20" r:id="rId9"/>
    <sheet name="650km" sheetId="21" r:id="rId10"/>
    <sheet name="700km" sheetId="22" r:id="rId11"/>
    <sheet name="Comparisons" sheetId="12" r:id="rId12"/>
    <sheet name="Sheet2" sheetId="2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2" l="1"/>
  <c r="T12" i="12"/>
  <c r="U12" i="12"/>
  <c r="V12" i="12"/>
  <c r="W12" i="12"/>
  <c r="X12" i="12"/>
  <c r="Y12" i="12"/>
  <c r="Z12" i="12"/>
  <c r="AA12" i="12"/>
  <c r="R12" i="12"/>
  <c r="B4" i="22"/>
  <c r="B31" i="22"/>
  <c r="M22" i="22"/>
  <c r="M21" i="22"/>
  <c r="M20" i="22"/>
  <c r="M19" i="22"/>
  <c r="P18" i="22"/>
  <c r="M18" i="22"/>
  <c r="P17" i="22"/>
  <c r="M17" i="22"/>
  <c r="P16" i="22"/>
  <c r="M16" i="22"/>
  <c r="B16" i="22"/>
  <c r="P15" i="22"/>
  <c r="M15" i="22"/>
  <c r="P14" i="22"/>
  <c r="M14" i="22"/>
  <c r="P13" i="22"/>
  <c r="M13" i="22"/>
  <c r="P12" i="22"/>
  <c r="M12" i="22"/>
  <c r="B9" i="22"/>
  <c r="B2" i="22"/>
  <c r="B4" i="21"/>
  <c r="B31" i="21"/>
  <c r="M22" i="21"/>
  <c r="M21" i="21"/>
  <c r="M20" i="21"/>
  <c r="M19" i="21"/>
  <c r="P18" i="21"/>
  <c r="M18" i="21"/>
  <c r="P17" i="21"/>
  <c r="M17" i="21"/>
  <c r="P16" i="21"/>
  <c r="M16" i="21"/>
  <c r="B16" i="21"/>
  <c r="P15" i="21"/>
  <c r="M15" i="21"/>
  <c r="P14" i="21"/>
  <c r="M14" i="21"/>
  <c r="P13" i="21"/>
  <c r="M13" i="21"/>
  <c r="P12" i="21"/>
  <c r="M12" i="21"/>
  <c r="B9" i="21"/>
  <c r="B2" i="21"/>
  <c r="B4" i="20"/>
  <c r="B31" i="20"/>
  <c r="M22" i="20"/>
  <c r="M21" i="20"/>
  <c r="M20" i="20"/>
  <c r="M19" i="20"/>
  <c r="P18" i="20"/>
  <c r="M18" i="20"/>
  <c r="P17" i="20"/>
  <c r="M17" i="20"/>
  <c r="P16" i="20"/>
  <c r="M16" i="20"/>
  <c r="B16" i="20"/>
  <c r="P15" i="20"/>
  <c r="M15" i="20"/>
  <c r="P14" i="20"/>
  <c r="M14" i="20"/>
  <c r="P13" i="20"/>
  <c r="M13" i="20"/>
  <c r="P12" i="20"/>
  <c r="M12" i="20"/>
  <c r="B9" i="20"/>
  <c r="B2" i="20"/>
  <c r="B4" i="19"/>
  <c r="B31" i="19"/>
  <c r="M22" i="19"/>
  <c r="M21" i="19"/>
  <c r="M20" i="19"/>
  <c r="M19" i="19"/>
  <c r="P18" i="19"/>
  <c r="M18" i="19"/>
  <c r="P17" i="19"/>
  <c r="M17" i="19"/>
  <c r="P16" i="19"/>
  <c r="M16" i="19"/>
  <c r="B16" i="19"/>
  <c r="P15" i="19"/>
  <c r="M15" i="19"/>
  <c r="P14" i="19"/>
  <c r="M14" i="19"/>
  <c r="P13" i="19"/>
  <c r="M13" i="19"/>
  <c r="P12" i="19"/>
  <c r="M12" i="19"/>
  <c r="B9" i="19"/>
  <c r="B2" i="19"/>
  <c r="B4" i="18"/>
  <c r="B31" i="18"/>
  <c r="M22" i="18"/>
  <c r="M21" i="18"/>
  <c r="M20" i="18"/>
  <c r="M19" i="18"/>
  <c r="P18" i="18"/>
  <c r="M18" i="18"/>
  <c r="P17" i="18"/>
  <c r="M17" i="18"/>
  <c r="P16" i="18"/>
  <c r="M16" i="18"/>
  <c r="B16" i="18"/>
  <c r="P15" i="18"/>
  <c r="M15" i="18"/>
  <c r="P14" i="18"/>
  <c r="M14" i="18"/>
  <c r="P13" i="18"/>
  <c r="M13" i="18"/>
  <c r="P12" i="18"/>
  <c r="M12" i="18"/>
  <c r="B9" i="18"/>
  <c r="B10" i="18" s="1"/>
  <c r="B2" i="18"/>
  <c r="B4" i="17"/>
  <c r="B31" i="17"/>
  <c r="M22" i="17"/>
  <c r="M21" i="17"/>
  <c r="M20" i="17"/>
  <c r="M19" i="17"/>
  <c r="P18" i="17"/>
  <c r="M18" i="17"/>
  <c r="P17" i="17"/>
  <c r="M17" i="17"/>
  <c r="P16" i="17"/>
  <c r="M16" i="17"/>
  <c r="B16" i="17"/>
  <c r="P15" i="17"/>
  <c r="M15" i="17"/>
  <c r="P14" i="17"/>
  <c r="M14" i="17"/>
  <c r="P13" i="17"/>
  <c r="M13" i="17"/>
  <c r="P12" i="17"/>
  <c r="M12" i="17"/>
  <c r="B9" i="17"/>
  <c r="B10" i="17" s="1"/>
  <c r="B2" i="17"/>
  <c r="B4" i="16"/>
  <c r="B31" i="16"/>
  <c r="M22" i="16"/>
  <c r="M21" i="16"/>
  <c r="M20" i="16"/>
  <c r="M19" i="16"/>
  <c r="P18" i="16"/>
  <c r="M18" i="16"/>
  <c r="P17" i="16"/>
  <c r="M17" i="16"/>
  <c r="P16" i="16"/>
  <c r="M16" i="16"/>
  <c r="B16" i="16"/>
  <c r="P15" i="16"/>
  <c r="M15" i="16"/>
  <c r="P14" i="16"/>
  <c r="M14" i="16"/>
  <c r="P13" i="16"/>
  <c r="M13" i="16"/>
  <c r="P12" i="16"/>
  <c r="M12" i="16"/>
  <c r="B9" i="16"/>
  <c r="B2" i="16"/>
  <c r="B4" i="15"/>
  <c r="B31" i="15"/>
  <c r="M22" i="15"/>
  <c r="M21" i="15"/>
  <c r="M20" i="15"/>
  <c r="M19" i="15"/>
  <c r="P18" i="15"/>
  <c r="M18" i="15"/>
  <c r="P17" i="15"/>
  <c r="M17" i="15"/>
  <c r="P16" i="15"/>
  <c r="M16" i="15"/>
  <c r="B16" i="15"/>
  <c r="P15" i="15"/>
  <c r="M15" i="15"/>
  <c r="P14" i="15"/>
  <c r="M14" i="15"/>
  <c r="P13" i="15"/>
  <c r="M13" i="15"/>
  <c r="P12" i="15"/>
  <c r="M12" i="15"/>
  <c r="B9" i="15"/>
  <c r="B10" i="15" s="1"/>
  <c r="B2" i="15"/>
  <c r="B4" i="14"/>
  <c r="B31" i="14"/>
  <c r="M22" i="14"/>
  <c r="M21" i="14"/>
  <c r="M20" i="14"/>
  <c r="M19" i="14"/>
  <c r="P18" i="14"/>
  <c r="M18" i="14"/>
  <c r="P17" i="14"/>
  <c r="M17" i="14"/>
  <c r="P16" i="14"/>
  <c r="M16" i="14"/>
  <c r="B16" i="14"/>
  <c r="P15" i="14"/>
  <c r="M15" i="14"/>
  <c r="P14" i="14"/>
  <c r="M14" i="14"/>
  <c r="P13" i="14"/>
  <c r="M13" i="14"/>
  <c r="P12" i="14"/>
  <c r="M12" i="14"/>
  <c r="B9" i="14"/>
  <c r="B2" i="14"/>
  <c r="B4" i="13"/>
  <c r="B31" i="13"/>
  <c r="M22" i="13"/>
  <c r="M21" i="13"/>
  <c r="M20" i="13"/>
  <c r="M19" i="13"/>
  <c r="P18" i="13"/>
  <c r="M18" i="13"/>
  <c r="P17" i="13"/>
  <c r="M17" i="13"/>
  <c r="P16" i="13"/>
  <c r="M16" i="13"/>
  <c r="B16" i="13"/>
  <c r="P15" i="13"/>
  <c r="M15" i="13"/>
  <c r="P14" i="13"/>
  <c r="M14" i="13"/>
  <c r="P13" i="13"/>
  <c r="M13" i="13"/>
  <c r="P12" i="13"/>
  <c r="M12" i="13"/>
  <c r="B9" i="13"/>
  <c r="B10" i="13" s="1"/>
  <c r="B13" i="13" s="1"/>
  <c r="B14" i="13" s="1"/>
  <c r="B2" i="13"/>
  <c r="B10" i="22" l="1"/>
  <c r="B11" i="22" s="1"/>
  <c r="B12" i="22" s="1"/>
  <c r="B10" i="21"/>
  <c r="B11" i="21" s="1"/>
  <c r="B12" i="21" s="1"/>
  <c r="B10" i="20"/>
  <c r="B11" i="20" s="1"/>
  <c r="B12" i="20" s="1"/>
  <c r="B10" i="19"/>
  <c r="B11" i="19" s="1"/>
  <c r="B12" i="19" s="1"/>
  <c r="B11" i="18"/>
  <c r="B12" i="18" s="1"/>
  <c r="B13" i="18"/>
  <c r="B14" i="18" s="1"/>
  <c r="B11" i="17"/>
  <c r="B12" i="17" s="1"/>
  <c r="B15" i="17" s="1"/>
  <c r="B19" i="17" s="1"/>
  <c r="B20" i="17" s="1"/>
  <c r="B13" i="17"/>
  <c r="B14" i="17" s="1"/>
  <c r="B10" i="16"/>
  <c r="B11" i="16" s="1"/>
  <c r="B12" i="16" s="1"/>
  <c r="B11" i="15"/>
  <c r="B12" i="15" s="1"/>
  <c r="B13" i="15"/>
  <c r="B14" i="15" s="1"/>
  <c r="B10" i="14"/>
  <c r="B11" i="14" s="1"/>
  <c r="B12" i="14" s="1"/>
  <c r="B11" i="13"/>
  <c r="B12" i="13" s="1"/>
  <c r="B15" i="13" s="1"/>
  <c r="B19" i="13" s="1"/>
  <c r="B20" i="13" s="1"/>
  <c r="B13" i="22" l="1"/>
  <c r="B14" i="22" s="1"/>
  <c r="B15" i="22" s="1"/>
  <c r="B19" i="22" s="1"/>
  <c r="B20" i="22" s="1"/>
  <c r="B13" i="21"/>
  <c r="B14" i="21" s="1"/>
  <c r="B15" i="21" s="1"/>
  <c r="B19" i="21" s="1"/>
  <c r="B20" i="21" s="1"/>
  <c r="B13" i="20"/>
  <c r="B14" i="20" s="1"/>
  <c r="B15" i="20" s="1"/>
  <c r="B19" i="20" s="1"/>
  <c r="B20" i="20" s="1"/>
  <c r="B13" i="19"/>
  <c r="B14" i="19" s="1"/>
  <c r="B15" i="19" s="1"/>
  <c r="B19" i="19" s="1"/>
  <c r="B20" i="19" s="1"/>
  <c r="B15" i="18"/>
  <c r="B19" i="18" s="1"/>
  <c r="B20" i="18" s="1"/>
  <c r="B13" i="16"/>
  <c r="B14" i="16" s="1"/>
  <c r="B15" i="16" s="1"/>
  <c r="B19" i="16" s="1"/>
  <c r="B20" i="16" s="1"/>
  <c r="B15" i="15"/>
  <c r="B19" i="15" s="1"/>
  <c r="B20" i="15" s="1"/>
  <c r="B13" i="14"/>
  <c r="B14" i="14" s="1"/>
  <c r="B15" i="14" s="1"/>
  <c r="B19" i="14" s="1"/>
  <c r="B20" i="14" s="1"/>
  <c r="B31" i="1" l="1"/>
  <c r="B2" i="1" l="1"/>
  <c r="B16" i="1"/>
  <c r="P13" i="1"/>
  <c r="P14" i="1"/>
  <c r="P15" i="1"/>
  <c r="P16" i="1"/>
  <c r="P17" i="1"/>
  <c r="P18" i="1"/>
  <c r="P12" i="1"/>
  <c r="M18" i="1"/>
  <c r="M13" i="1"/>
  <c r="M14" i="1"/>
  <c r="M15" i="1"/>
  <c r="M16" i="1"/>
  <c r="M17" i="1"/>
  <c r="M19" i="1"/>
  <c r="M20" i="1"/>
  <c r="M21" i="1"/>
  <c r="M22" i="1"/>
  <c r="M12" i="1"/>
  <c r="B4" i="1" s="1"/>
  <c r="B9" i="1" l="1"/>
  <c r="B10" i="1" s="1"/>
  <c r="B13" i="1" l="1"/>
  <c r="B14" i="1" s="1"/>
  <c r="B11" i="1"/>
  <c r="B12" i="1" s="1"/>
  <c r="B15" i="1" l="1"/>
  <c r="B19" i="1" s="1"/>
  <c r="B20" i="1" s="1"/>
</calcChain>
</file>

<file path=xl/sharedStrings.xml><?xml version="1.0" encoding="utf-8"?>
<sst xmlns="http://schemas.openxmlformats.org/spreadsheetml/2006/main" count="529" uniqueCount="62">
  <si>
    <t>Variables</t>
  </si>
  <si>
    <t>Constants</t>
  </si>
  <si>
    <t>i</t>
  </si>
  <si>
    <t>h</t>
  </si>
  <si>
    <t>epsilon</t>
  </si>
  <si>
    <t>L</t>
  </si>
  <si>
    <t>SOURCE: https://www.westpoint.edu/sites/default/files/inline-images/centers_research/operations_research_center_of_excellence/pdf/Final%2520PPD%2520Tech%2520Report.pdf</t>
  </si>
  <si>
    <t>rE</t>
  </si>
  <si>
    <t>eE</t>
  </si>
  <si>
    <t>mu</t>
  </si>
  <si>
    <t>D</t>
  </si>
  <si>
    <t>Intermediaries</t>
  </si>
  <si>
    <t>rL</t>
  </si>
  <si>
    <t>lambda</t>
  </si>
  <si>
    <t>F1</t>
  </si>
  <si>
    <t>phi1</t>
  </si>
  <si>
    <t>phi2</t>
  </si>
  <si>
    <t>F2</t>
  </si>
  <si>
    <t>f</t>
  </si>
  <si>
    <t>P</t>
  </si>
  <si>
    <t>Results</t>
  </si>
  <si>
    <t>Passes per Day</t>
  </si>
  <si>
    <t>Altitude</t>
  </si>
  <si>
    <t>Epsilon to Use (Degrees)</t>
  </si>
  <si>
    <t>Epsilon to Use (Radians)</t>
  </si>
  <si>
    <t>epsilon changes with altitude h, see calculations in offnadircalcsheet for each acceptable epsilon value, use outer edge epsilon on IASI IFOV sheet (IASI is less tolerant)</t>
  </si>
  <si>
    <t>Latitude</t>
  </si>
  <si>
    <t>Latitude (degrees)</t>
  </si>
  <si>
    <t>Latitude (Radians)</t>
  </si>
  <si>
    <t>RESULTS TABLE - 200 km altitude</t>
  </si>
  <si>
    <t>AVERAGE</t>
  </si>
  <si>
    <t>pick a selection of L values up to 60 degrees and test, then average??</t>
  </si>
  <si>
    <t>Average Revisit (Days)</t>
  </si>
  <si>
    <t>Revisit (DAYS)</t>
  </si>
  <si>
    <t>RESULTS TABLE - 250 km altitude</t>
  </si>
  <si>
    <t>RESULTS TABLE - 350 km altitude</t>
  </si>
  <si>
    <t>RESULTS TABLE - 400 km altitude</t>
  </si>
  <si>
    <t>RESULTS TABLE - 300 km altitude</t>
  </si>
  <si>
    <t>RESULTS TABLE - 450 km altitude</t>
  </si>
  <si>
    <t>RESULTS TABLE - 500 km altitude</t>
  </si>
  <si>
    <t>RESULTS TABLE - 550 km altitude</t>
  </si>
  <si>
    <t>RESULTS TABLE - 600 km altitude</t>
  </si>
  <si>
    <t>RESULTS TABLE - 650 km altitude</t>
  </si>
  <si>
    <t>RESULTS TABLE - 700 km altitude</t>
  </si>
  <si>
    <t>Revisit Times in Days, Latitude against altitude</t>
  </si>
  <si>
    <t>LATITUDE</t>
  </si>
  <si>
    <t>AVERAGES</t>
  </si>
  <si>
    <t>Cap the offnadir tilt at 45 degrees MAXIMUM, so if gamma &gt; 45, use 45 instead when collecting epslion</t>
  </si>
  <si>
    <t>Nadir Res</t>
  </si>
  <si>
    <t>Edge Res</t>
  </si>
  <si>
    <t>~2km</t>
  </si>
  <si>
    <t>ALTITUDE (km)</t>
  </si>
  <si>
    <t>(days)</t>
  </si>
  <si>
    <t>Revisit Time (Days)</t>
  </si>
  <si>
    <t>LATITUDE (Degrees)</t>
  </si>
  <si>
    <t>Altitude (km)</t>
  </si>
  <si>
    <t>Minimum Revisit (Days)</t>
  </si>
  <si>
    <t>25th Percentile Revisit (Days)</t>
  </si>
  <si>
    <t>Median Revisit (Days)</t>
  </si>
  <si>
    <t>75th Percentile Revisit (Days)</t>
  </si>
  <si>
    <t>Maximum Revisit (Days)</t>
  </si>
  <si>
    <t>Mean Revisit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</si>
</sst>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979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2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6" borderId="2" xfId="0" applyFill="1" applyBorder="1"/>
    <xf numFmtId="0" fontId="0" fillId="10" borderId="1" xfId="0" applyFill="1" applyBorder="1"/>
    <xf numFmtId="0" fontId="0" fillId="8" borderId="1" xfId="0" applyFill="1" applyBorder="1"/>
    <xf numFmtId="0" fontId="0" fillId="8" borderId="3" xfId="0" applyFill="1" applyBorder="1"/>
    <xf numFmtId="0" fontId="0" fillId="10" borderId="3" xfId="0" applyFill="1" applyBorder="1"/>
    <xf numFmtId="0" fontId="0" fillId="10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4" xfId="0" applyFill="1" applyBorder="1"/>
    <xf numFmtId="0" fontId="0" fillId="8" borderId="2" xfId="0" applyFill="1" applyBorder="1"/>
    <xf numFmtId="0" fontId="0" fillId="12" borderId="3" xfId="0" applyFill="1" applyBorder="1"/>
    <xf numFmtId="0" fontId="1" fillId="13" borderId="13" xfId="0" applyFont="1" applyFill="1" applyBorder="1"/>
    <xf numFmtId="0" fontId="1" fillId="13" borderId="14" xfId="0" applyFont="1" applyFill="1" applyBorder="1"/>
    <xf numFmtId="2" fontId="1" fillId="13" borderId="8" xfId="0" applyNumberFormat="1" applyFont="1" applyFill="1" applyBorder="1"/>
    <xf numFmtId="2" fontId="1" fillId="13" borderId="9" xfId="0" applyNumberFormat="1" applyFont="1" applyFill="1" applyBorder="1"/>
    <xf numFmtId="2" fontId="1" fillId="13" borderId="4" xfId="0" applyNumberFormat="1" applyFont="1" applyFill="1" applyBorder="1"/>
    <xf numFmtId="2" fontId="1" fillId="13" borderId="3" xfId="0" applyNumberFormat="1" applyFont="1" applyFill="1" applyBorder="1"/>
    <xf numFmtId="0" fontId="2" fillId="13" borderId="14" xfId="0" applyFont="1" applyFill="1" applyBorder="1"/>
    <xf numFmtId="0" fontId="2" fillId="13" borderId="11" xfId="0" applyFont="1" applyFill="1" applyBorder="1"/>
    <xf numFmtId="0" fontId="2" fillId="13" borderId="2" xfId="0" applyFont="1" applyFill="1" applyBorder="1"/>
    <xf numFmtId="0" fontId="2" fillId="13" borderId="9" xfId="0" applyFont="1" applyFill="1" applyBorder="1"/>
    <xf numFmtId="0" fontId="2" fillId="13" borderId="5" xfId="0" applyFont="1" applyFill="1" applyBorder="1"/>
    <xf numFmtId="0" fontId="2" fillId="13" borderId="6" xfId="0" applyFont="1" applyFill="1" applyBorder="1"/>
    <xf numFmtId="0" fontId="2" fillId="13" borderId="7" xfId="0" applyFont="1" applyFill="1" applyBorder="1"/>
    <xf numFmtId="0" fontId="2" fillId="13" borderId="8" xfId="0" applyFont="1" applyFill="1" applyBorder="1"/>
    <xf numFmtId="0" fontId="2" fillId="13" borderId="12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Revisit Time Across All Latitudes,</a:t>
            </a:r>
            <a:br>
              <a:rPr lang="en-US"/>
            </a:br>
            <a:r>
              <a:rPr lang="en-US"/>
              <a:t>for each Altitude</a:t>
            </a:r>
          </a:p>
        </c:rich>
      </c:tx>
      <c:layout>
        <c:manualLayout>
          <c:xMode val="edge"/>
          <c:yMode val="edge"/>
          <c:x val="0.34170963088657702"/>
          <c:y val="3.02803997887783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 Revisit Times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Comparisons!$C$4:$M$4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  <c:pt idx="10">
                  <c:v>700</c:v>
                </c:pt>
              </c:numCache>
            </c:numRef>
          </c:cat>
          <c:val>
            <c:numRef>
              <c:f>Comparisons!$C$12:$M$12</c:f>
              <c:numCache>
                <c:formatCode>General</c:formatCode>
                <c:ptCount val="11"/>
                <c:pt idx="0">
                  <c:v>1.8381095735442394</c:v>
                </c:pt>
                <c:pt idx="1">
                  <c:v>1.5029651518465639</c:v>
                </c:pt>
                <c:pt idx="2">
                  <c:v>1.2751463351422045</c:v>
                </c:pt>
                <c:pt idx="3">
                  <c:v>1.2062028315394488</c:v>
                </c:pt>
                <c:pt idx="4">
                  <c:v>1.2429101655385462</c:v>
                </c:pt>
                <c:pt idx="5">
                  <c:v>1.3054543396484584</c:v>
                </c:pt>
                <c:pt idx="6">
                  <c:v>1.4096347502336821</c:v>
                </c:pt>
                <c:pt idx="7">
                  <c:v>1.5723864240992846</c:v>
                </c:pt>
                <c:pt idx="8">
                  <c:v>1.8690743832844399</c:v>
                </c:pt>
                <c:pt idx="9">
                  <c:v>2.586063906128294</c:v>
                </c:pt>
                <c:pt idx="10">
                  <c:v>420.51824344814617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6-4E79-88C9-B2AA31FBA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621288"/>
        <c:axId val="842623808"/>
      </c:lineChart>
      <c:catAx>
        <c:axId val="842621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Altitude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23808"/>
        <c:crosses val="autoZero"/>
        <c:auto val="1"/>
        <c:lblAlgn val="ctr"/>
        <c:lblOffset val="100"/>
        <c:noMultiLvlLbl val="0"/>
      </c:catAx>
      <c:valAx>
        <c:axId val="842623808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Revisit Time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621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264583</xdr:colOff>
      <xdr:row>13</xdr:row>
      <xdr:rowOff>88899</xdr:rowOff>
    </xdr:from>
    <xdr:to>
      <xdr:col>15</xdr:col>
      <xdr:colOff>508000</xdr:colOff>
      <xdr:row>38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506A8-C0B9-1763-2FC6-F79E525C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0764-91AD-4633-BBB4-D8610681D0D1}">
  <dimension ref="A1:P34"/>
  <sheetViews>
    <sheetView topLeftCell="A7" workbookViewId="0">
      <selection activeCell="I10" sqref="I10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200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M12</f>
        <v>0.75196584073607275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3.9503651523140726E-2</v>
      </c>
    </row>
    <row r="11" spans="1:16" x14ac:dyDescent="0.35">
      <c r="A11" s="13" t="s">
        <v>14</v>
      </c>
      <c r="B11" s="1">
        <f>((-SIN(B10))+(SIN(B5)*COS(B2)))/((COS(B5))*(SIN(B2)))</f>
        <v>0.90879395071443592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0.43041193061386762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1.091206049285564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0.13700437264584581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5309.649333468742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2.1608687293770723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0.46277683896526028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29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2.6979294411430006</v>
      </c>
    </row>
    <row r="25" spans="1:16" x14ac:dyDescent="0.35">
      <c r="A25" s="12">
        <v>10</v>
      </c>
      <c r="B25" s="11">
        <v>2.6182715276544548</v>
      </c>
    </row>
    <row r="26" spans="1:16" x14ac:dyDescent="0.35">
      <c r="A26" s="12">
        <v>20</v>
      </c>
      <c r="B26" s="11">
        <v>2.390492578967744</v>
      </c>
    </row>
    <row r="27" spans="1:16" x14ac:dyDescent="0.35">
      <c r="A27" s="12">
        <v>30</v>
      </c>
      <c r="B27" s="11">
        <v>2.0417549342432406</v>
      </c>
    </row>
    <row r="28" spans="1:16" x14ac:dyDescent="0.35">
      <c r="A28" s="12">
        <v>40</v>
      </c>
      <c r="B28" s="11">
        <v>1.5986287410648956</v>
      </c>
    </row>
    <row r="29" spans="1:16" x14ac:dyDescent="0.35">
      <c r="A29" s="12">
        <v>50</v>
      </c>
      <c r="B29" s="11">
        <v>1.0569129527710797</v>
      </c>
    </row>
    <row r="30" spans="1:16" x14ac:dyDescent="0.35">
      <c r="A30" s="12">
        <v>60</v>
      </c>
      <c r="B30" s="11">
        <v>0.46277683896526028</v>
      </c>
    </row>
    <row r="31" spans="1:16" x14ac:dyDescent="0.35">
      <c r="A31" s="12" t="s">
        <v>30</v>
      </c>
      <c r="B31" s="11">
        <f>AVERAGE(B24:B30)</f>
        <v>1.8381095735442394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BDC5-C468-4C7C-BB6E-C48C94917E78}">
  <dimension ref="A1:P34"/>
  <sheetViews>
    <sheetView workbookViewId="0">
      <selection activeCell="J1" sqref="J1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650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M21</f>
        <v>1.2954673477893837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0.87266462599716477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6340.5331474982404</v>
      </c>
    </row>
    <row r="10" spans="1:16" x14ac:dyDescent="0.35">
      <c r="A10" s="13" t="s">
        <v>13</v>
      </c>
      <c r="B10" s="1">
        <f>(PI()/2)-B4-ASIN(((B9)/(E2+B3))*SIN((PI()/2)+B4))</f>
        <v>2.7535682116489602E-2</v>
      </c>
    </row>
    <row r="11" spans="1:16" x14ac:dyDescent="0.35">
      <c r="A11" s="13" t="s">
        <v>14</v>
      </c>
      <c r="B11" s="1">
        <f>((-SIN(B10))+(SIN(B5)*COS(B2)))/((COS(B5))*(SIN(B2)))</f>
        <v>0.63860054254859366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0.87811800389020844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0.73751797243534811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0.74140867705665447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4.3515930264651205E-2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5863.7000426854438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0.61943724395002209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1.6143685413928432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42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3.6705685244993353</v>
      </c>
    </row>
    <row r="25" spans="1:16" x14ac:dyDescent="0.35">
      <c r="A25" s="12">
        <v>10</v>
      </c>
      <c r="B25" s="11">
        <v>3.585388428834726</v>
      </c>
    </row>
    <row r="26" spans="1:16" x14ac:dyDescent="0.35">
      <c r="A26" s="12">
        <v>20</v>
      </c>
      <c r="B26" s="11">
        <v>3.333776343604399</v>
      </c>
    </row>
    <row r="27" spans="1:16" x14ac:dyDescent="0.35">
      <c r="A27" s="12">
        <v>30</v>
      </c>
      <c r="B27" s="11">
        <v>2.9247717605262991</v>
      </c>
    </row>
    <row r="28" spans="1:16" x14ac:dyDescent="0.35">
      <c r="A28" s="12">
        <v>40</v>
      </c>
      <c r="B28" s="11">
        <v>2.3626684500354207</v>
      </c>
    </row>
    <row r="29" spans="1:16" x14ac:dyDescent="0.35">
      <c r="A29" s="12">
        <v>50</v>
      </c>
      <c r="B29" s="11">
        <v>1.6143685413928432</v>
      </c>
    </row>
    <row r="30" spans="1:16" x14ac:dyDescent="0.35">
      <c r="A30" s="12">
        <v>60</v>
      </c>
      <c r="B30" s="11">
        <v>0.61090529400503391</v>
      </c>
    </row>
    <row r="31" spans="1:16" x14ac:dyDescent="0.35">
      <c r="A31" s="12" t="s">
        <v>30</v>
      </c>
      <c r="B31" s="11">
        <f>AVERAGE(B24:B30)</f>
        <v>2.586063906128294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5E9DA-5458-48A5-B044-2CEB0CEA0AE5}">
  <dimension ref="A1:P34"/>
  <sheetViews>
    <sheetView tabSelected="1" topLeftCell="E1" workbookViewId="0">
      <selection activeCell="J1" sqref="J1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700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M22</f>
        <v>1.5692079099409728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0.87266462599716477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6340.5331474982404</v>
      </c>
    </row>
    <row r="10" spans="1:16" x14ac:dyDescent="0.35">
      <c r="A10" s="13" t="s">
        <v>13</v>
      </c>
      <c r="B10" s="1">
        <f>(PI()/2)-B4-ASIN(((B9)/(E2+B3))*SIN((PI()/2)+B4))</f>
        <v>1.6552867098112273E-4</v>
      </c>
    </row>
    <row r="11" spans="1:16" x14ac:dyDescent="0.35">
      <c r="A11" s="13" t="s">
        <v>14</v>
      </c>
      <c r="B11" s="1">
        <f>((-SIN(B10))+(SIN(B5)*COS(B2)))/((COS(B5))*(SIN(B2)))</f>
        <v>0.68776190259317393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0.81239484398788253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0.68835661239076784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0.81157529438622988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2.6087074042402511E-4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5926.3849688385208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3.6727654159585E-3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272.27440000793655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43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615.09090366266526</v>
      </c>
    </row>
    <row r="25" spans="1:16" x14ac:dyDescent="0.35">
      <c r="A25" s="12">
        <v>10</v>
      </c>
      <c r="B25" s="11">
        <v>600.94467999574363</v>
      </c>
    </row>
    <row r="26" spans="1:16" x14ac:dyDescent="0.35">
      <c r="A26" s="12">
        <v>20</v>
      </c>
      <c r="B26" s="11">
        <v>559.11625627552394</v>
      </c>
    </row>
    <row r="27" spans="1:16" x14ac:dyDescent="0.35">
      <c r="A27" s="12">
        <v>30</v>
      </c>
      <c r="B27" s="11">
        <v>490.99937570319588</v>
      </c>
    </row>
    <row r="28" spans="1:16" x14ac:dyDescent="0.35">
      <c r="A28" s="12">
        <v>40</v>
      </c>
      <c r="B28" s="11">
        <v>397.18903764176497</v>
      </c>
    </row>
    <row r="29" spans="1:16" x14ac:dyDescent="0.35">
      <c r="A29" s="12">
        <v>50</v>
      </c>
      <c r="B29" s="11">
        <v>272.27440000793655</v>
      </c>
    </row>
    <row r="30" spans="1:16" x14ac:dyDescent="0.35">
      <c r="A30" s="12">
        <v>60</v>
      </c>
      <c r="B30" s="11">
        <v>8.0130508501930287</v>
      </c>
    </row>
    <row r="31" spans="1:16" x14ac:dyDescent="0.35">
      <c r="A31" s="12" t="s">
        <v>30</v>
      </c>
      <c r="B31" s="11">
        <f>AVERAGE(B24:B30)</f>
        <v>420.51824344814617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9FC58-5EB7-47A7-8CDA-9E1846CD930A}">
  <dimension ref="A1:AF28"/>
  <sheetViews>
    <sheetView zoomScale="60" zoomScaleNormal="60" workbookViewId="0">
      <selection activeCell="Q27" sqref="Q27"/>
    </sheetView>
  </sheetViews>
  <sheetFormatPr defaultRowHeight="14.5" x14ac:dyDescent="0.35"/>
  <cols>
    <col min="2" max="2" width="9.54296875" customWidth="1"/>
    <col min="20" max="20" width="10.81640625" customWidth="1"/>
    <col min="21" max="21" width="11.1796875" customWidth="1"/>
  </cols>
  <sheetData>
    <row r="1" spans="1:27" x14ac:dyDescent="0.35">
      <c r="A1" t="s">
        <v>44</v>
      </c>
    </row>
    <row r="3" spans="1:27" x14ac:dyDescent="0.35">
      <c r="A3" s="22"/>
      <c r="B3" s="23"/>
      <c r="C3" s="27" t="s">
        <v>51</v>
      </c>
      <c r="D3" s="27"/>
      <c r="E3" s="27"/>
      <c r="F3" s="27"/>
      <c r="G3" s="27"/>
      <c r="H3" s="27"/>
      <c r="I3" s="27"/>
      <c r="J3" s="27"/>
      <c r="K3" s="27"/>
      <c r="L3" s="27"/>
      <c r="M3" s="28"/>
    </row>
    <row r="4" spans="1:27" x14ac:dyDescent="0.35">
      <c r="A4" s="24"/>
      <c r="B4" s="25"/>
      <c r="C4" s="25">
        <v>200</v>
      </c>
      <c r="D4" s="26">
        <v>250</v>
      </c>
      <c r="E4" s="26">
        <v>300</v>
      </c>
      <c r="F4" s="26">
        <v>350</v>
      </c>
      <c r="G4" s="26">
        <v>400</v>
      </c>
      <c r="H4" s="26">
        <v>450</v>
      </c>
      <c r="I4" s="26">
        <v>500</v>
      </c>
      <c r="J4" s="26">
        <v>550</v>
      </c>
      <c r="K4" s="26">
        <v>600</v>
      </c>
      <c r="L4" s="26">
        <v>650</v>
      </c>
      <c r="M4" s="26">
        <v>700</v>
      </c>
    </row>
    <row r="5" spans="1:27" x14ac:dyDescent="0.35">
      <c r="A5" s="29" t="s">
        <v>45</v>
      </c>
      <c r="B5" s="26">
        <v>0</v>
      </c>
      <c r="C5" s="21">
        <v>2.6979294411430006</v>
      </c>
      <c r="D5" s="20">
        <v>2.1743798494505957</v>
      </c>
      <c r="E5" s="20">
        <v>1.8251342043529304</v>
      </c>
      <c r="F5" s="20">
        <v>1.7151386464909208</v>
      </c>
      <c r="G5" s="20">
        <v>1.761107796659408</v>
      </c>
      <c r="H5" s="20">
        <v>1.8454547784167235</v>
      </c>
      <c r="I5" s="20">
        <v>1.9903981750266369</v>
      </c>
      <c r="J5" s="20">
        <v>2.219932694482234</v>
      </c>
      <c r="K5" s="20">
        <v>2.6423437203493148</v>
      </c>
      <c r="L5" s="20">
        <v>3.6705685244993353</v>
      </c>
      <c r="M5" s="20">
        <v>615.09090366266526</v>
      </c>
    </row>
    <row r="6" spans="1:27" x14ac:dyDescent="0.35">
      <c r="A6" s="29" t="s">
        <v>52</v>
      </c>
      <c r="B6" s="19">
        <v>10</v>
      </c>
      <c r="C6" s="21">
        <v>2.6182715276544548</v>
      </c>
      <c r="D6" s="20">
        <v>2.1141966388813436</v>
      </c>
      <c r="E6" s="20">
        <v>1.7768628316228217</v>
      </c>
      <c r="F6" s="20">
        <v>1.6712514645374033</v>
      </c>
      <c r="G6" s="20">
        <v>1.7171641531024651</v>
      </c>
      <c r="H6" s="20">
        <v>1.8003244768352826</v>
      </c>
      <c r="I6" s="20">
        <v>1.9425207113656255</v>
      </c>
      <c r="J6" s="20">
        <v>2.1672681926838173</v>
      </c>
      <c r="K6" s="20">
        <v>2.5803941033454167</v>
      </c>
      <c r="L6" s="20">
        <v>3.585388428834726</v>
      </c>
      <c r="M6" s="20">
        <v>600.94467999574363</v>
      </c>
    </row>
    <row r="7" spans="1:27" x14ac:dyDescent="0.35">
      <c r="A7" s="29"/>
      <c r="B7" s="19">
        <v>20</v>
      </c>
      <c r="C7" s="21">
        <v>2.390492578967744</v>
      </c>
      <c r="D7" s="20">
        <v>1.9405093293013456</v>
      </c>
      <c r="E7" s="20">
        <v>1.6366620439074371</v>
      </c>
      <c r="F7" s="20">
        <v>1.5432056878410605</v>
      </c>
      <c r="G7" s="20">
        <v>1.5885256146039324</v>
      </c>
      <c r="H7" s="20">
        <v>1.66786665931169</v>
      </c>
      <c r="I7" s="20">
        <v>1.8017056165778611</v>
      </c>
      <c r="J7" s="20">
        <v>2.0121081431104124</v>
      </c>
      <c r="K7" s="20">
        <v>2.397619258281082</v>
      </c>
      <c r="L7" s="20">
        <v>3.333776343604399</v>
      </c>
      <c r="M7" s="20">
        <v>559.11625627552394</v>
      </c>
    </row>
    <row r="8" spans="1:27" x14ac:dyDescent="0.35">
      <c r="A8" s="29"/>
      <c r="B8" s="19">
        <v>30</v>
      </c>
      <c r="C8" s="21">
        <v>2.0417549342432406</v>
      </c>
      <c r="D8" s="20">
        <v>1.6700410969919099</v>
      </c>
      <c r="E8" s="20">
        <v>1.4157439860010992</v>
      </c>
      <c r="F8" s="20">
        <v>1.339738207173039</v>
      </c>
      <c r="G8" s="20">
        <v>1.3828541445291667</v>
      </c>
      <c r="H8" s="20">
        <v>1.4550649520595678</v>
      </c>
      <c r="I8" s="20">
        <v>1.5746036863186184</v>
      </c>
      <c r="J8" s="20">
        <v>1.7610827337330381</v>
      </c>
      <c r="K8" s="20">
        <v>2.1011505462842019</v>
      </c>
      <c r="L8" s="20">
        <v>2.9247717605262991</v>
      </c>
      <c r="M8" s="20">
        <v>490.99937570319588</v>
      </c>
    </row>
    <row r="9" spans="1:27" x14ac:dyDescent="0.35">
      <c r="A9" s="29"/>
      <c r="B9" s="19">
        <v>40</v>
      </c>
      <c r="C9" s="21">
        <v>1.5986287410648956</v>
      </c>
      <c r="D9" s="20">
        <v>1.3186093060405808</v>
      </c>
      <c r="E9" s="20">
        <v>1.1241062481323612</v>
      </c>
      <c r="F9" s="20">
        <v>1.068105648461289</v>
      </c>
      <c r="G9" s="20">
        <v>1.1060600828745815</v>
      </c>
      <c r="H9" s="20">
        <v>1.1668737352633654</v>
      </c>
      <c r="I9" s="20">
        <v>1.2655202833799244</v>
      </c>
      <c r="J9" s="20">
        <v>1.4180775478313308</v>
      </c>
      <c r="K9" s="20">
        <v>1.6947536474354816</v>
      </c>
      <c r="L9" s="20">
        <v>2.3626684500354207</v>
      </c>
      <c r="M9" s="20">
        <v>397.18903764176497</v>
      </c>
    </row>
    <row r="10" spans="1:27" x14ac:dyDescent="0.35">
      <c r="A10" s="29"/>
      <c r="B10" s="19">
        <v>50</v>
      </c>
      <c r="C10" s="21">
        <v>1.0569129527710797</v>
      </c>
      <c r="D10" s="20">
        <v>0.87743241278475326</v>
      </c>
      <c r="E10" s="20">
        <v>0.75055897842523078</v>
      </c>
      <c r="F10" s="20">
        <v>0.7154060847338034</v>
      </c>
      <c r="G10" s="20">
        <v>0.74360602214604432</v>
      </c>
      <c r="H10" s="20">
        <v>0.78714800136818763</v>
      </c>
      <c r="I10" s="20">
        <v>0.85647533271529552</v>
      </c>
      <c r="J10" s="20">
        <v>0.96274226151001918</v>
      </c>
      <c r="K10" s="20">
        <v>1.1542393889387708</v>
      </c>
      <c r="L10" s="20">
        <v>1.6143685413928432</v>
      </c>
      <c r="M10" s="20">
        <v>272.27440000793655</v>
      </c>
    </row>
    <row r="11" spans="1:27" x14ac:dyDescent="0.35">
      <c r="A11" s="26"/>
      <c r="B11" s="19">
        <v>60</v>
      </c>
      <c r="C11" s="21">
        <v>0.46277683896526028</v>
      </c>
      <c r="D11" s="20">
        <v>0.42558742947541955</v>
      </c>
      <c r="E11" s="20">
        <v>0.39695605355354996</v>
      </c>
      <c r="F11" s="20">
        <v>0.39057408153862694</v>
      </c>
      <c r="G11" s="20">
        <v>0.40105334485422561</v>
      </c>
      <c r="H11" s="20">
        <v>0.41544777428439111</v>
      </c>
      <c r="I11" s="20">
        <v>0.43621944625181397</v>
      </c>
      <c r="J11" s="20">
        <v>0.46549339534413969</v>
      </c>
      <c r="K11" s="20">
        <v>0.51302001835681099</v>
      </c>
      <c r="L11" s="20">
        <v>0.61090529400503391</v>
      </c>
      <c r="M11" s="20">
        <v>8.0130508501930287</v>
      </c>
    </row>
    <row r="12" spans="1:27" x14ac:dyDescent="0.35">
      <c r="B12" s="30" t="s">
        <v>46</v>
      </c>
      <c r="C12" s="30">
        <v>1.8381095735442394</v>
      </c>
      <c r="D12" s="30">
        <v>1.5029651518465639</v>
      </c>
      <c r="E12" s="30">
        <v>1.2751463351422045</v>
      </c>
      <c r="F12" s="30">
        <v>1.2062028315394488</v>
      </c>
      <c r="G12" s="30">
        <v>1.2429101655385462</v>
      </c>
      <c r="H12" s="30">
        <v>1.3054543396484584</v>
      </c>
      <c r="I12" s="30">
        <v>1.4096347502336821</v>
      </c>
      <c r="J12" s="30">
        <v>1.5723864240992846</v>
      </c>
      <c r="K12" s="30">
        <v>1.8690743832844399</v>
      </c>
      <c r="L12" s="30">
        <v>2.586063906128294</v>
      </c>
      <c r="M12" s="30">
        <v>420.51824344814617</v>
      </c>
      <c r="R12">
        <f>C12*86400</f>
        <v>158812.66715422229</v>
      </c>
      <c r="S12">
        <f t="shared" ref="S12:AA12" si="0">D12*86400</f>
        <v>129856.18911954312</v>
      </c>
      <c r="T12">
        <f t="shared" si="0"/>
        <v>110172.64335628647</v>
      </c>
      <c r="U12">
        <f t="shared" si="0"/>
        <v>104215.92464500837</v>
      </c>
      <c r="V12">
        <f t="shared" si="0"/>
        <v>107387.43830253038</v>
      </c>
      <c r="W12">
        <f t="shared" si="0"/>
        <v>112791.2549456268</v>
      </c>
      <c r="X12">
        <f t="shared" si="0"/>
        <v>121792.44242019014</v>
      </c>
      <c r="Y12">
        <f t="shared" si="0"/>
        <v>135854.18704217818</v>
      </c>
      <c r="Z12">
        <f t="shared" si="0"/>
        <v>161488.0267157756</v>
      </c>
      <c r="AA12">
        <f t="shared" si="0"/>
        <v>223435.92148948461</v>
      </c>
    </row>
    <row r="19" spans="20:32" x14ac:dyDescent="0.35">
      <c r="T19" s="41" t="s">
        <v>53</v>
      </c>
      <c r="U19" s="42"/>
      <c r="V19" s="45" t="s">
        <v>51</v>
      </c>
      <c r="W19" s="46"/>
      <c r="X19" s="46"/>
      <c r="Y19" s="46"/>
      <c r="Z19" s="46"/>
      <c r="AA19" s="46"/>
      <c r="AB19" s="46"/>
      <c r="AC19" s="46"/>
      <c r="AD19" s="46"/>
      <c r="AE19" s="46"/>
      <c r="AF19" s="47"/>
    </row>
    <row r="20" spans="20:32" ht="15" thickBot="1" x14ac:dyDescent="0.4">
      <c r="T20" s="43"/>
      <c r="U20" s="44"/>
      <c r="V20" s="31">
        <v>200</v>
      </c>
      <c r="W20" s="31">
        <v>250</v>
      </c>
      <c r="X20" s="31">
        <v>300</v>
      </c>
      <c r="Y20" s="31">
        <v>350</v>
      </c>
      <c r="Z20" s="31">
        <v>400</v>
      </c>
      <c r="AA20" s="31">
        <v>450</v>
      </c>
      <c r="AB20" s="31">
        <v>500</v>
      </c>
      <c r="AC20" s="31">
        <v>550</v>
      </c>
      <c r="AD20" s="31">
        <v>600</v>
      </c>
      <c r="AE20" s="31">
        <v>650</v>
      </c>
      <c r="AF20" s="31">
        <v>700</v>
      </c>
    </row>
    <row r="21" spans="20:32" x14ac:dyDescent="0.35">
      <c r="T21" s="38" t="s">
        <v>54</v>
      </c>
      <c r="U21" s="32">
        <v>0</v>
      </c>
      <c r="V21" s="33">
        <v>2.6979294411430006</v>
      </c>
      <c r="W21" s="34">
        <v>2.1743798494505957</v>
      </c>
      <c r="X21" s="34">
        <v>1.8251342043529304</v>
      </c>
      <c r="Y21" s="34">
        <v>1.7151386464909208</v>
      </c>
      <c r="Z21" s="34">
        <v>1.761107796659408</v>
      </c>
      <c r="AA21" s="34">
        <v>1.8454547784167235</v>
      </c>
      <c r="AB21" s="34">
        <v>1.9903981750266369</v>
      </c>
      <c r="AC21" s="34">
        <v>2.219932694482234</v>
      </c>
      <c r="AD21" s="34">
        <v>2.6423437203493148</v>
      </c>
      <c r="AE21" s="34">
        <v>3.6705685244993353</v>
      </c>
      <c r="AF21" s="34">
        <v>615.09090366266526</v>
      </c>
    </row>
    <row r="22" spans="20:32" x14ac:dyDescent="0.35">
      <c r="T22" s="39"/>
      <c r="U22" s="32">
        <v>10</v>
      </c>
      <c r="V22" s="35">
        <v>2.6182715276544548</v>
      </c>
      <c r="W22" s="36">
        <v>2.1141966388813436</v>
      </c>
      <c r="X22" s="36">
        <v>1.7768628316228217</v>
      </c>
      <c r="Y22" s="36">
        <v>1.6712514645374033</v>
      </c>
      <c r="Z22" s="36">
        <v>1.7171641531024651</v>
      </c>
      <c r="AA22" s="36">
        <v>1.8003244768352826</v>
      </c>
      <c r="AB22" s="36">
        <v>1.9425207113656255</v>
      </c>
      <c r="AC22" s="36">
        <v>2.1672681926838173</v>
      </c>
      <c r="AD22" s="36">
        <v>2.5803941033454167</v>
      </c>
      <c r="AE22" s="36">
        <v>3.585388428834726</v>
      </c>
      <c r="AF22" s="36">
        <v>600.94467999574363</v>
      </c>
    </row>
    <row r="23" spans="20:32" x14ac:dyDescent="0.35">
      <c r="T23" s="39"/>
      <c r="U23" s="32">
        <v>20</v>
      </c>
      <c r="V23" s="35">
        <v>2.390492578967744</v>
      </c>
      <c r="W23" s="36">
        <v>1.9405093293013456</v>
      </c>
      <c r="X23" s="36">
        <v>1.6366620439074371</v>
      </c>
      <c r="Y23" s="36">
        <v>1.5432056878410605</v>
      </c>
      <c r="Z23" s="36">
        <v>1.5885256146039324</v>
      </c>
      <c r="AA23" s="36">
        <v>1.66786665931169</v>
      </c>
      <c r="AB23" s="36">
        <v>1.8017056165778611</v>
      </c>
      <c r="AC23" s="36">
        <v>2.0121081431104124</v>
      </c>
      <c r="AD23" s="36">
        <v>2.397619258281082</v>
      </c>
      <c r="AE23" s="36">
        <v>3.333776343604399</v>
      </c>
      <c r="AF23" s="36">
        <v>559.11625627552394</v>
      </c>
    </row>
    <row r="24" spans="20:32" x14ac:dyDescent="0.35">
      <c r="T24" s="39"/>
      <c r="U24" s="32">
        <v>30</v>
      </c>
      <c r="V24" s="35">
        <v>2.0417549342432406</v>
      </c>
      <c r="W24" s="36">
        <v>1.6700410969919099</v>
      </c>
      <c r="X24" s="36">
        <v>1.4157439860010992</v>
      </c>
      <c r="Y24" s="36">
        <v>1.339738207173039</v>
      </c>
      <c r="Z24" s="36">
        <v>1.3828541445291667</v>
      </c>
      <c r="AA24" s="36">
        <v>1.4550649520595678</v>
      </c>
      <c r="AB24" s="36">
        <v>1.5746036863186184</v>
      </c>
      <c r="AC24" s="36">
        <v>1.7610827337330381</v>
      </c>
      <c r="AD24" s="36">
        <v>2.1011505462842019</v>
      </c>
      <c r="AE24" s="36">
        <v>2.9247717605262991</v>
      </c>
      <c r="AF24" s="36">
        <v>490.99937570319588</v>
      </c>
    </row>
    <row r="25" spans="20:32" x14ac:dyDescent="0.35">
      <c r="T25" s="39"/>
      <c r="U25" s="32">
        <v>40</v>
      </c>
      <c r="V25" s="35">
        <v>1.5986287410648956</v>
      </c>
      <c r="W25" s="36">
        <v>1.3186093060405808</v>
      </c>
      <c r="X25" s="36">
        <v>1.1241062481323612</v>
      </c>
      <c r="Y25" s="36">
        <v>1.068105648461289</v>
      </c>
      <c r="Z25" s="36">
        <v>1.1060600828745815</v>
      </c>
      <c r="AA25" s="36">
        <v>1.1668737352633654</v>
      </c>
      <c r="AB25" s="36">
        <v>1.2655202833799244</v>
      </c>
      <c r="AC25" s="36">
        <v>1.4180775478313308</v>
      </c>
      <c r="AD25" s="36">
        <v>1.6947536474354816</v>
      </c>
      <c r="AE25" s="36">
        <v>2.3626684500354207</v>
      </c>
      <c r="AF25" s="36">
        <v>397.18903764176497</v>
      </c>
    </row>
    <row r="26" spans="20:32" x14ac:dyDescent="0.35">
      <c r="T26" s="39"/>
      <c r="U26" s="32">
        <v>50</v>
      </c>
      <c r="V26" s="35">
        <v>1.0569129527710797</v>
      </c>
      <c r="W26" s="36">
        <v>0.87743241278475326</v>
      </c>
      <c r="X26" s="36">
        <v>0.75055897842523078</v>
      </c>
      <c r="Y26" s="36">
        <v>0.7154060847338034</v>
      </c>
      <c r="Z26" s="36">
        <v>0.74360602214604432</v>
      </c>
      <c r="AA26" s="36">
        <v>0.78714800136818763</v>
      </c>
      <c r="AB26" s="36">
        <v>0.85647533271529552</v>
      </c>
      <c r="AC26" s="36">
        <v>0.96274226151001918</v>
      </c>
      <c r="AD26" s="36">
        <v>1.1542393889387708</v>
      </c>
      <c r="AE26" s="36">
        <v>1.6143685413928432</v>
      </c>
      <c r="AF26" s="36">
        <v>272.27440000793655</v>
      </c>
    </row>
    <row r="27" spans="20:32" x14ac:dyDescent="0.35">
      <c r="T27" s="39"/>
      <c r="U27" s="32">
        <v>60</v>
      </c>
      <c r="V27" s="35">
        <v>0.46277683896526028</v>
      </c>
      <c r="W27" s="36">
        <v>0.42558742947541955</v>
      </c>
      <c r="X27" s="36">
        <v>0.39695605355354996</v>
      </c>
      <c r="Y27" s="36">
        <v>0.39057408153862694</v>
      </c>
      <c r="Z27" s="36">
        <v>0.40105334485422561</v>
      </c>
      <c r="AA27" s="36">
        <v>0.41544777428439111</v>
      </c>
      <c r="AB27" s="36">
        <v>0.43621944625181397</v>
      </c>
      <c r="AC27" s="36">
        <v>0.46549339534413969</v>
      </c>
      <c r="AD27" s="36">
        <v>0.51302001835681099</v>
      </c>
      <c r="AE27" s="36">
        <v>0.61090529400503391</v>
      </c>
      <c r="AF27" s="36">
        <v>8.0130508501930287</v>
      </c>
    </row>
    <row r="28" spans="20:32" x14ac:dyDescent="0.35">
      <c r="T28" s="40"/>
      <c r="U28" s="37" t="s">
        <v>30</v>
      </c>
      <c r="V28" s="35">
        <v>1.8381095735442394</v>
      </c>
      <c r="W28" s="36">
        <v>1.5029651518465639</v>
      </c>
      <c r="X28" s="36">
        <v>1.2751463351422045</v>
      </c>
      <c r="Y28" s="36">
        <v>1.2062028315394488</v>
      </c>
      <c r="Z28" s="36">
        <v>1.2429101655385462</v>
      </c>
      <c r="AA28" s="36">
        <v>1.3054543396484584</v>
      </c>
      <c r="AB28" s="36">
        <v>1.4096347502336821</v>
      </c>
      <c r="AC28" s="36">
        <v>1.5723864240992846</v>
      </c>
      <c r="AD28" s="36">
        <v>1.8690743832844399</v>
      </c>
      <c r="AE28" s="36">
        <v>2.586063906128294</v>
      </c>
      <c r="AF28" s="36">
        <v>420.51824344814617</v>
      </c>
    </row>
  </sheetData>
  <mergeCells count="3">
    <mergeCell ref="T19:U20"/>
    <mergeCell ref="T21:T28"/>
    <mergeCell ref="V19:AF19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992-52D9-43A1-AB6F-E26C7520BFAC}">
  <dimension ref="A1:L21"/>
  <sheetViews>
    <sheetView workbookViewId="0">
      <selection activeCell="I12" sqref="I12"/>
    </sheetView>
  </sheetViews>
  <sheetFormatPr defaultRowHeight="14.5" x14ac:dyDescent="0.35"/>
  <sheetData>
    <row r="1" spans="1:12" ht="15" thickBot="1" x14ac:dyDescent="0.4">
      <c r="A1" s="48" t="s">
        <v>55</v>
      </c>
      <c r="B1" s="49">
        <v>200</v>
      </c>
      <c r="C1" s="49">
        <v>250</v>
      </c>
      <c r="D1" s="49">
        <v>300</v>
      </c>
      <c r="E1" s="49">
        <v>350</v>
      </c>
      <c r="F1" s="49">
        <v>400</v>
      </c>
      <c r="G1" s="49">
        <v>450</v>
      </c>
      <c r="H1" s="49">
        <v>500</v>
      </c>
      <c r="I1" s="49">
        <v>550</v>
      </c>
      <c r="J1" s="49">
        <v>600</v>
      </c>
      <c r="K1" s="49">
        <v>650</v>
      </c>
      <c r="L1" s="49">
        <v>700</v>
      </c>
    </row>
    <row r="2" spans="1:12" ht="15" thickBot="1" x14ac:dyDescent="0.4">
      <c r="A2" s="50" t="s">
        <v>56</v>
      </c>
      <c r="B2" s="51">
        <v>0.19</v>
      </c>
      <c r="C2" s="51">
        <v>0.06</v>
      </c>
      <c r="D2" s="51">
        <v>0.06</v>
      </c>
      <c r="E2" s="51">
        <v>0.06</v>
      </c>
      <c r="F2" s="51">
        <v>7.0000000000000007E-2</v>
      </c>
      <c r="G2" s="51">
        <v>7.0000000000000007E-2</v>
      </c>
      <c r="H2" s="51">
        <v>7.0000000000000007E-2</v>
      </c>
      <c r="I2" s="51">
        <v>7.0000000000000007E-2</v>
      </c>
      <c r="J2" s="51">
        <v>0.14000000000000001</v>
      </c>
      <c r="K2" s="51">
        <v>0.14000000000000001</v>
      </c>
      <c r="L2" s="51">
        <v>0.81</v>
      </c>
    </row>
    <row r="3" spans="1:12" ht="15" thickBot="1" x14ac:dyDescent="0.4">
      <c r="A3" s="50" t="s">
        <v>57</v>
      </c>
      <c r="B3" s="51">
        <v>0.19</v>
      </c>
      <c r="C3" s="51">
        <v>0.19</v>
      </c>
      <c r="D3" s="51">
        <v>0.06</v>
      </c>
      <c r="E3" s="51">
        <v>0.06</v>
      </c>
      <c r="F3" s="51">
        <v>7.0000000000000007E-2</v>
      </c>
      <c r="G3" s="51">
        <v>0.13</v>
      </c>
      <c r="H3" s="51">
        <v>0.14000000000000001</v>
      </c>
      <c r="I3" s="51">
        <v>0.14000000000000001</v>
      </c>
      <c r="J3" s="51">
        <v>0.21</v>
      </c>
      <c r="K3" s="51">
        <v>0.21</v>
      </c>
      <c r="L3" s="51">
        <v>1.17</v>
      </c>
    </row>
    <row r="4" spans="1:12" ht="15" thickBot="1" x14ac:dyDescent="0.4">
      <c r="A4" s="50" t="s">
        <v>58</v>
      </c>
      <c r="B4" s="51">
        <v>0.79</v>
      </c>
      <c r="C4" s="51">
        <v>0.19</v>
      </c>
      <c r="D4" s="51">
        <v>0.13</v>
      </c>
      <c r="E4" s="51">
        <v>0.13</v>
      </c>
      <c r="F4" s="51">
        <v>0.13</v>
      </c>
      <c r="G4" s="51">
        <v>0.13</v>
      </c>
      <c r="H4" s="51">
        <v>0.2</v>
      </c>
      <c r="I4" s="51">
        <v>0.21</v>
      </c>
      <c r="J4" s="51">
        <v>0.8</v>
      </c>
      <c r="K4" s="51">
        <v>0.81</v>
      </c>
      <c r="L4" s="51">
        <v>1.77</v>
      </c>
    </row>
    <row r="5" spans="1:12" ht="15" thickBot="1" x14ac:dyDescent="0.4">
      <c r="A5" s="50" t="s">
        <v>59</v>
      </c>
      <c r="B5" s="51">
        <v>0.79</v>
      </c>
      <c r="C5" s="51">
        <v>0.8</v>
      </c>
      <c r="D5" s="51">
        <v>0.81</v>
      </c>
      <c r="E5" s="51">
        <v>0.75</v>
      </c>
      <c r="F5" s="51">
        <v>0.76</v>
      </c>
      <c r="G5" s="51">
        <v>0.77</v>
      </c>
      <c r="H5" s="51">
        <v>0.78</v>
      </c>
      <c r="I5" s="51">
        <v>0.79</v>
      </c>
      <c r="J5" s="51">
        <v>0.8</v>
      </c>
      <c r="K5" s="51">
        <v>0.81</v>
      </c>
      <c r="L5" s="51">
        <v>1.99</v>
      </c>
    </row>
    <row r="6" spans="1:12" ht="15" thickBot="1" x14ac:dyDescent="0.4">
      <c r="A6" s="50" t="s">
        <v>60</v>
      </c>
      <c r="B6" s="51">
        <v>3.8</v>
      </c>
      <c r="C6" s="51">
        <v>0.8</v>
      </c>
      <c r="D6" s="51">
        <v>0.81</v>
      </c>
      <c r="E6" s="51">
        <v>0.82</v>
      </c>
      <c r="F6" s="51">
        <v>0.83</v>
      </c>
      <c r="G6" s="51">
        <v>0.84</v>
      </c>
      <c r="H6" s="51">
        <v>0.85</v>
      </c>
      <c r="I6" s="51">
        <v>0.86</v>
      </c>
      <c r="J6" s="51">
        <v>1.01</v>
      </c>
      <c r="K6" s="51">
        <v>1.1599999999999999</v>
      </c>
      <c r="L6" s="51">
        <v>3.76</v>
      </c>
    </row>
    <row r="7" spans="1:12" ht="15" thickBot="1" x14ac:dyDescent="0.4">
      <c r="A7" s="50" t="s">
        <v>61</v>
      </c>
      <c r="B7" s="51">
        <v>0.57999999999999996</v>
      </c>
      <c r="C7" s="51">
        <v>0.46</v>
      </c>
      <c r="D7" s="51">
        <v>0.37</v>
      </c>
      <c r="E7" s="51">
        <v>0.34</v>
      </c>
      <c r="F7" s="51">
        <v>0.35</v>
      </c>
      <c r="G7" s="51">
        <v>0.37</v>
      </c>
      <c r="H7" s="51">
        <v>0.4</v>
      </c>
      <c r="I7" s="51">
        <v>0.45</v>
      </c>
      <c r="J7" s="51">
        <v>0.52</v>
      </c>
      <c r="K7" s="51">
        <v>0.64</v>
      </c>
      <c r="L7" s="51">
        <v>1.63</v>
      </c>
    </row>
    <row r="10" spans="1:12" x14ac:dyDescent="0.35">
      <c r="A10" s="52" t="s">
        <v>55</v>
      </c>
      <c r="B10" s="52" t="s">
        <v>56</v>
      </c>
      <c r="C10" s="52" t="s">
        <v>57</v>
      </c>
      <c r="D10" s="52" t="s">
        <v>58</v>
      </c>
      <c r="E10" s="52" t="s">
        <v>59</v>
      </c>
      <c r="F10" s="52" t="s">
        <v>60</v>
      </c>
      <c r="G10" s="52" t="s">
        <v>61</v>
      </c>
    </row>
    <row r="11" spans="1:12" x14ac:dyDescent="0.35">
      <c r="A11" s="52">
        <v>200</v>
      </c>
      <c r="B11" s="53">
        <v>0.19</v>
      </c>
      <c r="C11" s="53">
        <v>0.19</v>
      </c>
      <c r="D11" s="53">
        <v>0.79</v>
      </c>
      <c r="E11" s="53">
        <v>0.79</v>
      </c>
      <c r="F11" s="53">
        <v>3.8</v>
      </c>
      <c r="G11" s="53">
        <v>0.57999999999999996</v>
      </c>
    </row>
    <row r="12" spans="1:12" x14ac:dyDescent="0.35">
      <c r="A12" s="52">
        <v>250</v>
      </c>
      <c r="B12" s="53">
        <v>0.06</v>
      </c>
      <c r="C12" s="53">
        <v>0.19</v>
      </c>
      <c r="D12" s="53">
        <v>0.19</v>
      </c>
      <c r="E12" s="53">
        <v>0.8</v>
      </c>
      <c r="F12" s="53">
        <v>0.8</v>
      </c>
      <c r="G12" s="53">
        <v>0.46</v>
      </c>
    </row>
    <row r="13" spans="1:12" x14ac:dyDescent="0.35">
      <c r="A13" s="52">
        <v>300</v>
      </c>
      <c r="B13" s="53">
        <v>0.06</v>
      </c>
      <c r="C13" s="53">
        <v>0.06</v>
      </c>
      <c r="D13" s="53">
        <v>0.13</v>
      </c>
      <c r="E13" s="53">
        <v>0.81</v>
      </c>
      <c r="F13" s="53">
        <v>0.81</v>
      </c>
      <c r="G13" s="53">
        <v>0.37</v>
      </c>
    </row>
    <row r="14" spans="1:12" x14ac:dyDescent="0.35">
      <c r="A14" s="52">
        <v>350</v>
      </c>
      <c r="B14" s="53">
        <v>0.06</v>
      </c>
      <c r="C14" s="53">
        <v>0.06</v>
      </c>
      <c r="D14" s="53">
        <v>0.13</v>
      </c>
      <c r="E14" s="53">
        <v>0.75</v>
      </c>
      <c r="F14" s="53">
        <v>0.82</v>
      </c>
      <c r="G14" s="53">
        <v>0.34</v>
      </c>
    </row>
    <row r="15" spans="1:12" x14ac:dyDescent="0.35">
      <c r="A15" s="52">
        <v>400</v>
      </c>
      <c r="B15" s="53">
        <v>7.0000000000000007E-2</v>
      </c>
      <c r="C15" s="53">
        <v>7.0000000000000007E-2</v>
      </c>
      <c r="D15" s="53">
        <v>0.13</v>
      </c>
      <c r="E15" s="53">
        <v>0.76</v>
      </c>
      <c r="F15" s="53">
        <v>0.83</v>
      </c>
      <c r="G15" s="53">
        <v>0.35</v>
      </c>
    </row>
    <row r="16" spans="1:12" x14ac:dyDescent="0.35">
      <c r="A16" s="52">
        <v>450</v>
      </c>
      <c r="B16" s="53">
        <v>7.0000000000000007E-2</v>
      </c>
      <c r="C16" s="53">
        <v>0.13</v>
      </c>
      <c r="D16" s="53">
        <v>0.13</v>
      </c>
      <c r="E16" s="53">
        <v>0.77</v>
      </c>
      <c r="F16" s="53">
        <v>0.84</v>
      </c>
      <c r="G16" s="53">
        <v>0.37</v>
      </c>
    </row>
    <row r="17" spans="1:7" x14ac:dyDescent="0.35">
      <c r="A17" s="52">
        <v>500</v>
      </c>
      <c r="B17" s="53">
        <v>7.0000000000000007E-2</v>
      </c>
      <c r="C17" s="53">
        <v>0.14000000000000001</v>
      </c>
      <c r="D17" s="53">
        <v>0.2</v>
      </c>
      <c r="E17" s="53">
        <v>0.78</v>
      </c>
      <c r="F17" s="53">
        <v>0.85</v>
      </c>
      <c r="G17" s="53">
        <v>0.4</v>
      </c>
    </row>
    <row r="18" spans="1:7" x14ac:dyDescent="0.35">
      <c r="A18" s="52">
        <v>550</v>
      </c>
      <c r="B18" s="53">
        <v>7.0000000000000007E-2</v>
      </c>
      <c r="C18" s="53">
        <v>0.14000000000000001</v>
      </c>
      <c r="D18" s="53">
        <v>0.21</v>
      </c>
      <c r="E18" s="53">
        <v>0.79</v>
      </c>
      <c r="F18" s="53">
        <v>0.86</v>
      </c>
      <c r="G18" s="53">
        <v>0.45</v>
      </c>
    </row>
    <row r="19" spans="1:7" x14ac:dyDescent="0.35">
      <c r="A19" s="52">
        <v>600</v>
      </c>
      <c r="B19" s="53">
        <v>0.14000000000000001</v>
      </c>
      <c r="C19" s="53">
        <v>0.21</v>
      </c>
      <c r="D19" s="53">
        <v>0.8</v>
      </c>
      <c r="E19" s="53">
        <v>0.8</v>
      </c>
      <c r="F19" s="53">
        <v>1.01</v>
      </c>
      <c r="G19" s="53">
        <v>0.52</v>
      </c>
    </row>
    <row r="20" spans="1:7" x14ac:dyDescent="0.35">
      <c r="A20" s="52">
        <v>650</v>
      </c>
      <c r="B20" s="53">
        <v>0.14000000000000001</v>
      </c>
      <c r="C20" s="53">
        <v>0.21</v>
      </c>
      <c r="D20" s="53">
        <v>0.81</v>
      </c>
      <c r="E20" s="53">
        <v>0.81</v>
      </c>
      <c r="F20" s="53">
        <v>1.1599999999999999</v>
      </c>
      <c r="G20" s="53">
        <v>0.64</v>
      </c>
    </row>
    <row r="21" spans="1:7" x14ac:dyDescent="0.35">
      <c r="A21" s="52">
        <v>700</v>
      </c>
      <c r="B21" s="53">
        <v>0.81</v>
      </c>
      <c r="C21" s="53">
        <v>1.17</v>
      </c>
      <c r="D21" s="53">
        <v>1.77</v>
      </c>
      <c r="E21" s="53">
        <v>1.99</v>
      </c>
      <c r="F21" s="53">
        <v>3.76</v>
      </c>
      <c r="G21" s="53">
        <v>1.63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F92C6-52AE-44E2-A17F-B9E04DE3EEE6}">
  <dimension ref="A1:P34"/>
  <sheetViews>
    <sheetView topLeftCell="A16" workbookViewId="0">
      <selection activeCell="D33" sqref="D33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250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M13</f>
        <v>0.74379427313942292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4.7667115540437899E-2</v>
      </c>
    </row>
    <row r="11" spans="1:16" x14ac:dyDescent="0.35">
      <c r="A11" s="13" t="s">
        <v>14</v>
      </c>
      <c r="B11" s="1">
        <f>((-SIN(B10))+(SIN(B5)*COS(B2)))/((COS(B5))*(SIN(B2)))</f>
        <v>0.88995919470164897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0.47354064250777883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1.110040805298351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0.1507326680200502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5370.3016087569858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2.3496934607128863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0.42558742947541955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34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2.1743798494505957</v>
      </c>
    </row>
    <row r="25" spans="1:16" x14ac:dyDescent="0.35">
      <c r="A25" s="12">
        <v>10</v>
      </c>
      <c r="B25" s="11">
        <v>2.1141966388813436</v>
      </c>
    </row>
    <row r="26" spans="1:16" x14ac:dyDescent="0.35">
      <c r="A26" s="12">
        <v>20</v>
      </c>
      <c r="B26" s="11">
        <v>1.9405093293013456</v>
      </c>
    </row>
    <row r="27" spans="1:16" x14ac:dyDescent="0.35">
      <c r="A27" s="12">
        <v>30</v>
      </c>
      <c r="B27" s="11">
        <v>1.6700410969919099</v>
      </c>
    </row>
    <row r="28" spans="1:16" x14ac:dyDescent="0.35">
      <c r="A28" s="12">
        <v>40</v>
      </c>
      <c r="B28" s="11">
        <v>1.3186093060405808</v>
      </c>
    </row>
    <row r="29" spans="1:16" x14ac:dyDescent="0.35">
      <c r="A29" s="12">
        <v>50</v>
      </c>
      <c r="B29" s="11">
        <v>0.87743241278475326</v>
      </c>
    </row>
    <row r="30" spans="1:16" x14ac:dyDescent="0.35">
      <c r="A30" s="12">
        <v>60</v>
      </c>
      <c r="B30" s="11">
        <v>0.42558742947541955</v>
      </c>
    </row>
    <row r="31" spans="1:16" x14ac:dyDescent="0.35">
      <c r="A31" s="12" t="s">
        <v>30</v>
      </c>
      <c r="B31" s="11">
        <f>AVERAGE(B24:B30)</f>
        <v>1.5029651518465639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64F3-169A-45C6-BBB1-86023FCBDFCF}">
  <dimension ref="A1:P34"/>
  <sheetViews>
    <sheetView workbookViewId="0">
      <selection activeCell="B4" sqref="B4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300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M14</f>
        <v>0.73554947481647304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5.5903931565373099E-2</v>
      </c>
    </row>
    <row r="11" spans="1:16" x14ac:dyDescent="0.35">
      <c r="A11" s="13" t="s">
        <v>14</v>
      </c>
      <c r="B11" s="1">
        <f>((-SIN(B10))+(SIN(B5)*COS(B2)))/((COS(B5))*(SIN(B2)))</f>
        <v>0.87096263708946242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0.51363822438232432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1.1290373629105375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0.163496124742782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5431.1830855648868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2.5191705506138566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0.39695605355354996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37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1.8251342043529304</v>
      </c>
    </row>
    <row r="25" spans="1:16" x14ac:dyDescent="0.35">
      <c r="A25" s="12">
        <v>10</v>
      </c>
      <c r="B25" s="11">
        <v>1.7768628316228217</v>
      </c>
    </row>
    <row r="26" spans="1:16" x14ac:dyDescent="0.35">
      <c r="A26" s="12">
        <v>20</v>
      </c>
      <c r="B26" s="11">
        <v>1.6366620439074371</v>
      </c>
    </row>
    <row r="27" spans="1:16" x14ac:dyDescent="0.35">
      <c r="A27" s="12">
        <v>30</v>
      </c>
      <c r="B27" s="11">
        <v>1.4157439860010992</v>
      </c>
    </row>
    <row r="28" spans="1:16" x14ac:dyDescent="0.35">
      <c r="A28" s="12">
        <v>40</v>
      </c>
      <c r="B28" s="11">
        <v>1.1241062481323612</v>
      </c>
    </row>
    <row r="29" spans="1:16" x14ac:dyDescent="0.35">
      <c r="A29" s="12">
        <v>50</v>
      </c>
      <c r="B29" s="11">
        <v>0.75055897842523078</v>
      </c>
    </row>
    <row r="30" spans="1:16" x14ac:dyDescent="0.35">
      <c r="A30" s="12">
        <v>60</v>
      </c>
      <c r="B30" s="11">
        <v>0.39695605355354996</v>
      </c>
    </row>
    <row r="31" spans="1:16" x14ac:dyDescent="0.35">
      <c r="A31" s="12" t="s">
        <v>30</v>
      </c>
      <c r="B31" s="11">
        <f>AVERAGE(B24:B30)</f>
        <v>1.2751463351422045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78DB-06AB-4D72-80B9-734239E08E3D}">
  <dimension ref="A1:P34"/>
  <sheetViews>
    <sheetView topLeftCell="A16" workbookViewId="0">
      <selection activeCell="D30" sqref="D30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350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M15</f>
        <v>0.77198965910419737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5.9024783810442072E-2</v>
      </c>
    </row>
    <row r="11" spans="1:16" x14ac:dyDescent="0.35">
      <c r="A11" s="13" t="s">
        <v>14</v>
      </c>
      <c r="B11" s="1">
        <f>((-SIN(B10))+(SIN(B5)*COS(B2)))/((COS(B5))*(SIN(B2)))</f>
        <v>0.86376723700087155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0.5280975965447281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1.1362327629991285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0.1680986858500858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5492.2929042398637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2.5603337427322406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0.39057408153862694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35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1.7151386464909208</v>
      </c>
    </row>
    <row r="25" spans="1:16" x14ac:dyDescent="0.35">
      <c r="A25" s="12">
        <v>10</v>
      </c>
      <c r="B25" s="11">
        <v>1.6712514645374033</v>
      </c>
    </row>
    <row r="26" spans="1:16" x14ac:dyDescent="0.35">
      <c r="A26" s="12">
        <v>20</v>
      </c>
      <c r="B26" s="11">
        <v>1.5432056878410605</v>
      </c>
    </row>
    <row r="27" spans="1:16" x14ac:dyDescent="0.35">
      <c r="A27" s="12">
        <v>30</v>
      </c>
      <c r="B27" s="11">
        <v>1.339738207173039</v>
      </c>
    </row>
    <row r="28" spans="1:16" x14ac:dyDescent="0.35">
      <c r="A28" s="12">
        <v>40</v>
      </c>
      <c r="B28" s="11">
        <v>1.068105648461289</v>
      </c>
    </row>
    <row r="29" spans="1:16" x14ac:dyDescent="0.35">
      <c r="A29" s="12">
        <v>50</v>
      </c>
      <c r="B29" s="11">
        <v>0.7154060847338034</v>
      </c>
    </row>
    <row r="30" spans="1:16" x14ac:dyDescent="0.35">
      <c r="A30" s="12">
        <v>60</v>
      </c>
      <c r="B30" s="11">
        <v>0.39057408153862694</v>
      </c>
    </row>
    <row r="31" spans="1:16" x14ac:dyDescent="0.35">
      <c r="A31" s="12" t="s">
        <v>30</v>
      </c>
      <c r="B31" s="11">
        <f>AVERAGE(B24:B30)</f>
        <v>1.2062028315394488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EE46-01E2-47BE-8B95-6B54E878826E}">
  <dimension ref="A1:P34"/>
  <sheetViews>
    <sheetView topLeftCell="A16" workbookViewId="0">
      <selection activeCell="D16" sqref="D16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400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M16</f>
        <v>0.84432288421825541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5.7317517142993935E-2</v>
      </c>
    </row>
    <row r="11" spans="1:16" x14ac:dyDescent="0.35">
      <c r="A11" s="13" t="s">
        <v>14</v>
      </c>
      <c r="B11" s="1">
        <f>((-SIN(B10))+(SIN(B5)*COS(B2)))/((COS(B5))*(SIN(B2)))</f>
        <v>0.86770333095922203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0.52023310479317542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1.1322966690407781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0.16559534037575571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5553.6302147301722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2.4934338856180811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0.40105334485422561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36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1.761107796659408</v>
      </c>
    </row>
    <row r="25" spans="1:16" x14ac:dyDescent="0.35">
      <c r="A25" s="12">
        <v>10</v>
      </c>
      <c r="B25" s="11">
        <v>1.7171641531024651</v>
      </c>
    </row>
    <row r="26" spans="1:16" x14ac:dyDescent="0.35">
      <c r="A26" s="12">
        <v>20</v>
      </c>
      <c r="B26" s="11">
        <v>1.5885256146039324</v>
      </c>
    </row>
    <row r="27" spans="1:16" x14ac:dyDescent="0.35">
      <c r="A27" s="12">
        <v>30</v>
      </c>
      <c r="B27" s="11">
        <v>1.3828541445291667</v>
      </c>
    </row>
    <row r="28" spans="1:16" x14ac:dyDescent="0.35">
      <c r="A28" s="12">
        <v>40</v>
      </c>
      <c r="B28" s="11">
        <v>1.1060600828745815</v>
      </c>
    </row>
    <row r="29" spans="1:16" x14ac:dyDescent="0.35">
      <c r="A29" s="12">
        <v>50</v>
      </c>
      <c r="B29" s="11">
        <v>0.74360602214604432</v>
      </c>
    </row>
    <row r="30" spans="1:16" x14ac:dyDescent="0.35">
      <c r="A30" s="12">
        <v>60</v>
      </c>
      <c r="B30" s="11">
        <v>0.40105334485422561</v>
      </c>
    </row>
    <row r="31" spans="1:16" x14ac:dyDescent="0.35">
      <c r="A31" s="12" t="s">
        <v>30</v>
      </c>
      <c r="B31" s="11">
        <f>AVERAGE(B24:B30)</f>
        <v>1.2429101655385462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B2609-E9F1-4D4F-80BF-93D22193DF2F}">
  <dimension ref="A1:P34"/>
  <sheetViews>
    <sheetView topLeftCell="A16" workbookViewId="0">
      <selection activeCell="F29" sqref="F29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450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M17</f>
        <v>0.91766641718321762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5.4700542322134726E-2</v>
      </c>
    </row>
    <row r="11" spans="1:16" x14ac:dyDescent="0.35">
      <c r="A11" s="13" t="s">
        <v>14</v>
      </c>
      <c r="B11" s="1">
        <f>((-SIN(B10))+(SIN(B5)*COS(B2)))/((COS(B5))*(SIN(B2)))</f>
        <v>0.87373749669348832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0.50796221185464097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1.1262625033065117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0.16168939384111733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5615.1941764075136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2.4070414186777151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0.41544777428439111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38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1.8454547784167235</v>
      </c>
    </row>
    <row r="25" spans="1:16" x14ac:dyDescent="0.35">
      <c r="A25" s="12">
        <v>10</v>
      </c>
      <c r="B25" s="11">
        <v>1.8003244768352826</v>
      </c>
    </row>
    <row r="26" spans="1:16" x14ac:dyDescent="0.35">
      <c r="A26" s="12">
        <v>20</v>
      </c>
      <c r="B26" s="11">
        <v>1.66786665931169</v>
      </c>
    </row>
    <row r="27" spans="1:16" x14ac:dyDescent="0.35">
      <c r="A27" s="12">
        <v>30</v>
      </c>
      <c r="B27" s="11">
        <v>1.4550649520595678</v>
      </c>
    </row>
    <row r="28" spans="1:16" x14ac:dyDescent="0.35">
      <c r="A28" s="12">
        <v>40</v>
      </c>
      <c r="B28" s="11">
        <v>1.1668737352633654</v>
      </c>
    </row>
    <row r="29" spans="1:16" x14ac:dyDescent="0.35">
      <c r="A29" s="12">
        <v>50</v>
      </c>
      <c r="B29" s="11">
        <v>0.78714800136818763</v>
      </c>
    </row>
    <row r="30" spans="1:16" x14ac:dyDescent="0.35">
      <c r="A30" s="12">
        <v>60</v>
      </c>
      <c r="B30" s="11">
        <v>0.41544777428439111</v>
      </c>
    </row>
    <row r="31" spans="1:16" x14ac:dyDescent="0.35">
      <c r="A31" s="12" t="s">
        <v>30</v>
      </c>
      <c r="B31" s="11">
        <f>AVERAGE(B24:B30)</f>
        <v>1.3054543396484584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2232B-D79D-44CB-982E-F8E93401F718}">
  <dimension ref="A1:P34"/>
  <sheetViews>
    <sheetView topLeftCell="A16" workbookViewId="0">
      <selection activeCell="G31" sqref="G31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500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M18</f>
        <v>0.9958011962953035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1.0471975511965976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6330.0348534928007</v>
      </c>
    </row>
    <row r="10" spans="1:16" x14ac:dyDescent="0.35">
      <c r="A10" s="13" t="s">
        <v>13</v>
      </c>
      <c r="B10" s="1">
        <f>(PI()/2)-B4-ASIN(((B9)/(E2+B3))*SIN((PI()/2)+B4))</f>
        <v>5.08263412138108E-2</v>
      </c>
    </row>
    <row r="11" spans="1:16" x14ac:dyDescent="0.35">
      <c r="A11" s="13" t="s">
        <v>14</v>
      </c>
      <c r="B11" s="1">
        <f>((-SIN(B10))+(SIN(B5)*COS(B2)))/((COS(B5))*(SIN(B2)))</f>
        <v>0.88267212395080041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0.48927863096810453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1.1173278760491996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0.15574222533561827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5676.9839578942037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2.2924241653883892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0.43621944625181397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39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1.9903981750266369</v>
      </c>
    </row>
    <row r="25" spans="1:16" x14ac:dyDescent="0.35">
      <c r="A25" s="12">
        <v>10</v>
      </c>
      <c r="B25" s="11">
        <v>1.9425207113656255</v>
      </c>
    </row>
    <row r="26" spans="1:16" x14ac:dyDescent="0.35">
      <c r="A26" s="12">
        <v>20</v>
      </c>
      <c r="B26" s="11">
        <v>1.8017056165778611</v>
      </c>
    </row>
    <row r="27" spans="1:16" x14ac:dyDescent="0.35">
      <c r="A27" s="12">
        <v>30</v>
      </c>
      <c r="B27" s="11">
        <v>1.5746036863186184</v>
      </c>
    </row>
    <row r="28" spans="1:16" x14ac:dyDescent="0.35">
      <c r="A28" s="12">
        <v>40</v>
      </c>
      <c r="B28" s="11">
        <v>1.2655202833799244</v>
      </c>
    </row>
    <row r="29" spans="1:16" x14ac:dyDescent="0.35">
      <c r="A29" s="12">
        <v>50</v>
      </c>
      <c r="B29" s="11">
        <v>0.85647533271529552</v>
      </c>
    </row>
    <row r="30" spans="1:16" x14ac:dyDescent="0.35">
      <c r="A30" s="12">
        <v>60</v>
      </c>
      <c r="B30" s="11">
        <v>0.43621944625181397</v>
      </c>
    </row>
    <row r="31" spans="1:16" x14ac:dyDescent="0.35">
      <c r="A31" s="12" t="s">
        <v>30</v>
      </c>
      <c r="B31" s="11">
        <f>AVERAGE(B24:B30)</f>
        <v>1.4096347502336821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6149-08B2-4297-B6CD-0E241A1E0798}">
  <dimension ref="A1:P34"/>
  <sheetViews>
    <sheetView workbookViewId="0">
      <selection activeCell="B4" sqref="B4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550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M19</f>
        <v>1.0786747778497712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0.87266462599716477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6340.5331474982404</v>
      </c>
    </row>
    <row r="10" spans="1:16" x14ac:dyDescent="0.35">
      <c r="A10" s="13" t="s">
        <v>13</v>
      </c>
      <c r="B10" s="1">
        <f>(PI()/2)-B4-ASIN(((B9)/(E2+B3))*SIN((PI()/2)+B4))</f>
        <v>4.4944545986640883E-2</v>
      </c>
    </row>
    <row r="11" spans="1:16" x14ac:dyDescent="0.35">
      <c r="A11" s="13" t="s">
        <v>14</v>
      </c>
      <c r="B11" s="1">
        <f>((-SIN(B10))+(SIN(B5)*COS(B2)))/((COS(B5))*(SIN(B2)))</f>
        <v>0.60734827275968972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0.91807788706586502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0.76877024222425205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0.69388032741007644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7.136429969671769E-2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5738.9987368947459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1.03869959799162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0.96274226151001918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40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2.219932694482234</v>
      </c>
    </row>
    <row r="25" spans="1:16" x14ac:dyDescent="0.35">
      <c r="A25" s="12">
        <v>10</v>
      </c>
      <c r="B25" s="11">
        <v>2.1672681926838173</v>
      </c>
    </row>
    <row r="26" spans="1:16" x14ac:dyDescent="0.35">
      <c r="A26" s="12">
        <v>20</v>
      </c>
      <c r="B26" s="11">
        <v>2.0121081431104124</v>
      </c>
    </row>
    <row r="27" spans="1:16" x14ac:dyDescent="0.35">
      <c r="A27" s="12">
        <v>30</v>
      </c>
      <c r="B27" s="11">
        <v>1.7610827337330381</v>
      </c>
    </row>
    <row r="28" spans="1:16" x14ac:dyDescent="0.35">
      <c r="A28" s="12">
        <v>40</v>
      </c>
      <c r="B28" s="11">
        <v>1.4180775478313308</v>
      </c>
    </row>
    <row r="29" spans="1:16" x14ac:dyDescent="0.35">
      <c r="A29" s="12">
        <v>50</v>
      </c>
      <c r="B29" s="11">
        <v>0.96274226151001918</v>
      </c>
    </row>
    <row r="30" spans="1:16" x14ac:dyDescent="0.35">
      <c r="A30" s="12">
        <v>60</v>
      </c>
      <c r="B30" s="11">
        <v>0.46549339534413969</v>
      </c>
    </row>
    <row r="31" spans="1:16" x14ac:dyDescent="0.35">
      <c r="A31" s="12" t="s">
        <v>30</v>
      </c>
      <c r="B31" s="11">
        <f>AVERAGE(B24:B30)</f>
        <v>1.5723864240992846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61D65-548B-44BB-B0A3-332ECA2D41D9}">
  <dimension ref="A1:P34"/>
  <sheetViews>
    <sheetView workbookViewId="0">
      <selection activeCell="E8" sqref="E8"/>
    </sheetView>
  </sheetViews>
  <sheetFormatPr defaultRowHeight="14.5" x14ac:dyDescent="0.35"/>
  <cols>
    <col min="1" max="1" width="19.1796875" customWidth="1"/>
    <col min="3" max="3" width="8.81640625" customWidth="1"/>
    <col min="4" max="4" width="10.6328125" customWidth="1"/>
    <col min="12" max="12" width="21.26953125" customWidth="1"/>
    <col min="13" max="13" width="21.6328125" customWidth="1"/>
    <col min="15" max="15" width="16.08984375" customWidth="1"/>
    <col min="16" max="16" width="15.90625" customWidth="1"/>
  </cols>
  <sheetData>
    <row r="1" spans="1:16" x14ac:dyDescent="0.35">
      <c r="A1" s="6" t="s">
        <v>0</v>
      </c>
      <c r="B1" s="6"/>
      <c r="C1" s="6"/>
      <c r="D1" s="6" t="s">
        <v>1</v>
      </c>
      <c r="E1" s="6"/>
      <c r="J1" t="s">
        <v>6</v>
      </c>
    </row>
    <row r="2" spans="1:16" x14ac:dyDescent="0.35">
      <c r="A2" s="18" t="s">
        <v>2</v>
      </c>
      <c r="B2" s="7">
        <f>PI()/3</f>
        <v>1.0471975511965976</v>
      </c>
      <c r="C2" s="7"/>
      <c r="D2" s="18" t="s">
        <v>7</v>
      </c>
      <c r="E2" s="7">
        <v>6378.1450000000004</v>
      </c>
    </row>
    <row r="3" spans="1:16" x14ac:dyDescent="0.35">
      <c r="A3" s="18" t="s">
        <v>3</v>
      </c>
      <c r="B3" s="7">
        <v>600</v>
      </c>
      <c r="C3" s="7"/>
      <c r="D3" s="18" t="s">
        <v>8</v>
      </c>
      <c r="E3" s="7">
        <v>8.1820000000000004E-2</v>
      </c>
    </row>
    <row r="4" spans="1:16" x14ac:dyDescent="0.35">
      <c r="A4" s="18" t="s">
        <v>4</v>
      </c>
      <c r="B4" s="7">
        <f>M20</f>
        <v>1.1740251465438716</v>
      </c>
      <c r="C4" s="7"/>
      <c r="D4" s="18" t="s">
        <v>9</v>
      </c>
      <c r="E4" s="7">
        <v>398601</v>
      </c>
      <c r="K4" t="s">
        <v>47</v>
      </c>
    </row>
    <row r="5" spans="1:16" x14ac:dyDescent="0.35">
      <c r="A5" s="18" t="s">
        <v>5</v>
      </c>
      <c r="B5" s="7">
        <v>0.87266462599716477</v>
      </c>
      <c r="C5" s="7"/>
      <c r="D5" s="18" t="s">
        <v>10</v>
      </c>
      <c r="E5" s="7">
        <v>86400</v>
      </c>
    </row>
    <row r="7" spans="1:16" x14ac:dyDescent="0.35">
      <c r="K7" t="s">
        <v>25</v>
      </c>
    </row>
    <row r="8" spans="1:16" x14ac:dyDescent="0.35">
      <c r="A8" s="8" t="s">
        <v>11</v>
      </c>
      <c r="B8" s="8"/>
      <c r="K8" t="s">
        <v>31</v>
      </c>
    </row>
    <row r="9" spans="1:16" x14ac:dyDescent="0.35">
      <c r="A9" s="13" t="s">
        <v>12</v>
      </c>
      <c r="B9" s="1">
        <f>(E2)*SQRT((((COS(B5))^2)+(1-E3^2)^2*(SIN(B5))^2)/1-E3^2*(SIN(B5))^2)</f>
        <v>6340.5331474982404</v>
      </c>
    </row>
    <row r="10" spans="1:16" x14ac:dyDescent="0.35">
      <c r="A10" s="13" t="s">
        <v>13</v>
      </c>
      <c r="B10" s="1">
        <f>(PI()/2)-B4-ASIN(((B9)/(E2+B3))*SIN((PI()/2)+B4))</f>
        <v>3.7991263212320325E-2</v>
      </c>
    </row>
    <row r="11" spans="1:16" x14ac:dyDescent="0.35">
      <c r="A11" s="13" t="s">
        <v>14</v>
      </c>
      <c r="B11" s="1">
        <f>((-SIN(B10))+(SIN(B5)*COS(B2)))/((COS(B5))*(SIN(B2)))</f>
        <v>0.61982835299661554</v>
      </c>
      <c r="I11" t="s">
        <v>48</v>
      </c>
      <c r="J11" t="s">
        <v>49</v>
      </c>
      <c r="K11" s="4" t="s">
        <v>22</v>
      </c>
      <c r="L11" s="4" t="s">
        <v>23</v>
      </c>
      <c r="M11" s="4" t="s">
        <v>24</v>
      </c>
      <c r="O11" s="4" t="s">
        <v>27</v>
      </c>
      <c r="P11" s="4" t="s">
        <v>28</v>
      </c>
    </row>
    <row r="12" spans="1:16" x14ac:dyDescent="0.35">
      <c r="A12" s="13" t="s">
        <v>15</v>
      </c>
      <c r="B12" s="1">
        <f>ACOS(MIN(1, MAX(-1, B11)))</f>
        <v>0.90227237426136897</v>
      </c>
      <c r="I12">
        <v>572.46840410413404</v>
      </c>
      <c r="J12">
        <v>1202.4755567215541</v>
      </c>
      <c r="K12" s="15">
        <v>200</v>
      </c>
      <c r="L12" s="16">
        <v>43.084469012183604</v>
      </c>
      <c r="M12" s="5">
        <f>RADIANS(L12)</f>
        <v>0.75196584073607275</v>
      </c>
      <c r="O12" s="17">
        <v>0</v>
      </c>
      <c r="P12" s="9">
        <f>RADIANS(O12)</f>
        <v>0</v>
      </c>
    </row>
    <row r="13" spans="1:16" x14ac:dyDescent="0.35">
      <c r="A13" s="13" t="s">
        <v>17</v>
      </c>
      <c r="B13" s="1">
        <f>((SIN(B10))+(SIN(B5)*COS(B2)))/((COS(B5))*(SIN(B2)))</f>
        <v>0.75629016198732624</v>
      </c>
      <c r="I13">
        <v>715.58551101947955</v>
      </c>
      <c r="J13">
        <v>1522.616390621085</v>
      </c>
      <c r="K13" s="15">
        <v>250</v>
      </c>
      <c r="L13" s="16">
        <v>42.616272676889707</v>
      </c>
      <c r="M13" s="5">
        <f t="shared" ref="M13:M22" si="0">RADIANS(L13)</f>
        <v>0.74379427313942292</v>
      </c>
      <c r="O13" s="17">
        <v>10</v>
      </c>
      <c r="P13" s="9">
        <f t="shared" ref="P13:P18" si="1">RADIANS(O13)</f>
        <v>0.17453292519943295</v>
      </c>
    </row>
    <row r="14" spans="1:16" x14ac:dyDescent="0.35">
      <c r="A14" s="13" t="s">
        <v>16</v>
      </c>
      <c r="B14" s="1">
        <f>ACOS(MIN(1, B13))</f>
        <v>0.71317243652598239</v>
      </c>
      <c r="I14">
        <v>858.70262032404946</v>
      </c>
      <c r="J14">
        <v>1851.3873968270707</v>
      </c>
      <c r="K14" s="15">
        <v>300</v>
      </c>
      <c r="L14" s="16">
        <v>42.143880530048136</v>
      </c>
      <c r="M14" s="5">
        <f t="shared" si="0"/>
        <v>0.73554947481647304</v>
      </c>
      <c r="O14" s="17">
        <v>20</v>
      </c>
      <c r="P14" s="9">
        <f t="shared" si="1"/>
        <v>0.3490658503988659</v>
      </c>
    </row>
    <row r="15" spans="1:16" x14ac:dyDescent="0.35">
      <c r="A15" s="13" t="s">
        <v>18</v>
      </c>
      <c r="B15" s="1">
        <f>(B12-B14)/PI()</f>
        <v>6.0192379657912805E-2</v>
      </c>
      <c r="I15">
        <v>1001.8197320304855</v>
      </c>
      <c r="J15" t="s">
        <v>50</v>
      </c>
      <c r="K15" s="15">
        <v>350</v>
      </c>
      <c r="L15" s="16">
        <v>44.231749294413675</v>
      </c>
      <c r="M15" s="5">
        <f t="shared" si="0"/>
        <v>0.77198965910419737</v>
      </c>
      <c r="O15" s="17">
        <v>30</v>
      </c>
      <c r="P15" s="9">
        <f t="shared" si="1"/>
        <v>0.52359877559829882</v>
      </c>
    </row>
    <row r="16" spans="1:16" x14ac:dyDescent="0.35">
      <c r="A16" s="13" t="s">
        <v>19</v>
      </c>
      <c r="B16" s="1">
        <f>2*PI()*SQRT(((E2+B3)^3)/(E4))</f>
        <v>5801.2377000316601</v>
      </c>
      <c r="I16">
        <v>1144.9368461703909</v>
      </c>
      <c r="J16" t="s">
        <v>50</v>
      </c>
      <c r="K16" s="15">
        <v>400</v>
      </c>
      <c r="L16" s="16">
        <v>48.376137812018897</v>
      </c>
      <c r="M16" s="5">
        <f t="shared" si="0"/>
        <v>0.84432288421825541</v>
      </c>
      <c r="O16" s="17">
        <v>40</v>
      </c>
      <c r="P16" s="9">
        <f t="shared" si="1"/>
        <v>0.69813170079773179</v>
      </c>
    </row>
    <row r="17" spans="1:16" x14ac:dyDescent="0.35">
      <c r="I17">
        <v>1288.0539627564074</v>
      </c>
      <c r="J17" t="s">
        <v>50</v>
      </c>
      <c r="K17" s="15">
        <v>450</v>
      </c>
      <c r="L17" s="16">
        <v>52.578412705489853</v>
      </c>
      <c r="M17" s="5">
        <f t="shared" si="0"/>
        <v>0.91766641718321762</v>
      </c>
      <c r="O17" s="17">
        <v>50</v>
      </c>
      <c r="P17" s="9">
        <f t="shared" si="1"/>
        <v>0.87266462599716477</v>
      </c>
    </row>
    <row r="18" spans="1:16" x14ac:dyDescent="0.35">
      <c r="A18" s="2" t="s">
        <v>20</v>
      </c>
      <c r="B18" s="2"/>
      <c r="I18">
        <v>1431.1710818074964</v>
      </c>
      <c r="J18" t="s">
        <v>50</v>
      </c>
      <c r="K18" s="15">
        <v>500</v>
      </c>
      <c r="L18" s="16">
        <v>57.055205781799316</v>
      </c>
      <c r="M18" s="5">
        <f t="shared" si="0"/>
        <v>0.9958011962953035</v>
      </c>
      <c r="O18" s="17">
        <v>60</v>
      </c>
      <c r="P18" s="9">
        <f t="shared" si="1"/>
        <v>1.0471975511965976</v>
      </c>
    </row>
    <row r="19" spans="1:16" x14ac:dyDescent="0.35">
      <c r="A19" s="14" t="s">
        <v>21</v>
      </c>
      <c r="B19" s="3">
        <f>((E5/B16)-COS(B2))*B15</f>
        <v>0.86637140404593072</v>
      </c>
      <c r="I19">
        <v>1574.2882033299788</v>
      </c>
      <c r="J19" t="s">
        <v>50</v>
      </c>
      <c r="K19" s="15">
        <v>550</v>
      </c>
      <c r="L19" s="16">
        <v>61.803512238003549</v>
      </c>
      <c r="M19" s="5">
        <f t="shared" si="0"/>
        <v>1.0786747778497712</v>
      </c>
      <c r="O19" s="17"/>
      <c r="P19" s="9"/>
    </row>
    <row r="20" spans="1:16" x14ac:dyDescent="0.35">
      <c r="A20" s="14" t="s">
        <v>32</v>
      </c>
      <c r="B20" s="3">
        <f>1/B19</f>
        <v>1.1542393889387708</v>
      </c>
      <c r="I20">
        <v>1717.4053273649399</v>
      </c>
      <c r="J20" t="s">
        <v>50</v>
      </c>
      <c r="K20" s="15">
        <v>600</v>
      </c>
      <c r="L20" s="16">
        <v>67.266685939191831</v>
      </c>
      <c r="M20" s="5">
        <f t="shared" si="0"/>
        <v>1.1740251465438716</v>
      </c>
      <c r="O20" s="17"/>
      <c r="P20" s="9"/>
    </row>
    <row r="21" spans="1:16" x14ac:dyDescent="0.35">
      <c r="I21">
        <v>1860.5224539092187</v>
      </c>
      <c r="J21" t="s">
        <v>50</v>
      </c>
      <c r="K21" s="15">
        <v>650</v>
      </c>
      <c r="L21" s="16">
        <v>74.224811525338055</v>
      </c>
      <c r="M21" s="5">
        <f t="shared" si="0"/>
        <v>1.2954673477893837</v>
      </c>
      <c r="O21" s="17"/>
      <c r="P21" s="9"/>
    </row>
    <row r="22" spans="1:16" x14ac:dyDescent="0.35">
      <c r="A22" s="10" t="s">
        <v>41</v>
      </c>
      <c r="B22" s="10"/>
      <c r="C22" s="10"/>
      <c r="I22" t="s">
        <v>50</v>
      </c>
      <c r="J22" t="s">
        <v>50</v>
      </c>
      <c r="K22" s="15">
        <v>700</v>
      </c>
      <c r="L22" s="16">
        <v>89.908990418162716</v>
      </c>
      <c r="M22" s="5">
        <f t="shared" si="0"/>
        <v>1.5692079099409728</v>
      </c>
    </row>
    <row r="23" spans="1:16" x14ac:dyDescent="0.35">
      <c r="A23" s="10" t="s">
        <v>26</v>
      </c>
      <c r="B23" s="10" t="s">
        <v>33</v>
      </c>
      <c r="C23" s="10"/>
    </row>
    <row r="24" spans="1:16" x14ac:dyDescent="0.35">
      <c r="A24" s="12">
        <v>0</v>
      </c>
      <c r="B24" s="11">
        <v>2.6423437203493148</v>
      </c>
    </row>
    <row r="25" spans="1:16" x14ac:dyDescent="0.35">
      <c r="A25" s="12">
        <v>10</v>
      </c>
      <c r="B25" s="11">
        <v>2.5803941033454167</v>
      </c>
    </row>
    <row r="26" spans="1:16" x14ac:dyDescent="0.35">
      <c r="A26" s="12">
        <v>20</v>
      </c>
      <c r="B26" s="11">
        <v>2.397619258281082</v>
      </c>
    </row>
    <row r="27" spans="1:16" x14ac:dyDescent="0.35">
      <c r="A27" s="12">
        <v>30</v>
      </c>
      <c r="B27" s="11">
        <v>2.1011505462842019</v>
      </c>
    </row>
    <row r="28" spans="1:16" x14ac:dyDescent="0.35">
      <c r="A28" s="12">
        <v>40</v>
      </c>
      <c r="B28" s="11">
        <v>1.6947536474354816</v>
      </c>
    </row>
    <row r="29" spans="1:16" x14ac:dyDescent="0.35">
      <c r="A29" s="12">
        <v>50</v>
      </c>
      <c r="B29" s="11">
        <v>1.1542393889387708</v>
      </c>
    </row>
    <row r="30" spans="1:16" x14ac:dyDescent="0.35">
      <c r="A30" s="12">
        <v>60</v>
      </c>
      <c r="B30" s="11">
        <v>0.51302001835681099</v>
      </c>
    </row>
    <row r="31" spans="1:16" x14ac:dyDescent="0.35">
      <c r="A31" s="12" t="s">
        <v>30</v>
      </c>
      <c r="B31" s="11">
        <f>AVERAGE(B24:B30)</f>
        <v>1.8690743832844399</v>
      </c>
    </row>
    <row r="32" spans="1:16" x14ac:dyDescent="0.35">
      <c r="A32" s="12"/>
      <c r="B32" s="11"/>
    </row>
    <row r="33" spans="1:2" x14ac:dyDescent="0.35">
      <c r="A33" s="12"/>
      <c r="B33" s="11"/>
    </row>
    <row r="34" spans="1:2" x14ac:dyDescent="0.35">
      <c r="A34" s="12"/>
      <c r="B34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200km</vt:lpstr>
      <vt:lpstr>250km</vt:lpstr>
      <vt:lpstr>300km</vt:lpstr>
      <vt:lpstr>350km</vt:lpstr>
      <vt:lpstr>400km</vt:lpstr>
      <vt:lpstr>450km</vt:lpstr>
      <vt:lpstr>500km</vt:lpstr>
      <vt:lpstr>550km</vt:lpstr>
      <vt:lpstr>600km</vt:lpstr>
      <vt:lpstr>650km</vt:lpstr>
      <vt:lpstr>700km</vt:lpstr>
      <vt:lpstr>Comparisons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Sutlieff</dc:creator>
  <cp:lastModifiedBy>Gary Sutlieff</cp:lastModifiedBy>
  <dcterms:created xsi:type="dcterms:W3CDTF">2023-05-08T12:34:28Z</dcterms:created>
  <dcterms:modified xsi:type="dcterms:W3CDTF">2024-05-07T15:26:05Z</dcterms:modified>
</cp:coreProperties>
</file>